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Template\General\"/>
    </mc:Choice>
  </mc:AlternateContent>
  <xr:revisionPtr revIDLastSave="0" documentId="8_{AA5BBF52-0E10-4063-8525-9FF448EC3DDA}" xr6:coauthVersionLast="47" xr6:coauthVersionMax="47" xr10:uidLastSave="{00000000-0000-0000-0000-000000000000}"/>
  <bookViews>
    <workbookView xWindow="0" yWindow="0" windowWidth="19200" windowHeight="8010" firstSheet="3" activeTab="3" xr2:uid="{00000000-000D-0000-FFFF-FFFF00000000}"/>
  </bookViews>
  <sheets>
    <sheet name="Financials" sheetId="1" state="hidden" r:id="rId1"/>
    <sheet name="Historical" sheetId="3" r:id="rId2"/>
    <sheet name="Assumption" sheetId="4" r:id="rId3"/>
    <sheet name="CF" sheetId="11" r:id="rId4"/>
    <sheet name="Projection" sheetId="13" r:id="rId5"/>
    <sheet name="Sales-AR Schedule" sheetId="9" r:id="rId6"/>
    <sheet name="Purchase-Expenses-AP Schedule" sheetId="10" r:id="rId7"/>
    <sheet name="Schedule Bank" sheetId="7" r:id="rId8"/>
    <sheet name="FEASIBILITY STUDY" sheetId="27" r:id="rId9"/>
    <sheet name="Treasury Line" sheetId="25" r:id="rId10"/>
    <sheet name="Limit NWE" sheetId="26" r:id="rId11"/>
    <sheet name="Debt Capacity" sheetId="23" r:id="rId12"/>
    <sheet name="Feasibility Analysis (3)" sheetId="24" state="hidden" r:id="rId13"/>
    <sheet name="Feasibility Analysis (1)" sheetId="14" state="hidden" r:id="rId14"/>
    <sheet name="Feasibility Analysis (2)" sheetId="15" state="hidden" r:id="rId15"/>
    <sheet name="Sensitivity Analysis" sheetId="21" r:id="rId16"/>
    <sheet name="Sheet3" sheetId="19" state="hidden" r:id="rId17"/>
  </sheets>
  <definedNames>
    <definedName name="__123Graph_A" localSheetId="1">#REF!</definedName>
    <definedName name="__123Graph_A" localSheetId="7">#REF!</definedName>
    <definedName name="__123Graph_A">#REF!</definedName>
    <definedName name="__123Graph_B" localSheetId="1">#REF!</definedName>
    <definedName name="__123Graph_B" localSheetId="7">#REF!</definedName>
    <definedName name="__123Graph_B">#REF!</definedName>
    <definedName name="__123Graph_C" localSheetId="1">#REF!</definedName>
    <definedName name="__123Graph_C" localSheetId="7">#REF!</definedName>
    <definedName name="__123Graph_C">#REF!</definedName>
    <definedName name="__123Graph_D" localSheetId="1">#REF!</definedName>
    <definedName name="__123Graph_D" localSheetId="7">#REF!</definedName>
    <definedName name="__123Graph_D">#REF!</definedName>
    <definedName name="__123Graph_E" localSheetId="1">#REF!</definedName>
    <definedName name="__123Graph_E" localSheetId="7">#REF!</definedName>
    <definedName name="__123Graph_E">#REF!</definedName>
    <definedName name="__123Graph_F" localSheetId="1">#REF!</definedName>
    <definedName name="__123Graph_F" localSheetId="7">#REF!</definedName>
    <definedName name="__123Graph_F">#REF!</definedName>
    <definedName name="__123Graph_X" localSheetId="1">#REF!</definedName>
    <definedName name="__123Graph_X" localSheetId="7">#REF!</definedName>
    <definedName name="__123Graph_X">#REF!</definedName>
    <definedName name="_1" localSheetId="7">#REF!</definedName>
    <definedName name="_1">#REF!</definedName>
    <definedName name="_10" localSheetId="1">#REF!</definedName>
    <definedName name="_10" localSheetId="7">#REF!</definedName>
    <definedName name="_10">#REF!</definedName>
    <definedName name="_11" localSheetId="1">#REF!</definedName>
    <definedName name="_11" localSheetId="7">#REF!</definedName>
    <definedName name="_11">#REF!</definedName>
    <definedName name="_12" localSheetId="1">#REF!</definedName>
    <definedName name="_12" localSheetId="7">#REF!</definedName>
    <definedName name="_12">#REF!</definedName>
    <definedName name="_13" localSheetId="7">#REF!</definedName>
    <definedName name="_13">#REF!</definedName>
    <definedName name="_14" localSheetId="7">#REF!</definedName>
    <definedName name="_14">#REF!</definedName>
    <definedName name="_15" localSheetId="1">#REF!</definedName>
    <definedName name="_15" localSheetId="7">#REF!</definedName>
    <definedName name="_15">#REF!</definedName>
    <definedName name="_16" localSheetId="1">#REF!</definedName>
    <definedName name="_16" localSheetId="7">#REF!</definedName>
    <definedName name="_16">#REF!</definedName>
    <definedName name="_17" localSheetId="1">#REF!</definedName>
    <definedName name="_17" localSheetId="7">#REF!</definedName>
    <definedName name="_17">#REF!</definedName>
    <definedName name="_18" localSheetId="1">#REF!</definedName>
    <definedName name="_18" localSheetId="7">#REF!</definedName>
    <definedName name="_18">#REF!</definedName>
    <definedName name="_19" localSheetId="1">#REF!</definedName>
    <definedName name="_19" localSheetId="7">#REF!</definedName>
    <definedName name="_19">#REF!</definedName>
    <definedName name="_1A" localSheetId="7">#REF!</definedName>
    <definedName name="_1A">#REF!</definedName>
    <definedName name="_2" localSheetId="7">#REF!</definedName>
    <definedName name="_2">#REF!</definedName>
    <definedName name="_20" localSheetId="7">#REF!</definedName>
    <definedName name="_20">#REF!</definedName>
    <definedName name="_21" localSheetId="7">#REF!</definedName>
    <definedName name="_21">#REF!</definedName>
    <definedName name="_22" localSheetId="7">#REF!</definedName>
    <definedName name="_22">#REF!</definedName>
    <definedName name="_23" localSheetId="7">#REF!</definedName>
    <definedName name="_23">#REF!</definedName>
    <definedName name="_24" localSheetId="7">#REF!</definedName>
    <definedName name="_24">#REF!</definedName>
    <definedName name="_25" localSheetId="7">#REF!</definedName>
    <definedName name="_25">#REF!</definedName>
    <definedName name="_26" localSheetId="7">#REF!</definedName>
    <definedName name="_26">#REF!</definedName>
    <definedName name="_27" localSheetId="1">#REF!</definedName>
    <definedName name="_27" localSheetId="7">#REF!</definedName>
    <definedName name="_27">#REF!</definedName>
    <definedName name="_28" localSheetId="7">#REF!</definedName>
    <definedName name="_28">#REF!</definedName>
    <definedName name="_29" localSheetId="1">#REF!</definedName>
    <definedName name="_29" localSheetId="7">#REF!</definedName>
    <definedName name="_29">#REF!</definedName>
    <definedName name="_2A" localSheetId="7">#REF!</definedName>
    <definedName name="_2A">#REF!</definedName>
    <definedName name="_3" localSheetId="7">#REF!</definedName>
    <definedName name="_3">#REF!</definedName>
    <definedName name="_30" localSheetId="7">#REF!</definedName>
    <definedName name="_30">#REF!</definedName>
    <definedName name="_31" localSheetId="7">#REF!</definedName>
    <definedName name="_31">#REF!</definedName>
    <definedName name="_32" localSheetId="7">#REF!</definedName>
    <definedName name="_32">#REF!</definedName>
    <definedName name="_33" localSheetId="7">#REF!</definedName>
    <definedName name="_33">#REF!</definedName>
    <definedName name="_34" localSheetId="7">#REF!</definedName>
    <definedName name="_34">#REF!</definedName>
    <definedName name="_35" localSheetId="7">#REF!</definedName>
    <definedName name="_35">#REF!</definedName>
    <definedName name="_36" localSheetId="7">#REF!</definedName>
    <definedName name="_36">#REF!</definedName>
    <definedName name="_37" localSheetId="7">#REF!</definedName>
    <definedName name="_37">#REF!</definedName>
    <definedName name="_38" localSheetId="7">#REF!</definedName>
    <definedName name="_38">#REF!</definedName>
    <definedName name="_39" localSheetId="7">#REF!</definedName>
    <definedName name="_39">#REF!</definedName>
    <definedName name="_4" localSheetId="7">#REF!</definedName>
    <definedName name="_4">#REF!</definedName>
    <definedName name="_40" localSheetId="7">#REF!</definedName>
    <definedName name="_40">#REF!</definedName>
    <definedName name="_4P" localSheetId="7">#REF!</definedName>
    <definedName name="_4P">#REF!</definedName>
    <definedName name="_4W" localSheetId="7">#REF!</definedName>
    <definedName name="_4W">#REF!</definedName>
    <definedName name="_4WORD_M_001_07" localSheetId="1">#REF!</definedName>
    <definedName name="_4WORD_M_001_07" localSheetId="7">#REF!</definedName>
    <definedName name="_4WORD_M_001_07">#REF!</definedName>
    <definedName name="_4WORD_M_001_09" localSheetId="1">#REF!</definedName>
    <definedName name="_4WORD_M_001_09" localSheetId="7">#REF!</definedName>
    <definedName name="_4WORD_M_001_09">#REF!</definedName>
    <definedName name="_4WORD_O_005_E_" localSheetId="1">#REF!</definedName>
    <definedName name="_4WORD_O_005_E_" localSheetId="7">#REF!</definedName>
    <definedName name="_4WORD_O_005_E_">#REF!</definedName>
    <definedName name="_4WORD_O_010_E_" localSheetId="1">#REF!</definedName>
    <definedName name="_4WORD_O_010_E_" localSheetId="7">#REF!</definedName>
    <definedName name="_4WORD_O_010_E_">#REF!</definedName>
    <definedName name="_4WORD_RESTRICT" localSheetId="7">#REF!</definedName>
    <definedName name="_4WORD_RESTRICT">#REF!</definedName>
    <definedName name="_5" localSheetId="7">#REF!</definedName>
    <definedName name="_5">#REF!</definedName>
    <definedName name="_51" localSheetId="7">#REF!</definedName>
    <definedName name="_51">#REF!</definedName>
    <definedName name="_52" localSheetId="7">#REF!</definedName>
    <definedName name="_52">#REF!</definedName>
    <definedName name="_53" localSheetId="7">#REF!</definedName>
    <definedName name="_53">#REF!</definedName>
    <definedName name="_54" localSheetId="7">#REF!</definedName>
    <definedName name="_54">#REF!</definedName>
    <definedName name="_55" localSheetId="7">#REF!</definedName>
    <definedName name="_55">#REF!</definedName>
    <definedName name="_56" localSheetId="7">#REF!</definedName>
    <definedName name="_56">#REF!</definedName>
    <definedName name="_5A" localSheetId="7">#REF!</definedName>
    <definedName name="_5A">#REF!</definedName>
    <definedName name="_5B" localSheetId="7">#REF!</definedName>
    <definedName name="_5B">#REF!</definedName>
    <definedName name="_6" localSheetId="7">#REF!</definedName>
    <definedName name="_6">#REF!</definedName>
    <definedName name="_61" localSheetId="7">#REF!</definedName>
    <definedName name="_61">#REF!</definedName>
    <definedName name="_62" localSheetId="7">#REF!</definedName>
    <definedName name="_62">#REF!</definedName>
    <definedName name="_7" localSheetId="7">#REF!</definedName>
    <definedName name="_7">#REF!</definedName>
    <definedName name="_8" localSheetId="7">#REF!</definedName>
    <definedName name="_8">#REF!</definedName>
    <definedName name="_9" localSheetId="7">#REF!</definedName>
    <definedName name="_9">#REF!</definedName>
    <definedName name="_ALL4" localSheetId="7">#REF!</definedName>
    <definedName name="_ALL4">#REF!</definedName>
    <definedName name="_Fill" localSheetId="7">#REF!</definedName>
    <definedName name="_Fill">#REF!</definedName>
    <definedName name="_WD1" localSheetId="7">#REF!</definedName>
    <definedName name="_WD1">#REF!</definedName>
    <definedName name="_WD2" localSheetId="7">#REF!</definedName>
    <definedName name="_WD2">#REF!</definedName>
    <definedName name="_WD3" localSheetId="7">#REF!</definedName>
    <definedName name="_WD3">#REF!</definedName>
    <definedName name="_WD4" localSheetId="7">#REF!</definedName>
    <definedName name="_WD4">#REF!</definedName>
    <definedName name="_WD5" localSheetId="7">#REF!</definedName>
    <definedName name="_WD5">#REF!</definedName>
    <definedName name="_WD6" localSheetId="7">#REF!</definedName>
    <definedName name="_WD6">#REF!</definedName>
    <definedName name="A" localSheetId="7">#REF!</definedName>
    <definedName name="A">#REF!</definedName>
    <definedName name="AGUNG" localSheetId="1">#REF!</definedName>
    <definedName name="AGUNG" localSheetId="7">#REF!</definedName>
    <definedName name="AGUNG">#REF!</definedName>
    <definedName name="ALLP" localSheetId="7">#REF!</definedName>
    <definedName name="ALLP">#REF!</definedName>
    <definedName name="AMRIS" localSheetId="1">#REF!</definedName>
    <definedName name="AMRIS" localSheetId="7">#REF!</definedName>
    <definedName name="AMRIS">#REF!</definedName>
    <definedName name="angki33" localSheetId="1">#REF!</definedName>
    <definedName name="angki33" localSheetId="7">#REF!</definedName>
    <definedName name="angki33">#REF!</definedName>
    <definedName name="ARIEF" localSheetId="7">#REF!</definedName>
    <definedName name="ARIEF">#REF!</definedName>
    <definedName name="B" localSheetId="7">#REF!</definedName>
    <definedName name="B">#REF!</definedName>
    <definedName name="C_" localSheetId="7">#REF!</definedName>
    <definedName name="C_">#REF!</definedName>
    <definedName name="CETAK" localSheetId="1">#REF!</definedName>
    <definedName name="CETAK" localSheetId="7">#REF!</definedName>
    <definedName name="CETAK">#REF!</definedName>
    <definedName name="d" localSheetId="7">#REF!</definedName>
    <definedName name="d">#REF!</definedName>
    <definedName name="DIS" localSheetId="7">#REF!</definedName>
    <definedName name="DIS">#REF!</definedName>
    <definedName name="DO" localSheetId="7">#REF!</definedName>
    <definedName name="DO">#REF!</definedName>
    <definedName name="DOS" localSheetId="7">#REF!</definedName>
    <definedName name="DOS">#REF!</definedName>
    <definedName name="DUS" localSheetId="7">#REF!</definedName>
    <definedName name="DUS">#REF!</definedName>
    <definedName name="E" localSheetId="7">#REF!</definedName>
    <definedName name="E">#REF!</definedName>
    <definedName name="F" localSheetId="7">#REF!</definedName>
    <definedName name="F">#REF!</definedName>
    <definedName name="FA" localSheetId="7">#REF!</definedName>
    <definedName name="FA">#REF!</definedName>
    <definedName name="g" localSheetId="7">#REF!</definedName>
    <definedName name="g">#REF!</definedName>
    <definedName name="Golongan" localSheetId="7">#REF!</definedName>
    <definedName name="Golongan">#REF!</definedName>
    <definedName name="h" localSheetId="7">#REF!</definedName>
    <definedName name="h">#REF!</definedName>
    <definedName name="ISI" localSheetId="1">#REF!</definedName>
    <definedName name="ISI" localSheetId="7">#REF!</definedName>
    <definedName name="ISI">#REF!</definedName>
    <definedName name="jik" localSheetId="1">#REF!</definedName>
    <definedName name="jik" localSheetId="7">#REF!</definedName>
    <definedName name="jik">#REF!</definedName>
    <definedName name="kk" localSheetId="1">#REF!</definedName>
    <definedName name="kk" localSheetId="7">#REF!</definedName>
    <definedName name="kk">#REF!</definedName>
    <definedName name="Kode_Sektor" localSheetId="7">#REF!</definedName>
    <definedName name="Kode_Sektor">#REF!</definedName>
    <definedName name="Kode_Subsektor" localSheetId="7">#REF!</definedName>
    <definedName name="Kode_Subsektor">#REF!</definedName>
    <definedName name="LIA" localSheetId="1">#REF!</definedName>
    <definedName name="LIA" localSheetId="7">#REF!</definedName>
    <definedName name="LIA">#REF!</definedName>
    <definedName name="LIMA" localSheetId="7">#REF!</definedName>
    <definedName name="LIMA">#REF!</definedName>
    <definedName name="MAS" localSheetId="7">#REF!</definedName>
    <definedName name="MAS">#REF!</definedName>
    <definedName name="MC" localSheetId="7">#REF!</definedName>
    <definedName name="MC">#REF!</definedName>
    <definedName name="MENU" localSheetId="1">#REF!</definedName>
    <definedName name="MENU" localSheetId="7">#REF!</definedName>
    <definedName name="MENU">#REF!</definedName>
    <definedName name="MI" localSheetId="7">#REF!</definedName>
    <definedName name="MI">#REF!</definedName>
    <definedName name="NANING" localSheetId="1">#REF!</definedName>
    <definedName name="NANING" localSheetId="7">#REF!</definedName>
    <definedName name="NANING">#REF!</definedName>
    <definedName name="P" localSheetId="7">#REF!</definedName>
    <definedName name="P">#REF!</definedName>
    <definedName name="PAPAT" localSheetId="7">#REF!</definedName>
    <definedName name="PAPAT">#REF!</definedName>
    <definedName name="PRINT_AREA_MI" localSheetId="7">#REF!</definedName>
    <definedName name="PRINT_AREA_MI">#REF!</definedName>
    <definedName name="PRITA" localSheetId="1">#REF!</definedName>
    <definedName name="PRITA" localSheetId="7">#REF!</definedName>
    <definedName name="PRITA">#REF!</definedName>
    <definedName name="RE" localSheetId="7">#REF!</definedName>
    <definedName name="RE">#REF!</definedName>
    <definedName name="RefreshExternalLinksButton">#REF!</definedName>
    <definedName name="RL" localSheetId="7">#REF!</definedName>
    <definedName name="RL">#REF!</definedName>
    <definedName name="SAM" localSheetId="7">#REF!</definedName>
    <definedName name="SAM">#REF!</definedName>
    <definedName name="SANDI" localSheetId="7">#REF!</definedName>
    <definedName name="SANDI">#REF!</definedName>
    <definedName name="SATU" localSheetId="7">#REF!</definedName>
    <definedName name="SATU">#REF!</definedName>
    <definedName name="SE_01" localSheetId="7">#REF!</definedName>
    <definedName name="SE_01">#REF!</definedName>
    <definedName name="SE_02" localSheetId="7">#REF!</definedName>
    <definedName name="SE_02">#REF!</definedName>
    <definedName name="SE_03" localSheetId="7">#REF!</definedName>
    <definedName name="SE_03">#REF!</definedName>
    <definedName name="SE_04" localSheetId="7">#REF!</definedName>
    <definedName name="SE_04">#REF!</definedName>
    <definedName name="SE_05" localSheetId="7">#REF!</definedName>
    <definedName name="SE_05">#REF!</definedName>
    <definedName name="SE_06" localSheetId="7">#REF!</definedName>
    <definedName name="SE_06">#REF!</definedName>
    <definedName name="SE_07" localSheetId="7">#REF!</definedName>
    <definedName name="SE_07">#REF!</definedName>
    <definedName name="SE_08" localSheetId="7">#REF!</definedName>
    <definedName name="SE_08">#REF!</definedName>
    <definedName name="SEM" localSheetId="7">#REF!</definedName>
    <definedName name="SEM">#REF!</definedName>
    <definedName name="sembilan" localSheetId="1">#REF!</definedName>
    <definedName name="sembilan" localSheetId="7">#REF!</definedName>
    <definedName name="sembilan">#REF!</definedName>
    <definedName name="SIM" localSheetId="7">#REF!</definedName>
    <definedName name="SIM">#REF!</definedName>
    <definedName name="SOM" localSheetId="7">#REF!</definedName>
    <definedName name="SOM">#REF!</definedName>
    <definedName name="SSE_01" localSheetId="7">#REF!</definedName>
    <definedName name="SSE_01">#REF!</definedName>
    <definedName name="SSE_02" localSheetId="7">#REF!</definedName>
    <definedName name="SSE_02">#REF!</definedName>
    <definedName name="SSE_03" localSheetId="7">#REF!</definedName>
    <definedName name="SSE_03">#REF!</definedName>
    <definedName name="SSE_04" localSheetId="7">#REF!</definedName>
    <definedName name="SSE_04">#REF!</definedName>
    <definedName name="SSE_05" localSheetId="7">#REF!</definedName>
    <definedName name="SSE_05">#REF!</definedName>
    <definedName name="SSE_06" localSheetId="7">#REF!</definedName>
    <definedName name="SSE_06">#REF!</definedName>
    <definedName name="SSE_07" localSheetId="7">#REF!</definedName>
    <definedName name="SSE_07">#REF!</definedName>
    <definedName name="SSE_08" localSheetId="7">#REF!</definedName>
    <definedName name="SSE_08">#REF!</definedName>
    <definedName name="SSE_09" localSheetId="7">#REF!</definedName>
    <definedName name="SSE_09">#REF!</definedName>
    <definedName name="SUM" localSheetId="7">#REF!</definedName>
    <definedName name="SUM">#REF!</definedName>
    <definedName name="TMC" localSheetId="7">#REF!</definedName>
    <definedName name="TMC">#REF!</definedName>
    <definedName name="ToggleAccReceivable">#REF!</definedName>
    <definedName name="ToggleAdjustments">#REF!</definedName>
    <definedName name="ToggleAll">#REF!</definedName>
    <definedName name="ToggleCash">#REF!</definedName>
    <definedName name="ToggleCOGS">#REF!</definedName>
    <definedName name="ToggleDividends">#REF!</definedName>
    <definedName name="ToggleExtraItems">#REF!</definedName>
    <definedName name="ToggleFixedAssets">#REF!</definedName>
    <definedName name="ToggleInterest">#REF!</definedName>
    <definedName name="ToggleInventory">#REF!</definedName>
    <definedName name="ToggleInvestments">#REF!</definedName>
    <definedName name="ToggleLTD">#REF!</definedName>
    <definedName name="ToggleOther">#REF!</definedName>
    <definedName name="ToggleOtherCA">#REF!</definedName>
    <definedName name="ToggleOtherCL">#REF!</definedName>
    <definedName name="ToggleOtherEquity">#REF!</definedName>
    <definedName name="ToggleOtherNCA">#REF!</definedName>
    <definedName name="ToggleOtherNCL">#REF!</definedName>
    <definedName name="ToggleOverheads">#REF!</definedName>
    <definedName name="ToggleRetEarnings">#REF!</definedName>
    <definedName name="ToggleRevenue">#REF!</definedName>
    <definedName name="ToggleShareCapital">#REF!</definedName>
    <definedName name="ToggleSTD">#REF!</definedName>
    <definedName name="ToggletAccPayable">#REF!</definedName>
    <definedName name="ToggleTaxes">#REF!</definedName>
    <definedName name="WD" localSheetId="7">#REF!</definedName>
    <definedName name="WD">#REF!</definedName>
    <definedName name="WOLU" localSheetId="7">#REF!</definedName>
    <definedName name="WOLU">#REF!</definedName>
    <definedName name="WORD" localSheetId="7">#REF!</definedName>
    <definedName name="WORD">#REF!</definedName>
    <definedName name="ZOM" localSheetId="7">#REF!</definedName>
    <definedName name="ZOM">#REF!</definedName>
    <definedName name="ZUM" localSheetId="7">#REF!</definedName>
    <definedName name="ZUM">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2" roundtripDataChecksum="JifktBLBM/V+mBied6GYcwzLi3/b2aGMb0nEfYetSoo="/>
    </ext>
  </extLst>
</workbook>
</file>

<file path=xl/calcChain.xml><?xml version="1.0" encoding="utf-8"?>
<calcChain xmlns="http://schemas.openxmlformats.org/spreadsheetml/2006/main">
  <c r="I21" i="11" l="1"/>
  <c r="G15" i="4"/>
  <c r="I28" i="4"/>
  <c r="I15" i="4"/>
  <c r="O119" i="13"/>
  <c r="O103" i="13"/>
  <c r="O102" i="13"/>
  <c r="O101" i="13"/>
  <c r="L82" i="13"/>
  <c r="L81" i="13"/>
  <c r="L85" i="13"/>
  <c r="L83" i="13"/>
  <c r="J252" i="4" l="1"/>
  <c r="G328" i="4"/>
  <c r="G314" i="4"/>
  <c r="G300" i="4"/>
  <c r="H85" i="11"/>
  <c r="G285" i="4"/>
  <c r="G26" i="11"/>
  <c r="H19" i="11"/>
  <c r="K124" i="3"/>
  <c r="C206" i="3" l="1"/>
  <c r="C188" i="3"/>
  <c r="C270" i="3"/>
  <c r="C268" i="3"/>
  <c r="C269" i="3"/>
  <c r="C263" i="3"/>
  <c r="C261" i="3"/>
  <c r="C262" i="3"/>
  <c r="G268" i="3"/>
  <c r="I268" i="3"/>
  <c r="K268" i="3"/>
  <c r="K273" i="3"/>
  <c r="I273" i="3"/>
  <c r="G273" i="3"/>
  <c r="K178" i="3" l="1"/>
  <c r="I178" i="3"/>
  <c r="G178" i="3"/>
  <c r="G257" i="3" l="1"/>
  <c r="K152" i="3"/>
  <c r="I152" i="3"/>
  <c r="G152" i="3"/>
  <c r="K155" i="3"/>
  <c r="I155" i="3"/>
  <c r="G155" i="3"/>
  <c r="I101" i="13" l="1"/>
  <c r="S101" i="13" s="1"/>
  <c r="F101" i="13"/>
  <c r="K257" i="3"/>
  <c r="I257" i="3"/>
  <c r="C257" i="3"/>
  <c r="E89" i="3"/>
  <c r="G86" i="3" s="1"/>
  <c r="K250" i="3"/>
  <c r="I250" i="3"/>
  <c r="G250" i="3"/>
  <c r="K251" i="3"/>
  <c r="I251" i="3"/>
  <c r="G251" i="3"/>
  <c r="C250" i="3"/>
  <c r="C251" i="3"/>
  <c r="K229" i="3"/>
  <c r="I229" i="3"/>
  <c r="G229" i="3"/>
  <c r="K230" i="3"/>
  <c r="I230" i="3"/>
  <c r="G230" i="3"/>
  <c r="C229" i="3"/>
  <c r="C230" i="3"/>
  <c r="I124" i="3"/>
  <c r="E79" i="3"/>
  <c r="G76" i="3" s="1"/>
  <c r="E59" i="3"/>
  <c r="F38" i="11"/>
  <c r="F37" i="11"/>
  <c r="F36" i="11"/>
  <c r="F35" i="11"/>
  <c r="F34" i="11"/>
  <c r="F33" i="11"/>
  <c r="F32" i="11"/>
  <c r="F31" i="11"/>
  <c r="G214" i="3"/>
  <c r="G242" i="3"/>
  <c r="G196" i="3"/>
  <c r="G213" i="3"/>
  <c r="C213" i="3"/>
  <c r="G195" i="3"/>
  <c r="G207" i="3"/>
  <c r="G189" i="3"/>
  <c r="G198" i="3"/>
  <c r="G180" i="3"/>
  <c r="G181" i="3"/>
  <c r="G89" i="3"/>
  <c r="C180" i="3"/>
  <c r="H96" i="11"/>
  <c r="H99" i="11"/>
  <c r="H101" i="11"/>
  <c r="H106" i="11"/>
  <c r="H107" i="11"/>
  <c r="H108" i="11"/>
  <c r="H104" i="11"/>
  <c r="H105" i="11"/>
  <c r="D27" i="27"/>
  <c r="D24" i="27"/>
  <c r="D25" i="27"/>
  <c r="C183" i="3"/>
  <c r="C182" i="3"/>
  <c r="C181" i="3"/>
  <c r="C177" i="3"/>
  <c r="C176" i="3"/>
  <c r="E7" i="27"/>
  <c r="I51" i="11"/>
  <c r="G9" i="10"/>
  <c r="J23" i="4"/>
  <c r="E12" i="27"/>
  <c r="F12" i="27"/>
  <c r="G12" i="27"/>
  <c r="H12" i="27"/>
  <c r="I12" i="27"/>
  <c r="J12" i="27"/>
  <c r="K12" i="27"/>
  <c r="L12" i="27"/>
  <c r="M12" i="27"/>
  <c r="N12" i="27"/>
  <c r="D12" i="27"/>
  <c r="N9" i="27"/>
  <c r="E9" i="27"/>
  <c r="F9" i="27"/>
  <c r="G9" i="27"/>
  <c r="H9" i="27"/>
  <c r="I9" i="27"/>
  <c r="J9" i="27"/>
  <c r="K9" i="27"/>
  <c r="L9" i="27"/>
  <c r="M9" i="27"/>
  <c r="D9" i="27"/>
  <c r="N7" i="27"/>
  <c r="N10" i="27" s="1"/>
  <c r="N13" i="27" s="1"/>
  <c r="E10" i="27"/>
  <c r="E13" i="27" s="1"/>
  <c r="F7" i="27"/>
  <c r="F10" i="27" s="1"/>
  <c r="F13" i="27" s="1"/>
  <c r="G7" i="27"/>
  <c r="G10" i="27" s="1"/>
  <c r="G13" i="27" s="1"/>
  <c r="H7" i="27"/>
  <c r="H10" i="27" s="1"/>
  <c r="H13" i="27" s="1"/>
  <c r="I7" i="27"/>
  <c r="I10" i="27" s="1"/>
  <c r="I13" i="27" s="1"/>
  <c r="J7" i="27"/>
  <c r="J10" i="27" s="1"/>
  <c r="J13" i="27" s="1"/>
  <c r="K7" i="27"/>
  <c r="K10" i="27" s="1"/>
  <c r="K13" i="27" s="1"/>
  <c r="L7" i="27"/>
  <c r="L10" i="27" s="1"/>
  <c r="L13" i="27" s="1"/>
  <c r="M7" i="27"/>
  <c r="M10" i="27" s="1"/>
  <c r="M13" i="27" s="1"/>
  <c r="D7" i="27"/>
  <c r="D10" i="27" s="1"/>
  <c r="D13" i="27" s="1"/>
  <c r="E14" i="27"/>
  <c r="F14" i="27"/>
  <c r="G14" i="27"/>
  <c r="H14" i="27"/>
  <c r="I14" i="27"/>
  <c r="J14" i="27"/>
  <c r="K14" i="27"/>
  <c r="L14" i="27"/>
  <c r="M14" i="27"/>
  <c r="N14" i="27"/>
  <c r="D14" i="27"/>
  <c r="F13" i="26"/>
  <c r="G13" i="26"/>
  <c r="H13" i="26"/>
  <c r="I13" i="26"/>
  <c r="E13" i="26"/>
  <c r="I10" i="26"/>
  <c r="H10" i="26"/>
  <c r="G10" i="26"/>
  <c r="F10" i="26"/>
  <c r="E10" i="26"/>
  <c r="F13" i="25"/>
  <c r="G13" i="25"/>
  <c r="H13" i="25"/>
  <c r="I13" i="25"/>
  <c r="E13" i="25"/>
  <c r="D15" i="25"/>
  <c r="I10" i="25"/>
  <c r="H10" i="25"/>
  <c r="G10" i="25"/>
  <c r="F10" i="25"/>
  <c r="E10" i="25"/>
  <c r="F53" i="11"/>
  <c r="F52" i="11"/>
  <c r="D20" i="24"/>
  <c r="D9" i="24"/>
  <c r="D8" i="24"/>
  <c r="E9" i="24" s="1"/>
  <c r="D5" i="24"/>
  <c r="E5" i="24" s="1"/>
  <c r="F5" i="24" s="1"/>
  <c r="G5" i="24" s="1"/>
  <c r="H5" i="24" s="1"/>
  <c r="I5" i="24" s="1"/>
  <c r="J5" i="24" s="1"/>
  <c r="K5" i="24" s="1"/>
  <c r="L5" i="24" s="1"/>
  <c r="M5" i="24" s="1"/>
  <c r="N5" i="24" s="1"/>
  <c r="D3" i="24"/>
  <c r="BU62" i="11"/>
  <c r="BH62" i="11"/>
  <c r="AU62" i="11"/>
  <c r="AH62" i="11"/>
  <c r="U62" i="11"/>
  <c r="C7" i="23"/>
  <c r="B3" i="23"/>
  <c r="H3" i="23"/>
  <c r="E3" i="23"/>
  <c r="J144" i="4"/>
  <c r="D57" i="21"/>
  <c r="D51" i="21"/>
  <c r="D45" i="21"/>
  <c r="D39" i="21"/>
  <c r="D33" i="21"/>
  <c r="D61" i="21"/>
  <c r="J36" i="21"/>
  <c r="J37" i="21"/>
  <c r="J35" i="21"/>
  <c r="D35" i="21"/>
  <c r="E34" i="21"/>
  <c r="F34" i="21"/>
  <c r="G34" i="21"/>
  <c r="H34" i="21"/>
  <c r="J34" i="21"/>
  <c r="D34" i="21"/>
  <c r="D60" i="21"/>
  <c r="D54" i="21"/>
  <c r="D55" i="21"/>
  <c r="D48" i="21"/>
  <c r="D49" i="21"/>
  <c r="D40" i="21"/>
  <c r="E40" i="21"/>
  <c r="F40" i="21"/>
  <c r="G40" i="21"/>
  <c r="H40" i="21"/>
  <c r="J40" i="21"/>
  <c r="J41" i="21"/>
  <c r="D42" i="21"/>
  <c r="J42" i="21"/>
  <c r="D43" i="21"/>
  <c r="J43" i="21"/>
  <c r="D36" i="21"/>
  <c r="D37" i="21"/>
  <c r="J29" i="21"/>
  <c r="J30" i="21"/>
  <c r="J28" i="21"/>
  <c r="D28" i="21"/>
  <c r="D22" i="21"/>
  <c r="D16" i="21"/>
  <c r="D10" i="21"/>
  <c r="D30" i="21"/>
  <c r="E27" i="21"/>
  <c r="F27" i="21"/>
  <c r="G27" i="21"/>
  <c r="H27" i="21"/>
  <c r="J27" i="21"/>
  <c r="D27" i="21"/>
  <c r="D29" i="21"/>
  <c r="J24" i="21"/>
  <c r="J23" i="21"/>
  <c r="J22" i="21"/>
  <c r="E21" i="21"/>
  <c r="F21" i="21"/>
  <c r="G21" i="21"/>
  <c r="H21" i="21"/>
  <c r="J21" i="21"/>
  <c r="D21" i="21"/>
  <c r="D23" i="21"/>
  <c r="D24" i="21"/>
  <c r="J18" i="21"/>
  <c r="J17" i="21"/>
  <c r="J16" i="21"/>
  <c r="E15" i="21"/>
  <c r="F15" i="21"/>
  <c r="G15" i="21"/>
  <c r="H15" i="21"/>
  <c r="J15" i="21"/>
  <c r="D15" i="21"/>
  <c r="D17" i="21"/>
  <c r="D18" i="21"/>
  <c r="J12" i="21"/>
  <c r="J11" i="21"/>
  <c r="J10" i="21"/>
  <c r="E9" i="21"/>
  <c r="F9" i="21"/>
  <c r="G9" i="21"/>
  <c r="H9" i="21"/>
  <c r="J9" i="21"/>
  <c r="D9" i="21"/>
  <c r="D11" i="21"/>
  <c r="D12" i="21"/>
  <c r="D5" i="21"/>
  <c r="D6" i="21"/>
  <c r="H81" i="13"/>
  <c r="H82" i="13"/>
  <c r="F81" i="13"/>
  <c r="F82" i="13"/>
  <c r="BT224" i="11"/>
  <c r="BS224" i="11"/>
  <c r="BR224" i="11"/>
  <c r="BQ224" i="11"/>
  <c r="BP224" i="11"/>
  <c r="BO224" i="11"/>
  <c r="BN224" i="11"/>
  <c r="BM224" i="11"/>
  <c r="BL224" i="11"/>
  <c r="BK224" i="11"/>
  <c r="BJ224" i="11"/>
  <c r="BI224" i="11"/>
  <c r="BF224" i="11"/>
  <c r="BE224" i="11"/>
  <c r="BC224" i="11"/>
  <c r="BB224" i="11"/>
  <c r="AZ224" i="11"/>
  <c r="AY224" i="11"/>
  <c r="AW224" i="11"/>
  <c r="AV224" i="11"/>
  <c r="AS224" i="11"/>
  <c r="AR224" i="11"/>
  <c r="AP224" i="11"/>
  <c r="AO224" i="11"/>
  <c r="AM224" i="11"/>
  <c r="AL224" i="11"/>
  <c r="AJ224" i="11"/>
  <c r="AI224" i="11"/>
  <c r="AF224" i="11"/>
  <c r="AE224" i="11"/>
  <c r="AC224" i="11"/>
  <c r="AB224" i="11"/>
  <c r="Z224" i="11"/>
  <c r="Y224" i="11"/>
  <c r="W224" i="11"/>
  <c r="V224" i="11"/>
  <c r="S224" i="11"/>
  <c r="R224" i="11"/>
  <c r="P224" i="11"/>
  <c r="O224" i="11"/>
  <c r="M224" i="11"/>
  <c r="L224" i="11"/>
  <c r="I224" i="11"/>
  <c r="J224" i="11"/>
  <c r="BT155" i="11"/>
  <c r="BS155" i="11"/>
  <c r="BR155" i="11"/>
  <c r="BQ155" i="11"/>
  <c r="BP155" i="11"/>
  <c r="BO155" i="11"/>
  <c r="BN155" i="11"/>
  <c r="BM155" i="11"/>
  <c r="BL155" i="11"/>
  <c r="BK155" i="11"/>
  <c r="BJ155" i="11"/>
  <c r="BI155" i="11"/>
  <c r="BG155" i="11"/>
  <c r="BF155" i="11"/>
  <c r="BE155" i="11"/>
  <c r="BD155" i="11"/>
  <c r="BC155" i="11"/>
  <c r="BB155" i="11"/>
  <c r="BA155" i="11"/>
  <c r="AZ155" i="11"/>
  <c r="AY155" i="11"/>
  <c r="AX155" i="11"/>
  <c r="AW155" i="11"/>
  <c r="AV155" i="11"/>
  <c r="AT155" i="11"/>
  <c r="AS155" i="11"/>
  <c r="AR155" i="11"/>
  <c r="AQ155" i="11"/>
  <c r="AP155" i="11"/>
  <c r="AO155" i="11"/>
  <c r="AN155" i="11"/>
  <c r="AM155" i="11"/>
  <c r="AL155" i="11"/>
  <c r="AK155" i="11"/>
  <c r="AJ155" i="11"/>
  <c r="AI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J155" i="11"/>
  <c r="I155" i="11"/>
  <c r="T155" i="11"/>
  <c r="S155" i="11"/>
  <c r="R155" i="11"/>
  <c r="Q155" i="11"/>
  <c r="P155" i="11"/>
  <c r="O155" i="11"/>
  <c r="N155" i="11"/>
  <c r="M155" i="11"/>
  <c r="L155" i="11"/>
  <c r="K155" i="11"/>
  <c r="K151" i="11" s="1"/>
  <c r="D6" i="7"/>
  <c r="F157" i="11"/>
  <c r="F156" i="11"/>
  <c r="F139" i="11"/>
  <c r="F138" i="11"/>
  <c r="F155" i="11" s="1"/>
  <c r="J180" i="4"/>
  <c r="J179" i="4"/>
  <c r="J178" i="4"/>
  <c r="J177" i="4"/>
  <c r="J171" i="4"/>
  <c r="J170" i="4"/>
  <c r="J169" i="4"/>
  <c r="J168" i="4"/>
  <c r="J162" i="4"/>
  <c r="J161" i="4"/>
  <c r="J160" i="4"/>
  <c r="J159" i="4"/>
  <c r="J152" i="4"/>
  <c r="J153" i="4"/>
  <c r="J151" i="4"/>
  <c r="J150" i="4"/>
  <c r="J143" i="4"/>
  <c r="J142" i="4"/>
  <c r="J141" i="4"/>
  <c r="J66" i="4"/>
  <c r="J65" i="4"/>
  <c r="J64" i="4"/>
  <c r="J63" i="4"/>
  <c r="J56" i="4"/>
  <c r="J55" i="4"/>
  <c r="J54" i="4"/>
  <c r="J53" i="4"/>
  <c r="J46" i="4"/>
  <c r="J45" i="4"/>
  <c r="J44" i="4"/>
  <c r="J43" i="4"/>
  <c r="J36" i="4"/>
  <c r="J35" i="4"/>
  <c r="J34" i="4"/>
  <c r="J33" i="4"/>
  <c r="J26" i="4"/>
  <c r="J25" i="4"/>
  <c r="J24" i="4"/>
  <c r="G12" i="4"/>
  <c r="G52" i="11"/>
  <c r="H216" i="11"/>
  <c r="K198" i="4"/>
  <c r="G25" i="11"/>
  <c r="G17" i="11"/>
  <c r="H33" i="11"/>
  <c r="H31" i="11"/>
  <c r="H18" i="11"/>
  <c r="H11" i="11"/>
  <c r="BU43" i="11"/>
  <c r="BH43" i="11"/>
  <c r="AU43" i="11"/>
  <c r="AH43" i="11"/>
  <c r="U43" i="11"/>
  <c r="F43" i="11"/>
  <c r="BU64" i="11"/>
  <c r="BH64" i="11"/>
  <c r="AU64" i="11"/>
  <c r="AH64" i="11"/>
  <c r="U64" i="11"/>
  <c r="F64" i="11"/>
  <c r="O2" i="13"/>
  <c r="H2" i="13"/>
  <c r="E2" i="13"/>
  <c r="H21" i="13"/>
  <c r="J21" i="13" s="1"/>
  <c r="L21" i="13" s="1"/>
  <c r="H40" i="13"/>
  <c r="H41" i="13"/>
  <c r="F40" i="13"/>
  <c r="X40" i="13" s="1"/>
  <c r="F41" i="13"/>
  <c r="X41" i="13" s="1"/>
  <c r="H22" i="13"/>
  <c r="F21" i="13"/>
  <c r="X21" i="13" s="1"/>
  <c r="F22" i="13"/>
  <c r="X22" i="13" s="1"/>
  <c r="W10" i="13"/>
  <c r="W11" i="13" s="1"/>
  <c r="H10" i="13"/>
  <c r="E10" i="13"/>
  <c r="E11" i="13" s="1"/>
  <c r="F10" i="13"/>
  <c r="X10" i="13" s="1"/>
  <c r="I9" i="11"/>
  <c r="H9" i="11"/>
  <c r="J77" i="11"/>
  <c r="I77" i="11"/>
  <c r="BJ72" i="11"/>
  <c r="BK72" i="11"/>
  <c r="BL72" i="11"/>
  <c r="BM72" i="11"/>
  <c r="BN72" i="11"/>
  <c r="BO72" i="11"/>
  <c r="BP72" i="11"/>
  <c r="BQ72" i="11"/>
  <c r="BR72" i="11"/>
  <c r="BS72" i="11"/>
  <c r="BT72" i="11"/>
  <c r="BI72" i="11"/>
  <c r="AW72" i="11"/>
  <c r="AX72" i="11"/>
  <c r="AY72" i="11"/>
  <c r="AZ72" i="11"/>
  <c r="BA72" i="11"/>
  <c r="BB72" i="11"/>
  <c r="BC72" i="11"/>
  <c r="BD72" i="11"/>
  <c r="BE72" i="11"/>
  <c r="BF72" i="11"/>
  <c r="BG72" i="11"/>
  <c r="AV72" i="11"/>
  <c r="AJ72" i="11"/>
  <c r="AK72" i="11"/>
  <c r="AL72" i="11"/>
  <c r="AM72" i="11"/>
  <c r="AN72" i="11"/>
  <c r="AO72" i="11"/>
  <c r="AP72" i="11"/>
  <c r="AQ72" i="11"/>
  <c r="AR72" i="11"/>
  <c r="AS72" i="11"/>
  <c r="AT72" i="11"/>
  <c r="AI72" i="11"/>
  <c r="X72" i="11"/>
  <c r="Y72" i="11"/>
  <c r="Z72" i="11"/>
  <c r="AA72" i="11"/>
  <c r="AB72" i="11"/>
  <c r="AC72" i="11"/>
  <c r="AD72" i="11"/>
  <c r="AE72" i="11"/>
  <c r="AF72" i="11"/>
  <c r="AG72" i="11"/>
  <c r="W72" i="11"/>
  <c r="V72" i="11"/>
  <c r="J72" i="11"/>
  <c r="K72" i="11"/>
  <c r="L72" i="11"/>
  <c r="M72" i="11"/>
  <c r="N72" i="11"/>
  <c r="O72" i="11"/>
  <c r="P72" i="11"/>
  <c r="Q72" i="11"/>
  <c r="R72" i="11"/>
  <c r="S72" i="11"/>
  <c r="T72" i="11"/>
  <c r="I72" i="11"/>
  <c r="BJ51" i="11"/>
  <c r="BK51" i="11"/>
  <c r="BL51" i="11"/>
  <c r="BM51" i="11"/>
  <c r="BN51" i="11"/>
  <c r="BO51" i="11"/>
  <c r="BP51" i="11"/>
  <c r="BQ51" i="11"/>
  <c r="BR51" i="11"/>
  <c r="BS51" i="11"/>
  <c r="BT51" i="11"/>
  <c r="BI51" i="11"/>
  <c r="AW51" i="11"/>
  <c r="AX51" i="11"/>
  <c r="AY51" i="11"/>
  <c r="AZ51" i="11"/>
  <c r="BA51" i="11"/>
  <c r="BB51" i="11"/>
  <c r="BC51" i="11"/>
  <c r="BD51" i="11"/>
  <c r="BE51" i="11"/>
  <c r="BF51" i="11"/>
  <c r="BG51" i="11"/>
  <c r="AV51" i="11"/>
  <c r="AJ51" i="11"/>
  <c r="AK51" i="11"/>
  <c r="AL51" i="11"/>
  <c r="AM51" i="11"/>
  <c r="AN51" i="11"/>
  <c r="AO51" i="11"/>
  <c r="AP51" i="11"/>
  <c r="AQ51" i="11"/>
  <c r="AR51" i="11"/>
  <c r="AS51" i="11"/>
  <c r="AT51" i="11"/>
  <c r="AI51" i="11"/>
  <c r="W51" i="11"/>
  <c r="X51" i="11"/>
  <c r="Y51" i="11"/>
  <c r="Z51" i="11"/>
  <c r="AA51" i="11"/>
  <c r="AB51" i="11"/>
  <c r="AC51" i="11"/>
  <c r="AD51" i="11"/>
  <c r="AE51" i="11"/>
  <c r="AF51" i="11"/>
  <c r="AG51" i="11"/>
  <c r="V51" i="11"/>
  <c r="T51" i="11"/>
  <c r="J51" i="11"/>
  <c r="K51" i="11"/>
  <c r="L51" i="11"/>
  <c r="M51" i="11"/>
  <c r="N51" i="11"/>
  <c r="O51" i="11"/>
  <c r="P51" i="11"/>
  <c r="Q51" i="11"/>
  <c r="R51" i="11"/>
  <c r="S51" i="11"/>
  <c r="F72" i="11"/>
  <c r="L90" i="13"/>
  <c r="F71" i="11"/>
  <c r="F70" i="11"/>
  <c r="F69" i="11"/>
  <c r="F68" i="11"/>
  <c r="F67" i="11"/>
  <c r="F66" i="11"/>
  <c r="F65" i="11"/>
  <c r="F63" i="11"/>
  <c r="F61" i="11"/>
  <c r="F60" i="11"/>
  <c r="F50" i="11"/>
  <c r="F49" i="11"/>
  <c r="F48" i="11"/>
  <c r="F47" i="11"/>
  <c r="F46" i="11"/>
  <c r="F45" i="11"/>
  <c r="G228" i="3"/>
  <c r="F44" i="11"/>
  <c r="G227" i="3"/>
  <c r="F42" i="11"/>
  <c r="F41" i="11"/>
  <c r="F40" i="11"/>
  <c r="K278" i="3"/>
  <c r="I278" i="3"/>
  <c r="G278" i="3"/>
  <c r="E124" i="3"/>
  <c r="G124" i="3"/>
  <c r="H60" i="13"/>
  <c r="H59" i="13"/>
  <c r="F60" i="13"/>
  <c r="F59" i="13"/>
  <c r="H58" i="13"/>
  <c r="F58" i="13"/>
  <c r="H57" i="13"/>
  <c r="F57" i="13"/>
  <c r="H56" i="13"/>
  <c r="F56" i="13"/>
  <c r="K128" i="3"/>
  <c r="I128" i="3"/>
  <c r="G128" i="3"/>
  <c r="E128" i="3"/>
  <c r="K89" i="3"/>
  <c r="I89" i="3"/>
  <c r="I79" i="3"/>
  <c r="K84" i="3"/>
  <c r="I84" i="3"/>
  <c r="E84" i="3"/>
  <c r="G81" i="3" s="1"/>
  <c r="K79" i="3"/>
  <c r="G79" i="3"/>
  <c r="F13" i="3"/>
  <c r="L13" i="3"/>
  <c r="J13" i="3"/>
  <c r="B7" i="3"/>
  <c r="L60" i="13" l="1"/>
  <c r="N60" i="13" s="1"/>
  <c r="P60" i="13" s="1"/>
  <c r="R60" i="13" s="1"/>
  <c r="T60" i="13" s="1"/>
  <c r="J60" i="13"/>
  <c r="G6" i="7"/>
  <c r="D7" i="7" s="1"/>
  <c r="G7" i="7" s="1"/>
  <c r="D28" i="27"/>
  <c r="G88" i="3"/>
  <c r="G87" i="3"/>
  <c r="G78" i="3"/>
  <c r="G77" i="3"/>
  <c r="J10" i="13"/>
  <c r="L10" i="13" s="1"/>
  <c r="N10" i="13" s="1"/>
  <c r="P10" i="13" s="1"/>
  <c r="R10" i="13" s="1"/>
  <c r="K156" i="3"/>
  <c r="K258" i="3" s="1"/>
  <c r="K153" i="3"/>
  <c r="K236" i="3" s="1"/>
  <c r="M101" i="13"/>
  <c r="G156" i="3"/>
  <c r="G258" i="3" s="1"/>
  <c r="G153" i="3"/>
  <c r="G236" i="3" s="1"/>
  <c r="I156" i="3"/>
  <c r="I258" i="3" s="1"/>
  <c r="I153" i="3"/>
  <c r="I236" i="3" s="1"/>
  <c r="E94" i="3"/>
  <c r="N21" i="13"/>
  <c r="P21" i="13" s="1"/>
  <c r="R21" i="13" s="1"/>
  <c r="T21" i="13" s="1"/>
  <c r="D15" i="27"/>
  <c r="D17" i="27" s="1"/>
  <c r="D19" i="27" s="1"/>
  <c r="M15" i="27"/>
  <c r="M17" i="27" s="1"/>
  <c r="M19" i="27" s="1"/>
  <c r="L15" i="27"/>
  <c r="L17" i="27" s="1"/>
  <c r="L19" i="27" s="1"/>
  <c r="K15" i="27"/>
  <c r="K17" i="27" s="1"/>
  <c r="K19" i="27" s="1"/>
  <c r="J15" i="27"/>
  <c r="J17" i="27" s="1"/>
  <c r="J19" i="27" s="1"/>
  <c r="I15" i="27"/>
  <c r="I17" i="27" s="1"/>
  <c r="I19" i="27" s="1"/>
  <c r="H15" i="27"/>
  <c r="H17" i="27" s="1"/>
  <c r="H19" i="27" s="1"/>
  <c r="G15" i="27"/>
  <c r="G17" i="27" s="1"/>
  <c r="G19" i="27" s="1"/>
  <c r="F15" i="27"/>
  <c r="F17" i="27" s="1"/>
  <c r="F19" i="27" s="1"/>
  <c r="E15" i="27"/>
  <c r="E17" i="27" s="1"/>
  <c r="E19" i="27" s="1"/>
  <c r="N15" i="27"/>
  <c r="N17" i="27" s="1"/>
  <c r="N19" i="27" s="1"/>
  <c r="D33" i="27"/>
  <c r="D32" i="27"/>
  <c r="D20" i="27"/>
  <c r="D22" i="27" s="1"/>
  <c r="H58" i="21"/>
  <c r="H52" i="21"/>
  <c r="H46" i="21"/>
  <c r="G58" i="21"/>
  <c r="G52" i="21"/>
  <c r="G46" i="21"/>
  <c r="F58" i="21"/>
  <c r="F52" i="21"/>
  <c r="F46" i="21"/>
  <c r="D59" i="21"/>
  <c r="D53" i="21"/>
  <c r="D47" i="21"/>
  <c r="D41" i="21"/>
  <c r="J58" i="21"/>
  <c r="J52" i="21"/>
  <c r="J46" i="21"/>
  <c r="E58" i="21"/>
  <c r="E52" i="21"/>
  <c r="E46" i="21"/>
  <c r="D58" i="21"/>
  <c r="D52" i="21"/>
  <c r="D46" i="21"/>
  <c r="J61" i="21"/>
  <c r="J55" i="21"/>
  <c r="J49" i="21"/>
  <c r="J60" i="21"/>
  <c r="J54" i="21"/>
  <c r="J48" i="21"/>
  <c r="J59" i="21"/>
  <c r="J53" i="21"/>
  <c r="J47" i="21"/>
  <c r="L56" i="13"/>
  <c r="N56" i="13" s="1"/>
  <c r="P56" i="13" s="1"/>
  <c r="J56" i="13"/>
  <c r="L57" i="13"/>
  <c r="J57" i="13"/>
  <c r="I76" i="3"/>
  <c r="K76" i="3"/>
  <c r="I86" i="3"/>
  <c r="K247" i="3"/>
  <c r="I247" i="3"/>
  <c r="G247" i="3"/>
  <c r="K246" i="3"/>
  <c r="I246" i="3"/>
  <c r="G246" i="3"/>
  <c r="C246" i="3"/>
  <c r="BG246" i="3"/>
  <c r="K226" i="3"/>
  <c r="K225" i="3"/>
  <c r="I226" i="3"/>
  <c r="I225" i="3"/>
  <c r="G226" i="3"/>
  <c r="G225" i="3"/>
  <c r="C225" i="3"/>
  <c r="Q101" i="13" l="1"/>
  <c r="U101" i="13" s="1"/>
  <c r="D34" i="27"/>
  <c r="K78" i="3"/>
  <c r="K77" i="3"/>
  <c r="I88" i="3"/>
  <c r="I87" i="3"/>
  <c r="I78" i="3"/>
  <c r="I77" i="3"/>
  <c r="E20" i="27"/>
  <c r="T10" i="13"/>
  <c r="K81" i="3"/>
  <c r="E22" i="27" l="1"/>
  <c r="K83" i="3"/>
  <c r="K82" i="3"/>
  <c r="F20" i="27"/>
  <c r="Z10" i="13"/>
  <c r="AB10" i="13" s="1"/>
  <c r="AD10" i="13" s="1"/>
  <c r="K86" i="3"/>
  <c r="B62" i="19"/>
  <c r="F50" i="19"/>
  <c r="G57" i="19" s="1"/>
  <c r="F49" i="19"/>
  <c r="B38" i="19"/>
  <c r="A38" i="19"/>
  <c r="A37" i="19"/>
  <c r="A36" i="19"/>
  <c r="A35" i="19"/>
  <c r="B34" i="19"/>
  <c r="B58" i="19" s="1"/>
  <c r="A34" i="19"/>
  <c r="A33" i="19"/>
  <c r="A32" i="19"/>
  <c r="A31" i="19"/>
  <c r="A30" i="19"/>
  <c r="A29" i="19"/>
  <c r="B26" i="19"/>
  <c r="E26" i="19" s="1"/>
  <c r="E36" i="19" s="1"/>
  <c r="A20" i="19"/>
  <c r="E20" i="19" s="1"/>
  <c r="E15" i="19"/>
  <c r="E14" i="19"/>
  <c r="E13" i="19"/>
  <c r="E12" i="19"/>
  <c r="E11" i="19"/>
  <c r="G7" i="19"/>
  <c r="G8" i="19" s="1"/>
  <c r="G9" i="19" s="1"/>
  <c r="G10" i="19" s="1"/>
  <c r="G11" i="19" s="1"/>
  <c r="G12" i="19" s="1"/>
  <c r="G13" i="19" s="1"/>
  <c r="G14" i="19" s="1"/>
  <c r="B4" i="19"/>
  <c r="F4" i="19" s="1"/>
  <c r="B90" i="15"/>
  <c r="B89" i="15"/>
  <c r="B88" i="15"/>
  <c r="B87" i="15"/>
  <c r="B86" i="15"/>
  <c r="B85" i="15"/>
  <c r="B84" i="15"/>
  <c r="B83" i="15"/>
  <c r="G82" i="15"/>
  <c r="F82" i="15"/>
  <c r="B82" i="15"/>
  <c r="G81" i="15"/>
  <c r="G83" i="15" s="1"/>
  <c r="G85" i="15" s="1"/>
  <c r="B81" i="15"/>
  <c r="B80" i="15"/>
  <c r="S79" i="15"/>
  <c r="F79" i="15"/>
  <c r="F81" i="15" s="1"/>
  <c r="F83" i="15" s="1"/>
  <c r="F85" i="15" s="1"/>
  <c r="B79" i="15"/>
  <c r="B78" i="15"/>
  <c r="A78" i="15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T77" i="15"/>
  <c r="B77" i="15"/>
  <c r="J71" i="15"/>
  <c r="J72" i="15" s="1"/>
  <c r="J73" i="15" s="1"/>
  <c r="E64" i="15"/>
  <c r="C64" i="15"/>
  <c r="C55" i="15" s="1"/>
  <c r="C54" i="15"/>
  <c r="C53" i="15"/>
  <c r="B48" i="15"/>
  <c r="E48" i="15" s="1"/>
  <c r="C47" i="15"/>
  <c r="E47" i="15" s="1"/>
  <c r="V4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L22" i="15"/>
  <c r="K22" i="15"/>
  <c r="J22" i="15"/>
  <c r="I22" i="15"/>
  <c r="H22" i="15"/>
  <c r="G22" i="15"/>
  <c r="F22" i="15"/>
  <c r="E22" i="15"/>
  <c r="C22" i="15"/>
  <c r="C24" i="15" s="1"/>
  <c r="M19" i="15"/>
  <c r="M22" i="15" s="1"/>
  <c r="R14" i="15"/>
  <c r="Q14" i="15"/>
  <c r="P14" i="15"/>
  <c r="O14" i="15"/>
  <c r="N14" i="15"/>
  <c r="M14" i="15"/>
  <c r="L14" i="15"/>
  <c r="K14" i="15"/>
  <c r="J14" i="15"/>
  <c r="I14" i="15"/>
  <c r="Z11" i="15"/>
  <c r="Y11" i="15"/>
  <c r="X11" i="15"/>
  <c r="W11" i="15"/>
  <c r="V11" i="15"/>
  <c r="U11" i="15"/>
  <c r="T11" i="15"/>
  <c r="S11" i="15"/>
  <c r="Z10" i="15"/>
  <c r="Y10" i="15"/>
  <c r="X10" i="15"/>
  <c r="W10" i="15"/>
  <c r="V10" i="15"/>
  <c r="U10" i="15"/>
  <c r="T10" i="15"/>
  <c r="S10" i="15"/>
  <c r="Z9" i="15"/>
  <c r="Z12" i="15" s="1"/>
  <c r="Z14" i="15" s="1"/>
  <c r="Z24" i="15" s="1"/>
  <c r="Y9" i="15"/>
  <c r="X9" i="15"/>
  <c r="X12" i="15" s="1"/>
  <c r="X14" i="15" s="1"/>
  <c r="X24" i="15" s="1"/>
  <c r="W9" i="15"/>
  <c r="V9" i="15"/>
  <c r="U9" i="15"/>
  <c r="T9" i="15"/>
  <c r="S9" i="15"/>
  <c r="D7" i="15"/>
  <c r="E7" i="15" s="1"/>
  <c r="F7" i="15" s="1"/>
  <c r="G7" i="15" s="1"/>
  <c r="H7" i="15" s="1"/>
  <c r="I7" i="15" s="1"/>
  <c r="J7" i="15" s="1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D6" i="15"/>
  <c r="E6" i="15" s="1"/>
  <c r="F6" i="15" s="1"/>
  <c r="G6" i="15" s="1"/>
  <c r="H6" i="15" s="1"/>
  <c r="O3" i="15"/>
  <c r="D24" i="14"/>
  <c r="K13" i="14"/>
  <c r="N10" i="14"/>
  <c r="M10" i="14"/>
  <c r="L10" i="14"/>
  <c r="K10" i="14"/>
  <c r="D3" i="14"/>
  <c r="J141" i="13"/>
  <c r="X112" i="13"/>
  <c r="X106" i="13"/>
  <c r="X105" i="13"/>
  <c r="X103" i="13"/>
  <c r="I102" i="13"/>
  <c r="F102" i="13"/>
  <c r="X102" i="13" s="1"/>
  <c r="I100" i="13"/>
  <c r="F100" i="13"/>
  <c r="X99" i="13"/>
  <c r="X98" i="13"/>
  <c r="X97" i="13"/>
  <c r="X96" i="13"/>
  <c r="F94" i="13"/>
  <c r="X94" i="13" s="1"/>
  <c r="H93" i="13"/>
  <c r="L93" i="13" s="1"/>
  <c r="F93" i="13"/>
  <c r="X93" i="13" s="1"/>
  <c r="H92" i="13"/>
  <c r="F92" i="13"/>
  <c r="X92" i="13" s="1"/>
  <c r="F91" i="13"/>
  <c r="X91" i="13" s="1"/>
  <c r="H90" i="13"/>
  <c r="F90" i="13"/>
  <c r="X90" i="13" s="1"/>
  <c r="H89" i="13"/>
  <c r="F89" i="13"/>
  <c r="X89" i="13" s="1"/>
  <c r="F88" i="13"/>
  <c r="X88" i="13" s="1"/>
  <c r="H87" i="13"/>
  <c r="F87" i="13"/>
  <c r="X87" i="13" s="1"/>
  <c r="F86" i="13"/>
  <c r="X86" i="13" s="1"/>
  <c r="W85" i="13"/>
  <c r="W86" i="13" s="1"/>
  <c r="W87" i="13" s="1"/>
  <c r="W88" i="13" s="1"/>
  <c r="W89" i="13" s="1"/>
  <c r="W90" i="13" s="1"/>
  <c r="H85" i="13"/>
  <c r="F85" i="13"/>
  <c r="X85" i="13" s="1"/>
  <c r="E85" i="13"/>
  <c r="E86" i="13" s="1"/>
  <c r="E87" i="13" s="1"/>
  <c r="E88" i="13" s="1"/>
  <c r="E89" i="13" s="1"/>
  <c r="E90" i="13" s="1"/>
  <c r="E91" i="13" s="1"/>
  <c r="E92" i="13" s="1"/>
  <c r="E93" i="13" s="1"/>
  <c r="E94" i="13" s="1"/>
  <c r="F84" i="13"/>
  <c r="X84" i="13" s="1"/>
  <c r="H83" i="13"/>
  <c r="F83" i="13"/>
  <c r="X83" i="13" s="1"/>
  <c r="H80" i="13"/>
  <c r="F80" i="13"/>
  <c r="X80" i="13" s="1"/>
  <c r="F79" i="13"/>
  <c r="X79" i="13" s="1"/>
  <c r="F78" i="13"/>
  <c r="X78" i="13" s="1"/>
  <c r="F77" i="13"/>
  <c r="X77" i="13" s="1"/>
  <c r="F76" i="13"/>
  <c r="X76" i="13" s="1"/>
  <c r="H75" i="13"/>
  <c r="I24" i="10" s="1"/>
  <c r="F75" i="13"/>
  <c r="X75" i="13" s="1"/>
  <c r="H74" i="13"/>
  <c r="F74" i="13"/>
  <c r="X74" i="13" s="1"/>
  <c r="L71" i="13"/>
  <c r="Z71" i="13" s="1"/>
  <c r="W70" i="13"/>
  <c r="F66" i="13"/>
  <c r="X66" i="13" s="1"/>
  <c r="F65" i="13"/>
  <c r="X65" i="13" s="1"/>
  <c r="P64" i="13"/>
  <c r="R64" i="13" s="1"/>
  <c r="T64" i="13" s="1"/>
  <c r="Z64" i="13" s="1"/>
  <c r="AB64" i="13" s="1"/>
  <c r="AD64" i="13" s="1"/>
  <c r="AF64" i="13" s="1"/>
  <c r="AH64" i="13" s="1"/>
  <c r="H64" i="13"/>
  <c r="F64" i="13"/>
  <c r="X64" i="13" s="1"/>
  <c r="F63" i="13"/>
  <c r="X63" i="13" s="1"/>
  <c r="F62" i="13"/>
  <c r="X62" i="13" s="1"/>
  <c r="F61" i="13"/>
  <c r="X61" i="13" s="1"/>
  <c r="X60" i="13"/>
  <c r="X59" i="13"/>
  <c r="X58" i="13"/>
  <c r="N57" i="13"/>
  <c r="P57" i="13" s="1"/>
  <c r="R57" i="13" s="1"/>
  <c r="T57" i="13" s="1"/>
  <c r="Z57" i="13" s="1"/>
  <c r="AB57" i="13" s="1"/>
  <c r="AD57" i="13" s="1"/>
  <c r="AF57" i="13" s="1"/>
  <c r="AH57" i="13" s="1"/>
  <c r="X57" i="13"/>
  <c r="R56" i="13"/>
  <c r="T56" i="13" s="1"/>
  <c r="Z56" i="13" s="1"/>
  <c r="AB56" i="13" s="1"/>
  <c r="AD56" i="13" s="1"/>
  <c r="AF56" i="13" s="1"/>
  <c r="AH56" i="13" s="1"/>
  <c r="X56" i="13"/>
  <c r="H55" i="13"/>
  <c r="F55" i="13"/>
  <c r="X55" i="13" s="1"/>
  <c r="H54" i="13"/>
  <c r="F54" i="13"/>
  <c r="X54" i="13" s="1"/>
  <c r="F53" i="13"/>
  <c r="X53" i="13" s="1"/>
  <c r="F52" i="13"/>
  <c r="X52" i="13" s="1"/>
  <c r="F51" i="13"/>
  <c r="X51" i="13" s="1"/>
  <c r="H50" i="13"/>
  <c r="F50" i="13"/>
  <c r="X50" i="13" s="1"/>
  <c r="H49" i="13"/>
  <c r="F49" i="13"/>
  <c r="X49" i="13" s="1"/>
  <c r="H48" i="13"/>
  <c r="F48" i="13"/>
  <c r="X48" i="13" s="1"/>
  <c r="H47" i="13"/>
  <c r="F47" i="13"/>
  <c r="X47" i="13" s="1"/>
  <c r="H46" i="13"/>
  <c r="F46" i="13"/>
  <c r="X46" i="13" s="1"/>
  <c r="H45" i="13"/>
  <c r="F45" i="13"/>
  <c r="X45" i="13" s="1"/>
  <c r="H44" i="13"/>
  <c r="F44" i="13"/>
  <c r="X44" i="13" s="1"/>
  <c r="F43" i="13"/>
  <c r="X43" i="13" s="1"/>
  <c r="H42" i="13"/>
  <c r="F42" i="13"/>
  <c r="X42" i="13" s="1"/>
  <c r="H39" i="13"/>
  <c r="F39" i="13"/>
  <c r="X39" i="13" s="1"/>
  <c r="H38" i="13"/>
  <c r="F38" i="13"/>
  <c r="X38" i="13" s="1"/>
  <c r="H37" i="13"/>
  <c r="F37" i="13"/>
  <c r="X37" i="13" s="1"/>
  <c r="H36" i="13"/>
  <c r="F36" i="13"/>
  <c r="X36" i="13" s="1"/>
  <c r="F35" i="13"/>
  <c r="X35" i="13" s="1"/>
  <c r="H34" i="13"/>
  <c r="F34" i="13"/>
  <c r="X34" i="13" s="1"/>
  <c r="H33" i="13"/>
  <c r="F33" i="13"/>
  <c r="X33" i="13" s="1"/>
  <c r="H32" i="13"/>
  <c r="F32" i="13"/>
  <c r="X32" i="13" s="1"/>
  <c r="H31" i="13"/>
  <c r="F31" i="13"/>
  <c r="X31" i="13" s="1"/>
  <c r="H30" i="13"/>
  <c r="F30" i="13"/>
  <c r="X30" i="13" s="1"/>
  <c r="H29" i="13"/>
  <c r="G271" i="4" s="1"/>
  <c r="F29" i="13"/>
  <c r="X29" i="13" s="1"/>
  <c r="H28" i="13"/>
  <c r="F28" i="13"/>
  <c r="X28" i="13" s="1"/>
  <c r="F27" i="13"/>
  <c r="X27" i="13" s="1"/>
  <c r="F26" i="13"/>
  <c r="X26" i="13" s="1"/>
  <c r="H25" i="13"/>
  <c r="F25" i="13"/>
  <c r="X25" i="13" s="1"/>
  <c r="F24" i="13"/>
  <c r="X24" i="13" s="1"/>
  <c r="H23" i="13"/>
  <c r="F23" i="13"/>
  <c r="X23" i="13" s="1"/>
  <c r="H20" i="13"/>
  <c r="F20" i="13"/>
  <c r="X20" i="13" s="1"/>
  <c r="H19" i="13"/>
  <c r="F19" i="13"/>
  <c r="X19" i="13" s="1"/>
  <c r="F18" i="13"/>
  <c r="X18" i="13" s="1"/>
  <c r="F17" i="13"/>
  <c r="X17" i="13" s="1"/>
  <c r="H16" i="13"/>
  <c r="F16" i="13"/>
  <c r="X16" i="13" s="1"/>
  <c r="H15" i="13"/>
  <c r="F15" i="13"/>
  <c r="X15" i="13" s="1"/>
  <c r="H14" i="13"/>
  <c r="U31" i="11" s="1"/>
  <c r="F14" i="13"/>
  <c r="X14" i="13" s="1"/>
  <c r="H13" i="13"/>
  <c r="F13" i="13"/>
  <c r="X13" i="13" s="1"/>
  <c r="H12" i="13"/>
  <c r="F12" i="13"/>
  <c r="X12" i="13" s="1"/>
  <c r="W12" i="13"/>
  <c r="W13" i="13" s="1"/>
  <c r="W14" i="13" s="1"/>
  <c r="W15" i="13" s="1"/>
  <c r="W16" i="13" s="1"/>
  <c r="W17" i="13" s="1"/>
  <c r="W18" i="13" s="1"/>
  <c r="H11" i="13"/>
  <c r="F11" i="13"/>
  <c r="X11" i="13" s="1"/>
  <c r="E12" i="13"/>
  <c r="E13" i="13" s="1"/>
  <c r="E14" i="13" s="1"/>
  <c r="E15" i="13" s="1"/>
  <c r="E16" i="13" s="1"/>
  <c r="E17" i="13" s="1"/>
  <c r="E18" i="13" s="1"/>
  <c r="E19" i="13" s="1"/>
  <c r="E20" i="13" s="1"/>
  <c r="F9" i="13"/>
  <c r="X9" i="13" s="1"/>
  <c r="Z6" i="13"/>
  <c r="H6" i="13"/>
  <c r="H71" i="13" s="1"/>
  <c r="E6" i="13"/>
  <c r="E71" i="13" s="1"/>
  <c r="W5" i="13"/>
  <c r="O3" i="13"/>
  <c r="AF3" i="13" s="1"/>
  <c r="E3" i="13"/>
  <c r="W3" i="13" s="1"/>
  <c r="AF2" i="13"/>
  <c r="AD2" i="13"/>
  <c r="H256" i="11"/>
  <c r="F256" i="11"/>
  <c r="H255" i="11"/>
  <c r="F255" i="11"/>
  <c r="H254" i="11"/>
  <c r="F254" i="11"/>
  <c r="H253" i="11"/>
  <c r="F253" i="11"/>
  <c r="H252" i="11"/>
  <c r="F252" i="11"/>
  <c r="H251" i="11"/>
  <c r="F251" i="11"/>
  <c r="H250" i="11"/>
  <c r="F250" i="11"/>
  <c r="H249" i="11"/>
  <c r="F249" i="11"/>
  <c r="H248" i="11"/>
  <c r="F248" i="11"/>
  <c r="H247" i="11"/>
  <c r="F247" i="11"/>
  <c r="H246" i="11"/>
  <c r="F246" i="11"/>
  <c r="H245" i="11"/>
  <c r="F245" i="11"/>
  <c r="H244" i="11"/>
  <c r="F244" i="11"/>
  <c r="H243" i="11"/>
  <c r="F243" i="11"/>
  <c r="H242" i="11"/>
  <c r="F242" i="11"/>
  <c r="H241" i="11"/>
  <c r="F241" i="11"/>
  <c r="H240" i="11"/>
  <c r="F240" i="11"/>
  <c r="H239" i="11"/>
  <c r="F239" i="11"/>
  <c r="H238" i="11"/>
  <c r="F238" i="11"/>
  <c r="H237" i="11"/>
  <c r="F237" i="11"/>
  <c r="H236" i="11"/>
  <c r="F236" i="11"/>
  <c r="H235" i="11"/>
  <c r="F235" i="11"/>
  <c r="H234" i="11"/>
  <c r="F234" i="11"/>
  <c r="H233" i="11"/>
  <c r="F233" i="11"/>
  <c r="H232" i="11"/>
  <c r="F232" i="11"/>
  <c r="H231" i="11"/>
  <c r="F231" i="11"/>
  <c r="H230" i="11"/>
  <c r="F230" i="11"/>
  <c r="H229" i="11"/>
  <c r="F229" i="11"/>
  <c r="H228" i="11"/>
  <c r="F228" i="11"/>
  <c r="H227" i="11"/>
  <c r="F227" i="11"/>
  <c r="H226" i="11"/>
  <c r="H225" i="11"/>
  <c r="H224" i="11"/>
  <c r="H223" i="11"/>
  <c r="I223" i="11" s="1"/>
  <c r="H222" i="11"/>
  <c r="H221" i="11"/>
  <c r="H217" i="11"/>
  <c r="H208" i="11"/>
  <c r="EG195" i="11"/>
  <c r="EF195" i="11"/>
  <c r="EE195" i="11"/>
  <c r="ED195" i="11"/>
  <c r="EC195" i="11"/>
  <c r="EB195" i="11"/>
  <c r="EA195" i="11"/>
  <c r="DZ195" i="11"/>
  <c r="DY195" i="11"/>
  <c r="DX195" i="11"/>
  <c r="DW195" i="11"/>
  <c r="DV195" i="11"/>
  <c r="DT195" i="11"/>
  <c r="DS195" i="11"/>
  <c r="DR195" i="11"/>
  <c r="DQ195" i="11"/>
  <c r="DP195" i="11"/>
  <c r="DO195" i="11"/>
  <c r="DN195" i="11"/>
  <c r="DM195" i="11"/>
  <c r="DL195" i="11"/>
  <c r="DK195" i="11"/>
  <c r="DJ195" i="11"/>
  <c r="DI195" i="11"/>
  <c r="DG195" i="11"/>
  <c r="DF195" i="11"/>
  <c r="DE195" i="11"/>
  <c r="DD195" i="11"/>
  <c r="DC195" i="11"/>
  <c r="DB195" i="11"/>
  <c r="DA195" i="11"/>
  <c r="CZ195" i="11"/>
  <c r="CZ73" i="11" s="1"/>
  <c r="CY195" i="11"/>
  <c r="CX195" i="11"/>
  <c r="CW195" i="11"/>
  <c r="CV195" i="11"/>
  <c r="CT195" i="11"/>
  <c r="CS195" i="11"/>
  <c r="CR195" i="11"/>
  <c r="CQ195" i="11"/>
  <c r="CQ73" i="11" s="1"/>
  <c r="CP195" i="11"/>
  <c r="CO195" i="11"/>
  <c r="CN195" i="11"/>
  <c r="CM195" i="11"/>
  <c r="CL195" i="11"/>
  <c r="CK195" i="11"/>
  <c r="CJ195" i="11"/>
  <c r="CI195" i="11"/>
  <c r="CI73" i="11" s="1"/>
  <c r="CG195" i="11"/>
  <c r="CF195" i="11"/>
  <c r="CE195" i="11"/>
  <c r="CD195" i="11"/>
  <c r="CC195" i="11"/>
  <c r="CB195" i="11"/>
  <c r="CA195" i="11"/>
  <c r="BZ195" i="11"/>
  <c r="BZ73" i="11" s="1"/>
  <c r="BY195" i="11"/>
  <c r="BX195" i="11"/>
  <c r="BW195" i="11"/>
  <c r="BV195" i="11"/>
  <c r="BT195" i="11"/>
  <c r="BS195" i="11"/>
  <c r="BR195" i="11"/>
  <c r="BQ195" i="11"/>
  <c r="BQ73" i="11" s="1"/>
  <c r="BP195" i="11"/>
  <c r="BO195" i="11"/>
  <c r="BN195" i="11"/>
  <c r="BM195" i="11"/>
  <c r="BL195" i="11"/>
  <c r="BK195" i="11"/>
  <c r="BJ195" i="11"/>
  <c r="BI195" i="11"/>
  <c r="BI73" i="11" s="1"/>
  <c r="BG195" i="11"/>
  <c r="BF195" i="11"/>
  <c r="BE195" i="11"/>
  <c r="BD195" i="11"/>
  <c r="BC195" i="11"/>
  <c r="BB195" i="11"/>
  <c r="BA195" i="11"/>
  <c r="AZ195" i="11"/>
  <c r="AZ73" i="11" s="1"/>
  <c r="AY195" i="11"/>
  <c r="AX195" i="11"/>
  <c r="AW195" i="11"/>
  <c r="AV195" i="11"/>
  <c r="AT195" i="11"/>
  <c r="AS195" i="11"/>
  <c r="AR195" i="11"/>
  <c r="AQ195" i="11"/>
  <c r="AQ73" i="11" s="1"/>
  <c r="AP195" i="11"/>
  <c r="AO195" i="11"/>
  <c r="AN195" i="11"/>
  <c r="AM195" i="11"/>
  <c r="AL195" i="11"/>
  <c r="AK195" i="11"/>
  <c r="AJ195" i="11"/>
  <c r="AI195" i="11"/>
  <c r="AI73" i="11" s="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EG182" i="11"/>
  <c r="EF182" i="11"/>
  <c r="EE182" i="11"/>
  <c r="ED182" i="11"/>
  <c r="ED76" i="11" s="1"/>
  <c r="EC182" i="11"/>
  <c r="EC76" i="11" s="1"/>
  <c r="EB182" i="11"/>
  <c r="EA182" i="11"/>
  <c r="DZ182" i="11"/>
  <c r="DY182" i="11"/>
  <c r="DX182" i="11"/>
  <c r="DW182" i="11"/>
  <c r="DV182" i="11"/>
  <c r="DT182" i="11"/>
  <c r="DT76" i="11" s="1"/>
  <c r="DS182" i="11"/>
  <c r="DR182" i="11"/>
  <c r="DQ182" i="11"/>
  <c r="DP182" i="11"/>
  <c r="DO182" i="11"/>
  <c r="DN182" i="11"/>
  <c r="DM182" i="11"/>
  <c r="DL182" i="11"/>
  <c r="DL76" i="11" s="1"/>
  <c r="DK182" i="11"/>
  <c r="DJ182" i="11"/>
  <c r="DI182" i="11"/>
  <c r="DG182" i="11"/>
  <c r="DF182" i="11"/>
  <c r="DE182" i="11"/>
  <c r="DD182" i="11"/>
  <c r="DC182" i="11"/>
  <c r="DC76" i="11" s="1"/>
  <c r="DB182" i="11"/>
  <c r="DA182" i="11"/>
  <c r="CZ182" i="11"/>
  <c r="CY182" i="11"/>
  <c r="CX182" i="11"/>
  <c r="CW182" i="11"/>
  <c r="CV182" i="11"/>
  <c r="DH209" i="11" s="1"/>
  <c r="AB38" i="13" s="1"/>
  <c r="CT182" i="11"/>
  <c r="CT76" i="11" s="1"/>
  <c r="CS182" i="11"/>
  <c r="CS76" i="11" s="1"/>
  <c r="CR182" i="11"/>
  <c r="CQ182" i="11"/>
  <c r="CP182" i="11"/>
  <c r="CO182" i="11"/>
  <c r="CN182" i="11"/>
  <c r="CM182" i="11"/>
  <c r="CL182" i="11"/>
  <c r="CL76" i="11" s="1"/>
  <c r="CK182" i="11"/>
  <c r="CK76" i="11" s="1"/>
  <c r="CJ182" i="11"/>
  <c r="CI182" i="11"/>
  <c r="CG182" i="11"/>
  <c r="CF182" i="11"/>
  <c r="CE182" i="11"/>
  <c r="CD182" i="11"/>
  <c r="CC182" i="11"/>
  <c r="CC76" i="11" s="1"/>
  <c r="CB182" i="11"/>
  <c r="CB76" i="11" s="1"/>
  <c r="CA182" i="11"/>
  <c r="BZ182" i="11"/>
  <c r="BY182" i="11"/>
  <c r="BX182" i="11"/>
  <c r="BW182" i="11"/>
  <c r="BV182" i="11"/>
  <c r="CH209" i="11" s="1"/>
  <c r="BT182" i="11"/>
  <c r="BT76" i="11" s="1"/>
  <c r="BS182" i="11"/>
  <c r="BR182" i="11"/>
  <c r="BQ182" i="11"/>
  <c r="BP182" i="11"/>
  <c r="BO182" i="11"/>
  <c r="BN182" i="11"/>
  <c r="BM182" i="11"/>
  <c r="BM76" i="11" s="1"/>
  <c r="BL182" i="11"/>
  <c r="BL76" i="11" s="1"/>
  <c r="BK182" i="11"/>
  <c r="BJ182" i="11"/>
  <c r="BI182" i="11"/>
  <c r="BG182" i="11"/>
  <c r="BF182" i="11"/>
  <c r="BE182" i="11"/>
  <c r="BD182" i="11"/>
  <c r="BD76" i="11" s="1"/>
  <c r="BC182" i="11"/>
  <c r="BB182" i="11"/>
  <c r="BB76" i="11" s="1"/>
  <c r="BA182" i="11"/>
  <c r="AZ182" i="11"/>
  <c r="AY182" i="11"/>
  <c r="AX182" i="11"/>
  <c r="AW182" i="11"/>
  <c r="AV182" i="11"/>
  <c r="AT182" i="11"/>
  <c r="AT76" i="11" s="1"/>
  <c r="AS182" i="11"/>
  <c r="AR182" i="11"/>
  <c r="AQ182" i="11"/>
  <c r="AP182" i="11"/>
  <c r="AO182" i="11"/>
  <c r="AN182" i="11"/>
  <c r="AM182" i="11"/>
  <c r="AL182" i="11"/>
  <c r="AL76" i="11" s="1"/>
  <c r="AK182" i="11"/>
  <c r="AJ182" i="11"/>
  <c r="AI182" i="11"/>
  <c r="AG182" i="11"/>
  <c r="AF182" i="11"/>
  <c r="AE182" i="11"/>
  <c r="AD182" i="11"/>
  <c r="AD76" i="11" s="1"/>
  <c r="AC182" i="11"/>
  <c r="AB182" i="11"/>
  <c r="AA182" i="11"/>
  <c r="Z182" i="11"/>
  <c r="Y182" i="11"/>
  <c r="X182" i="11"/>
  <c r="W182" i="11"/>
  <c r="V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F180" i="11"/>
  <c r="F192" i="11" s="1"/>
  <c r="F179" i="11"/>
  <c r="F191" i="11" s="1"/>
  <c r="F178" i="11"/>
  <c r="F190" i="11" s="1"/>
  <c r="F177" i="11"/>
  <c r="F189" i="11" s="1"/>
  <c r="F176" i="11"/>
  <c r="F188" i="11" s="1"/>
  <c r="F175" i="11"/>
  <c r="F187" i="11" s="1"/>
  <c r="F174" i="11"/>
  <c r="F186" i="11" s="1"/>
  <c r="F173" i="11"/>
  <c r="F185" i="11" s="1"/>
  <c r="F172" i="11"/>
  <c r="F184" i="11" s="1"/>
  <c r="F171" i="11"/>
  <c r="F183" i="11" s="1"/>
  <c r="EG170" i="11"/>
  <c r="EF170" i="11"/>
  <c r="EE170" i="11"/>
  <c r="ED170" i="11"/>
  <c r="EC170" i="11"/>
  <c r="EB170" i="11"/>
  <c r="EA170" i="11"/>
  <c r="EA55" i="11" s="1"/>
  <c r="DZ170" i="11"/>
  <c r="DZ55" i="11" s="1"/>
  <c r="DY170" i="11"/>
  <c r="DX170" i="11"/>
  <c r="DW170" i="11"/>
  <c r="DV170" i="11"/>
  <c r="DT170" i="11"/>
  <c r="DS170" i="11"/>
  <c r="DR170" i="11"/>
  <c r="DR55" i="11" s="1"/>
  <c r="DQ170" i="11"/>
  <c r="DP170" i="11"/>
  <c r="DP55" i="11" s="1"/>
  <c r="DO170" i="11"/>
  <c r="DN170" i="11"/>
  <c r="DM170" i="11"/>
  <c r="DL170" i="11"/>
  <c r="DK170" i="11"/>
  <c r="DJ170" i="11"/>
  <c r="DJ55" i="11" s="1"/>
  <c r="DI170" i="11"/>
  <c r="DG170" i="11"/>
  <c r="DG55" i="11" s="1"/>
  <c r="DF170" i="11"/>
  <c r="DE170" i="11"/>
  <c r="DD170" i="11"/>
  <c r="DC170" i="11"/>
  <c r="DB170" i="11"/>
  <c r="DA170" i="11"/>
  <c r="DA55" i="11" s="1"/>
  <c r="CZ170" i="11"/>
  <c r="CZ55" i="11" s="1"/>
  <c r="CY170" i="11"/>
  <c r="CX170" i="11"/>
  <c r="CW170" i="11"/>
  <c r="CV170" i="11"/>
  <c r="CT170" i="11"/>
  <c r="CS170" i="11"/>
  <c r="CR170" i="11"/>
  <c r="CR55" i="11" s="1"/>
  <c r="CQ170" i="11"/>
  <c r="CQ55" i="11" s="1"/>
  <c r="CP170" i="11"/>
  <c r="CP55" i="11" s="1"/>
  <c r="CO170" i="11"/>
  <c r="CN170" i="11"/>
  <c r="CM170" i="11"/>
  <c r="CL170" i="11"/>
  <c r="CK170" i="11"/>
  <c r="CJ170" i="11"/>
  <c r="CJ55" i="11" s="1"/>
  <c r="CI170" i="11"/>
  <c r="CG170" i="11"/>
  <c r="CG55" i="11" s="1"/>
  <c r="CF170" i="11"/>
  <c r="CE170" i="11"/>
  <c r="CD170" i="11"/>
  <c r="CC170" i="11"/>
  <c r="CB170" i="11"/>
  <c r="CA170" i="11"/>
  <c r="BZ170" i="11"/>
  <c r="BZ55" i="11" s="1"/>
  <c r="BY170" i="11"/>
  <c r="BY55" i="11" s="1"/>
  <c r="BX170" i="11"/>
  <c r="BW170" i="11"/>
  <c r="BV170" i="11"/>
  <c r="BT170" i="11"/>
  <c r="BS170" i="11"/>
  <c r="BR170" i="11"/>
  <c r="BR55" i="11" s="1"/>
  <c r="BQ170" i="11"/>
  <c r="BQ55" i="11" s="1"/>
  <c r="BP170" i="11"/>
  <c r="BO170" i="11"/>
  <c r="BN170" i="11"/>
  <c r="BM170" i="11"/>
  <c r="BL170" i="11"/>
  <c r="BK170" i="11"/>
  <c r="BJ170" i="11"/>
  <c r="BJ55" i="11" s="1"/>
  <c r="BI170" i="11"/>
  <c r="BI55" i="11" s="1"/>
  <c r="BG170" i="11"/>
  <c r="BG55" i="11" s="1"/>
  <c r="BF170" i="11"/>
  <c r="BE170" i="11"/>
  <c r="BD170" i="11"/>
  <c r="BC170" i="11"/>
  <c r="BB170" i="11"/>
  <c r="BA170" i="11"/>
  <c r="BA55" i="11" s="1"/>
  <c r="AZ170" i="11"/>
  <c r="AZ55" i="11" s="1"/>
  <c r="AY170" i="11"/>
  <c r="AY55" i="11" s="1"/>
  <c r="AX170" i="11"/>
  <c r="AW170" i="11"/>
  <c r="AV170" i="11"/>
  <c r="AT170" i="11"/>
  <c r="AS170" i="11"/>
  <c r="AR170" i="11"/>
  <c r="AR55" i="11" s="1"/>
  <c r="AQ170" i="11"/>
  <c r="AQ55" i="11" s="1"/>
  <c r="AP170" i="11"/>
  <c r="AP55" i="11" s="1"/>
  <c r="AO170" i="11"/>
  <c r="AN170" i="11"/>
  <c r="AM170" i="11"/>
  <c r="AL170" i="11"/>
  <c r="AK170" i="11"/>
  <c r="AJ170" i="11"/>
  <c r="AI170" i="11"/>
  <c r="AI55" i="11" s="1"/>
  <c r="AG170" i="11"/>
  <c r="AF170" i="11"/>
  <c r="AE170" i="11"/>
  <c r="AD170" i="11"/>
  <c r="AC170" i="11"/>
  <c r="AB170" i="11"/>
  <c r="AA170" i="11"/>
  <c r="AA55" i="11" s="1"/>
  <c r="Z170" i="11"/>
  <c r="Z55" i="11" s="1"/>
  <c r="Y170" i="11"/>
  <c r="X170" i="11"/>
  <c r="W170" i="11"/>
  <c r="V170" i="11"/>
  <c r="T170" i="11"/>
  <c r="S170" i="11"/>
  <c r="R170" i="11"/>
  <c r="R55" i="11" s="1"/>
  <c r="Q170" i="11"/>
  <c r="P170" i="11"/>
  <c r="P55" i="11" s="1"/>
  <c r="O170" i="11"/>
  <c r="N170" i="11"/>
  <c r="M170" i="11"/>
  <c r="L170" i="11"/>
  <c r="K170" i="11"/>
  <c r="J170" i="11"/>
  <c r="J55" i="11" s="1"/>
  <c r="I170" i="11"/>
  <c r="BR77" i="11"/>
  <c r="BQ77" i="11"/>
  <c r="BP77" i="11"/>
  <c r="BO77" i="11"/>
  <c r="BN77" i="11"/>
  <c r="BI77" i="11"/>
  <c r="F152" i="11"/>
  <c r="EG151" i="11"/>
  <c r="EF151" i="11"/>
  <c r="EE151" i="11"/>
  <c r="ED151" i="11"/>
  <c r="EC151" i="11"/>
  <c r="EB151" i="11"/>
  <c r="EA151" i="11"/>
  <c r="EA77" i="11" s="1"/>
  <c r="DZ151" i="11"/>
  <c r="DY151" i="11"/>
  <c r="DX151" i="11"/>
  <c r="DW151" i="11"/>
  <c r="DV151" i="11"/>
  <c r="DT151" i="11"/>
  <c r="DS151" i="11"/>
  <c r="DR151" i="11"/>
  <c r="DQ151" i="11"/>
  <c r="DP151" i="11"/>
  <c r="DO151" i="11"/>
  <c r="DN151" i="11"/>
  <c r="DM151" i="11"/>
  <c r="DL151" i="11"/>
  <c r="DK151" i="11"/>
  <c r="DJ151" i="11"/>
  <c r="DI151" i="11"/>
  <c r="DG151" i="11"/>
  <c r="DF151" i="11"/>
  <c r="DE151" i="11"/>
  <c r="DD151" i="11"/>
  <c r="DC151" i="11"/>
  <c r="DB151" i="11"/>
  <c r="DA151" i="11"/>
  <c r="DA77" i="11" s="1"/>
  <c r="CZ151" i="11"/>
  <c r="CY151" i="11"/>
  <c r="CX151" i="11"/>
  <c r="CW151" i="11"/>
  <c r="CV151" i="11"/>
  <c r="CT151" i="11"/>
  <c r="CS151" i="11"/>
  <c r="CR151" i="11"/>
  <c r="CR77" i="11" s="1"/>
  <c r="CQ151" i="11"/>
  <c r="CP151" i="11"/>
  <c r="CO151" i="11"/>
  <c r="CN151" i="11"/>
  <c r="CM151" i="11"/>
  <c r="CL151" i="11"/>
  <c r="CK151" i="11"/>
  <c r="CJ151" i="11"/>
  <c r="CJ77" i="11" s="1"/>
  <c r="CI151" i="11"/>
  <c r="CG151" i="11"/>
  <c r="CF151" i="11"/>
  <c r="CE151" i="11"/>
  <c r="CD151" i="11"/>
  <c r="CC151" i="11"/>
  <c r="CB151" i="11"/>
  <c r="CA151" i="11"/>
  <c r="CA77" i="11" s="1"/>
  <c r="BZ151" i="11"/>
  <c r="BY151" i="11"/>
  <c r="BX151" i="11"/>
  <c r="BW151" i="11"/>
  <c r="BV151" i="11"/>
  <c r="BR151" i="11"/>
  <c r="BQ151" i="11"/>
  <c r="BP151" i="11"/>
  <c r="BO151" i="11"/>
  <c r="BN151" i="11"/>
  <c r="BI151" i="11"/>
  <c r="J151" i="11"/>
  <c r="I151" i="11"/>
  <c r="F137" i="11"/>
  <c r="F154" i="11" s="1"/>
  <c r="F136" i="11"/>
  <c r="F153" i="11" s="1"/>
  <c r="F129" i="11"/>
  <c r="H128" i="1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AG128" i="11" s="1"/>
  <c r="AI128" i="11" s="1"/>
  <c r="AJ128" i="11" s="1"/>
  <c r="AK128" i="11" s="1"/>
  <c r="AL128" i="11" s="1"/>
  <c r="AM128" i="11" s="1"/>
  <c r="AN128" i="11" s="1"/>
  <c r="AO128" i="11" s="1"/>
  <c r="AP128" i="11" s="1"/>
  <c r="AQ128" i="11" s="1"/>
  <c r="AR128" i="11" s="1"/>
  <c r="AS128" i="11" s="1"/>
  <c r="AT128" i="11" s="1"/>
  <c r="AV128" i="11" s="1"/>
  <c r="AW128" i="11" s="1"/>
  <c r="AX128" i="11" s="1"/>
  <c r="AY128" i="11" s="1"/>
  <c r="AZ128" i="11" s="1"/>
  <c r="BA128" i="11" s="1"/>
  <c r="BB128" i="11" s="1"/>
  <c r="BC128" i="11" s="1"/>
  <c r="BD128" i="11" s="1"/>
  <c r="BE128" i="11" s="1"/>
  <c r="BF128" i="11" s="1"/>
  <c r="BG128" i="11" s="1"/>
  <c r="BI128" i="11" s="1"/>
  <c r="BJ128" i="11" s="1"/>
  <c r="BK128" i="11" s="1"/>
  <c r="BL128" i="11" s="1"/>
  <c r="BM128" i="11" s="1"/>
  <c r="BN128" i="11" s="1"/>
  <c r="BO128" i="11" s="1"/>
  <c r="BP128" i="11" s="1"/>
  <c r="BQ128" i="11" s="1"/>
  <c r="BR128" i="11" s="1"/>
  <c r="BS128" i="11" s="1"/>
  <c r="BT128" i="11" s="1"/>
  <c r="BV128" i="11" s="1"/>
  <c r="BW128" i="11" s="1"/>
  <c r="BX128" i="11" s="1"/>
  <c r="BY128" i="11" s="1"/>
  <c r="BZ128" i="11" s="1"/>
  <c r="CA128" i="11" s="1"/>
  <c r="CB128" i="11" s="1"/>
  <c r="CC128" i="11" s="1"/>
  <c r="CD128" i="11" s="1"/>
  <c r="CE128" i="11" s="1"/>
  <c r="CF128" i="11" s="1"/>
  <c r="CG128" i="11" s="1"/>
  <c r="CI128" i="11" s="1"/>
  <c r="CJ128" i="11" s="1"/>
  <c r="CK128" i="11" s="1"/>
  <c r="CL128" i="11" s="1"/>
  <c r="F128" i="11"/>
  <c r="H127" i="11"/>
  <c r="F127" i="11"/>
  <c r="H126" i="11"/>
  <c r="F126" i="11"/>
  <c r="H125" i="11"/>
  <c r="I252" i="11" s="1"/>
  <c r="F125" i="11"/>
  <c r="H124" i="11"/>
  <c r="F124" i="11"/>
  <c r="H123" i="11"/>
  <c r="I250" i="11" s="1"/>
  <c r="F123" i="11"/>
  <c r="H122" i="1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AG122" i="11" s="1"/>
  <c r="AI122" i="11" s="1"/>
  <c r="AJ122" i="11" s="1"/>
  <c r="AK122" i="11" s="1"/>
  <c r="AL122" i="11" s="1"/>
  <c r="AM122" i="11" s="1"/>
  <c r="AN122" i="11" s="1"/>
  <c r="AO122" i="11" s="1"/>
  <c r="AP122" i="11" s="1"/>
  <c r="AQ122" i="11" s="1"/>
  <c r="AR122" i="11" s="1"/>
  <c r="AS122" i="11" s="1"/>
  <c r="AT122" i="11" s="1"/>
  <c r="AV122" i="11" s="1"/>
  <c r="AW122" i="11" s="1"/>
  <c r="AX122" i="11" s="1"/>
  <c r="AY122" i="11" s="1"/>
  <c r="AZ122" i="11" s="1"/>
  <c r="BA122" i="11" s="1"/>
  <c r="BB122" i="11" s="1"/>
  <c r="BC122" i="11" s="1"/>
  <c r="BD122" i="11" s="1"/>
  <c r="BE122" i="11" s="1"/>
  <c r="BF122" i="11" s="1"/>
  <c r="BG122" i="11" s="1"/>
  <c r="BI122" i="11" s="1"/>
  <c r="BJ122" i="11" s="1"/>
  <c r="BK122" i="11" s="1"/>
  <c r="BL122" i="11" s="1"/>
  <c r="BM122" i="11" s="1"/>
  <c r="BN122" i="11" s="1"/>
  <c r="BO122" i="11" s="1"/>
  <c r="BP122" i="11" s="1"/>
  <c r="BQ122" i="11" s="1"/>
  <c r="BR122" i="11" s="1"/>
  <c r="BS122" i="11" s="1"/>
  <c r="BT122" i="11" s="1"/>
  <c r="BV122" i="11" s="1"/>
  <c r="BW122" i="11" s="1"/>
  <c r="BX122" i="11" s="1"/>
  <c r="BY122" i="11" s="1"/>
  <c r="BZ122" i="11" s="1"/>
  <c r="CA122" i="11" s="1"/>
  <c r="CB122" i="11" s="1"/>
  <c r="CC122" i="11" s="1"/>
  <c r="CD122" i="11" s="1"/>
  <c r="CE122" i="11" s="1"/>
  <c r="CF122" i="11" s="1"/>
  <c r="CG122" i="11" s="1"/>
  <c r="CI122" i="11" s="1"/>
  <c r="CJ122" i="11" s="1"/>
  <c r="CK122" i="11" s="1"/>
  <c r="CL122" i="11" s="1"/>
  <c r="CM122" i="11" s="1"/>
  <c r="CN122" i="11" s="1"/>
  <c r="CO122" i="11" s="1"/>
  <c r="CP122" i="11" s="1"/>
  <c r="CQ122" i="11" s="1"/>
  <c r="CR122" i="11" s="1"/>
  <c r="CS122" i="11" s="1"/>
  <c r="CT122" i="11" s="1"/>
  <c r="CV122" i="11" s="1"/>
  <c r="CW122" i="11" s="1"/>
  <c r="CX122" i="11" s="1"/>
  <c r="CY122" i="11" s="1"/>
  <c r="CZ122" i="11" s="1"/>
  <c r="DA122" i="11" s="1"/>
  <c r="DB122" i="11" s="1"/>
  <c r="DC122" i="11" s="1"/>
  <c r="DD122" i="11" s="1"/>
  <c r="DE122" i="11" s="1"/>
  <c r="DF122" i="11" s="1"/>
  <c r="DG122" i="11" s="1"/>
  <c r="DI122" i="11" s="1"/>
  <c r="DJ122" i="11" s="1"/>
  <c r="DK122" i="11" s="1"/>
  <c r="DL122" i="11" s="1"/>
  <c r="DM122" i="11" s="1"/>
  <c r="DN122" i="11" s="1"/>
  <c r="DO122" i="11" s="1"/>
  <c r="DP122" i="11" s="1"/>
  <c r="DQ122" i="11" s="1"/>
  <c r="DR122" i="11" s="1"/>
  <c r="DS122" i="11" s="1"/>
  <c r="DT122" i="11" s="1"/>
  <c r="DV122" i="11" s="1"/>
  <c r="DW122" i="11" s="1"/>
  <c r="DX122" i="11" s="1"/>
  <c r="DY122" i="11" s="1"/>
  <c r="DZ122" i="11" s="1"/>
  <c r="EA122" i="11" s="1"/>
  <c r="EB122" i="11" s="1"/>
  <c r="EC122" i="11" s="1"/>
  <c r="ED122" i="11" s="1"/>
  <c r="EE122" i="11" s="1"/>
  <c r="EF122" i="11" s="1"/>
  <c r="EG122" i="11" s="1"/>
  <c r="F122" i="11"/>
  <c r="H121" i="11"/>
  <c r="F121" i="11"/>
  <c r="H120" i="11"/>
  <c r="I120" i="11" s="1"/>
  <c r="F120" i="11"/>
  <c r="F118" i="11"/>
  <c r="F149" i="11" s="1"/>
  <c r="F167" i="11" s="1"/>
  <c r="H117" i="11"/>
  <c r="F117" i="11"/>
  <c r="F148" i="11" s="1"/>
  <c r="F166" i="11" s="1"/>
  <c r="H116" i="11"/>
  <c r="F116" i="11"/>
  <c r="F147" i="11" s="1"/>
  <c r="F165" i="11" s="1"/>
  <c r="H115" i="11"/>
  <c r="I233" i="11" s="1"/>
  <c r="F115" i="11"/>
  <c r="F146" i="11" s="1"/>
  <c r="F164" i="11" s="1"/>
  <c r="H114" i="11"/>
  <c r="I114" i="11" s="1"/>
  <c r="J114" i="11" s="1"/>
  <c r="K114" i="11" s="1"/>
  <c r="L114" i="11" s="1"/>
  <c r="M114" i="11" s="1"/>
  <c r="N114" i="11" s="1"/>
  <c r="O114" i="11" s="1"/>
  <c r="F114" i="11"/>
  <c r="F145" i="11" s="1"/>
  <c r="F163" i="11" s="1"/>
  <c r="H113" i="11"/>
  <c r="F113" i="11"/>
  <c r="F144" i="11" s="1"/>
  <c r="F162" i="11" s="1"/>
  <c r="H112" i="1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F112" i="11"/>
  <c r="F143" i="11" s="1"/>
  <c r="F161" i="11" s="1"/>
  <c r="H111" i="11"/>
  <c r="I111" i="11" s="1"/>
  <c r="F111" i="11"/>
  <c r="F142" i="11" s="1"/>
  <c r="F160" i="11" s="1"/>
  <c r="H110" i="11"/>
  <c r="I228" i="11" s="1"/>
  <c r="F110" i="11"/>
  <c r="F141" i="11" s="1"/>
  <c r="F159" i="11" s="1"/>
  <c r="H109" i="11"/>
  <c r="F109" i="11"/>
  <c r="F140" i="11" s="1"/>
  <c r="F158" i="11" s="1"/>
  <c r="I108" i="11"/>
  <c r="I107" i="11"/>
  <c r="J107" i="11" s="1"/>
  <c r="I106" i="11"/>
  <c r="J106" i="11" s="1"/>
  <c r="I105" i="11"/>
  <c r="H103" i="11"/>
  <c r="I101" i="11"/>
  <c r="J101" i="11" s="1"/>
  <c r="K101" i="11" s="1"/>
  <c r="H100" i="11"/>
  <c r="F98" i="11"/>
  <c r="F97" i="11"/>
  <c r="F95" i="11"/>
  <c r="F205" i="11" s="1"/>
  <c r="H94" i="11"/>
  <c r="F94" i="11"/>
  <c r="F204" i="11" s="1"/>
  <c r="H93" i="11"/>
  <c r="F93" i="11"/>
  <c r="F203" i="11" s="1"/>
  <c r="H92" i="11"/>
  <c r="I92" i="11" s="1"/>
  <c r="J92" i="11" s="1"/>
  <c r="F92" i="11"/>
  <c r="F202" i="11" s="1"/>
  <c r="H91" i="11"/>
  <c r="I91" i="11" s="1"/>
  <c r="J91" i="11" s="1"/>
  <c r="K91" i="11" s="1"/>
  <c r="L91" i="11" s="1"/>
  <c r="M91" i="11" s="1"/>
  <c r="N91" i="11" s="1"/>
  <c r="O91" i="11" s="1"/>
  <c r="P91" i="11" s="1"/>
  <c r="Q91" i="11" s="1"/>
  <c r="R91" i="11" s="1"/>
  <c r="S91" i="11" s="1"/>
  <c r="T91" i="11" s="1"/>
  <c r="V91" i="11" s="1"/>
  <c r="W91" i="11" s="1"/>
  <c r="X91" i="11" s="1"/>
  <c r="Y91" i="11" s="1"/>
  <c r="Z91" i="11" s="1"/>
  <c r="AA91" i="11" s="1"/>
  <c r="AB91" i="11" s="1"/>
  <c r="AC91" i="11" s="1"/>
  <c r="AD91" i="11" s="1"/>
  <c r="AE91" i="11" s="1"/>
  <c r="AF91" i="11" s="1"/>
  <c r="AG91" i="11" s="1"/>
  <c r="AI91" i="11" s="1"/>
  <c r="AJ91" i="11" s="1"/>
  <c r="AK91" i="11" s="1"/>
  <c r="AL91" i="11" s="1"/>
  <c r="AM91" i="11" s="1"/>
  <c r="AN91" i="11" s="1"/>
  <c r="AO91" i="11" s="1"/>
  <c r="AP91" i="11" s="1"/>
  <c r="AQ91" i="11" s="1"/>
  <c r="AR91" i="11" s="1"/>
  <c r="AS91" i="11" s="1"/>
  <c r="AT91" i="11" s="1"/>
  <c r="AV91" i="11" s="1"/>
  <c r="AW91" i="11" s="1"/>
  <c r="AX91" i="11" s="1"/>
  <c r="AY91" i="11" s="1"/>
  <c r="AZ91" i="11" s="1"/>
  <c r="BA91" i="11" s="1"/>
  <c r="BB91" i="11" s="1"/>
  <c r="BC91" i="11" s="1"/>
  <c r="BD91" i="11" s="1"/>
  <c r="BE91" i="11" s="1"/>
  <c r="BF91" i="11" s="1"/>
  <c r="BG91" i="11" s="1"/>
  <c r="BI91" i="11" s="1"/>
  <c r="BJ91" i="11" s="1"/>
  <c r="BK91" i="11" s="1"/>
  <c r="BL91" i="11" s="1"/>
  <c r="BM91" i="11" s="1"/>
  <c r="BN91" i="11" s="1"/>
  <c r="BO91" i="11" s="1"/>
  <c r="BP91" i="11" s="1"/>
  <c r="BQ91" i="11" s="1"/>
  <c r="BR91" i="11" s="1"/>
  <c r="BS91" i="11" s="1"/>
  <c r="BT91" i="11" s="1"/>
  <c r="BV91" i="11" s="1"/>
  <c r="BW91" i="11" s="1"/>
  <c r="BX91" i="11" s="1"/>
  <c r="BY91" i="11" s="1"/>
  <c r="BZ91" i="11" s="1"/>
  <c r="CA91" i="11" s="1"/>
  <c r="CB91" i="11" s="1"/>
  <c r="CC91" i="11" s="1"/>
  <c r="CD91" i="11" s="1"/>
  <c r="CE91" i="11" s="1"/>
  <c r="CF91" i="11" s="1"/>
  <c r="CG91" i="11" s="1"/>
  <c r="CI91" i="11" s="1"/>
  <c r="CJ91" i="11" s="1"/>
  <c r="CK91" i="11" s="1"/>
  <c r="CL91" i="11" s="1"/>
  <c r="CM91" i="11" s="1"/>
  <c r="CN91" i="11" s="1"/>
  <c r="CO91" i="11" s="1"/>
  <c r="CP91" i="11" s="1"/>
  <c r="CQ91" i="11" s="1"/>
  <c r="CR91" i="11" s="1"/>
  <c r="CS91" i="11" s="1"/>
  <c r="CT91" i="11" s="1"/>
  <c r="CV91" i="11" s="1"/>
  <c r="CW91" i="11" s="1"/>
  <c r="CX91" i="11" s="1"/>
  <c r="CY91" i="11" s="1"/>
  <c r="CZ91" i="11" s="1"/>
  <c r="DA91" i="11" s="1"/>
  <c r="DB91" i="11" s="1"/>
  <c r="DC91" i="11" s="1"/>
  <c r="DD91" i="11" s="1"/>
  <c r="DE91" i="11" s="1"/>
  <c r="DF91" i="11" s="1"/>
  <c r="DG91" i="11" s="1"/>
  <c r="DI91" i="11" s="1"/>
  <c r="DJ91" i="11" s="1"/>
  <c r="DK91" i="11" s="1"/>
  <c r="DL91" i="11" s="1"/>
  <c r="DM91" i="11" s="1"/>
  <c r="DN91" i="11" s="1"/>
  <c r="DO91" i="11" s="1"/>
  <c r="DP91" i="11" s="1"/>
  <c r="DQ91" i="11" s="1"/>
  <c r="DR91" i="11" s="1"/>
  <c r="DS91" i="11" s="1"/>
  <c r="DT91" i="11" s="1"/>
  <c r="DV91" i="11" s="1"/>
  <c r="DW91" i="11" s="1"/>
  <c r="DX91" i="11" s="1"/>
  <c r="DY91" i="11" s="1"/>
  <c r="DZ91" i="11" s="1"/>
  <c r="EA91" i="11" s="1"/>
  <c r="EB91" i="11" s="1"/>
  <c r="EC91" i="11" s="1"/>
  <c r="ED91" i="11" s="1"/>
  <c r="EE91" i="11" s="1"/>
  <c r="EF91" i="11" s="1"/>
  <c r="EG91" i="11" s="1"/>
  <c r="F91" i="11"/>
  <c r="F201" i="11" s="1"/>
  <c r="H90" i="11"/>
  <c r="F90" i="11"/>
  <c r="F200" i="11" s="1"/>
  <c r="H89" i="11"/>
  <c r="F89" i="11"/>
  <c r="F199" i="11" s="1"/>
  <c r="H88" i="11"/>
  <c r="I88" i="11" s="1"/>
  <c r="F88" i="11"/>
  <c r="F198" i="11" s="1"/>
  <c r="H87" i="11"/>
  <c r="I87" i="11" s="1"/>
  <c r="J87" i="11" s="1"/>
  <c r="K87" i="11" s="1"/>
  <c r="L87" i="11" s="1"/>
  <c r="M87" i="11" s="1"/>
  <c r="N87" i="11" s="1"/>
  <c r="O87" i="11" s="1"/>
  <c r="P87" i="11" s="1"/>
  <c r="Q87" i="11" s="1"/>
  <c r="R87" i="11" s="1"/>
  <c r="S87" i="11" s="1"/>
  <c r="T87" i="11" s="1"/>
  <c r="V87" i="11" s="1"/>
  <c r="W87" i="11" s="1"/>
  <c r="X87" i="11" s="1"/>
  <c r="Y87" i="11" s="1"/>
  <c r="Z87" i="11" s="1"/>
  <c r="AA87" i="11" s="1"/>
  <c r="AB87" i="11" s="1"/>
  <c r="AC87" i="11" s="1"/>
  <c r="AD87" i="11" s="1"/>
  <c r="F87" i="11"/>
  <c r="F197" i="11" s="1"/>
  <c r="H86" i="11"/>
  <c r="I86" i="11" s="1"/>
  <c r="J86" i="11" s="1"/>
  <c r="F86" i="11"/>
  <c r="F196" i="11" s="1"/>
  <c r="EH78" i="11"/>
  <c r="AH92" i="13" s="1"/>
  <c r="DU78" i="11"/>
  <c r="AF92" i="13" s="1"/>
  <c r="DH78" i="11"/>
  <c r="AD92" i="13" s="1"/>
  <c r="CU78" i="11"/>
  <c r="AB92" i="13" s="1"/>
  <c r="CH78" i="11"/>
  <c r="Z92" i="13" s="1"/>
  <c r="BU78" i="11"/>
  <c r="T92" i="13" s="1"/>
  <c r="BH78" i="11"/>
  <c r="R92" i="13" s="1"/>
  <c r="AU78" i="11"/>
  <c r="P92" i="13" s="1"/>
  <c r="AH78" i="11"/>
  <c r="N92" i="13" s="1"/>
  <c r="U78" i="11"/>
  <c r="EG77" i="11"/>
  <c r="EF77" i="11"/>
  <c r="EE77" i="11"/>
  <c r="ED77" i="11"/>
  <c r="EC77" i="11"/>
  <c r="EB77" i="11"/>
  <c r="DZ77" i="11"/>
  <c r="DY77" i="11"/>
  <c r="DX77" i="11"/>
  <c r="DW77" i="11"/>
  <c r="DV77" i="11"/>
  <c r="DT77" i="11"/>
  <c r="DS77" i="11"/>
  <c r="DR77" i="11"/>
  <c r="DQ77" i="11"/>
  <c r="DP77" i="11"/>
  <c r="DO77" i="11"/>
  <c r="DN77" i="11"/>
  <c r="DM77" i="11"/>
  <c r="DL77" i="11"/>
  <c r="DK77" i="11"/>
  <c r="DJ77" i="11"/>
  <c r="DI77" i="11"/>
  <c r="DG77" i="11"/>
  <c r="DF77" i="11"/>
  <c r="DE77" i="11"/>
  <c r="DD77" i="11"/>
  <c r="DC77" i="11"/>
  <c r="DB77" i="11"/>
  <c r="CZ77" i="11"/>
  <c r="CY77" i="11"/>
  <c r="CX77" i="11"/>
  <c r="CW77" i="11"/>
  <c r="CV77" i="11"/>
  <c r="CT77" i="11"/>
  <c r="CS77" i="11"/>
  <c r="CQ77" i="11"/>
  <c r="CP77" i="11"/>
  <c r="CO77" i="11"/>
  <c r="CN77" i="11"/>
  <c r="CM77" i="11"/>
  <c r="CL77" i="11"/>
  <c r="CK77" i="11"/>
  <c r="CI77" i="11"/>
  <c r="CG77" i="11"/>
  <c r="CF77" i="11"/>
  <c r="CE77" i="11"/>
  <c r="CD77" i="11"/>
  <c r="CC77" i="11"/>
  <c r="CB77" i="11"/>
  <c r="BZ77" i="11"/>
  <c r="BY77" i="11"/>
  <c r="BX77" i="11"/>
  <c r="BW77" i="11"/>
  <c r="BV77" i="11"/>
  <c r="EG76" i="11"/>
  <c r="EF76" i="11"/>
  <c r="EE76" i="11"/>
  <c r="EB76" i="11"/>
  <c r="EA76" i="11"/>
  <c r="DZ76" i="11"/>
  <c r="DY76" i="11"/>
  <c r="DX76" i="11"/>
  <c r="DW76" i="11"/>
  <c r="DS76" i="11"/>
  <c r="DR76" i="11"/>
  <c r="DQ76" i="11"/>
  <c r="DP76" i="11"/>
  <c r="DO76" i="11"/>
  <c r="DN76" i="11"/>
  <c r="DM76" i="11"/>
  <c r="DK76" i="11"/>
  <c r="DJ76" i="11"/>
  <c r="DI76" i="11"/>
  <c r="DG76" i="11"/>
  <c r="DF76" i="11"/>
  <c r="DE76" i="11"/>
  <c r="DD76" i="11"/>
  <c r="DB76" i="11"/>
  <c r="DA76" i="11"/>
  <c r="CZ76" i="11"/>
  <c r="CY76" i="11"/>
  <c r="CX76" i="11"/>
  <c r="CW76" i="11"/>
  <c r="CV76" i="11"/>
  <c r="CR76" i="11"/>
  <c r="CQ76" i="11"/>
  <c r="CP76" i="11"/>
  <c r="CO76" i="11"/>
  <c r="CN76" i="11"/>
  <c r="CM76" i="11"/>
  <c r="CJ76" i="11"/>
  <c r="CI76" i="11"/>
  <c r="CU76" i="11" s="1"/>
  <c r="CG76" i="11"/>
  <c r="CF76" i="11"/>
  <c r="CE76" i="11"/>
  <c r="CD76" i="11"/>
  <c r="CA76" i="11"/>
  <c r="BZ76" i="11"/>
  <c r="BY76" i="11"/>
  <c r="BX76" i="11"/>
  <c r="BW76" i="11"/>
  <c r="BV76" i="11"/>
  <c r="BS76" i="11"/>
  <c r="BR76" i="11"/>
  <c r="BQ76" i="11"/>
  <c r="BP76" i="11"/>
  <c r="BO76" i="11"/>
  <c r="BN76" i="11"/>
  <c r="BK76" i="11"/>
  <c r="BJ76" i="11"/>
  <c r="BI76" i="11"/>
  <c r="BG76" i="11"/>
  <c r="BF76" i="11"/>
  <c r="BE76" i="11"/>
  <c r="BC76" i="11"/>
  <c r="BA76" i="11"/>
  <c r="AZ76" i="11"/>
  <c r="AY76" i="11"/>
  <c r="AX76" i="11"/>
  <c r="AW76" i="11"/>
  <c r="AS76" i="11"/>
  <c r="AR76" i="11"/>
  <c r="AQ76" i="11"/>
  <c r="AP76" i="11"/>
  <c r="AO76" i="11"/>
  <c r="AN76" i="11"/>
  <c r="AM76" i="11"/>
  <c r="AK76" i="11"/>
  <c r="AJ76" i="11"/>
  <c r="AI76" i="11"/>
  <c r="AU76" i="11" s="1"/>
  <c r="N42" i="13" s="1"/>
  <c r="AG76" i="11"/>
  <c r="AF76" i="11"/>
  <c r="AE76" i="11"/>
  <c r="AC76" i="11"/>
  <c r="AB76" i="11"/>
  <c r="AA76" i="11"/>
  <c r="Z76" i="11"/>
  <c r="Y76" i="11"/>
  <c r="X76" i="11"/>
  <c r="W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EG73" i="11"/>
  <c r="EF73" i="11"/>
  <c r="EE73" i="11"/>
  <c r="ED73" i="11"/>
  <c r="EC73" i="11"/>
  <c r="EB73" i="11"/>
  <c r="EA73" i="11"/>
  <c r="DZ73" i="11"/>
  <c r="DY73" i="11"/>
  <c r="DX73" i="11"/>
  <c r="DW73" i="11"/>
  <c r="DV73" i="11"/>
  <c r="DT73" i="11"/>
  <c r="DS73" i="11"/>
  <c r="DR73" i="11"/>
  <c r="DQ73" i="11"/>
  <c r="DP73" i="11"/>
  <c r="DO73" i="11"/>
  <c r="DN73" i="11"/>
  <c r="DM73" i="11"/>
  <c r="DL73" i="11"/>
  <c r="DK73" i="11"/>
  <c r="DJ73" i="11"/>
  <c r="DI73" i="11"/>
  <c r="DG73" i="11"/>
  <c r="DF73" i="11"/>
  <c r="DE73" i="11"/>
  <c r="DD73" i="11"/>
  <c r="DC73" i="11"/>
  <c r="DB73" i="11"/>
  <c r="DA73" i="11"/>
  <c r="CY73" i="11"/>
  <c r="CX73" i="11"/>
  <c r="CW73" i="11"/>
  <c r="CV73" i="11"/>
  <c r="CT73" i="11"/>
  <c r="CS73" i="11"/>
  <c r="CR73" i="11"/>
  <c r="CP73" i="11"/>
  <c r="CO73" i="11"/>
  <c r="CN73" i="11"/>
  <c r="CM73" i="11"/>
  <c r="CL73" i="11"/>
  <c r="CK73" i="11"/>
  <c r="CJ73" i="11"/>
  <c r="CG73" i="11"/>
  <c r="CF73" i="11"/>
  <c r="CE73" i="11"/>
  <c r="CD73" i="11"/>
  <c r="CC73" i="11"/>
  <c r="CB73" i="11"/>
  <c r="CA73" i="11"/>
  <c r="BY73" i="11"/>
  <c r="BX73" i="11"/>
  <c r="BW73" i="11"/>
  <c r="BV73" i="11"/>
  <c r="BT73" i="11"/>
  <c r="BS73" i="11"/>
  <c r="BR73" i="11"/>
  <c r="BP73" i="11"/>
  <c r="BO73" i="11"/>
  <c r="BN73" i="11"/>
  <c r="BM73" i="11"/>
  <c r="BL73" i="11"/>
  <c r="BK73" i="11"/>
  <c r="BJ73" i="11"/>
  <c r="BU73" i="11" s="1"/>
  <c r="R41" i="13" s="1"/>
  <c r="BG73" i="11"/>
  <c r="BF73" i="11"/>
  <c r="BE73" i="11"/>
  <c r="BD73" i="11"/>
  <c r="BC73" i="11"/>
  <c r="BB73" i="11"/>
  <c r="BA73" i="11"/>
  <c r="AY73" i="11"/>
  <c r="AX73" i="11"/>
  <c r="AW73" i="11"/>
  <c r="AV73" i="11"/>
  <c r="AT73" i="11"/>
  <c r="AS73" i="11"/>
  <c r="AR73" i="11"/>
  <c r="AP73" i="11"/>
  <c r="AO73" i="11"/>
  <c r="AN73" i="11"/>
  <c r="AM73" i="11"/>
  <c r="AL73" i="11"/>
  <c r="AK73" i="11"/>
  <c r="AJ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U73" i="11" s="1"/>
  <c r="EH72" i="11"/>
  <c r="DU72" i="11"/>
  <c r="DH72" i="11"/>
  <c r="CU72" i="11"/>
  <c r="CH72" i="11"/>
  <c r="T40" i="13" s="1"/>
  <c r="BU72" i="11"/>
  <c r="R40" i="13" s="1"/>
  <c r="BH72" i="11"/>
  <c r="P40" i="13" s="1"/>
  <c r="AU72" i="11"/>
  <c r="N40" i="13" s="1"/>
  <c r="AH72" i="11"/>
  <c r="J40" i="13" s="1"/>
  <c r="L40" i="13" s="1"/>
  <c r="U72" i="11"/>
  <c r="EH71" i="11"/>
  <c r="DU71" i="11"/>
  <c r="DH71" i="11"/>
  <c r="CU71" i="11"/>
  <c r="CH71" i="11"/>
  <c r="BU71" i="11"/>
  <c r="BH71" i="11"/>
  <c r="AU71" i="11"/>
  <c r="AH71" i="11"/>
  <c r="U71" i="11"/>
  <c r="EH70" i="11"/>
  <c r="DU70" i="11"/>
  <c r="DH70" i="11"/>
  <c r="CU70" i="11"/>
  <c r="CH70" i="11"/>
  <c r="BU70" i="11"/>
  <c r="BH70" i="11"/>
  <c r="AU70" i="11"/>
  <c r="AH70" i="11"/>
  <c r="U70" i="11"/>
  <c r="EH69" i="11"/>
  <c r="DU69" i="11"/>
  <c r="DH69" i="11"/>
  <c r="CU69" i="11"/>
  <c r="CH69" i="11"/>
  <c r="BU69" i="11"/>
  <c r="BH69" i="11"/>
  <c r="AU69" i="11"/>
  <c r="AH69" i="11"/>
  <c r="U69" i="11"/>
  <c r="EH68" i="11"/>
  <c r="DU68" i="11"/>
  <c r="DH68" i="11"/>
  <c r="CU68" i="11"/>
  <c r="CH68" i="11"/>
  <c r="BU68" i="11"/>
  <c r="BH68" i="11"/>
  <c r="AU68" i="11"/>
  <c r="AH68" i="11"/>
  <c r="U68" i="11"/>
  <c r="EH67" i="11"/>
  <c r="DU67" i="11"/>
  <c r="DH67" i="11"/>
  <c r="CU67" i="11"/>
  <c r="CH67" i="11"/>
  <c r="BU67" i="11"/>
  <c r="BH67" i="11"/>
  <c r="AU67" i="11"/>
  <c r="AH67" i="11"/>
  <c r="U67" i="11"/>
  <c r="EH66" i="11"/>
  <c r="DU66" i="11"/>
  <c r="DH66" i="11"/>
  <c r="CU66" i="11"/>
  <c r="CH66" i="11"/>
  <c r="BU66" i="11"/>
  <c r="BH66" i="11"/>
  <c r="AU66" i="11"/>
  <c r="AH66" i="11"/>
  <c r="U66" i="11"/>
  <c r="EH65" i="11"/>
  <c r="DU65" i="11"/>
  <c r="DH65" i="11"/>
  <c r="CU65" i="11"/>
  <c r="CH65" i="11"/>
  <c r="BU65" i="11"/>
  <c r="BH65" i="11"/>
  <c r="AU65" i="11"/>
  <c r="AH65" i="11"/>
  <c r="U65" i="11"/>
  <c r="EH63" i="11"/>
  <c r="DU63" i="11"/>
  <c r="DH63" i="11"/>
  <c r="CU63" i="11"/>
  <c r="CH63" i="11"/>
  <c r="BU63" i="11"/>
  <c r="BH63" i="11"/>
  <c r="AU63" i="11"/>
  <c r="AH63" i="11"/>
  <c r="U63" i="11"/>
  <c r="EH61" i="11"/>
  <c r="DU61" i="11"/>
  <c r="DH61" i="11"/>
  <c r="CU61" i="11"/>
  <c r="CH61" i="11"/>
  <c r="J10" i="14" s="1"/>
  <c r="BU61" i="11"/>
  <c r="I10" i="24" s="1"/>
  <c r="BH61" i="11"/>
  <c r="AU61" i="11"/>
  <c r="AH61" i="11"/>
  <c r="U61" i="11"/>
  <c r="EH60" i="11"/>
  <c r="DU60" i="11"/>
  <c r="DH60" i="11"/>
  <c r="CU60" i="11"/>
  <c r="CH60" i="11"/>
  <c r="BU60" i="11"/>
  <c r="BH60" i="11"/>
  <c r="AU60" i="11"/>
  <c r="AH60" i="11"/>
  <c r="U60" i="11"/>
  <c r="EH57" i="11"/>
  <c r="DU57" i="11"/>
  <c r="DH57" i="11"/>
  <c r="CU57" i="11"/>
  <c r="CH57" i="11"/>
  <c r="BU57" i="11"/>
  <c r="BH57" i="11"/>
  <c r="AU57" i="11"/>
  <c r="AH57" i="11"/>
  <c r="U57" i="11"/>
  <c r="EH56" i="11"/>
  <c r="DU56" i="11"/>
  <c r="DH56" i="11"/>
  <c r="CU56" i="11"/>
  <c r="CH56" i="11"/>
  <c r="BU56" i="11"/>
  <c r="BH56" i="11"/>
  <c r="AU56" i="11"/>
  <c r="AH56" i="11"/>
  <c r="U56" i="11"/>
  <c r="EG55" i="11"/>
  <c r="EF55" i="11"/>
  <c r="EE55" i="11"/>
  <c r="ED55" i="11"/>
  <c r="EC55" i="11"/>
  <c r="EB55" i="11"/>
  <c r="DY55" i="11"/>
  <c r="DX55" i="11"/>
  <c r="DW55" i="11"/>
  <c r="DV55" i="11"/>
  <c r="DT55" i="11"/>
  <c r="DS55" i="11"/>
  <c r="DQ55" i="11"/>
  <c r="DO55" i="11"/>
  <c r="DN55" i="11"/>
  <c r="DM55" i="11"/>
  <c r="DL55" i="11"/>
  <c r="DK55" i="11"/>
  <c r="DI55" i="11"/>
  <c r="DU55" i="11" s="1"/>
  <c r="DF55" i="11"/>
  <c r="DE55" i="11"/>
  <c r="DD55" i="11"/>
  <c r="DC55" i="11"/>
  <c r="DB55" i="11"/>
  <c r="CY55" i="11"/>
  <c r="CX55" i="11"/>
  <c r="CW55" i="11"/>
  <c r="CV55" i="11"/>
  <c r="CT55" i="11"/>
  <c r="CS55" i="11"/>
  <c r="CO55" i="11"/>
  <c r="CN55" i="11"/>
  <c r="CM55" i="11"/>
  <c r="CL55" i="11"/>
  <c r="CK55" i="11"/>
  <c r="CI55" i="11"/>
  <c r="CF55" i="11"/>
  <c r="CE55" i="11"/>
  <c r="CD55" i="11"/>
  <c r="CC55" i="11"/>
  <c r="CB55" i="11"/>
  <c r="CA55" i="11"/>
  <c r="BX55" i="11"/>
  <c r="BW55" i="11"/>
  <c r="BV55" i="11"/>
  <c r="BT55" i="11"/>
  <c r="BS55" i="11"/>
  <c r="BP55" i="11"/>
  <c r="BO55" i="11"/>
  <c r="BN55" i="11"/>
  <c r="BM55" i="11"/>
  <c r="BL55" i="11"/>
  <c r="BK55" i="11"/>
  <c r="BF55" i="11"/>
  <c r="BE55" i="11"/>
  <c r="BD55" i="11"/>
  <c r="BC55" i="11"/>
  <c r="BB55" i="11"/>
  <c r="AX55" i="11"/>
  <c r="AW55" i="11"/>
  <c r="AV55" i="11"/>
  <c r="AT55" i="11"/>
  <c r="AS55" i="11"/>
  <c r="AO55" i="11"/>
  <c r="AN55" i="11"/>
  <c r="AM55" i="11"/>
  <c r="AL55" i="11"/>
  <c r="AK55" i="11"/>
  <c r="AJ55" i="11"/>
  <c r="AG55" i="11"/>
  <c r="AF55" i="11"/>
  <c r="AE55" i="11"/>
  <c r="AD55" i="11"/>
  <c r="AC55" i="11"/>
  <c r="AB55" i="11"/>
  <c r="Y55" i="11"/>
  <c r="X55" i="11"/>
  <c r="W55" i="11"/>
  <c r="V55" i="11"/>
  <c r="T55" i="11"/>
  <c r="S55" i="11"/>
  <c r="Q55" i="11"/>
  <c r="O55" i="11"/>
  <c r="N55" i="11"/>
  <c r="M55" i="11"/>
  <c r="L55" i="11"/>
  <c r="K55" i="11"/>
  <c r="I55" i="11"/>
  <c r="U55" i="11" s="1"/>
  <c r="G54" i="11"/>
  <c r="G136" i="11" s="1"/>
  <c r="F212" i="11"/>
  <c r="EB52" i="11"/>
  <c r="F211" i="11"/>
  <c r="EH51" i="11"/>
  <c r="DU51" i="11"/>
  <c r="DH51" i="11"/>
  <c r="CU51" i="11"/>
  <c r="CH51" i="11"/>
  <c r="BU51" i="11"/>
  <c r="BH51" i="11"/>
  <c r="AU51" i="11"/>
  <c r="AH51" i="11"/>
  <c r="U51" i="11"/>
  <c r="EH50" i="11"/>
  <c r="DU50" i="11"/>
  <c r="DH50" i="11"/>
  <c r="CU50" i="11"/>
  <c r="CH50" i="11"/>
  <c r="BU50" i="11"/>
  <c r="BH50" i="11"/>
  <c r="AU50" i="11"/>
  <c r="AH50" i="11"/>
  <c r="U50" i="11"/>
  <c r="EH49" i="11"/>
  <c r="DU49" i="11"/>
  <c r="DH49" i="11"/>
  <c r="CU49" i="11"/>
  <c r="CH49" i="11"/>
  <c r="BU49" i="11"/>
  <c r="BH49" i="11"/>
  <c r="AU49" i="11"/>
  <c r="AH49" i="11"/>
  <c r="U49" i="11"/>
  <c r="EH48" i="11"/>
  <c r="DU48" i="11"/>
  <c r="DH48" i="11"/>
  <c r="CU48" i="11"/>
  <c r="CH48" i="11"/>
  <c r="BU48" i="11"/>
  <c r="BH48" i="11"/>
  <c r="AU48" i="11"/>
  <c r="AH48" i="11"/>
  <c r="U48" i="11"/>
  <c r="EH47" i="11"/>
  <c r="DU47" i="11"/>
  <c r="DH47" i="11"/>
  <c r="CU47" i="11"/>
  <c r="CH47" i="11"/>
  <c r="BU47" i="11"/>
  <c r="BH47" i="11"/>
  <c r="AU47" i="11"/>
  <c r="AH47" i="11"/>
  <c r="U47" i="11"/>
  <c r="EH46" i="11"/>
  <c r="DU46" i="11"/>
  <c r="DH46" i="11"/>
  <c r="CU46" i="11"/>
  <c r="CH46" i="11"/>
  <c r="BU46" i="11"/>
  <c r="BH46" i="11"/>
  <c r="AU46" i="11"/>
  <c r="AH46" i="11"/>
  <c r="U46" i="11"/>
  <c r="EH45" i="11"/>
  <c r="DU45" i="11"/>
  <c r="DH45" i="11"/>
  <c r="CU45" i="11"/>
  <c r="CH45" i="11"/>
  <c r="BU45" i="11"/>
  <c r="BH45" i="11"/>
  <c r="AU45" i="11"/>
  <c r="AH45" i="11"/>
  <c r="U45" i="11"/>
  <c r="EH44" i="11"/>
  <c r="DU44" i="11"/>
  <c r="DH44" i="11"/>
  <c r="CU44" i="11"/>
  <c r="CH44" i="11"/>
  <c r="BU44" i="11"/>
  <c r="BH44" i="11"/>
  <c r="AU44" i="11"/>
  <c r="AH44" i="11"/>
  <c r="U44" i="11"/>
  <c r="EH42" i="11"/>
  <c r="DU42" i="11"/>
  <c r="DH42" i="11"/>
  <c r="CU42" i="11"/>
  <c r="CH42" i="11"/>
  <c r="BU42" i="11"/>
  <c r="BH42" i="11"/>
  <c r="AU42" i="11"/>
  <c r="AH42" i="11"/>
  <c r="U42" i="11"/>
  <c r="EH41" i="11"/>
  <c r="DU41" i="11"/>
  <c r="DH41" i="11"/>
  <c r="CU41" i="11"/>
  <c r="CH41" i="11"/>
  <c r="BU41" i="11"/>
  <c r="BH41" i="11"/>
  <c r="AU41" i="11"/>
  <c r="AH41" i="11"/>
  <c r="U41" i="11"/>
  <c r="EH40" i="11"/>
  <c r="DU40" i="11"/>
  <c r="DH40" i="11"/>
  <c r="CU40" i="11"/>
  <c r="CH40" i="11"/>
  <c r="BU40" i="11"/>
  <c r="BH40" i="11"/>
  <c r="AU40" i="11"/>
  <c r="AH40" i="11"/>
  <c r="U40" i="11"/>
  <c r="EH38" i="11"/>
  <c r="DU38" i="11"/>
  <c r="DH38" i="11"/>
  <c r="CU38" i="11"/>
  <c r="CH38" i="11"/>
  <c r="BU38" i="11"/>
  <c r="BH38" i="11"/>
  <c r="AU38" i="11"/>
  <c r="AH38" i="11"/>
  <c r="U38" i="11"/>
  <c r="EH37" i="11"/>
  <c r="DU37" i="11"/>
  <c r="DH37" i="11"/>
  <c r="CU37" i="11"/>
  <c r="CH37" i="11"/>
  <c r="BU37" i="11"/>
  <c r="BH37" i="11"/>
  <c r="AU37" i="11"/>
  <c r="AH37" i="11"/>
  <c r="U37" i="11"/>
  <c r="EH36" i="11"/>
  <c r="DU36" i="11"/>
  <c r="DH36" i="11"/>
  <c r="CU36" i="11"/>
  <c r="CH36" i="11"/>
  <c r="EH35" i="11"/>
  <c r="DU35" i="11"/>
  <c r="DH35" i="11"/>
  <c r="CU35" i="11"/>
  <c r="CH35" i="11"/>
  <c r="BU35" i="11"/>
  <c r="BH35" i="11"/>
  <c r="AU35" i="11"/>
  <c r="AH35" i="11"/>
  <c r="H35" i="11"/>
  <c r="EH34" i="11"/>
  <c r="DU34" i="11"/>
  <c r="DH34" i="11"/>
  <c r="CU34" i="11"/>
  <c r="CH34" i="11"/>
  <c r="EH33" i="11"/>
  <c r="DU33" i="11"/>
  <c r="DH33" i="11"/>
  <c r="CU33" i="11"/>
  <c r="CH33" i="11"/>
  <c r="AU33" i="11"/>
  <c r="U33" i="11"/>
  <c r="EH32" i="11"/>
  <c r="DU32" i="11"/>
  <c r="DH32" i="11"/>
  <c r="CU32" i="11"/>
  <c r="CH32" i="11"/>
  <c r="BU32" i="11"/>
  <c r="BH32" i="11"/>
  <c r="AU32" i="11"/>
  <c r="AH32" i="11"/>
  <c r="U32" i="11"/>
  <c r="EH31" i="11"/>
  <c r="DU31" i="11"/>
  <c r="DH31" i="11"/>
  <c r="CU31" i="11"/>
  <c r="CH31" i="11"/>
  <c r="BU31" i="11"/>
  <c r="H30" i="11"/>
  <c r="EH29" i="11"/>
  <c r="DU29" i="11"/>
  <c r="DH29" i="11"/>
  <c r="CU29" i="11"/>
  <c r="CH29" i="11"/>
  <c r="BU29" i="11"/>
  <c r="BH29" i="11"/>
  <c r="AU29" i="11"/>
  <c r="AH29" i="11"/>
  <c r="D15" i="1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10" i="11"/>
  <c r="D11" i="11" s="1"/>
  <c r="D12" i="11" s="1"/>
  <c r="D13" i="11" s="1"/>
  <c r="E6" i="11"/>
  <c r="E131" i="11" s="1"/>
  <c r="G70" i="10"/>
  <c r="F68" i="10"/>
  <c r="F67" i="10"/>
  <c r="F66" i="10"/>
  <c r="F65" i="10"/>
  <c r="F64" i="10"/>
  <c r="F61" i="10"/>
  <c r="F60" i="10"/>
  <c r="F59" i="10"/>
  <c r="C55" i="10"/>
  <c r="C103" i="10" s="1"/>
  <c r="C126" i="10" s="1"/>
  <c r="C149" i="10" s="1"/>
  <c r="C53" i="10"/>
  <c r="C101" i="10" s="1"/>
  <c r="C124" i="10" s="1"/>
  <c r="C147" i="10" s="1"/>
  <c r="C51" i="10"/>
  <c r="C99" i="10" s="1"/>
  <c r="C122" i="10" s="1"/>
  <c r="C145" i="10" s="1"/>
  <c r="C49" i="10"/>
  <c r="C97" i="10" s="1"/>
  <c r="C120" i="10" s="1"/>
  <c r="C143" i="10" s="1"/>
  <c r="C47" i="10"/>
  <c r="C95" i="10" s="1"/>
  <c r="C118" i="10" s="1"/>
  <c r="C141" i="10" s="1"/>
  <c r="C45" i="10"/>
  <c r="C93" i="10" s="1"/>
  <c r="C116" i="10" s="1"/>
  <c r="C139" i="10" s="1"/>
  <c r="C43" i="10"/>
  <c r="C91" i="10" s="1"/>
  <c r="C114" i="10" s="1"/>
  <c r="C137" i="10" s="1"/>
  <c r="C41" i="10"/>
  <c r="C89" i="10" s="1"/>
  <c r="C112" i="10" s="1"/>
  <c r="C135" i="10" s="1"/>
  <c r="C39" i="10"/>
  <c r="C87" i="10" s="1"/>
  <c r="C110" i="10" s="1"/>
  <c r="C133" i="10" s="1"/>
  <c r="C37" i="10"/>
  <c r="C85" i="10" s="1"/>
  <c r="C108" i="10" s="1"/>
  <c r="C131" i="10" s="1"/>
  <c r="P32" i="10"/>
  <c r="O32" i="10"/>
  <c r="N32" i="10"/>
  <c r="M32" i="10"/>
  <c r="L32" i="10"/>
  <c r="K32" i="10"/>
  <c r="J32" i="10"/>
  <c r="I32" i="10"/>
  <c r="H32" i="10"/>
  <c r="G32" i="10"/>
  <c r="F32" i="10"/>
  <c r="AC26" i="10"/>
  <c r="AA26" i="10"/>
  <c r="Y26" i="10"/>
  <c r="W26" i="10"/>
  <c r="U26" i="10"/>
  <c r="AB25" i="10"/>
  <c r="Z25" i="10"/>
  <c r="X25" i="10"/>
  <c r="V25" i="10"/>
  <c r="T25" i="10"/>
  <c r="AB24" i="10"/>
  <c r="Z24" i="10"/>
  <c r="X24" i="10"/>
  <c r="V24" i="10"/>
  <c r="T24" i="10"/>
  <c r="G24" i="10"/>
  <c r="I23" i="10"/>
  <c r="G23" i="10"/>
  <c r="I22" i="10"/>
  <c r="G22" i="10"/>
  <c r="G20" i="10"/>
  <c r="I18" i="10" s="1"/>
  <c r="G18" i="10"/>
  <c r="V14" i="10"/>
  <c r="X14" i="10" s="1"/>
  <c r="Z14" i="10" s="1"/>
  <c r="AB14" i="10" s="1"/>
  <c r="T14" i="10"/>
  <c r="R14" i="10"/>
  <c r="P14" i="10"/>
  <c r="N14" i="10"/>
  <c r="L14" i="10"/>
  <c r="J14" i="10"/>
  <c r="H14" i="10"/>
  <c r="F14" i="10"/>
  <c r="G16" i="10"/>
  <c r="F9" i="10"/>
  <c r="E9" i="10"/>
  <c r="B6" i="10"/>
  <c r="G72" i="9"/>
  <c r="E56" i="9"/>
  <c r="F56" i="9" s="1"/>
  <c r="G56" i="9" s="1"/>
  <c r="H56" i="9" s="1"/>
  <c r="D54" i="9"/>
  <c r="D53" i="9"/>
  <c r="D52" i="9"/>
  <c r="D51" i="9"/>
  <c r="K18" i="9"/>
  <c r="J18" i="9"/>
  <c r="C42" i="7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30" i="7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AG77" i="11"/>
  <c r="V77" i="11"/>
  <c r="C18" i="7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K7" i="7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K333" i="4"/>
  <c r="G333" i="4"/>
  <c r="G332" i="4"/>
  <c r="X329" i="4"/>
  <c r="X328" i="4"/>
  <c r="H129" i="11"/>
  <c r="X327" i="4"/>
  <c r="X326" i="4"/>
  <c r="X325" i="4"/>
  <c r="X324" i="4"/>
  <c r="X323" i="4"/>
  <c r="X322" i="4"/>
  <c r="X321" i="4"/>
  <c r="X320" i="4"/>
  <c r="X319" i="4"/>
  <c r="X315" i="4"/>
  <c r="X314" i="4"/>
  <c r="X313" i="4"/>
  <c r="X312" i="4"/>
  <c r="X311" i="4"/>
  <c r="X310" i="4"/>
  <c r="X309" i="4"/>
  <c r="X308" i="4"/>
  <c r="X307" i="4"/>
  <c r="X306" i="4"/>
  <c r="X305" i="4"/>
  <c r="X300" i="4"/>
  <c r="X299" i="4"/>
  <c r="X298" i="4"/>
  <c r="X297" i="4"/>
  <c r="X296" i="4"/>
  <c r="X295" i="4"/>
  <c r="X294" i="4"/>
  <c r="X293" i="4"/>
  <c r="X292" i="4"/>
  <c r="X291" i="4"/>
  <c r="F290" i="4"/>
  <c r="F226" i="11" s="1"/>
  <c r="X289" i="4"/>
  <c r="F289" i="4"/>
  <c r="F225" i="11" s="1"/>
  <c r="X288" i="4"/>
  <c r="F288" i="4"/>
  <c r="F224" i="11" s="1"/>
  <c r="F287" i="4"/>
  <c r="F223" i="11" s="1"/>
  <c r="X286" i="4"/>
  <c r="F286" i="4"/>
  <c r="F222" i="11" s="1"/>
  <c r="X285" i="4"/>
  <c r="F285" i="4"/>
  <c r="F221" i="11" s="1"/>
  <c r="X280" i="4"/>
  <c r="X279" i="4"/>
  <c r="X278" i="4"/>
  <c r="X277" i="4"/>
  <c r="X276" i="4"/>
  <c r="X275" i="4"/>
  <c r="X274" i="4"/>
  <c r="X273" i="4"/>
  <c r="X272" i="4"/>
  <c r="X271" i="4"/>
  <c r="X270" i="4"/>
  <c r="X269" i="4"/>
  <c r="X268" i="4"/>
  <c r="X267" i="4"/>
  <c r="X266" i="4"/>
  <c r="H260" i="4"/>
  <c r="H253" i="4"/>
  <c r="I210" i="11" s="1"/>
  <c r="J211" i="4"/>
  <c r="AN208" i="4"/>
  <c r="J207" i="4"/>
  <c r="AN204" i="4"/>
  <c r="J205" i="4" s="1"/>
  <c r="AN202" i="4"/>
  <c r="F201" i="4"/>
  <c r="L200" i="4"/>
  <c r="K199" i="4"/>
  <c r="G196" i="4"/>
  <c r="G16" i="11" s="1"/>
  <c r="G147" i="4"/>
  <c r="G156" i="4" s="1"/>
  <c r="G165" i="4" s="1"/>
  <c r="G174" i="4" s="1"/>
  <c r="AC111" i="4"/>
  <c r="AD111" i="4" s="1"/>
  <c r="AE111" i="4" s="1"/>
  <c r="AF111" i="4" s="1"/>
  <c r="AE97" i="4"/>
  <c r="AE98" i="4" s="1"/>
  <c r="AA97" i="4"/>
  <c r="G11" i="4"/>
  <c r="F11" i="9" s="1"/>
  <c r="G10" i="4"/>
  <c r="E11" i="9" s="1"/>
  <c r="G9" i="4"/>
  <c r="BQ464" i="3"/>
  <c r="BO464" i="3"/>
  <c r="BM464" i="3"/>
  <c r="BK464" i="3"/>
  <c r="BQ463" i="3"/>
  <c r="BO463" i="3"/>
  <c r="BM463" i="3"/>
  <c r="BK463" i="3"/>
  <c r="BQ462" i="3"/>
  <c r="BO462" i="3"/>
  <c r="BM462" i="3"/>
  <c r="BK462" i="3"/>
  <c r="BQ461" i="3"/>
  <c r="BO461" i="3"/>
  <c r="BM461" i="3"/>
  <c r="BK461" i="3"/>
  <c r="BQ460" i="3"/>
  <c r="BO460" i="3"/>
  <c r="BM460" i="3"/>
  <c r="BK460" i="3"/>
  <c r="BQ459" i="3"/>
  <c r="BO459" i="3"/>
  <c r="BM459" i="3"/>
  <c r="BK459" i="3"/>
  <c r="BQ458" i="3"/>
  <c r="BO458" i="3"/>
  <c r="BM458" i="3"/>
  <c r="BK458" i="3"/>
  <c r="BQ457" i="3"/>
  <c r="BO457" i="3"/>
  <c r="BM457" i="3"/>
  <c r="BK457" i="3"/>
  <c r="BQ456" i="3"/>
  <c r="BO456" i="3"/>
  <c r="BM456" i="3"/>
  <c r="BK456" i="3"/>
  <c r="BQ455" i="3"/>
  <c r="BO455" i="3"/>
  <c r="BM455" i="3"/>
  <c r="BK455" i="3"/>
  <c r="BQ454" i="3"/>
  <c r="BO454" i="3"/>
  <c r="BM454" i="3"/>
  <c r="BK454" i="3"/>
  <c r="BQ453" i="3"/>
  <c r="BO453" i="3"/>
  <c r="BM453" i="3"/>
  <c r="BK453" i="3"/>
  <c r="BQ452" i="3"/>
  <c r="BO452" i="3"/>
  <c r="BM452" i="3"/>
  <c r="BK452" i="3"/>
  <c r="BQ451" i="3"/>
  <c r="BO451" i="3"/>
  <c r="BM451" i="3"/>
  <c r="BK451" i="3"/>
  <c r="BQ450" i="3"/>
  <c r="BO450" i="3"/>
  <c r="BM450" i="3"/>
  <c r="BK450" i="3"/>
  <c r="BQ449" i="3"/>
  <c r="BO449" i="3"/>
  <c r="BM449" i="3"/>
  <c r="BK449" i="3"/>
  <c r="BQ448" i="3"/>
  <c r="BO448" i="3"/>
  <c r="BM448" i="3"/>
  <c r="BK448" i="3"/>
  <c r="BQ447" i="3"/>
  <c r="BO447" i="3"/>
  <c r="BM447" i="3"/>
  <c r="BK447" i="3"/>
  <c r="BQ446" i="3"/>
  <c r="BO446" i="3"/>
  <c r="BM446" i="3"/>
  <c r="BK446" i="3"/>
  <c r="BQ445" i="3"/>
  <c r="BO445" i="3"/>
  <c r="BM445" i="3"/>
  <c r="BK445" i="3"/>
  <c r="BQ444" i="3"/>
  <c r="BO444" i="3"/>
  <c r="BM444" i="3"/>
  <c r="BK444" i="3"/>
  <c r="BQ443" i="3"/>
  <c r="BO443" i="3"/>
  <c r="BM443" i="3"/>
  <c r="BK443" i="3"/>
  <c r="BQ442" i="3"/>
  <c r="BO442" i="3"/>
  <c r="BM442" i="3"/>
  <c r="BK442" i="3"/>
  <c r="BQ441" i="3"/>
  <c r="BO441" i="3"/>
  <c r="BM441" i="3"/>
  <c r="BK441" i="3"/>
  <c r="BQ440" i="3"/>
  <c r="BO440" i="3"/>
  <c r="BM440" i="3"/>
  <c r="BK440" i="3"/>
  <c r="BQ439" i="3"/>
  <c r="BO439" i="3"/>
  <c r="BM439" i="3"/>
  <c r="BK439" i="3"/>
  <c r="BQ438" i="3"/>
  <c r="BO438" i="3"/>
  <c r="BM438" i="3"/>
  <c r="BK438" i="3"/>
  <c r="BQ437" i="3"/>
  <c r="BO437" i="3"/>
  <c r="BM437" i="3"/>
  <c r="BK437" i="3"/>
  <c r="BQ436" i="3"/>
  <c r="BO436" i="3"/>
  <c r="BM436" i="3"/>
  <c r="BK436" i="3"/>
  <c r="BQ435" i="3"/>
  <c r="BO435" i="3"/>
  <c r="BM435" i="3"/>
  <c r="BK435" i="3"/>
  <c r="BQ434" i="3"/>
  <c r="BO434" i="3"/>
  <c r="BM434" i="3"/>
  <c r="BK434" i="3"/>
  <c r="BQ432" i="3"/>
  <c r="BO432" i="3"/>
  <c r="BM432" i="3"/>
  <c r="BK432" i="3"/>
  <c r="BQ431" i="3"/>
  <c r="BO431" i="3"/>
  <c r="BM431" i="3"/>
  <c r="BK431" i="3"/>
  <c r="BQ430" i="3"/>
  <c r="BO430" i="3"/>
  <c r="BM430" i="3"/>
  <c r="BK430" i="3"/>
  <c r="BQ429" i="3"/>
  <c r="BO429" i="3"/>
  <c r="BM429" i="3"/>
  <c r="BK429" i="3"/>
  <c r="BQ428" i="3"/>
  <c r="BO428" i="3"/>
  <c r="BM428" i="3"/>
  <c r="BK428" i="3"/>
  <c r="BQ427" i="3"/>
  <c r="BO427" i="3"/>
  <c r="BM427" i="3"/>
  <c r="BK427" i="3"/>
  <c r="BQ426" i="3"/>
  <c r="BO426" i="3"/>
  <c r="BM426" i="3"/>
  <c r="BK426" i="3"/>
  <c r="BQ425" i="3"/>
  <c r="BO425" i="3"/>
  <c r="BM425" i="3"/>
  <c r="BK425" i="3"/>
  <c r="BQ424" i="3"/>
  <c r="BO424" i="3"/>
  <c r="BM424" i="3"/>
  <c r="BK424" i="3"/>
  <c r="BQ423" i="3"/>
  <c r="BO423" i="3"/>
  <c r="BM423" i="3"/>
  <c r="BK423" i="3"/>
  <c r="BQ422" i="3"/>
  <c r="BO422" i="3"/>
  <c r="BM422" i="3"/>
  <c r="BK422" i="3"/>
  <c r="BQ421" i="3"/>
  <c r="BO421" i="3"/>
  <c r="BM421" i="3"/>
  <c r="BK421" i="3"/>
  <c r="BQ420" i="3"/>
  <c r="BO420" i="3"/>
  <c r="BM420" i="3"/>
  <c r="BK420" i="3"/>
  <c r="CE419" i="3"/>
  <c r="CC419" i="3"/>
  <c r="CA419" i="3"/>
  <c r="BY419" i="3"/>
  <c r="BQ418" i="3"/>
  <c r="BO418" i="3"/>
  <c r="BM418" i="3"/>
  <c r="BK418" i="3"/>
  <c r="BQ417" i="3"/>
  <c r="BO417" i="3"/>
  <c r="BM417" i="3"/>
  <c r="BK417" i="3"/>
  <c r="BQ416" i="3"/>
  <c r="BO416" i="3"/>
  <c r="BM416" i="3"/>
  <c r="BK416" i="3"/>
  <c r="BQ415" i="3"/>
  <c r="BO415" i="3"/>
  <c r="BM415" i="3"/>
  <c r="BK415" i="3"/>
  <c r="BQ414" i="3"/>
  <c r="BO414" i="3"/>
  <c r="BM414" i="3"/>
  <c r="BK414" i="3"/>
  <c r="BQ413" i="3"/>
  <c r="BO413" i="3"/>
  <c r="BM413" i="3"/>
  <c r="BK413" i="3"/>
  <c r="BQ412" i="3"/>
  <c r="BO412" i="3"/>
  <c r="BM412" i="3"/>
  <c r="BK412" i="3"/>
  <c r="BQ411" i="3"/>
  <c r="BO411" i="3"/>
  <c r="BM411" i="3"/>
  <c r="BK411" i="3"/>
  <c r="BQ410" i="3"/>
  <c r="BO410" i="3"/>
  <c r="BM410" i="3"/>
  <c r="BK410" i="3"/>
  <c r="BQ409" i="3"/>
  <c r="BO409" i="3"/>
  <c r="BM409" i="3"/>
  <c r="BK409" i="3"/>
  <c r="BQ408" i="3"/>
  <c r="BO408" i="3"/>
  <c r="BM408" i="3"/>
  <c r="BK408" i="3"/>
  <c r="BQ407" i="3"/>
  <c r="BO407" i="3"/>
  <c r="BM407" i="3"/>
  <c r="BK407" i="3"/>
  <c r="BQ406" i="3"/>
  <c r="BO406" i="3"/>
  <c r="BM406" i="3"/>
  <c r="BK406" i="3"/>
  <c r="BQ405" i="3"/>
  <c r="BO405" i="3"/>
  <c r="BM405" i="3"/>
  <c r="BK405" i="3"/>
  <c r="BQ404" i="3"/>
  <c r="BO404" i="3"/>
  <c r="BM404" i="3"/>
  <c r="BK404" i="3"/>
  <c r="BQ403" i="3"/>
  <c r="BO403" i="3"/>
  <c r="BM403" i="3"/>
  <c r="BK403" i="3"/>
  <c r="BQ401" i="3"/>
  <c r="BO401" i="3"/>
  <c r="BM401" i="3"/>
  <c r="BK401" i="3"/>
  <c r="BQ400" i="3"/>
  <c r="BO400" i="3"/>
  <c r="BM400" i="3"/>
  <c r="BK400" i="3"/>
  <c r="BQ399" i="3"/>
  <c r="BO399" i="3"/>
  <c r="BM399" i="3"/>
  <c r="BK399" i="3"/>
  <c r="BQ398" i="3"/>
  <c r="BO398" i="3"/>
  <c r="BM398" i="3"/>
  <c r="BK398" i="3"/>
  <c r="BQ397" i="3"/>
  <c r="BO397" i="3"/>
  <c r="BM397" i="3"/>
  <c r="BK397" i="3"/>
  <c r="BQ396" i="3"/>
  <c r="BO396" i="3"/>
  <c r="BM396" i="3"/>
  <c r="BK396" i="3"/>
  <c r="BQ395" i="3"/>
  <c r="BO395" i="3"/>
  <c r="BM395" i="3"/>
  <c r="BK395" i="3"/>
  <c r="BQ394" i="3"/>
  <c r="BO394" i="3"/>
  <c r="BM394" i="3"/>
  <c r="BK394" i="3"/>
  <c r="BQ393" i="3"/>
  <c r="BO393" i="3"/>
  <c r="BM393" i="3"/>
  <c r="BK393" i="3"/>
  <c r="BQ392" i="3"/>
  <c r="BO392" i="3"/>
  <c r="BM392" i="3"/>
  <c r="BK392" i="3"/>
  <c r="BQ391" i="3"/>
  <c r="BO391" i="3"/>
  <c r="BM391" i="3"/>
  <c r="BK391" i="3"/>
  <c r="BQ390" i="3"/>
  <c r="BO390" i="3"/>
  <c r="BM390" i="3"/>
  <c r="BK390" i="3"/>
  <c r="BQ389" i="3"/>
  <c r="BO389" i="3"/>
  <c r="BM389" i="3"/>
  <c r="BK389" i="3"/>
  <c r="BQ388" i="3"/>
  <c r="BO388" i="3"/>
  <c r="BM388" i="3"/>
  <c r="BK388" i="3"/>
  <c r="BQ387" i="3"/>
  <c r="BO387" i="3"/>
  <c r="BM387" i="3"/>
  <c r="BK387" i="3"/>
  <c r="BQ385" i="3"/>
  <c r="BO385" i="3"/>
  <c r="BM385" i="3"/>
  <c r="BK385" i="3"/>
  <c r="BQ384" i="3"/>
  <c r="BO384" i="3"/>
  <c r="BM384" i="3"/>
  <c r="BK384" i="3"/>
  <c r="BQ383" i="3"/>
  <c r="BO383" i="3"/>
  <c r="BM383" i="3"/>
  <c r="BK383" i="3"/>
  <c r="BQ382" i="3"/>
  <c r="BO382" i="3"/>
  <c r="BM382" i="3"/>
  <c r="BK382" i="3"/>
  <c r="BQ381" i="3"/>
  <c r="BO381" i="3"/>
  <c r="BM381" i="3"/>
  <c r="BK381" i="3"/>
  <c r="BQ380" i="3"/>
  <c r="BO380" i="3"/>
  <c r="BM380" i="3"/>
  <c r="BK380" i="3"/>
  <c r="BQ379" i="3"/>
  <c r="BO379" i="3"/>
  <c r="BM379" i="3"/>
  <c r="BK379" i="3"/>
  <c r="CD378" i="3"/>
  <c r="CB378" i="3"/>
  <c r="BZ378" i="3"/>
  <c r="BX378" i="3"/>
  <c r="CD377" i="3"/>
  <c r="CB377" i="3"/>
  <c r="BZ377" i="3"/>
  <c r="BX377" i="3"/>
  <c r="BQ376" i="3"/>
  <c r="BO376" i="3"/>
  <c r="BM376" i="3"/>
  <c r="BK376" i="3"/>
  <c r="BQ375" i="3"/>
  <c r="BO375" i="3"/>
  <c r="BM375" i="3"/>
  <c r="BK375" i="3"/>
  <c r="BQ374" i="3"/>
  <c r="BO374" i="3"/>
  <c r="BM374" i="3"/>
  <c r="BK374" i="3"/>
  <c r="BQ373" i="3"/>
  <c r="BO373" i="3"/>
  <c r="BM373" i="3"/>
  <c r="BK373" i="3"/>
  <c r="BQ372" i="3"/>
  <c r="BO372" i="3"/>
  <c r="BM372" i="3"/>
  <c r="BK372" i="3"/>
  <c r="BQ371" i="3"/>
  <c r="BO371" i="3"/>
  <c r="BM371" i="3"/>
  <c r="BK371" i="3"/>
  <c r="BQ369" i="3"/>
  <c r="BO369" i="3"/>
  <c r="BM369" i="3"/>
  <c r="BK369" i="3"/>
  <c r="BQ368" i="3"/>
  <c r="BO368" i="3"/>
  <c r="BM368" i="3"/>
  <c r="BK368" i="3"/>
  <c r="BQ367" i="3"/>
  <c r="BO367" i="3"/>
  <c r="BM367" i="3"/>
  <c r="BK367" i="3"/>
  <c r="BQ366" i="3"/>
  <c r="BO366" i="3"/>
  <c r="BM366" i="3"/>
  <c r="BK366" i="3"/>
  <c r="BQ365" i="3"/>
  <c r="BO365" i="3"/>
  <c r="BM365" i="3"/>
  <c r="BK365" i="3"/>
  <c r="BQ364" i="3"/>
  <c r="BO364" i="3"/>
  <c r="BM364" i="3"/>
  <c r="BK364" i="3"/>
  <c r="BQ363" i="3"/>
  <c r="BO363" i="3"/>
  <c r="BM363" i="3"/>
  <c r="BK363" i="3"/>
  <c r="BQ362" i="3"/>
  <c r="BO362" i="3"/>
  <c r="BM362" i="3"/>
  <c r="BK362" i="3"/>
  <c r="BQ361" i="3"/>
  <c r="BO361" i="3"/>
  <c r="BM361" i="3"/>
  <c r="BK361" i="3"/>
  <c r="BQ360" i="3"/>
  <c r="BO360" i="3"/>
  <c r="BM360" i="3"/>
  <c r="BK360" i="3"/>
  <c r="BQ359" i="3"/>
  <c r="BO359" i="3"/>
  <c r="BM359" i="3"/>
  <c r="BK359" i="3"/>
  <c r="BQ358" i="3"/>
  <c r="BO358" i="3"/>
  <c r="BM358" i="3"/>
  <c r="BK358" i="3"/>
  <c r="CE357" i="3"/>
  <c r="CC357" i="3"/>
  <c r="CA357" i="3"/>
  <c r="BY357" i="3"/>
  <c r="CE356" i="3"/>
  <c r="CC356" i="3"/>
  <c r="CA356" i="3"/>
  <c r="BY356" i="3"/>
  <c r="BQ355" i="3"/>
  <c r="BO355" i="3"/>
  <c r="BM355" i="3"/>
  <c r="BK355" i="3"/>
  <c r="BP354" i="3"/>
  <c r="BP370" i="3" s="1"/>
  <c r="BP386" i="3" s="1"/>
  <c r="BN354" i="3"/>
  <c r="BO354" i="3" s="1"/>
  <c r="BL354" i="3"/>
  <c r="BL370" i="3" s="1"/>
  <c r="BL386" i="3" s="1"/>
  <c r="BJ354" i="3"/>
  <c r="BJ370" i="3" s="1"/>
  <c r="BK370" i="3" s="1"/>
  <c r="BQ353" i="3"/>
  <c r="BO353" i="3"/>
  <c r="BM353" i="3"/>
  <c r="BK353" i="3"/>
  <c r="BQ352" i="3"/>
  <c r="BO352" i="3"/>
  <c r="BM352" i="3"/>
  <c r="BK352" i="3"/>
  <c r="BQ351" i="3"/>
  <c r="BO351" i="3"/>
  <c r="BM351" i="3"/>
  <c r="BK351" i="3"/>
  <c r="BQ350" i="3"/>
  <c r="BO350" i="3"/>
  <c r="BM350" i="3"/>
  <c r="BK350" i="3"/>
  <c r="BQ349" i="3"/>
  <c r="BO349" i="3"/>
  <c r="BM349" i="3"/>
  <c r="BK349" i="3"/>
  <c r="BQ348" i="3"/>
  <c r="BO348" i="3"/>
  <c r="BM348" i="3"/>
  <c r="BK348" i="3"/>
  <c r="BQ347" i="3"/>
  <c r="BO347" i="3"/>
  <c r="BM347" i="3"/>
  <c r="BK347" i="3"/>
  <c r="BQ346" i="3"/>
  <c r="BO346" i="3"/>
  <c r="BM346" i="3"/>
  <c r="BK346" i="3"/>
  <c r="BQ345" i="3"/>
  <c r="BO345" i="3"/>
  <c r="BM345" i="3"/>
  <c r="BK345" i="3"/>
  <c r="BQ344" i="3"/>
  <c r="BO344" i="3"/>
  <c r="BM344" i="3"/>
  <c r="BK344" i="3"/>
  <c r="BQ343" i="3"/>
  <c r="BO343" i="3"/>
  <c r="BM343" i="3"/>
  <c r="BK343" i="3"/>
  <c r="BQ342" i="3"/>
  <c r="BO342" i="3"/>
  <c r="BM342" i="3"/>
  <c r="BK342" i="3"/>
  <c r="BQ341" i="3"/>
  <c r="BO341" i="3"/>
  <c r="BM341" i="3"/>
  <c r="BK341" i="3"/>
  <c r="BQ340" i="3"/>
  <c r="BO340" i="3"/>
  <c r="BM340" i="3"/>
  <c r="BK340" i="3"/>
  <c r="BQ339" i="3"/>
  <c r="BO339" i="3"/>
  <c r="BM339" i="3"/>
  <c r="BK339" i="3"/>
  <c r="BG339" i="3"/>
  <c r="BG340" i="3" s="1"/>
  <c r="BG341" i="3" s="1"/>
  <c r="BG342" i="3" s="1"/>
  <c r="BG343" i="3" s="1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U356" i="3" s="1"/>
  <c r="BU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G370" i="3" s="1"/>
  <c r="BG371" i="3" s="1"/>
  <c r="BG372" i="3" s="1"/>
  <c r="BG373" i="3" s="1"/>
  <c r="BG374" i="3" s="1"/>
  <c r="BG375" i="3" s="1"/>
  <c r="BG376" i="3" s="1"/>
  <c r="BT377" i="3" s="1"/>
  <c r="BT378" i="3" s="1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BG395" i="3" s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G412" i="3" s="1"/>
  <c r="BG413" i="3" s="1"/>
  <c r="BG414" i="3" s="1"/>
  <c r="BG415" i="3" s="1"/>
  <c r="BG416" i="3" s="1"/>
  <c r="BG417" i="3" s="1"/>
  <c r="BG418" i="3" s="1"/>
  <c r="BU419" i="3" s="1"/>
  <c r="BG420" i="3" s="1"/>
  <c r="BG421" i="3" s="1"/>
  <c r="BG422" i="3" s="1"/>
  <c r="BG423" i="3" s="1"/>
  <c r="BG424" i="3" s="1"/>
  <c r="BG425" i="3" s="1"/>
  <c r="BG426" i="3" s="1"/>
  <c r="BG427" i="3" s="1"/>
  <c r="BG428" i="3" s="1"/>
  <c r="BG429" i="3" s="1"/>
  <c r="BG430" i="3" s="1"/>
  <c r="BG431" i="3" s="1"/>
  <c r="BG432" i="3" s="1"/>
  <c r="BG433" i="3" s="1"/>
  <c r="BG434" i="3" s="1"/>
  <c r="BG435" i="3" s="1"/>
  <c r="BG436" i="3" s="1"/>
  <c r="BG437" i="3" s="1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BG456" i="3" s="1"/>
  <c r="BG457" i="3" s="1"/>
  <c r="BG458" i="3" s="1"/>
  <c r="BG459" i="3" s="1"/>
  <c r="BG460" i="3" s="1"/>
  <c r="BG461" i="3" s="1"/>
  <c r="BG462" i="3" s="1"/>
  <c r="BG463" i="3" s="1"/>
  <c r="BG464" i="3" s="1"/>
  <c r="BQ338" i="3"/>
  <c r="BO338" i="3"/>
  <c r="BM338" i="3"/>
  <c r="BK338" i="3"/>
  <c r="BQ337" i="3"/>
  <c r="BO337" i="3"/>
  <c r="BM337" i="3"/>
  <c r="BK337" i="3"/>
  <c r="BQ336" i="3"/>
  <c r="BO336" i="3"/>
  <c r="BM336" i="3"/>
  <c r="BK336" i="3"/>
  <c r="BQ335" i="3"/>
  <c r="BO335" i="3"/>
  <c r="BM335" i="3"/>
  <c r="BK335" i="3"/>
  <c r="BQ334" i="3"/>
  <c r="BO334" i="3"/>
  <c r="BM334" i="3"/>
  <c r="BK334" i="3"/>
  <c r="BQ333" i="3"/>
  <c r="BO333" i="3"/>
  <c r="BM333" i="3"/>
  <c r="BK333" i="3"/>
  <c r="BQ332" i="3"/>
  <c r="BO332" i="3"/>
  <c r="BM332" i="3"/>
  <c r="BK332" i="3"/>
  <c r="BQ331" i="3"/>
  <c r="BO331" i="3"/>
  <c r="BM331" i="3"/>
  <c r="BK331" i="3"/>
  <c r="BQ330" i="3"/>
  <c r="BO330" i="3"/>
  <c r="BM330" i="3"/>
  <c r="BK330" i="3"/>
  <c r="BQ329" i="3"/>
  <c r="BO329" i="3"/>
  <c r="BM329" i="3"/>
  <c r="BK329" i="3"/>
  <c r="BQ328" i="3"/>
  <c r="BO328" i="3"/>
  <c r="BM328" i="3"/>
  <c r="BK328" i="3"/>
  <c r="BQ327" i="3"/>
  <c r="BO327" i="3"/>
  <c r="BM327" i="3"/>
  <c r="BK327" i="3"/>
  <c r="BQ326" i="3"/>
  <c r="BO326" i="3"/>
  <c r="BM326" i="3"/>
  <c r="BK326" i="3"/>
  <c r="BQ325" i="3"/>
  <c r="BO325" i="3"/>
  <c r="BM325" i="3"/>
  <c r="BK325" i="3"/>
  <c r="BQ324" i="3"/>
  <c r="BO324" i="3"/>
  <c r="BM324" i="3"/>
  <c r="BK324" i="3"/>
  <c r="BG322" i="3"/>
  <c r="BG321" i="3"/>
  <c r="BJ309" i="3"/>
  <c r="BJ307" i="3" s="1"/>
  <c r="BJ310" i="3" s="1"/>
  <c r="BL307" i="3" s="1"/>
  <c r="BL310" i="3" s="1"/>
  <c r="BN307" i="3" s="1"/>
  <c r="BN310" i="3" s="1"/>
  <c r="BP307" i="3" s="1"/>
  <c r="BP310" i="3" s="1"/>
  <c r="BP305" i="3"/>
  <c r="BN305" i="3"/>
  <c r="BL305" i="3"/>
  <c r="BN302" i="3" s="1"/>
  <c r="BP304" i="3"/>
  <c r="BN304" i="3"/>
  <c r="BL304" i="3"/>
  <c r="BL302" i="3"/>
  <c r="BP298" i="3"/>
  <c r="BN298" i="3"/>
  <c r="BL298" i="3"/>
  <c r="BJ298" i="3"/>
  <c r="K272" i="3"/>
  <c r="I272" i="3"/>
  <c r="G272" i="3"/>
  <c r="C272" i="3"/>
  <c r="C271" i="3"/>
  <c r="K206" i="3"/>
  <c r="I206" i="3"/>
  <c r="G206" i="3"/>
  <c r="K270" i="3"/>
  <c r="I270" i="3"/>
  <c r="G270" i="3"/>
  <c r="C267" i="3"/>
  <c r="K265" i="3"/>
  <c r="I265" i="3"/>
  <c r="G265" i="3"/>
  <c r="C265" i="3"/>
  <c r="C264" i="3"/>
  <c r="K188" i="3"/>
  <c r="I188" i="3"/>
  <c r="G188" i="3"/>
  <c r="BP263" i="3"/>
  <c r="BN263" i="3"/>
  <c r="BL263" i="3"/>
  <c r="BJ263" i="3"/>
  <c r="K263" i="3"/>
  <c r="I263" i="3"/>
  <c r="G263" i="3"/>
  <c r="K261" i="3"/>
  <c r="I261" i="3"/>
  <c r="G261" i="3"/>
  <c r="C260" i="3"/>
  <c r="C258" i="3"/>
  <c r="C256" i="3"/>
  <c r="K255" i="3"/>
  <c r="I255" i="3"/>
  <c r="G255" i="3"/>
  <c r="C255" i="3"/>
  <c r="K254" i="3"/>
  <c r="I254" i="3"/>
  <c r="G254" i="3"/>
  <c r="C254" i="3"/>
  <c r="K253" i="3"/>
  <c r="I253" i="3"/>
  <c r="G253" i="3"/>
  <c r="C253" i="3"/>
  <c r="K252" i="3"/>
  <c r="I252" i="3"/>
  <c r="G252" i="3"/>
  <c r="C252" i="3"/>
  <c r="C249" i="3"/>
  <c r="K248" i="3"/>
  <c r="I248" i="3"/>
  <c r="G248" i="3"/>
  <c r="C248" i="3"/>
  <c r="C247" i="3"/>
  <c r="K214" i="3"/>
  <c r="I214" i="3"/>
  <c r="C214" i="3"/>
  <c r="K245" i="3"/>
  <c r="I245" i="3"/>
  <c r="G245" i="3"/>
  <c r="C245" i="3"/>
  <c r="BG244" i="3"/>
  <c r="BG245" i="3" s="1"/>
  <c r="BU214" i="3" s="1"/>
  <c r="BG247" i="3" s="1"/>
  <c r="BG248" i="3" s="1"/>
  <c r="BG249" i="3" s="1"/>
  <c r="BG252" i="3" s="1"/>
  <c r="BG253" i="3" s="1"/>
  <c r="BG254" i="3" s="1"/>
  <c r="BU255" i="3" s="1"/>
  <c r="BU256" i="3" s="1"/>
  <c r="BG258" i="3" s="1"/>
  <c r="BG259" i="3" s="1"/>
  <c r="BG260" i="3" s="1"/>
  <c r="BG261" i="3" s="1"/>
  <c r="BG263" i="3" s="1"/>
  <c r="BG188" i="3" s="1"/>
  <c r="BG264" i="3" s="1"/>
  <c r="BU265" i="3" s="1"/>
  <c r="BU266" i="3" s="1"/>
  <c r="BU267" i="3" s="1"/>
  <c r="K244" i="3"/>
  <c r="I244" i="3"/>
  <c r="G244" i="3"/>
  <c r="C244" i="3"/>
  <c r="K243" i="3"/>
  <c r="I243" i="3"/>
  <c r="G243" i="3"/>
  <c r="C243" i="3"/>
  <c r="K242" i="3"/>
  <c r="I242" i="3"/>
  <c r="C242" i="3"/>
  <c r="K241" i="3"/>
  <c r="I241" i="3"/>
  <c r="G241" i="3"/>
  <c r="C241" i="3"/>
  <c r="K240" i="3"/>
  <c r="I240" i="3"/>
  <c r="G240" i="3"/>
  <c r="C240" i="3"/>
  <c r="K239" i="3"/>
  <c r="I239" i="3"/>
  <c r="G239" i="3"/>
  <c r="C239" i="3"/>
  <c r="K238" i="3"/>
  <c r="I238" i="3"/>
  <c r="G238" i="3"/>
  <c r="C238" i="3"/>
  <c r="C236" i="3"/>
  <c r="C235" i="3"/>
  <c r="K234" i="3"/>
  <c r="I234" i="3"/>
  <c r="G234" i="3"/>
  <c r="C234" i="3"/>
  <c r="K233" i="3"/>
  <c r="I233" i="3"/>
  <c r="G233" i="3"/>
  <c r="C233" i="3"/>
  <c r="K232" i="3"/>
  <c r="I232" i="3"/>
  <c r="G232" i="3"/>
  <c r="C232" i="3"/>
  <c r="K231" i="3"/>
  <c r="I231" i="3"/>
  <c r="G231" i="3"/>
  <c r="C231" i="3"/>
  <c r="C228" i="3"/>
  <c r="BU227" i="3"/>
  <c r="K227" i="3"/>
  <c r="I227" i="3"/>
  <c r="C227" i="3"/>
  <c r="C226" i="3"/>
  <c r="K196" i="3"/>
  <c r="I196" i="3"/>
  <c r="C196" i="3"/>
  <c r="BU224" i="3"/>
  <c r="K224" i="3"/>
  <c r="I224" i="3"/>
  <c r="G224" i="3"/>
  <c r="C224" i="3"/>
  <c r="K223" i="3"/>
  <c r="I223" i="3"/>
  <c r="G223" i="3"/>
  <c r="C223" i="3"/>
  <c r="K222" i="3"/>
  <c r="I222" i="3"/>
  <c r="G222" i="3"/>
  <c r="C222" i="3"/>
  <c r="K221" i="3"/>
  <c r="I221" i="3"/>
  <c r="G221" i="3"/>
  <c r="C221" i="3"/>
  <c r="K220" i="3"/>
  <c r="I220" i="3"/>
  <c r="G220" i="3"/>
  <c r="C220" i="3"/>
  <c r="K219" i="3"/>
  <c r="I219" i="3"/>
  <c r="G219" i="3"/>
  <c r="C219" i="3"/>
  <c r="K218" i="3"/>
  <c r="I218" i="3"/>
  <c r="G218" i="3"/>
  <c r="C218" i="3"/>
  <c r="K217" i="3"/>
  <c r="I217" i="3"/>
  <c r="G217" i="3"/>
  <c r="C217" i="3"/>
  <c r="K213" i="3"/>
  <c r="I213" i="3"/>
  <c r="K212" i="3"/>
  <c r="I212" i="3"/>
  <c r="G212" i="3"/>
  <c r="C212" i="3"/>
  <c r="K211" i="3"/>
  <c r="I211" i="3"/>
  <c r="G211" i="3"/>
  <c r="C211" i="3"/>
  <c r="K210" i="3"/>
  <c r="I210" i="3"/>
  <c r="G210" i="3"/>
  <c r="C210" i="3"/>
  <c r="C209" i="3"/>
  <c r="K208" i="3"/>
  <c r="I208" i="3"/>
  <c r="G208" i="3"/>
  <c r="C208" i="3"/>
  <c r="K207" i="3"/>
  <c r="I207" i="3"/>
  <c r="C207" i="3"/>
  <c r="K269" i="3"/>
  <c r="I269" i="3"/>
  <c r="G269" i="3"/>
  <c r="C205" i="3"/>
  <c r="K204" i="3"/>
  <c r="I204" i="3"/>
  <c r="G204" i="3"/>
  <c r="C204" i="3"/>
  <c r="K203" i="3"/>
  <c r="I203" i="3"/>
  <c r="G203" i="3"/>
  <c r="C203" i="3"/>
  <c r="K202" i="3"/>
  <c r="I202" i="3"/>
  <c r="G202" i="3"/>
  <c r="C202" i="3"/>
  <c r="K201" i="3"/>
  <c r="I201" i="3"/>
  <c r="G201" i="3"/>
  <c r="C201" i="3"/>
  <c r="K200" i="3"/>
  <c r="I200" i="3"/>
  <c r="G200" i="3"/>
  <c r="C200" i="3"/>
  <c r="K199" i="3"/>
  <c r="I199" i="3"/>
  <c r="G199" i="3"/>
  <c r="C199" i="3"/>
  <c r="K198" i="3"/>
  <c r="I198" i="3"/>
  <c r="C198" i="3"/>
  <c r="K195" i="3"/>
  <c r="I195" i="3"/>
  <c r="C195" i="3"/>
  <c r="K194" i="3"/>
  <c r="I194" i="3"/>
  <c r="G194" i="3"/>
  <c r="C194" i="3"/>
  <c r="K193" i="3"/>
  <c r="I193" i="3"/>
  <c r="G193" i="3"/>
  <c r="C193" i="3"/>
  <c r="K192" i="3"/>
  <c r="I192" i="3"/>
  <c r="G192" i="3"/>
  <c r="C192" i="3"/>
  <c r="C191" i="3"/>
  <c r="K190" i="3"/>
  <c r="I190" i="3"/>
  <c r="G190" i="3"/>
  <c r="C190" i="3"/>
  <c r="K189" i="3"/>
  <c r="I189" i="3"/>
  <c r="C189" i="3"/>
  <c r="K262" i="3"/>
  <c r="I262" i="3"/>
  <c r="G262" i="3"/>
  <c r="C187" i="3"/>
  <c r="K186" i="3"/>
  <c r="I186" i="3"/>
  <c r="G186" i="3"/>
  <c r="C186" i="3"/>
  <c r="K185" i="3"/>
  <c r="I185" i="3"/>
  <c r="G185" i="3"/>
  <c r="C185" i="3"/>
  <c r="K184" i="3"/>
  <c r="I184" i="3"/>
  <c r="G184" i="3"/>
  <c r="C184" i="3"/>
  <c r="K183" i="3"/>
  <c r="I183" i="3"/>
  <c r="G183" i="3"/>
  <c r="K182" i="3"/>
  <c r="I182" i="3"/>
  <c r="G182" i="3"/>
  <c r="K181" i="3"/>
  <c r="I181" i="3"/>
  <c r="K180" i="3"/>
  <c r="I180" i="3"/>
  <c r="K167" i="3"/>
  <c r="I167" i="3"/>
  <c r="G167" i="3"/>
  <c r="K165" i="3"/>
  <c r="I165" i="3"/>
  <c r="G165" i="3"/>
  <c r="BG157" i="3"/>
  <c r="L124" i="3"/>
  <c r="J124" i="3"/>
  <c r="H124" i="3"/>
  <c r="F124" i="3"/>
  <c r="L123" i="3"/>
  <c r="J123" i="3"/>
  <c r="H123" i="3"/>
  <c r="F123" i="3"/>
  <c r="L121" i="3"/>
  <c r="J121" i="3"/>
  <c r="H121" i="3"/>
  <c r="F121" i="3"/>
  <c r="L120" i="3"/>
  <c r="J120" i="3"/>
  <c r="H120" i="3"/>
  <c r="F120" i="3"/>
  <c r="L118" i="3"/>
  <c r="J118" i="3"/>
  <c r="H118" i="3"/>
  <c r="F118" i="3"/>
  <c r="L116" i="3"/>
  <c r="J116" i="3"/>
  <c r="H116" i="3"/>
  <c r="F116" i="3"/>
  <c r="J115" i="3"/>
  <c r="H115" i="3"/>
  <c r="F115" i="3"/>
  <c r="L114" i="3"/>
  <c r="J114" i="3"/>
  <c r="H114" i="3"/>
  <c r="F114" i="3"/>
  <c r="L113" i="3"/>
  <c r="J113" i="3"/>
  <c r="H113" i="3"/>
  <c r="F113" i="3"/>
  <c r="L112" i="3"/>
  <c r="J112" i="3"/>
  <c r="H112" i="3"/>
  <c r="F112" i="3"/>
  <c r="B112" i="3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L111" i="3"/>
  <c r="J111" i="3"/>
  <c r="H111" i="3"/>
  <c r="F111" i="3"/>
  <c r="I166" i="3"/>
  <c r="H110" i="3"/>
  <c r="F110" i="3"/>
  <c r="G25" i="10"/>
  <c r="H108" i="3"/>
  <c r="F108" i="3"/>
  <c r="K107" i="3"/>
  <c r="I107" i="3"/>
  <c r="I130" i="3" s="1"/>
  <c r="G107" i="3"/>
  <c r="G130" i="3" s="1"/>
  <c r="L106" i="3"/>
  <c r="G130" i="4" s="1"/>
  <c r="J106" i="3"/>
  <c r="H106" i="3"/>
  <c r="L105" i="3"/>
  <c r="J105" i="3"/>
  <c r="H105" i="3"/>
  <c r="F105" i="3"/>
  <c r="B102" i="3"/>
  <c r="BU93" i="3"/>
  <c r="BP90" i="3"/>
  <c r="BN90" i="3"/>
  <c r="BL90" i="3"/>
  <c r="BJ90" i="3"/>
  <c r="BJ128" i="3" s="1"/>
  <c r="BJ155" i="3" s="1"/>
  <c r="G84" i="3"/>
  <c r="E368" i="1"/>
  <c r="D368" i="1"/>
  <c r="C368" i="1"/>
  <c r="K59" i="3"/>
  <c r="I59" i="3"/>
  <c r="D334" i="1"/>
  <c r="I50" i="3"/>
  <c r="G50" i="3"/>
  <c r="E50" i="3"/>
  <c r="CE38" i="3"/>
  <c r="CC38" i="3"/>
  <c r="CA38" i="3"/>
  <c r="BY38" i="3"/>
  <c r="CE35" i="3"/>
  <c r="CC35" i="3"/>
  <c r="CA35" i="3"/>
  <c r="BY35" i="3"/>
  <c r="I33" i="3"/>
  <c r="E33" i="3"/>
  <c r="D202" i="1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P13" i="3"/>
  <c r="BP322" i="3" s="1"/>
  <c r="BN13" i="3"/>
  <c r="BN322" i="3" s="1"/>
  <c r="BL13" i="3"/>
  <c r="BL322" i="3" s="1"/>
  <c r="BJ13" i="3"/>
  <c r="BJ322" i="3" s="1"/>
  <c r="B9" i="3"/>
  <c r="BF9" i="3" s="1"/>
  <c r="B8" i="3"/>
  <c r="BF8" i="3" s="1"/>
  <c r="C385" i="1"/>
  <c r="B13" i="3"/>
  <c r="K10" i="3"/>
  <c r="H3" i="13"/>
  <c r="AD3" i="13" s="1"/>
  <c r="B388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E386" i="1"/>
  <c r="D386" i="1"/>
  <c r="C386" i="1"/>
  <c r="B386" i="1"/>
  <c r="B385" i="1"/>
  <c r="B384" i="1"/>
  <c r="B383" i="1"/>
  <c r="B382" i="1"/>
  <c r="B381" i="1"/>
  <c r="B380" i="1"/>
  <c r="B379" i="1"/>
  <c r="B378" i="1"/>
  <c r="B377" i="1"/>
  <c r="B376" i="1"/>
  <c r="E375" i="1"/>
  <c r="D375" i="1"/>
  <c r="C375" i="1"/>
  <c r="B375" i="1"/>
  <c r="E374" i="1"/>
  <c r="D374" i="1"/>
  <c r="C374" i="1"/>
  <c r="B374" i="1"/>
  <c r="E373" i="1"/>
  <c r="D373" i="1"/>
  <c r="C373" i="1"/>
  <c r="B373" i="1"/>
  <c r="B372" i="1"/>
  <c r="B371" i="1"/>
  <c r="B370" i="1"/>
  <c r="E369" i="1"/>
  <c r="D369" i="1"/>
  <c r="C369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E355" i="1"/>
  <c r="D355" i="1"/>
  <c r="C355" i="1"/>
  <c r="B355" i="1"/>
  <c r="E354" i="1"/>
  <c r="D354" i="1"/>
  <c r="C354" i="1"/>
  <c r="B354" i="1"/>
  <c r="E353" i="1"/>
  <c r="D353" i="1"/>
  <c r="C353" i="1"/>
  <c r="B353" i="1"/>
  <c r="B352" i="1"/>
  <c r="B351" i="1"/>
  <c r="B350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B348" i="1"/>
  <c r="B347" i="1"/>
  <c r="B346" i="1"/>
  <c r="B345" i="1"/>
  <c r="E344" i="1"/>
  <c r="D344" i="1"/>
  <c r="C344" i="1"/>
  <c r="B344" i="1"/>
  <c r="E343" i="1"/>
  <c r="D343" i="1"/>
  <c r="C343" i="1"/>
  <c r="B343" i="1"/>
  <c r="B342" i="1"/>
  <c r="B341" i="1"/>
  <c r="B340" i="1"/>
  <c r="B339" i="1"/>
  <c r="B338" i="1"/>
  <c r="B337" i="1"/>
  <c r="E336" i="1"/>
  <c r="D336" i="1"/>
  <c r="C336" i="1"/>
  <c r="B336" i="1"/>
  <c r="B335" i="1"/>
  <c r="B334" i="1"/>
  <c r="B333" i="1"/>
  <c r="B332" i="1"/>
  <c r="B331" i="1"/>
  <c r="B330" i="1"/>
  <c r="B329" i="1"/>
  <c r="B328" i="1"/>
  <c r="B327" i="1"/>
  <c r="B326" i="1"/>
  <c r="E325" i="1"/>
  <c r="D325" i="1"/>
  <c r="C325" i="1"/>
  <c r="B325" i="1"/>
  <c r="E324" i="1"/>
  <c r="D324" i="1"/>
  <c r="C324" i="1"/>
  <c r="B324" i="1"/>
  <c r="E323" i="1"/>
  <c r="D323" i="1"/>
  <c r="C323" i="1"/>
  <c r="B323" i="1"/>
  <c r="B322" i="1"/>
  <c r="B321" i="1"/>
  <c r="B320" i="1"/>
  <c r="E319" i="1"/>
  <c r="D319" i="1"/>
  <c r="C319" i="1"/>
  <c r="B319" i="1"/>
  <c r="B318" i="1"/>
  <c r="B317" i="1"/>
  <c r="AP316" i="1"/>
  <c r="AP350" i="1" s="1"/>
  <c r="AP388" i="1" s="1"/>
  <c r="AO316" i="1"/>
  <c r="AO350" i="1" s="1"/>
  <c r="AN316" i="1"/>
  <c r="AN350" i="1" s="1"/>
  <c r="AN388" i="1" s="1"/>
  <c r="AM316" i="1"/>
  <c r="AM350" i="1" s="1"/>
  <c r="AM388" i="1" s="1"/>
  <c r="AL316" i="1"/>
  <c r="AL350" i="1" s="1"/>
  <c r="AL388" i="1" s="1"/>
  <c r="AK316" i="1"/>
  <c r="AJ316" i="1"/>
  <c r="AJ350" i="1" s="1"/>
  <c r="AJ388" i="1" s="1"/>
  <c r="AI316" i="1"/>
  <c r="AI350" i="1" s="1"/>
  <c r="AI388" i="1" s="1"/>
  <c r="AH316" i="1"/>
  <c r="AH350" i="1" s="1"/>
  <c r="AH388" i="1" s="1"/>
  <c r="AG316" i="1"/>
  <c r="AG350" i="1" s="1"/>
  <c r="AF316" i="1"/>
  <c r="AF350" i="1" s="1"/>
  <c r="AF388" i="1" s="1"/>
  <c r="AE316" i="1"/>
  <c r="AE350" i="1" s="1"/>
  <c r="AE388" i="1" s="1"/>
  <c r="AD316" i="1"/>
  <c r="AD350" i="1" s="1"/>
  <c r="AD388" i="1" s="1"/>
  <c r="AC316" i="1"/>
  <c r="AB316" i="1"/>
  <c r="AB350" i="1" s="1"/>
  <c r="AB388" i="1" s="1"/>
  <c r="AA316" i="1"/>
  <c r="AA350" i="1" s="1"/>
  <c r="AA388" i="1" s="1"/>
  <c r="Z316" i="1"/>
  <c r="Z350" i="1" s="1"/>
  <c r="Z388" i="1" s="1"/>
  <c r="Y316" i="1"/>
  <c r="Y350" i="1" s="1"/>
  <c r="X316" i="1"/>
  <c r="X350" i="1" s="1"/>
  <c r="X388" i="1" s="1"/>
  <c r="W316" i="1"/>
  <c r="W350" i="1" s="1"/>
  <c r="W388" i="1" s="1"/>
  <c r="V316" i="1"/>
  <c r="V350" i="1" s="1"/>
  <c r="V388" i="1" s="1"/>
  <c r="U316" i="1"/>
  <c r="T316" i="1"/>
  <c r="T350" i="1" s="1"/>
  <c r="T388" i="1" s="1"/>
  <c r="S316" i="1"/>
  <c r="S350" i="1" s="1"/>
  <c r="S388" i="1" s="1"/>
  <c r="R316" i="1"/>
  <c r="R350" i="1" s="1"/>
  <c r="R388" i="1" s="1"/>
  <c r="Q316" i="1"/>
  <c r="Q350" i="1" s="1"/>
  <c r="P316" i="1"/>
  <c r="P350" i="1" s="1"/>
  <c r="P388" i="1" s="1"/>
  <c r="O316" i="1"/>
  <c r="O350" i="1" s="1"/>
  <c r="O388" i="1" s="1"/>
  <c r="N316" i="1"/>
  <c r="N350" i="1" s="1"/>
  <c r="N388" i="1" s="1"/>
  <c r="M316" i="1"/>
  <c r="L316" i="1"/>
  <c r="L350" i="1" s="1"/>
  <c r="L388" i="1" s="1"/>
  <c r="K316" i="1"/>
  <c r="K350" i="1" s="1"/>
  <c r="K388" i="1" s="1"/>
  <c r="J316" i="1"/>
  <c r="J350" i="1" s="1"/>
  <c r="J388" i="1" s="1"/>
  <c r="I316" i="1"/>
  <c r="I350" i="1" s="1"/>
  <c r="H316" i="1"/>
  <c r="H350" i="1" s="1"/>
  <c r="H388" i="1" s="1"/>
  <c r="G316" i="1"/>
  <c r="G350" i="1" s="1"/>
  <c r="G388" i="1" s="1"/>
  <c r="F316" i="1"/>
  <c r="F350" i="1" s="1"/>
  <c r="F388" i="1" s="1"/>
  <c r="E316" i="1"/>
  <c r="D316" i="1"/>
  <c r="D350" i="1" s="1"/>
  <c r="D388" i="1" s="1"/>
  <c r="C316" i="1"/>
  <c r="C350" i="1" s="1"/>
  <c r="C388" i="1" s="1"/>
  <c r="B316" i="1"/>
  <c r="E315" i="1"/>
  <c r="D315" i="1"/>
  <c r="C315" i="1"/>
  <c r="B315" i="1"/>
  <c r="E314" i="1"/>
  <c r="D314" i="1"/>
  <c r="C314" i="1"/>
  <c r="B314" i="1"/>
  <c r="B313" i="1"/>
  <c r="B312" i="1"/>
  <c r="B311" i="1"/>
  <c r="B310" i="1"/>
  <c r="B309" i="1"/>
  <c r="B308" i="1"/>
  <c r="B307" i="1"/>
  <c r="B306" i="1"/>
  <c r="B305" i="1"/>
  <c r="B304" i="1"/>
  <c r="E303" i="1"/>
  <c r="D303" i="1"/>
  <c r="C303" i="1"/>
  <c r="B303" i="1"/>
  <c r="E302" i="1"/>
  <c r="D302" i="1"/>
  <c r="C302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E285" i="1"/>
  <c r="D285" i="1"/>
  <c r="C285" i="1"/>
  <c r="B285" i="1"/>
  <c r="B284" i="1"/>
  <c r="B283" i="1"/>
  <c r="B282" i="1"/>
  <c r="B281" i="1"/>
  <c r="B280" i="1"/>
  <c r="E279" i="1"/>
  <c r="D279" i="1"/>
  <c r="C279" i="1"/>
  <c r="B279" i="1"/>
  <c r="E278" i="1"/>
  <c r="D278" i="1"/>
  <c r="C278" i="1"/>
  <c r="B278" i="1"/>
  <c r="E277" i="1"/>
  <c r="D277" i="1"/>
  <c r="C277" i="1"/>
  <c r="B277" i="1"/>
  <c r="E276" i="1"/>
  <c r="D276" i="1"/>
  <c r="C276" i="1"/>
  <c r="B276" i="1"/>
  <c r="E275" i="1"/>
  <c r="D275" i="1"/>
  <c r="C275" i="1"/>
  <c r="B275" i="1"/>
  <c r="B274" i="1"/>
  <c r="B273" i="1"/>
  <c r="B272" i="1"/>
  <c r="E271" i="1"/>
  <c r="D271" i="1"/>
  <c r="C271" i="1"/>
  <c r="B271" i="1"/>
  <c r="E270" i="1"/>
  <c r="D270" i="1"/>
  <c r="C270" i="1"/>
  <c r="B270" i="1"/>
  <c r="B269" i="1"/>
  <c r="B268" i="1"/>
  <c r="B267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E254" i="1"/>
  <c r="D254" i="1"/>
  <c r="C254" i="1"/>
  <c r="B254" i="1"/>
  <c r="B253" i="1"/>
  <c r="E252" i="1"/>
  <c r="D252" i="1"/>
  <c r="C252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E235" i="1"/>
  <c r="D235" i="1"/>
  <c r="C235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E219" i="1"/>
  <c r="D219" i="1"/>
  <c r="C219" i="1"/>
  <c r="B219" i="1"/>
  <c r="B218" i="1"/>
  <c r="AP217" i="1"/>
  <c r="AO217" i="1"/>
  <c r="AN217" i="1"/>
  <c r="AM217" i="1"/>
  <c r="AL217" i="1"/>
  <c r="AK217" i="1"/>
  <c r="AK267" i="1" s="1"/>
  <c r="AJ217" i="1"/>
  <c r="AJ267" i="1" s="1"/>
  <c r="AI217" i="1"/>
  <c r="AH217" i="1"/>
  <c r="AG217" i="1"/>
  <c r="AF217" i="1"/>
  <c r="AE217" i="1"/>
  <c r="AE267" i="1" s="1"/>
  <c r="AD217" i="1"/>
  <c r="AC217" i="1"/>
  <c r="AC267" i="1" s="1"/>
  <c r="AB217" i="1"/>
  <c r="AB267" i="1" s="1"/>
  <c r="AA217" i="1"/>
  <c r="Z217" i="1"/>
  <c r="Y217" i="1"/>
  <c r="X217" i="1"/>
  <c r="W217" i="1"/>
  <c r="W267" i="1" s="1"/>
  <c r="V217" i="1"/>
  <c r="U217" i="1"/>
  <c r="U267" i="1" s="1"/>
  <c r="T217" i="1"/>
  <c r="T267" i="1" s="1"/>
  <c r="S217" i="1"/>
  <c r="R217" i="1"/>
  <c r="Q217" i="1"/>
  <c r="P217" i="1"/>
  <c r="O217" i="1"/>
  <c r="O267" i="1" s="1"/>
  <c r="N217" i="1"/>
  <c r="M217" i="1"/>
  <c r="M267" i="1" s="1"/>
  <c r="L217" i="1"/>
  <c r="L267" i="1" s="1"/>
  <c r="K217" i="1"/>
  <c r="J217" i="1"/>
  <c r="I217" i="1"/>
  <c r="H217" i="1"/>
  <c r="G217" i="1"/>
  <c r="G267" i="1" s="1"/>
  <c r="F217" i="1"/>
  <c r="E217" i="1"/>
  <c r="E267" i="1" s="1"/>
  <c r="D217" i="1"/>
  <c r="D267" i="1" s="1"/>
  <c r="C217" i="1"/>
  <c r="B217" i="1"/>
  <c r="B216" i="1"/>
  <c r="B215" i="1"/>
  <c r="B214" i="1"/>
  <c r="B213" i="1"/>
  <c r="B212" i="1"/>
  <c r="B211" i="1"/>
  <c r="B210" i="1"/>
  <c r="B209" i="1"/>
  <c r="B208" i="1"/>
  <c r="E207" i="1"/>
  <c r="D207" i="1"/>
  <c r="C207" i="1"/>
  <c r="B207" i="1"/>
  <c r="E206" i="1"/>
  <c r="D206" i="1"/>
  <c r="C206" i="1"/>
  <c r="B206" i="1"/>
  <c r="B205" i="1"/>
  <c r="B204" i="1"/>
  <c r="E203" i="1"/>
  <c r="D203" i="1"/>
  <c r="C203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E186" i="1"/>
  <c r="D186" i="1"/>
  <c r="C186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E170" i="1"/>
  <c r="D170" i="1"/>
  <c r="C170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E156" i="1"/>
  <c r="D156" i="1"/>
  <c r="C156" i="1"/>
  <c r="B156" i="1"/>
  <c r="B155" i="1"/>
  <c r="E154" i="1"/>
  <c r="D154" i="1"/>
  <c r="C154" i="1"/>
  <c r="B154" i="1"/>
  <c r="B153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E136" i="1"/>
  <c r="D136" i="1"/>
  <c r="C136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E120" i="1"/>
  <c r="D120" i="1"/>
  <c r="C120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E103" i="1"/>
  <c r="D103" i="1"/>
  <c r="C103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E87" i="1"/>
  <c r="D87" i="1"/>
  <c r="C87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E70" i="1"/>
  <c r="D70" i="1"/>
  <c r="C70" i="1"/>
  <c r="B70" i="1"/>
  <c r="B69" i="1"/>
  <c r="B68" i="1"/>
  <c r="B67" i="1"/>
  <c r="B66" i="1"/>
  <c r="B65" i="1"/>
  <c r="B64" i="1"/>
  <c r="B63" i="1"/>
  <c r="B62" i="1"/>
  <c r="B61" i="1"/>
  <c r="E60" i="1"/>
  <c r="D60" i="1"/>
  <c r="C60" i="1"/>
  <c r="B60" i="1"/>
  <c r="E59" i="1"/>
  <c r="D59" i="1"/>
  <c r="C59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E38" i="1"/>
  <c r="D38" i="1"/>
  <c r="C38" i="1"/>
  <c r="B38" i="1"/>
  <c r="B37" i="1"/>
  <c r="B36" i="1"/>
  <c r="AP35" i="1"/>
  <c r="AP68" i="1" s="1"/>
  <c r="AP85" i="1" s="1"/>
  <c r="AP118" i="1" s="1"/>
  <c r="AP151" i="1" s="1"/>
  <c r="AO35" i="1"/>
  <c r="AO68" i="1" s="1"/>
  <c r="AO85" i="1" s="1"/>
  <c r="AO118" i="1" s="1"/>
  <c r="AO151" i="1" s="1"/>
  <c r="AN35" i="1"/>
  <c r="AN68" i="1" s="1"/>
  <c r="AN85" i="1" s="1"/>
  <c r="AN118" i="1" s="1"/>
  <c r="AN151" i="1" s="1"/>
  <c r="AM35" i="1"/>
  <c r="AM68" i="1" s="1"/>
  <c r="AM85" i="1" s="1"/>
  <c r="AM118" i="1" s="1"/>
  <c r="AM151" i="1" s="1"/>
  <c r="AL35" i="1"/>
  <c r="AL68" i="1" s="1"/>
  <c r="AL85" i="1" s="1"/>
  <c r="AL118" i="1" s="1"/>
  <c r="AL151" i="1" s="1"/>
  <c r="AK35" i="1"/>
  <c r="AK68" i="1" s="1"/>
  <c r="AK85" i="1" s="1"/>
  <c r="AK118" i="1" s="1"/>
  <c r="AK151" i="1" s="1"/>
  <c r="AJ35" i="1"/>
  <c r="AJ68" i="1" s="1"/>
  <c r="AJ85" i="1" s="1"/>
  <c r="AJ118" i="1" s="1"/>
  <c r="AJ151" i="1" s="1"/>
  <c r="AI35" i="1"/>
  <c r="AI68" i="1" s="1"/>
  <c r="AI85" i="1" s="1"/>
  <c r="AI118" i="1" s="1"/>
  <c r="AI151" i="1" s="1"/>
  <c r="AH35" i="1"/>
  <c r="AH68" i="1" s="1"/>
  <c r="AH85" i="1" s="1"/>
  <c r="AH118" i="1" s="1"/>
  <c r="AH151" i="1" s="1"/>
  <c r="AG35" i="1"/>
  <c r="AG68" i="1" s="1"/>
  <c r="AG85" i="1" s="1"/>
  <c r="AG118" i="1" s="1"/>
  <c r="AG151" i="1" s="1"/>
  <c r="AF35" i="1"/>
  <c r="AF68" i="1" s="1"/>
  <c r="AF85" i="1" s="1"/>
  <c r="AF118" i="1" s="1"/>
  <c r="AF151" i="1" s="1"/>
  <c r="AE35" i="1"/>
  <c r="AE68" i="1" s="1"/>
  <c r="AE85" i="1" s="1"/>
  <c r="AE118" i="1" s="1"/>
  <c r="AE151" i="1" s="1"/>
  <c r="AD35" i="1"/>
  <c r="AD68" i="1" s="1"/>
  <c r="AD85" i="1" s="1"/>
  <c r="AD118" i="1" s="1"/>
  <c r="AD151" i="1" s="1"/>
  <c r="AC35" i="1"/>
  <c r="AC68" i="1" s="1"/>
  <c r="AC85" i="1" s="1"/>
  <c r="AC118" i="1" s="1"/>
  <c r="AC151" i="1" s="1"/>
  <c r="AB35" i="1"/>
  <c r="AB68" i="1" s="1"/>
  <c r="AB85" i="1" s="1"/>
  <c r="AB118" i="1" s="1"/>
  <c r="AB151" i="1" s="1"/>
  <c r="AA35" i="1"/>
  <c r="AA68" i="1" s="1"/>
  <c r="AA85" i="1" s="1"/>
  <c r="AA118" i="1" s="1"/>
  <c r="AA151" i="1" s="1"/>
  <c r="Z35" i="1"/>
  <c r="Z68" i="1" s="1"/>
  <c r="Z85" i="1" s="1"/>
  <c r="Z118" i="1" s="1"/>
  <c r="Z151" i="1" s="1"/>
  <c r="Y35" i="1"/>
  <c r="Y68" i="1" s="1"/>
  <c r="Y85" i="1" s="1"/>
  <c r="Y118" i="1" s="1"/>
  <c r="Y151" i="1" s="1"/>
  <c r="X35" i="1"/>
  <c r="X68" i="1" s="1"/>
  <c r="X85" i="1" s="1"/>
  <c r="X118" i="1" s="1"/>
  <c r="X151" i="1" s="1"/>
  <c r="W35" i="1"/>
  <c r="W68" i="1" s="1"/>
  <c r="W85" i="1" s="1"/>
  <c r="W118" i="1" s="1"/>
  <c r="W151" i="1" s="1"/>
  <c r="V35" i="1"/>
  <c r="V68" i="1" s="1"/>
  <c r="V85" i="1" s="1"/>
  <c r="V118" i="1" s="1"/>
  <c r="V151" i="1" s="1"/>
  <c r="U35" i="1"/>
  <c r="U68" i="1" s="1"/>
  <c r="U85" i="1" s="1"/>
  <c r="U118" i="1" s="1"/>
  <c r="U151" i="1" s="1"/>
  <c r="T35" i="1"/>
  <c r="T68" i="1" s="1"/>
  <c r="T85" i="1" s="1"/>
  <c r="T118" i="1" s="1"/>
  <c r="T151" i="1" s="1"/>
  <c r="S35" i="1"/>
  <c r="S68" i="1" s="1"/>
  <c r="S85" i="1" s="1"/>
  <c r="S118" i="1" s="1"/>
  <c r="S151" i="1" s="1"/>
  <c r="R35" i="1"/>
  <c r="R68" i="1" s="1"/>
  <c r="R85" i="1" s="1"/>
  <c r="R118" i="1" s="1"/>
  <c r="R151" i="1" s="1"/>
  <c r="Q35" i="1"/>
  <c r="Q68" i="1" s="1"/>
  <c r="Q85" i="1" s="1"/>
  <c r="Q118" i="1" s="1"/>
  <c r="Q151" i="1" s="1"/>
  <c r="P35" i="1"/>
  <c r="P68" i="1" s="1"/>
  <c r="P85" i="1" s="1"/>
  <c r="P118" i="1" s="1"/>
  <c r="P151" i="1" s="1"/>
  <c r="O35" i="1"/>
  <c r="O68" i="1" s="1"/>
  <c r="O85" i="1" s="1"/>
  <c r="O118" i="1" s="1"/>
  <c r="O151" i="1" s="1"/>
  <c r="N35" i="1"/>
  <c r="N68" i="1" s="1"/>
  <c r="N85" i="1" s="1"/>
  <c r="N118" i="1" s="1"/>
  <c r="N151" i="1" s="1"/>
  <c r="M35" i="1"/>
  <c r="M68" i="1" s="1"/>
  <c r="M85" i="1" s="1"/>
  <c r="M118" i="1" s="1"/>
  <c r="M151" i="1" s="1"/>
  <c r="L35" i="1"/>
  <c r="L68" i="1" s="1"/>
  <c r="L85" i="1" s="1"/>
  <c r="L118" i="1" s="1"/>
  <c r="L151" i="1" s="1"/>
  <c r="K35" i="1"/>
  <c r="K68" i="1" s="1"/>
  <c r="K85" i="1" s="1"/>
  <c r="K118" i="1" s="1"/>
  <c r="K151" i="1" s="1"/>
  <c r="J35" i="1"/>
  <c r="J68" i="1" s="1"/>
  <c r="J85" i="1" s="1"/>
  <c r="J118" i="1" s="1"/>
  <c r="J151" i="1" s="1"/>
  <c r="I35" i="1"/>
  <c r="I68" i="1" s="1"/>
  <c r="I85" i="1" s="1"/>
  <c r="I118" i="1" s="1"/>
  <c r="I151" i="1" s="1"/>
  <c r="H35" i="1"/>
  <c r="H68" i="1" s="1"/>
  <c r="H85" i="1" s="1"/>
  <c r="H118" i="1" s="1"/>
  <c r="H151" i="1" s="1"/>
  <c r="G35" i="1"/>
  <c r="G68" i="1" s="1"/>
  <c r="G85" i="1" s="1"/>
  <c r="G118" i="1" s="1"/>
  <c r="G151" i="1" s="1"/>
  <c r="F35" i="1"/>
  <c r="F68" i="1" s="1"/>
  <c r="F85" i="1" s="1"/>
  <c r="F118" i="1" s="1"/>
  <c r="F151" i="1" s="1"/>
  <c r="E35" i="1"/>
  <c r="E68" i="1" s="1"/>
  <c r="E85" i="1" s="1"/>
  <c r="E118" i="1" s="1"/>
  <c r="E151" i="1" s="1"/>
  <c r="D35" i="1"/>
  <c r="D68" i="1" s="1"/>
  <c r="D85" i="1" s="1"/>
  <c r="D118" i="1" s="1"/>
  <c r="D151" i="1" s="1"/>
  <c r="C35" i="1"/>
  <c r="C68" i="1" s="1"/>
  <c r="C85" i="1" s="1"/>
  <c r="C118" i="1" s="1"/>
  <c r="C151" i="1" s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E20" i="1"/>
  <c r="D20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E4" i="1"/>
  <c r="D4" i="1"/>
  <c r="C4" i="1"/>
  <c r="B4" i="1"/>
  <c r="B3" i="1"/>
  <c r="C267" i="1" l="1"/>
  <c r="F267" i="1"/>
  <c r="H267" i="1"/>
  <c r="I267" i="1"/>
  <c r="J267" i="1"/>
  <c r="K267" i="1"/>
  <c r="N267" i="1"/>
  <c r="P267" i="1"/>
  <c r="Q267" i="1"/>
  <c r="R267" i="1"/>
  <c r="S267" i="1"/>
  <c r="V267" i="1"/>
  <c r="X267" i="1"/>
  <c r="Y267" i="1"/>
  <c r="Z267" i="1"/>
  <c r="AA267" i="1"/>
  <c r="AD267" i="1"/>
  <c r="AF267" i="1"/>
  <c r="AG267" i="1"/>
  <c r="AH267" i="1"/>
  <c r="AI267" i="1"/>
  <c r="AL267" i="1"/>
  <c r="AM267" i="1"/>
  <c r="AN267" i="1"/>
  <c r="AO267" i="1"/>
  <c r="AP267" i="1"/>
  <c r="E350" i="1"/>
  <c r="E388" i="1" s="1"/>
  <c r="M350" i="1"/>
  <c r="M388" i="1" s="1"/>
  <c r="U350" i="1"/>
  <c r="U388" i="1" s="1"/>
  <c r="AC350" i="1"/>
  <c r="AC388" i="1" s="1"/>
  <c r="AK350" i="1"/>
  <c r="AK388" i="1" s="1"/>
  <c r="I388" i="1"/>
  <c r="Q388" i="1"/>
  <c r="Y388" i="1"/>
  <c r="AG388" i="1"/>
  <c r="AO388" i="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BG136" i="11"/>
  <c r="BF136" i="11"/>
  <c r="BE136" i="11"/>
  <c r="BD136" i="11"/>
  <c r="BC136" i="11"/>
  <c r="BB136" i="11"/>
  <c r="BA136" i="11"/>
  <c r="AZ136" i="11"/>
  <c r="AY136" i="11"/>
  <c r="AX136" i="11"/>
  <c r="AW136" i="11"/>
  <c r="AV136" i="11"/>
  <c r="AT136" i="11"/>
  <c r="AS136" i="11"/>
  <c r="AR136" i="11"/>
  <c r="AQ136" i="11"/>
  <c r="AP136" i="11"/>
  <c r="AO136" i="11"/>
  <c r="AN136" i="11"/>
  <c r="AM136" i="11"/>
  <c r="AL136" i="11"/>
  <c r="AK136" i="11"/>
  <c r="AJ136" i="11"/>
  <c r="AI136" i="11"/>
  <c r="BT136" i="11"/>
  <c r="BS136" i="11"/>
  <c r="BR136" i="11"/>
  <c r="BQ136" i="11"/>
  <c r="BP136" i="11"/>
  <c r="BO136" i="11"/>
  <c r="BN136" i="11"/>
  <c r="BM136" i="11"/>
  <c r="BL136" i="11"/>
  <c r="BK136" i="11"/>
  <c r="BJ136" i="11"/>
  <c r="BI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J20" i="13"/>
  <c r="L20" i="13" s="1"/>
  <c r="J38" i="13"/>
  <c r="L38" i="13" s="1"/>
  <c r="N38" i="13" s="1"/>
  <c r="P38" i="13" s="1"/>
  <c r="R38" i="13" s="1"/>
  <c r="T38" i="13" s="1"/>
  <c r="E49" i="15"/>
  <c r="C40" i="15" s="1"/>
  <c r="E58" i="19"/>
  <c r="F58" i="19" s="1"/>
  <c r="E62" i="19"/>
  <c r="F62" i="19" s="1"/>
  <c r="E55" i="19"/>
  <c r="D21" i="24"/>
  <c r="D23" i="24" s="1"/>
  <c r="J210" i="11"/>
  <c r="G19" i="11"/>
  <c r="I26" i="11"/>
  <c r="K88" i="3"/>
  <c r="K87" i="3"/>
  <c r="G83" i="3"/>
  <c r="G82" i="3"/>
  <c r="E10" i="24"/>
  <c r="BG268" i="3"/>
  <c r="BG270" i="3" s="1"/>
  <c r="BG206" i="3" s="1"/>
  <c r="BG271" i="3" s="1"/>
  <c r="BG272" i="3" s="1"/>
  <c r="BG274" i="3" s="1"/>
  <c r="BG275" i="3" s="1"/>
  <c r="BG276" i="3" s="1"/>
  <c r="BG277" i="3" s="1"/>
  <c r="BG278" i="3" s="1"/>
  <c r="BG279" i="3" s="1"/>
  <c r="BG280" i="3" s="1"/>
  <c r="BU281" i="3" s="1"/>
  <c r="BG282" i="3" s="1"/>
  <c r="BG283" i="3" s="1"/>
  <c r="BG284" i="3" s="1"/>
  <c r="BU285" i="3" s="1"/>
  <c r="BU286" i="3" s="1"/>
  <c r="BG287" i="3" s="1"/>
  <c r="BU288" i="3" s="1"/>
  <c r="BG289" i="3" s="1"/>
  <c r="BG290" i="3" s="1"/>
  <c r="BG291" i="3" s="1"/>
  <c r="BG292" i="3" s="1"/>
  <c r="BG293" i="3" s="1"/>
  <c r="BG294" i="3" s="1"/>
  <c r="BU295" i="3" s="1"/>
  <c r="BU296" i="3" s="1"/>
  <c r="BG297" i="3" s="1"/>
  <c r="BG298" i="3" s="1"/>
  <c r="BG299" i="3" s="1"/>
  <c r="F10" i="14"/>
  <c r="F10" i="24"/>
  <c r="G10" i="14"/>
  <c r="G10" i="24"/>
  <c r="H10" i="14"/>
  <c r="H10" i="24"/>
  <c r="J120" i="11"/>
  <c r="K120" i="11" s="1"/>
  <c r="N20" i="13"/>
  <c r="P20" i="13" s="1"/>
  <c r="R20" i="13" s="1"/>
  <c r="T20" i="13" s="1"/>
  <c r="C10" i="15"/>
  <c r="C202" i="1"/>
  <c r="E25" i="3"/>
  <c r="E91" i="3" s="1"/>
  <c r="E60" i="3"/>
  <c r="C19" i="27"/>
  <c r="C16" i="27"/>
  <c r="C17" i="27"/>
  <c r="C18" i="27"/>
  <c r="C20" i="27"/>
  <c r="C15" i="27"/>
  <c r="C10" i="27"/>
  <c r="C11" i="27"/>
  <c r="C12" i="27"/>
  <c r="C13" i="27"/>
  <c r="C7" i="27"/>
  <c r="C8" i="27"/>
  <c r="C9" i="27"/>
  <c r="C6" i="27"/>
  <c r="F1" i="7"/>
  <c r="J176" i="4"/>
  <c r="H176" i="4"/>
  <c r="J167" i="4"/>
  <c r="H167" i="4"/>
  <c r="J158" i="4"/>
  <c r="H158" i="4"/>
  <c r="J149" i="4"/>
  <c r="H149" i="4"/>
  <c r="J140" i="4"/>
  <c r="H140" i="4"/>
  <c r="J62" i="4"/>
  <c r="H62" i="4"/>
  <c r="J52" i="4"/>
  <c r="H52" i="4"/>
  <c r="J42" i="4"/>
  <c r="H42" i="4"/>
  <c r="J22" i="4"/>
  <c r="H22" i="4"/>
  <c r="J32" i="4"/>
  <c r="H32" i="4"/>
  <c r="H17" i="13"/>
  <c r="H34" i="11"/>
  <c r="G20" i="27"/>
  <c r="F22" i="27"/>
  <c r="E10" i="14"/>
  <c r="D43" i="1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I103" i="11"/>
  <c r="J221" i="11" s="1"/>
  <c r="J108" i="11"/>
  <c r="K108" i="11" s="1"/>
  <c r="L108" i="11" s="1"/>
  <c r="M108" i="11" s="1"/>
  <c r="N108" i="11" s="1"/>
  <c r="O108" i="11" s="1"/>
  <c r="P108" i="11" s="1"/>
  <c r="Q108" i="11" s="1"/>
  <c r="R108" i="11" s="1"/>
  <c r="S108" i="11" s="1"/>
  <c r="T108" i="11" s="1"/>
  <c r="V108" i="11" s="1"/>
  <c r="W108" i="11" s="1"/>
  <c r="X108" i="11" s="1"/>
  <c r="Y108" i="11" s="1"/>
  <c r="Z108" i="11" s="1"/>
  <c r="AA108" i="11" s="1"/>
  <c r="AB108" i="11" s="1"/>
  <c r="AC108" i="11" s="1"/>
  <c r="AD108" i="11" s="1"/>
  <c r="H9" i="10"/>
  <c r="I16" i="10" s="1"/>
  <c r="H24" i="10" s="1"/>
  <c r="I81" i="13"/>
  <c r="I82" i="13"/>
  <c r="AA98" i="4"/>
  <c r="AE99" i="4"/>
  <c r="G123" i="4"/>
  <c r="I122" i="4"/>
  <c r="F62" i="10"/>
  <c r="F63" i="10"/>
  <c r="D64" i="1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N151" i="11"/>
  <c r="N77" i="11"/>
  <c r="Q151" i="11"/>
  <c r="Q77" i="11"/>
  <c r="O151" i="11"/>
  <c r="O77" i="11"/>
  <c r="P151" i="11"/>
  <c r="P77" i="11"/>
  <c r="T151" i="11"/>
  <c r="T77" i="11"/>
  <c r="R151" i="11"/>
  <c r="R77" i="11"/>
  <c r="S151" i="11"/>
  <c r="S77" i="11"/>
  <c r="X151" i="11"/>
  <c r="X77" i="11"/>
  <c r="W151" i="11"/>
  <c r="W77" i="11"/>
  <c r="AA151" i="11"/>
  <c r="AA77" i="11"/>
  <c r="Y151" i="11"/>
  <c r="Y77" i="11"/>
  <c r="Z77" i="11"/>
  <c r="Z151" i="11"/>
  <c r="AD151" i="11"/>
  <c r="AD77" i="11"/>
  <c r="AB151" i="11"/>
  <c r="AB77" i="11"/>
  <c r="AC151" i="11"/>
  <c r="AC77" i="11"/>
  <c r="AG151" i="11"/>
  <c r="AE151" i="11"/>
  <c r="AE77" i="11"/>
  <c r="AF151" i="11"/>
  <c r="AF77" i="11"/>
  <c r="AK151" i="11"/>
  <c r="AK77" i="11"/>
  <c r="AI151" i="11"/>
  <c r="AI77" i="11"/>
  <c r="AJ151" i="11"/>
  <c r="AJ77" i="11"/>
  <c r="AN151" i="11"/>
  <c r="AN77" i="11"/>
  <c r="AL151" i="11"/>
  <c r="AL77" i="11"/>
  <c r="AQ151" i="11"/>
  <c r="AQ77" i="11"/>
  <c r="AO151" i="11"/>
  <c r="AO77" i="11"/>
  <c r="AP151" i="11"/>
  <c r="AP77" i="11"/>
  <c r="AT151" i="11"/>
  <c r="AT77" i="11"/>
  <c r="AR151" i="11"/>
  <c r="AR77" i="11"/>
  <c r="AS151" i="11"/>
  <c r="AS77" i="11"/>
  <c r="AX151" i="11"/>
  <c r="AX77" i="11"/>
  <c r="AV151" i="11"/>
  <c r="AV77" i="11"/>
  <c r="AW151" i="11"/>
  <c r="AW77" i="11"/>
  <c r="BA151" i="11"/>
  <c r="BA77" i="11"/>
  <c r="AY151" i="11"/>
  <c r="AY77" i="11"/>
  <c r="AZ151" i="11"/>
  <c r="AZ77" i="11"/>
  <c r="BD151" i="11"/>
  <c r="BD77" i="11"/>
  <c r="BB151" i="11"/>
  <c r="BB77" i="11"/>
  <c r="BC151" i="11"/>
  <c r="BC77" i="11"/>
  <c r="BG151" i="11"/>
  <c r="BG77" i="11"/>
  <c r="BE151" i="11"/>
  <c r="BE77" i="11"/>
  <c r="BF151" i="11"/>
  <c r="BF77" i="11"/>
  <c r="DK136" i="11"/>
  <c r="DK135" i="11" s="1"/>
  <c r="DK54" i="11" s="1"/>
  <c r="DQ136" i="11"/>
  <c r="DQ135" i="11" s="1"/>
  <c r="DQ54" i="11" s="1"/>
  <c r="DB136" i="11"/>
  <c r="DB135" i="11" s="1"/>
  <c r="DB54" i="11" s="1"/>
  <c r="DA136" i="11"/>
  <c r="DA135" i="11" s="1"/>
  <c r="DA54" i="11" s="1"/>
  <c r="CL136" i="11"/>
  <c r="CL135" i="11" s="1"/>
  <c r="CL54" i="11" s="1"/>
  <c r="CB136" i="11"/>
  <c r="CB135" i="11" s="1"/>
  <c r="CB54" i="11" s="1"/>
  <c r="CH55" i="11"/>
  <c r="BH73" i="11"/>
  <c r="P41" i="13" s="1"/>
  <c r="U76" i="11"/>
  <c r="DU76" i="11"/>
  <c r="J92" i="13"/>
  <c r="L92" i="13" s="1"/>
  <c r="I85" i="11"/>
  <c r="J85" i="11" s="1"/>
  <c r="K85" i="11" s="1"/>
  <c r="L85" i="11" s="1"/>
  <c r="M85" i="11" s="1"/>
  <c r="N85" i="11" s="1"/>
  <c r="O85" i="11" s="1"/>
  <c r="P85" i="11" s="1"/>
  <c r="Q85" i="11" s="1"/>
  <c r="R85" i="11" s="1"/>
  <c r="S85" i="11" s="1"/>
  <c r="T85" i="11" s="1"/>
  <c r="K243" i="11"/>
  <c r="K92" i="11"/>
  <c r="L92" i="11" s="1"/>
  <c r="I245" i="11"/>
  <c r="I94" i="11"/>
  <c r="J223" i="11"/>
  <c r="J105" i="11"/>
  <c r="J225" i="11"/>
  <c r="K107" i="11"/>
  <c r="L107" i="11" s="1"/>
  <c r="I231" i="11"/>
  <c r="I113" i="11"/>
  <c r="I234" i="11"/>
  <c r="I116" i="11"/>
  <c r="J116" i="11" s="1"/>
  <c r="K116" i="11" s="1"/>
  <c r="L116" i="11" s="1"/>
  <c r="M116" i="11" s="1"/>
  <c r="N116" i="11" s="1"/>
  <c r="I235" i="11"/>
  <c r="I117" i="11"/>
  <c r="I248" i="11"/>
  <c r="I121" i="11"/>
  <c r="J121" i="11" s="1"/>
  <c r="I251" i="11"/>
  <c r="I124" i="11"/>
  <c r="J124" i="11" s="1"/>
  <c r="K77" i="11"/>
  <c r="L151" i="11"/>
  <c r="L77" i="11"/>
  <c r="M151" i="11"/>
  <c r="M77" i="11"/>
  <c r="AM151" i="11"/>
  <c r="AM77" i="11"/>
  <c r="BJ151" i="11"/>
  <c r="BJ77" i="11"/>
  <c r="BK151" i="11"/>
  <c r="BK77" i="11"/>
  <c r="BL151" i="11"/>
  <c r="BL77" i="11"/>
  <c r="BM151" i="11"/>
  <c r="BM77" i="11"/>
  <c r="BS151" i="11"/>
  <c r="BS77" i="11"/>
  <c r="BT151" i="11"/>
  <c r="BT77" i="11"/>
  <c r="L226" i="11"/>
  <c r="K226" i="11"/>
  <c r="L234" i="11"/>
  <c r="I249" i="11"/>
  <c r="E21" i="13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W19" i="13"/>
  <c r="W20" i="13" s="1"/>
  <c r="W21" i="13" s="1"/>
  <c r="W22" i="13" s="1"/>
  <c r="W23" i="13" s="1"/>
  <c r="AF10" i="13"/>
  <c r="L101" i="11"/>
  <c r="M101" i="11" s="1"/>
  <c r="N101" i="11" s="1"/>
  <c r="O101" i="11" s="1"/>
  <c r="P101" i="11" s="1"/>
  <c r="Q101" i="11" s="1"/>
  <c r="R101" i="11" s="1"/>
  <c r="S101" i="11" s="1"/>
  <c r="T101" i="11" s="1"/>
  <c r="J31" i="13" s="1"/>
  <c r="L31" i="13" s="1"/>
  <c r="J36" i="13"/>
  <c r="L36" i="13" s="1"/>
  <c r="N36" i="13" s="1"/>
  <c r="J37" i="13"/>
  <c r="L37" i="13" s="1"/>
  <c r="N37" i="13" s="1"/>
  <c r="P37" i="13" s="1"/>
  <c r="R37" i="13" s="1"/>
  <c r="T37" i="13" s="1"/>
  <c r="Z37" i="13" s="1"/>
  <c r="AB37" i="13" s="1"/>
  <c r="AD37" i="13" s="1"/>
  <c r="AF37" i="13" s="1"/>
  <c r="AH37" i="13" s="1"/>
  <c r="J48" i="13"/>
  <c r="L48" i="13" s="1"/>
  <c r="N48" i="13" s="1"/>
  <c r="P48" i="13" s="1"/>
  <c r="R48" i="13" s="1"/>
  <c r="T48" i="13" s="1"/>
  <c r="Z48" i="13" s="1"/>
  <c r="AB48" i="13" s="1"/>
  <c r="AD48" i="13" s="1"/>
  <c r="AF48" i="13" s="1"/>
  <c r="AH48" i="13" s="1"/>
  <c r="J49" i="13"/>
  <c r="L49" i="13" s="1"/>
  <c r="N49" i="13" s="1"/>
  <c r="P49" i="13" s="1"/>
  <c r="R49" i="13" s="1"/>
  <c r="T49" i="13" s="1"/>
  <c r="Z49" i="13" s="1"/>
  <c r="AB49" i="13" s="1"/>
  <c r="AD49" i="13" s="1"/>
  <c r="AF49" i="13" s="1"/>
  <c r="AH49" i="13" s="1"/>
  <c r="J50" i="13"/>
  <c r="L50" i="13" s="1"/>
  <c r="N50" i="13" s="1"/>
  <c r="P50" i="13" s="1"/>
  <c r="R50" i="13" s="1"/>
  <c r="T50" i="13" s="1"/>
  <c r="Z50" i="13" s="1"/>
  <c r="AB50" i="13" s="1"/>
  <c r="AD50" i="13" s="1"/>
  <c r="AF50" i="13" s="1"/>
  <c r="AH50" i="13" s="1"/>
  <c r="L54" i="13"/>
  <c r="J54" i="13"/>
  <c r="L55" i="13"/>
  <c r="N55" i="13" s="1"/>
  <c r="P55" i="13" s="1"/>
  <c r="R55" i="13" s="1"/>
  <c r="T55" i="13" s="1"/>
  <c r="Z55" i="13" s="1"/>
  <c r="AB55" i="13" s="1"/>
  <c r="AD55" i="13" s="1"/>
  <c r="AF55" i="13" s="1"/>
  <c r="AH55" i="13" s="1"/>
  <c r="J55" i="13"/>
  <c r="L133" i="3"/>
  <c r="J133" i="3"/>
  <c r="H133" i="3"/>
  <c r="F133" i="3"/>
  <c r="L107" i="3"/>
  <c r="K130" i="3"/>
  <c r="J11" i="13"/>
  <c r="L11" i="13" s="1"/>
  <c r="N11" i="13" s="1"/>
  <c r="P11" i="13" s="1"/>
  <c r="R11" i="13" s="1"/>
  <c r="T11" i="13" s="1"/>
  <c r="Z11" i="13" s="1"/>
  <c r="AB11" i="13" s="1"/>
  <c r="AD11" i="13" s="1"/>
  <c r="AF11" i="13" s="1"/>
  <c r="AH11" i="13" s="1"/>
  <c r="I20" i="10"/>
  <c r="I19" i="10" s="1"/>
  <c r="I21" i="10" s="1"/>
  <c r="J15" i="13"/>
  <c r="L15" i="13" s="1"/>
  <c r="N15" i="13" s="1"/>
  <c r="P15" i="13" s="1"/>
  <c r="R15" i="13" s="1"/>
  <c r="T15" i="13" s="1"/>
  <c r="Z15" i="13" s="1"/>
  <c r="AB15" i="13" s="1"/>
  <c r="AD15" i="13" s="1"/>
  <c r="AF15" i="13" s="1"/>
  <c r="AH15" i="13" s="1"/>
  <c r="J16" i="13"/>
  <c r="L16" i="13" s="1"/>
  <c r="H126" i="13"/>
  <c r="J23" i="13"/>
  <c r="L23" i="13" s="1"/>
  <c r="N23" i="13" s="1"/>
  <c r="P23" i="13" s="1"/>
  <c r="R23" i="13" s="1"/>
  <c r="T23" i="13" s="1"/>
  <c r="Z23" i="13" s="1"/>
  <c r="AB23" i="13" s="1"/>
  <c r="AD23" i="13" s="1"/>
  <c r="AF23" i="13" s="1"/>
  <c r="AH23" i="13" s="1"/>
  <c r="J25" i="13"/>
  <c r="L25" i="13" s="1"/>
  <c r="N25" i="13" s="1"/>
  <c r="P25" i="13" s="1"/>
  <c r="R25" i="13" s="1"/>
  <c r="T25" i="13" s="1"/>
  <c r="Z25" i="13" s="1"/>
  <c r="AB25" i="13" s="1"/>
  <c r="AD25" i="13" s="1"/>
  <c r="AF25" i="13" s="1"/>
  <c r="AH25" i="13" s="1"/>
  <c r="C20" i="1"/>
  <c r="E96" i="3"/>
  <c r="E95" i="3"/>
  <c r="E202" i="1"/>
  <c r="I25" i="3"/>
  <c r="I91" i="3" s="1"/>
  <c r="H95" i="11"/>
  <c r="I95" i="11" s="1"/>
  <c r="F24" i="10"/>
  <c r="D37" i="1"/>
  <c r="C37" i="1"/>
  <c r="C53" i="1"/>
  <c r="BF7" i="3"/>
  <c r="E37" i="1"/>
  <c r="D53" i="1"/>
  <c r="I203" i="4"/>
  <c r="E334" i="1"/>
  <c r="I81" i="3"/>
  <c r="E251" i="1"/>
  <c r="E301" i="1"/>
  <c r="I256" i="3"/>
  <c r="C251" i="1"/>
  <c r="C334" i="1"/>
  <c r="U12" i="15"/>
  <c r="U14" i="15" s="1"/>
  <c r="U24" i="15" s="1"/>
  <c r="V12" i="15"/>
  <c r="V14" i="15" s="1"/>
  <c r="W12" i="15"/>
  <c r="W14" i="15" s="1"/>
  <c r="W24" i="15" s="1"/>
  <c r="BN370" i="3"/>
  <c r="BN386" i="3" s="1"/>
  <c r="BO386" i="3" s="1"/>
  <c r="I80" i="13"/>
  <c r="H102" i="11"/>
  <c r="I89" i="13"/>
  <c r="AA52" i="11"/>
  <c r="CS52" i="11"/>
  <c r="G249" i="3"/>
  <c r="G59" i="3"/>
  <c r="G60" i="3" s="1"/>
  <c r="AF52" i="11"/>
  <c r="CT52" i="11"/>
  <c r="L13" i="14"/>
  <c r="BJ386" i="3"/>
  <c r="BJ402" i="3" s="1"/>
  <c r="BK402" i="3" s="1"/>
  <c r="W319" i="4"/>
  <c r="Y319" i="4" s="1"/>
  <c r="BU33" i="11"/>
  <c r="AI52" i="11"/>
  <c r="DL52" i="11"/>
  <c r="BL303" i="3"/>
  <c r="AN203" i="4"/>
  <c r="AN205" i="4" s="1"/>
  <c r="AS52" i="11"/>
  <c r="DM52" i="11"/>
  <c r="K271" i="3"/>
  <c r="G109" i="3"/>
  <c r="G117" i="3" s="1"/>
  <c r="G133" i="3" s="1"/>
  <c r="AW52" i="11"/>
  <c r="EA52" i="11"/>
  <c r="G256" i="3"/>
  <c r="BA52" i="11"/>
  <c r="EC52" i="11"/>
  <c r="I90" i="13"/>
  <c r="J110" i="3"/>
  <c r="BM52" i="11"/>
  <c r="H61" i="13"/>
  <c r="K256" i="3"/>
  <c r="G334" i="4"/>
  <c r="AH33" i="11"/>
  <c r="BN52" i="11"/>
  <c r="M102" i="13"/>
  <c r="Q102" i="13" s="1"/>
  <c r="Y12" i="15"/>
  <c r="Y14" i="15" s="1"/>
  <c r="Y24" i="15" s="1"/>
  <c r="BL402" i="3"/>
  <c r="BM386" i="3"/>
  <c r="F106" i="3"/>
  <c r="G127" i="4" s="1"/>
  <c r="G177" i="3"/>
  <c r="AM200" i="4"/>
  <c r="AM206" i="4" s="1"/>
  <c r="E53" i="1"/>
  <c r="H13" i="3"/>
  <c r="BQ13" i="3"/>
  <c r="BP314" i="3" s="1"/>
  <c r="K25" i="3"/>
  <c r="I177" i="3"/>
  <c r="W320" i="4"/>
  <c r="Y320" i="4" s="1"/>
  <c r="W324" i="4"/>
  <c r="Y324" i="4" s="1"/>
  <c r="F23" i="10"/>
  <c r="AG52" i="11"/>
  <c r="AZ52" i="11"/>
  <c r="BO52" i="11"/>
  <c r="CW52" i="11"/>
  <c r="DP52" i="11"/>
  <c r="W299" i="4"/>
  <c r="Y299" i="4" s="1"/>
  <c r="C301" i="1"/>
  <c r="BN128" i="3"/>
  <c r="BN155" i="3" s="1"/>
  <c r="BN157" i="3" s="1"/>
  <c r="G166" i="3"/>
  <c r="BQ370" i="3"/>
  <c r="W329" i="4"/>
  <c r="Y329" i="4" s="1"/>
  <c r="BQ52" i="11"/>
  <c r="DB52" i="11"/>
  <c r="DQ52" i="11"/>
  <c r="I93" i="13"/>
  <c r="M100" i="13"/>
  <c r="BM354" i="3"/>
  <c r="D301" i="1"/>
  <c r="W321" i="4"/>
  <c r="Y321" i="4" s="1"/>
  <c r="F18" i="10"/>
  <c r="AK52" i="11"/>
  <c r="BD52" i="11"/>
  <c r="CJ52" i="11"/>
  <c r="DC52" i="11"/>
  <c r="DS52" i="11"/>
  <c r="W6" i="13"/>
  <c r="W71" i="13" s="1"/>
  <c r="O100" i="13"/>
  <c r="I90" i="3"/>
  <c r="E107" i="3"/>
  <c r="J108" i="3"/>
  <c r="F25" i="10" s="1"/>
  <c r="AP52" i="11"/>
  <c r="BE52" i="11"/>
  <c r="CK52" i="11"/>
  <c r="DD52" i="11"/>
  <c r="DX52" i="11"/>
  <c r="X100" i="13"/>
  <c r="BK13" i="3"/>
  <c r="BK322" i="3" s="1"/>
  <c r="X52" i="11"/>
  <c r="AQ52" i="11"/>
  <c r="BG52" i="11"/>
  <c r="CM52" i="11"/>
  <c r="DE52" i="11"/>
  <c r="DY52" i="11"/>
  <c r="F22" i="10"/>
  <c r="I187" i="3"/>
  <c r="BK354" i="3"/>
  <c r="G266" i="4"/>
  <c r="W279" i="4" s="1"/>
  <c r="Y279" i="4" s="1"/>
  <c r="W322" i="4"/>
  <c r="Y322" i="4" s="1"/>
  <c r="W327" i="4"/>
  <c r="Y327" i="4" s="1"/>
  <c r="Y52" i="11"/>
  <c r="AR52" i="11"/>
  <c r="BL52" i="11"/>
  <c r="CR52" i="11"/>
  <c r="DI52" i="11"/>
  <c r="DZ52" i="11"/>
  <c r="S12" i="15"/>
  <c r="S14" i="15" s="1"/>
  <c r="S24" i="15" s="1"/>
  <c r="T12" i="15"/>
  <c r="T14" i="15" s="1"/>
  <c r="T24" i="15" s="1"/>
  <c r="B33" i="3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28" i="3"/>
  <c r="B29" i="3" s="1"/>
  <c r="H35" i="13"/>
  <c r="H36" i="11"/>
  <c r="K191" i="3"/>
  <c r="K209" i="3"/>
  <c r="D9" i="14"/>
  <c r="D13" i="14"/>
  <c r="H7" i="13"/>
  <c r="L64" i="13" s="1"/>
  <c r="D8" i="14"/>
  <c r="E9" i="14" s="1"/>
  <c r="D14" i="14"/>
  <c r="D5" i="14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F12" i="4"/>
  <c r="I202" i="4"/>
  <c r="I8" i="11"/>
  <c r="R6" i="4"/>
  <c r="R7" i="4" s="1"/>
  <c r="R8" i="4" s="1"/>
  <c r="R9" i="4" s="1"/>
  <c r="R10" i="4" s="1"/>
  <c r="R11" i="4" s="1"/>
  <c r="R12" i="4" s="1"/>
  <c r="R13" i="4" s="1"/>
  <c r="R14" i="4" s="1"/>
  <c r="R15" i="4" s="1"/>
  <c r="R19" i="4" s="1"/>
  <c r="R20" i="4" s="1"/>
  <c r="R27" i="4" s="1"/>
  <c r="R28" i="4" s="1"/>
  <c r="R29" i="4" s="1"/>
  <c r="R30" i="4" s="1"/>
  <c r="R37" i="4" s="1"/>
  <c r="R38" i="4" s="1"/>
  <c r="R39" i="4" s="1"/>
  <c r="R40" i="4" s="1"/>
  <c r="R47" i="4" s="1"/>
  <c r="K103" i="3"/>
  <c r="K90" i="3"/>
  <c r="G271" i="3"/>
  <c r="G264" i="3"/>
  <c r="G33" i="3"/>
  <c r="I169" i="3"/>
  <c r="I260" i="3" s="1"/>
  <c r="G345" i="4"/>
  <c r="AE100" i="4"/>
  <c r="E7" i="13"/>
  <c r="E7" i="11"/>
  <c r="G8" i="4"/>
  <c r="G265" i="4" s="1"/>
  <c r="B103" i="3"/>
  <c r="K50" i="3"/>
  <c r="H134" i="13"/>
  <c r="G86" i="4"/>
  <c r="F11" i="4"/>
  <c r="G129" i="4"/>
  <c r="F10" i="9"/>
  <c r="AM197" i="4"/>
  <c r="I103" i="3"/>
  <c r="H84" i="13"/>
  <c r="I84" i="13" s="1"/>
  <c r="L115" i="3"/>
  <c r="G87" i="4" s="1"/>
  <c r="D251" i="1"/>
  <c r="F9" i="4"/>
  <c r="G184" i="4"/>
  <c r="G84" i="4"/>
  <c r="E103" i="3"/>
  <c r="E90" i="3"/>
  <c r="G346" i="4"/>
  <c r="G25" i="3"/>
  <c r="G92" i="3" s="1"/>
  <c r="BP128" i="3"/>
  <c r="BP155" i="3" s="1"/>
  <c r="BP157" i="3" s="1"/>
  <c r="I168" i="3"/>
  <c r="G187" i="3"/>
  <c r="G205" i="3"/>
  <c r="H51" i="13"/>
  <c r="K249" i="3"/>
  <c r="K228" i="3"/>
  <c r="H107" i="3"/>
  <c r="G235" i="3"/>
  <c r="H129" i="13"/>
  <c r="H131" i="13"/>
  <c r="H79" i="13"/>
  <c r="H124" i="13" s="1"/>
  <c r="K177" i="3"/>
  <c r="K166" i="3"/>
  <c r="K168" i="3" s="1"/>
  <c r="L110" i="3"/>
  <c r="B10" i="3"/>
  <c r="BF10" i="3" s="1"/>
  <c r="G128" i="4"/>
  <c r="F10" i="4"/>
  <c r="G185" i="4"/>
  <c r="E10" i="9"/>
  <c r="G85" i="4"/>
  <c r="BM13" i="3"/>
  <c r="G90" i="3"/>
  <c r="G103" i="3"/>
  <c r="H77" i="13"/>
  <c r="L108" i="3"/>
  <c r="G187" i="4" s="1"/>
  <c r="I249" i="3"/>
  <c r="I228" i="3"/>
  <c r="BL128" i="3"/>
  <c r="BL155" i="3" s="1"/>
  <c r="BL157" i="3" s="1"/>
  <c r="BJ157" i="3"/>
  <c r="G209" i="3"/>
  <c r="K235" i="3"/>
  <c r="E18" i="9"/>
  <c r="I264" i="3"/>
  <c r="I271" i="3"/>
  <c r="K33" i="3"/>
  <c r="I109" i="3"/>
  <c r="G191" i="3"/>
  <c r="I205" i="3"/>
  <c r="I209" i="3"/>
  <c r="BN303" i="3"/>
  <c r="BP302" i="3"/>
  <c r="BP303" i="3" s="1"/>
  <c r="G347" i="4"/>
  <c r="I60" i="3"/>
  <c r="I235" i="3"/>
  <c r="J107" i="3"/>
  <c r="I191" i="3"/>
  <c r="K205" i="3"/>
  <c r="K215" i="3" s="1"/>
  <c r="BP402" i="3"/>
  <c r="BQ386" i="3"/>
  <c r="BO13" i="3"/>
  <c r="H24" i="13"/>
  <c r="K264" i="3"/>
  <c r="K109" i="3"/>
  <c r="K187" i="3"/>
  <c r="K197" i="3" s="1"/>
  <c r="H9" i="13"/>
  <c r="G348" i="4"/>
  <c r="F18" i="9"/>
  <c r="D135" i="11"/>
  <c r="D136" i="11" s="1"/>
  <c r="D137" i="11" s="1"/>
  <c r="D138" i="11" s="1"/>
  <c r="D139" i="11" s="1"/>
  <c r="D119" i="1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AA99" i="4"/>
  <c r="N18" i="9"/>
  <c r="BM370" i="3"/>
  <c r="G19" i="10"/>
  <c r="G21" i="10" s="1"/>
  <c r="BQ354" i="3"/>
  <c r="G108" i="4"/>
  <c r="D18" i="9"/>
  <c r="L18" i="9"/>
  <c r="J206" i="4"/>
  <c r="D25" i="14"/>
  <c r="D27" i="14" s="1"/>
  <c r="EB210" i="11"/>
  <c r="DS210" i="11"/>
  <c r="DK210" i="11"/>
  <c r="DB210" i="11"/>
  <c r="CS210" i="11"/>
  <c r="CK210" i="11"/>
  <c r="CB210" i="11"/>
  <c r="BS210" i="11"/>
  <c r="BK210" i="11"/>
  <c r="BB210" i="11"/>
  <c r="AS210" i="11"/>
  <c r="AK210" i="11"/>
  <c r="AB210" i="11"/>
  <c r="S210" i="11"/>
  <c r="K210" i="11"/>
  <c r="DZ210" i="11"/>
  <c r="DQ210" i="11"/>
  <c r="DI210" i="11"/>
  <c r="CZ210" i="11"/>
  <c r="CQ210" i="11"/>
  <c r="CI210" i="11"/>
  <c r="BZ210" i="11"/>
  <c r="BQ210" i="11"/>
  <c r="BI210" i="11"/>
  <c r="AZ210" i="11"/>
  <c r="AQ210" i="11"/>
  <c r="AI210" i="11"/>
  <c r="Z210" i="11"/>
  <c r="Q210" i="11"/>
  <c r="DY210" i="11"/>
  <c r="DN210" i="11"/>
  <c r="DC210" i="11"/>
  <c r="CP210" i="11"/>
  <c r="CE210" i="11"/>
  <c r="BT210" i="11"/>
  <c r="BG210" i="11"/>
  <c r="AW210" i="11"/>
  <c r="AL210" i="11"/>
  <c r="Y210" i="11"/>
  <c r="N210" i="11"/>
  <c r="DX210" i="11"/>
  <c r="DM210" i="11"/>
  <c r="DA210" i="11"/>
  <c r="CO210" i="11"/>
  <c r="CD210" i="11"/>
  <c r="BR210" i="11"/>
  <c r="BF210" i="11"/>
  <c r="AV210" i="11"/>
  <c r="AJ210" i="11"/>
  <c r="X210" i="11"/>
  <c r="M210" i="11"/>
  <c r="EG210" i="11"/>
  <c r="DW210" i="11"/>
  <c r="DL210" i="11"/>
  <c r="CY210" i="11"/>
  <c r="CN210" i="11"/>
  <c r="CC210" i="11"/>
  <c r="BP210" i="11"/>
  <c r="BE210" i="11"/>
  <c r="AT210" i="11"/>
  <c r="AG210" i="11"/>
  <c r="W210" i="11"/>
  <c r="L210" i="11"/>
  <c r="EA210" i="11"/>
  <c r="DF210" i="11"/>
  <c r="CM210" i="11"/>
  <c r="BW210" i="11"/>
  <c r="BC210" i="11"/>
  <c r="AM210" i="11"/>
  <c r="R210" i="11"/>
  <c r="DV210" i="11"/>
  <c r="DE210" i="11"/>
  <c r="CL210" i="11"/>
  <c r="BV210" i="11"/>
  <c r="BA210" i="11"/>
  <c r="AF210" i="11"/>
  <c r="P210" i="11"/>
  <c r="DT210" i="11"/>
  <c r="DD210" i="11"/>
  <c r="CJ210" i="11"/>
  <c r="BO210" i="11"/>
  <c r="AY210" i="11"/>
  <c r="AE210" i="11"/>
  <c r="O210" i="11"/>
  <c r="EE210" i="11"/>
  <c r="CX210" i="11"/>
  <c r="BY210" i="11"/>
  <c r="AR210" i="11"/>
  <c r="T210" i="11"/>
  <c r="ED210" i="11"/>
  <c r="CW210" i="11"/>
  <c r="BX210" i="11"/>
  <c r="AP210" i="11"/>
  <c r="DR210" i="11"/>
  <c r="CT210" i="11"/>
  <c r="BM210" i="11"/>
  <c r="AN210" i="11"/>
  <c r="CV210" i="11"/>
  <c r="BD210" i="11"/>
  <c r="CR210" i="11"/>
  <c r="AX210" i="11"/>
  <c r="EC210" i="11"/>
  <c r="CF210" i="11"/>
  <c r="AD210" i="11"/>
  <c r="DG210" i="11"/>
  <c r="BJ210" i="11"/>
  <c r="DJ210" i="11"/>
  <c r="V210" i="11"/>
  <c r="CG210" i="11"/>
  <c r="CA210" i="11"/>
  <c r="BN210" i="11"/>
  <c r="DO210" i="11"/>
  <c r="AA210" i="11"/>
  <c r="DP210" i="11"/>
  <c r="BL210" i="11"/>
  <c r="AO210" i="11"/>
  <c r="AC210" i="11"/>
  <c r="G53" i="11"/>
  <c r="EF210" i="11"/>
  <c r="U77" i="11"/>
  <c r="P114" i="11"/>
  <c r="Q114" i="11" s="1"/>
  <c r="R114" i="11" s="1"/>
  <c r="S114" i="11" s="1"/>
  <c r="T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AG114" i="11" s="1"/>
  <c r="AI114" i="11" s="1"/>
  <c r="P232" i="11"/>
  <c r="J140" i="13"/>
  <c r="V151" i="11"/>
  <c r="BH77" i="11"/>
  <c r="P39" i="13" s="1"/>
  <c r="AE108" i="11"/>
  <c r="AF108" i="11" s="1"/>
  <c r="AG108" i="11" s="1"/>
  <c r="AI108" i="11" s="1"/>
  <c r="AJ108" i="11" s="1"/>
  <c r="AK108" i="11" s="1"/>
  <c r="AL108" i="11" s="1"/>
  <c r="AM108" i="11" s="1"/>
  <c r="AN108" i="11" s="1"/>
  <c r="AO108" i="11" s="1"/>
  <c r="AP108" i="11" s="1"/>
  <c r="AQ108" i="11" s="1"/>
  <c r="AR108" i="11" s="1"/>
  <c r="AS108" i="11" s="1"/>
  <c r="AT108" i="11" s="1"/>
  <c r="AV108" i="11" s="1"/>
  <c r="AW108" i="11" s="1"/>
  <c r="AX108" i="11" s="1"/>
  <c r="AY108" i="11" s="1"/>
  <c r="AZ108" i="11" s="1"/>
  <c r="BA108" i="11" s="1"/>
  <c r="BB108" i="11" s="1"/>
  <c r="BC108" i="11" s="1"/>
  <c r="BD108" i="11" s="1"/>
  <c r="BE108" i="11" s="1"/>
  <c r="BF108" i="11" s="1"/>
  <c r="BG108" i="11" s="1"/>
  <c r="BI108" i="11" s="1"/>
  <c r="BJ108" i="11" s="1"/>
  <c r="BK108" i="11" s="1"/>
  <c r="AE226" i="11"/>
  <c r="I10" i="14"/>
  <c r="AE238" i="11"/>
  <c r="AE87" i="11"/>
  <c r="AF87" i="11" s="1"/>
  <c r="AG87" i="11" s="1"/>
  <c r="AI87" i="11" s="1"/>
  <c r="AJ87" i="11" s="1"/>
  <c r="AK87" i="11" s="1"/>
  <c r="AL87" i="11" s="1"/>
  <c r="AM87" i="11" s="1"/>
  <c r="AN87" i="11" s="1"/>
  <c r="AO87" i="11" s="1"/>
  <c r="AP87" i="11" s="1"/>
  <c r="AQ87" i="11" s="1"/>
  <c r="AR87" i="11" s="1"/>
  <c r="AS87" i="11" s="1"/>
  <c r="AT87" i="11" s="1"/>
  <c r="CM128" i="11"/>
  <c r="CM255" i="11"/>
  <c r="CU73" i="11"/>
  <c r="EH73" i="11"/>
  <c r="AF39" i="13" s="1"/>
  <c r="DH76" i="11"/>
  <c r="V101" i="11"/>
  <c r="W101" i="11" s="1"/>
  <c r="X101" i="11" s="1"/>
  <c r="Y101" i="11" s="1"/>
  <c r="Z101" i="11" s="1"/>
  <c r="AA101" i="11" s="1"/>
  <c r="AB101" i="11" s="1"/>
  <c r="AC101" i="11" s="1"/>
  <c r="AD101" i="11" s="1"/>
  <c r="AE101" i="11" s="1"/>
  <c r="AF101" i="11" s="1"/>
  <c r="AG101" i="11" s="1"/>
  <c r="N31" i="13" s="1"/>
  <c r="F20" i="10"/>
  <c r="U35" i="11"/>
  <c r="I18" i="9"/>
  <c r="I256" i="11"/>
  <c r="I129" i="11"/>
  <c r="H119" i="11"/>
  <c r="I217" i="11"/>
  <c r="I100" i="11"/>
  <c r="J100" i="11" s="1"/>
  <c r="K223" i="11"/>
  <c r="K105" i="11"/>
  <c r="I56" i="9"/>
  <c r="AH73" i="11"/>
  <c r="J41" i="13" s="1"/>
  <c r="L41" i="13" s="1"/>
  <c r="DH77" i="11"/>
  <c r="AB42" i="13" s="1"/>
  <c r="T112" i="11"/>
  <c r="V112" i="11" s="1"/>
  <c r="T230" i="11"/>
  <c r="I89" i="11"/>
  <c r="J89" i="11" s="1"/>
  <c r="K89" i="11" s="1"/>
  <c r="L89" i="11" s="1"/>
  <c r="M89" i="11" s="1"/>
  <c r="N89" i="11" s="1"/>
  <c r="O89" i="11" s="1"/>
  <c r="P89" i="11" s="1"/>
  <c r="Q89" i="11" s="1"/>
  <c r="R89" i="11" s="1"/>
  <c r="S89" i="11" s="1"/>
  <c r="T89" i="11" s="1"/>
  <c r="V89" i="11" s="1"/>
  <c r="W89" i="11" s="1"/>
  <c r="X89" i="11" s="1"/>
  <c r="Y89" i="11" s="1"/>
  <c r="Z89" i="11" s="1"/>
  <c r="AA89" i="11" s="1"/>
  <c r="AB89" i="11" s="1"/>
  <c r="AC89" i="11" s="1"/>
  <c r="AD89" i="11" s="1"/>
  <c r="AE89" i="11" s="1"/>
  <c r="AF89" i="11" s="1"/>
  <c r="AG89" i="11" s="1"/>
  <c r="AI89" i="11" s="1"/>
  <c r="AJ89" i="11" s="1"/>
  <c r="AK89" i="11" s="1"/>
  <c r="AL89" i="11" s="1"/>
  <c r="AM89" i="11" s="1"/>
  <c r="AN89" i="11" s="1"/>
  <c r="AO89" i="11" s="1"/>
  <c r="AP89" i="11" s="1"/>
  <c r="AQ89" i="11" s="1"/>
  <c r="AR89" i="11" s="1"/>
  <c r="AS89" i="11" s="1"/>
  <c r="AT89" i="11" s="1"/>
  <c r="AV89" i="11" s="1"/>
  <c r="AW89" i="11" s="1"/>
  <c r="AX89" i="11" s="1"/>
  <c r="AY89" i="11" s="1"/>
  <c r="AZ89" i="11" s="1"/>
  <c r="BA89" i="11" s="1"/>
  <c r="BB89" i="11" s="1"/>
  <c r="BC89" i="11" s="1"/>
  <c r="BD89" i="11" s="1"/>
  <c r="BE89" i="11" s="1"/>
  <c r="BF89" i="11" s="1"/>
  <c r="BG89" i="11" s="1"/>
  <c r="BI89" i="11" s="1"/>
  <c r="BJ89" i="11" s="1"/>
  <c r="BK89" i="11" s="1"/>
  <c r="BL89" i="11" s="1"/>
  <c r="BM89" i="11" s="1"/>
  <c r="BN89" i="11" s="1"/>
  <c r="BO89" i="11" s="1"/>
  <c r="BP89" i="11" s="1"/>
  <c r="BQ89" i="11" s="1"/>
  <c r="BR89" i="11" s="1"/>
  <c r="I240" i="11"/>
  <c r="I241" i="11"/>
  <c r="I90" i="11"/>
  <c r="EE242" i="11"/>
  <c r="DW242" i="11"/>
  <c r="DN242" i="11"/>
  <c r="DE242" i="11"/>
  <c r="CW242" i="11"/>
  <c r="CN242" i="11"/>
  <c r="CE242" i="11"/>
  <c r="BW242" i="11"/>
  <c r="BN242" i="11"/>
  <c r="BE242" i="11"/>
  <c r="AW242" i="11"/>
  <c r="AN242" i="11"/>
  <c r="AE242" i="11"/>
  <c r="W242" i="11"/>
  <c r="N242" i="11"/>
  <c r="EC242" i="11"/>
  <c r="DT242" i="11"/>
  <c r="DL242" i="11"/>
  <c r="DC242" i="11"/>
  <c r="CT242" i="11"/>
  <c r="CL242" i="11"/>
  <c r="CC242" i="11"/>
  <c r="BT242" i="11"/>
  <c r="BL242" i="11"/>
  <c r="BC242" i="11"/>
  <c r="AT242" i="11"/>
  <c r="AL242" i="11"/>
  <c r="AC242" i="11"/>
  <c r="T242" i="11"/>
  <c r="L242" i="11"/>
  <c r="EB242" i="11"/>
  <c r="DS242" i="11"/>
  <c r="DK242" i="11"/>
  <c r="DB242" i="11"/>
  <c r="CS242" i="11"/>
  <c r="CK242" i="11"/>
  <c r="CB242" i="11"/>
  <c r="BS242" i="11"/>
  <c r="BK242" i="11"/>
  <c r="BB242" i="11"/>
  <c r="AS242" i="11"/>
  <c r="AK242" i="11"/>
  <c r="AB242" i="11"/>
  <c r="S242" i="11"/>
  <c r="K242" i="11"/>
  <c r="DZ242" i="11"/>
  <c r="DM242" i="11"/>
  <c r="CY242" i="11"/>
  <c r="CJ242" i="11"/>
  <c r="BX242" i="11"/>
  <c r="BI242" i="11"/>
  <c r="AV242" i="11"/>
  <c r="AG242" i="11"/>
  <c r="R242" i="11"/>
  <c r="DX242" i="11"/>
  <c r="DI242" i="11"/>
  <c r="CV242" i="11"/>
  <c r="CG242" i="11"/>
  <c r="BR242" i="11"/>
  <c r="BF242" i="11"/>
  <c r="AQ242" i="11"/>
  <c r="AD242" i="11"/>
  <c r="P242" i="11"/>
  <c r="DY242" i="11"/>
  <c r="DF242" i="11"/>
  <c r="CO242" i="11"/>
  <c r="BV242" i="11"/>
  <c r="BA242" i="11"/>
  <c r="AJ242" i="11"/>
  <c r="Q242" i="11"/>
  <c r="DV242" i="11"/>
  <c r="DD242" i="11"/>
  <c r="CM242" i="11"/>
  <c r="BQ242" i="11"/>
  <c r="AZ242" i="11"/>
  <c r="AI242" i="11"/>
  <c r="O242" i="11"/>
  <c r="DR242" i="11"/>
  <c r="DA242" i="11"/>
  <c r="CI242" i="11"/>
  <c r="BP242" i="11"/>
  <c r="AY242" i="11"/>
  <c r="AF242" i="11"/>
  <c r="M242" i="11"/>
  <c r="DQ242" i="11"/>
  <c r="CZ242" i="11"/>
  <c r="CF242" i="11"/>
  <c r="BO242" i="11"/>
  <c r="AX242" i="11"/>
  <c r="AA242" i="11"/>
  <c r="J242" i="11"/>
  <c r="DJ242" i="11"/>
  <c r="BZ242" i="11"/>
  <c r="AO242" i="11"/>
  <c r="DG242" i="11"/>
  <c r="BY242" i="11"/>
  <c r="AM242" i="11"/>
  <c r="EG242" i="11"/>
  <c r="CX242" i="11"/>
  <c r="BM242" i="11"/>
  <c r="Z242" i="11"/>
  <c r="DO242" i="11"/>
  <c r="BD242" i="11"/>
  <c r="CR242" i="11"/>
  <c r="AR242" i="11"/>
  <c r="CQ242" i="11"/>
  <c r="AP242" i="11"/>
  <c r="EA242" i="11"/>
  <c r="X242" i="11"/>
  <c r="DP242" i="11"/>
  <c r="V242" i="11"/>
  <c r="CP242" i="11"/>
  <c r="I242" i="11"/>
  <c r="BG242" i="11"/>
  <c r="Y242" i="11"/>
  <c r="EF242" i="11"/>
  <c r="ED242" i="11"/>
  <c r="CD242" i="11"/>
  <c r="CA242" i="11"/>
  <c r="BJ242" i="11"/>
  <c r="AH31" i="11"/>
  <c r="AU55" i="11"/>
  <c r="J245" i="11"/>
  <c r="J94" i="11"/>
  <c r="M225" i="11"/>
  <c r="M107" i="11"/>
  <c r="O234" i="11"/>
  <c r="O116" i="11"/>
  <c r="AU73" i="11"/>
  <c r="N41" i="13" s="1"/>
  <c r="CU55" i="11"/>
  <c r="DH55" i="11"/>
  <c r="EH77" i="11"/>
  <c r="AF42" i="13" s="1"/>
  <c r="BH55" i="11"/>
  <c r="BU55" i="11"/>
  <c r="J111" i="11"/>
  <c r="K111" i="11" s="1"/>
  <c r="L111" i="11" s="1"/>
  <c r="J229" i="11"/>
  <c r="L120" i="11"/>
  <c r="EE249" i="11"/>
  <c r="DW249" i="11"/>
  <c r="DN249" i="11"/>
  <c r="DE249" i="11"/>
  <c r="CW249" i="11"/>
  <c r="CN249" i="11"/>
  <c r="CE249" i="11"/>
  <c r="BW249" i="11"/>
  <c r="BN249" i="11"/>
  <c r="BE249" i="11"/>
  <c r="AW249" i="11"/>
  <c r="AN249" i="11"/>
  <c r="AE249" i="11"/>
  <c r="W249" i="11"/>
  <c r="N249" i="11"/>
  <c r="EC249" i="11"/>
  <c r="DS249" i="11"/>
  <c r="DJ249" i="11"/>
  <c r="CZ249" i="11"/>
  <c r="CP249" i="11"/>
  <c r="CF249" i="11"/>
  <c r="BV249" i="11"/>
  <c r="BL249" i="11"/>
  <c r="BB249" i="11"/>
  <c r="AR249" i="11"/>
  <c r="AI249" i="11"/>
  <c r="Y249" i="11"/>
  <c r="O249" i="11"/>
  <c r="EA249" i="11"/>
  <c r="DQ249" i="11"/>
  <c r="DG249" i="11"/>
  <c r="CX249" i="11"/>
  <c r="CM249" i="11"/>
  <c r="CC249" i="11"/>
  <c r="BS249" i="11"/>
  <c r="BJ249" i="11"/>
  <c r="AZ249" i="11"/>
  <c r="AP249" i="11"/>
  <c r="AF249" i="11"/>
  <c r="V249" i="11"/>
  <c r="L249" i="11"/>
  <c r="DZ249" i="11"/>
  <c r="DP249" i="11"/>
  <c r="DF249" i="11"/>
  <c r="CV249" i="11"/>
  <c r="CL249" i="11"/>
  <c r="CB249" i="11"/>
  <c r="BR249" i="11"/>
  <c r="BI249" i="11"/>
  <c r="AY249" i="11"/>
  <c r="AO249" i="11"/>
  <c r="AD249" i="11"/>
  <c r="T249" i="11"/>
  <c r="K249" i="11"/>
  <c r="DY249" i="11"/>
  <c r="DK249" i="11"/>
  <c r="CS249" i="11"/>
  <c r="CD249" i="11"/>
  <c r="BO249" i="11"/>
  <c r="AX249" i="11"/>
  <c r="AJ249" i="11"/>
  <c r="R249" i="11"/>
  <c r="DX249" i="11"/>
  <c r="DI249" i="11"/>
  <c r="CR249" i="11"/>
  <c r="CA249" i="11"/>
  <c r="BM249" i="11"/>
  <c r="AV249" i="11"/>
  <c r="AG249" i="11"/>
  <c r="Q249" i="11"/>
  <c r="DT249" i="11"/>
  <c r="DC249" i="11"/>
  <c r="CO249" i="11"/>
  <c r="BY249" i="11"/>
  <c r="BG249" i="11"/>
  <c r="AS249" i="11"/>
  <c r="AB249" i="11"/>
  <c r="M249" i="11"/>
  <c r="DR249" i="11"/>
  <c r="CT249" i="11"/>
  <c r="BT249" i="11"/>
  <c r="AT249" i="11"/>
  <c r="X249" i="11"/>
  <c r="DO249" i="11"/>
  <c r="CQ249" i="11"/>
  <c r="BQ249" i="11"/>
  <c r="AQ249" i="11"/>
  <c r="S249" i="11"/>
  <c r="DM249" i="11"/>
  <c r="CK249" i="11"/>
  <c r="BP249" i="11"/>
  <c r="AM249" i="11"/>
  <c r="P249" i="11"/>
  <c r="EG249" i="11"/>
  <c r="DL249" i="11"/>
  <c r="CJ249" i="11"/>
  <c r="BK249" i="11"/>
  <c r="AL249" i="11"/>
  <c r="J249" i="11"/>
  <c r="EF249" i="11"/>
  <c r="CI249" i="11"/>
  <c r="AK249" i="11"/>
  <c r="ED249" i="11"/>
  <c r="CG249" i="11"/>
  <c r="AC249" i="11"/>
  <c r="EB249" i="11"/>
  <c r="BZ249" i="11"/>
  <c r="AA249" i="11"/>
  <c r="BD249" i="11"/>
  <c r="DV249" i="11"/>
  <c r="BC249" i="11"/>
  <c r="DD249" i="11"/>
  <c r="BA249" i="11"/>
  <c r="BX249" i="11"/>
  <c r="BF249" i="11"/>
  <c r="Z249" i="11"/>
  <c r="DB249" i="11"/>
  <c r="CY249" i="11"/>
  <c r="DA249" i="11"/>
  <c r="K248" i="11"/>
  <c r="K121" i="11"/>
  <c r="K251" i="11"/>
  <c r="K124" i="11"/>
  <c r="I253" i="11"/>
  <c r="I126" i="11"/>
  <c r="I222" i="11"/>
  <c r="DU73" i="11"/>
  <c r="BU76" i="11"/>
  <c r="R42" i="13" s="1"/>
  <c r="W326" i="4"/>
  <c r="Y326" i="4" s="1"/>
  <c r="W328" i="4"/>
  <c r="Y328" i="4" s="1"/>
  <c r="W323" i="4"/>
  <c r="Y323" i="4" s="1"/>
  <c r="W325" i="4"/>
  <c r="Y325" i="4" s="1"/>
  <c r="EF136" i="11"/>
  <c r="EF135" i="11" s="1"/>
  <c r="EF54" i="11" s="1"/>
  <c r="DX136" i="11"/>
  <c r="DX135" i="11" s="1"/>
  <c r="DX54" i="11" s="1"/>
  <c r="DO136" i="11"/>
  <c r="DO135" i="11" s="1"/>
  <c r="DO54" i="11" s="1"/>
  <c r="DF136" i="11"/>
  <c r="DF135" i="11" s="1"/>
  <c r="DF54" i="11" s="1"/>
  <c r="CX136" i="11"/>
  <c r="CX135" i="11" s="1"/>
  <c r="CX54" i="11" s="1"/>
  <c r="CO136" i="11"/>
  <c r="CO135" i="11" s="1"/>
  <c r="CO54" i="11" s="1"/>
  <c r="CF136" i="11"/>
  <c r="CF135" i="11" s="1"/>
  <c r="CF54" i="11" s="1"/>
  <c r="BX136" i="11"/>
  <c r="BX135" i="11" s="1"/>
  <c r="BX54" i="11" s="1"/>
  <c r="EE136" i="11"/>
  <c r="EE135" i="11" s="1"/>
  <c r="EE54" i="11" s="1"/>
  <c r="DW136" i="11"/>
  <c r="DW135" i="11" s="1"/>
  <c r="DW54" i="11" s="1"/>
  <c r="DN136" i="11"/>
  <c r="DN135" i="11" s="1"/>
  <c r="DN54" i="11" s="1"/>
  <c r="DE136" i="11"/>
  <c r="DE135" i="11" s="1"/>
  <c r="DE54" i="11" s="1"/>
  <c r="CW136" i="11"/>
  <c r="CW135" i="11" s="1"/>
  <c r="CW54" i="11" s="1"/>
  <c r="CN136" i="11"/>
  <c r="CN135" i="11" s="1"/>
  <c r="CN54" i="11" s="1"/>
  <c r="CE136" i="11"/>
  <c r="CE135" i="11" s="1"/>
  <c r="CE54" i="11" s="1"/>
  <c r="BW136" i="11"/>
  <c r="BW135" i="11" s="1"/>
  <c r="BW54" i="11" s="1"/>
  <c r="ED136" i="11"/>
  <c r="ED135" i="11" s="1"/>
  <c r="ED54" i="11" s="1"/>
  <c r="DV136" i="11"/>
  <c r="DV135" i="11" s="1"/>
  <c r="DV54" i="11" s="1"/>
  <c r="DM136" i="11"/>
  <c r="DM135" i="11" s="1"/>
  <c r="DM54" i="11" s="1"/>
  <c r="DD136" i="11"/>
  <c r="DD135" i="11" s="1"/>
  <c r="DD54" i="11" s="1"/>
  <c r="CV136" i="11"/>
  <c r="CV135" i="11" s="1"/>
  <c r="CV54" i="11" s="1"/>
  <c r="CM136" i="11"/>
  <c r="CM135" i="11" s="1"/>
  <c r="CM54" i="11" s="1"/>
  <c r="CD136" i="11"/>
  <c r="CD135" i="11" s="1"/>
  <c r="CD54" i="11" s="1"/>
  <c r="BV136" i="11"/>
  <c r="BV135" i="11" s="1"/>
  <c r="BV54" i="11" s="1"/>
  <c r="DY136" i="11"/>
  <c r="DY135" i="11" s="1"/>
  <c r="DY54" i="11" s="1"/>
  <c r="DJ136" i="11"/>
  <c r="DJ135" i="11" s="1"/>
  <c r="DJ54" i="11" s="1"/>
  <c r="CT136" i="11"/>
  <c r="CT135" i="11" s="1"/>
  <c r="CT54" i="11" s="1"/>
  <c r="CI136" i="11"/>
  <c r="CI135" i="11" s="1"/>
  <c r="CI54" i="11" s="1"/>
  <c r="DT136" i="11"/>
  <c r="DT135" i="11" s="1"/>
  <c r="DT54" i="11" s="1"/>
  <c r="DI136" i="11"/>
  <c r="DI135" i="11" s="1"/>
  <c r="DI54" i="11" s="1"/>
  <c r="CS136" i="11"/>
  <c r="CS135" i="11" s="1"/>
  <c r="CS54" i="11" s="1"/>
  <c r="CG136" i="11"/>
  <c r="CG135" i="11" s="1"/>
  <c r="CG54" i="11" s="1"/>
  <c r="DS136" i="11"/>
  <c r="DS135" i="11" s="1"/>
  <c r="DS54" i="11" s="1"/>
  <c r="DG136" i="11"/>
  <c r="DG135" i="11" s="1"/>
  <c r="DG54" i="11" s="1"/>
  <c r="CR136" i="11"/>
  <c r="CR135" i="11" s="1"/>
  <c r="CR54" i="11" s="1"/>
  <c r="CC136" i="11"/>
  <c r="CC135" i="11" s="1"/>
  <c r="CC54" i="11" s="1"/>
  <c r="DP136" i="11"/>
  <c r="DP135" i="11" s="1"/>
  <c r="DP54" i="11" s="1"/>
  <c r="CQ136" i="11"/>
  <c r="CQ135" i="11" s="1"/>
  <c r="CQ54" i="11" s="1"/>
  <c r="BY136" i="11"/>
  <c r="BY135" i="11" s="1"/>
  <c r="BY54" i="11" s="1"/>
  <c r="EG136" i="11"/>
  <c r="EG135" i="11" s="1"/>
  <c r="EG54" i="11" s="1"/>
  <c r="DL136" i="11"/>
  <c r="DL135" i="11" s="1"/>
  <c r="DL54" i="11" s="1"/>
  <c r="CP136" i="11"/>
  <c r="CP135" i="11" s="1"/>
  <c r="CP54" i="11" s="1"/>
  <c r="EB136" i="11"/>
  <c r="EB135" i="11" s="1"/>
  <c r="EB54" i="11" s="1"/>
  <c r="DC136" i="11"/>
  <c r="DC135" i="11" s="1"/>
  <c r="DC54" i="11" s="1"/>
  <c r="CK136" i="11"/>
  <c r="CK135" i="11" s="1"/>
  <c r="CK54" i="11" s="1"/>
  <c r="EC136" i="11"/>
  <c r="EC135" i="11" s="1"/>
  <c r="EC54" i="11" s="1"/>
  <c r="CZ136" i="11"/>
  <c r="CZ135" i="11" s="1"/>
  <c r="CZ54" i="11" s="1"/>
  <c r="EA136" i="11"/>
  <c r="EA135" i="11" s="1"/>
  <c r="EA54" i="11" s="1"/>
  <c r="CY136" i="11"/>
  <c r="CY135" i="11" s="1"/>
  <c r="CY54" i="11" s="1"/>
  <c r="DR136" i="11"/>
  <c r="DR135" i="11" s="1"/>
  <c r="DR54" i="11" s="1"/>
  <c r="CJ136" i="11"/>
  <c r="CJ135" i="11" s="1"/>
  <c r="CJ54" i="11" s="1"/>
  <c r="CH73" i="11"/>
  <c r="T41" i="13" s="1"/>
  <c r="CH76" i="11"/>
  <c r="T42" i="13" s="1"/>
  <c r="CU77" i="11"/>
  <c r="Z42" i="13" s="1"/>
  <c r="J103" i="11"/>
  <c r="BZ136" i="11"/>
  <c r="BZ135" i="11" s="1"/>
  <c r="BZ54" i="11" s="1"/>
  <c r="DZ136" i="11"/>
  <c r="DZ135" i="11" s="1"/>
  <c r="DZ54" i="11" s="1"/>
  <c r="M18" i="9"/>
  <c r="B27" i="11"/>
  <c r="I3" i="11"/>
  <c r="V3" i="11" s="1"/>
  <c r="AI3" i="11" s="1"/>
  <c r="AV3" i="11" s="1"/>
  <c r="BI3" i="11" s="1"/>
  <c r="BV3" i="11" s="1"/>
  <c r="CI3" i="11" s="1"/>
  <c r="CV3" i="11" s="1"/>
  <c r="DI3" i="11" s="1"/>
  <c r="DV3" i="11" s="1"/>
  <c r="D45" i="9"/>
  <c r="H70" i="10"/>
  <c r="DU77" i="11"/>
  <c r="AD42" i="13" s="1"/>
  <c r="J239" i="11"/>
  <c r="J88" i="11"/>
  <c r="CA136" i="11"/>
  <c r="CA135" i="11" s="1"/>
  <c r="CA54" i="11" s="1"/>
  <c r="AH209" i="11"/>
  <c r="V76" i="11"/>
  <c r="AH76" i="11" s="1"/>
  <c r="J42" i="13" s="1"/>
  <c r="L42" i="13" s="1"/>
  <c r="BH209" i="11"/>
  <c r="AV76" i="11"/>
  <c r="BH76" i="11" s="1"/>
  <c r="P42" i="13" s="1"/>
  <c r="DV76" i="11"/>
  <c r="EH76" i="11" s="1"/>
  <c r="EH209" i="11"/>
  <c r="AF38" i="13" s="1"/>
  <c r="I216" i="11"/>
  <c r="BJ226" i="11"/>
  <c r="BA226" i="11"/>
  <c r="AR226" i="11"/>
  <c r="AJ226" i="11"/>
  <c r="AA226" i="11"/>
  <c r="R226" i="11"/>
  <c r="J226" i="11"/>
  <c r="BI226" i="11"/>
  <c r="AZ226" i="11"/>
  <c r="AQ226" i="11"/>
  <c r="AI226" i="11"/>
  <c r="Z226" i="11"/>
  <c r="Q226" i="11"/>
  <c r="I226" i="11"/>
  <c r="BK226" i="11"/>
  <c r="AX226" i="11"/>
  <c r="AM226" i="11"/>
  <c r="AB226" i="11"/>
  <c r="O226" i="11"/>
  <c r="BG226" i="11"/>
  <c r="AW226" i="11"/>
  <c r="AL226" i="11"/>
  <c r="Y226" i="11"/>
  <c r="N226" i="11"/>
  <c r="BF226" i="11"/>
  <c r="AV226" i="11"/>
  <c r="AK226" i="11"/>
  <c r="X226" i="11"/>
  <c r="M226" i="11"/>
  <c r="BD226" i="11"/>
  <c r="AN226" i="11"/>
  <c r="T226" i="11"/>
  <c r="BC226" i="11"/>
  <c r="AG226" i="11"/>
  <c r="S226" i="11"/>
  <c r="BB226" i="11"/>
  <c r="AF226" i="11"/>
  <c r="P226" i="11"/>
  <c r="BE226" i="11"/>
  <c r="AC226" i="11"/>
  <c r="AY226" i="11"/>
  <c r="W226" i="11"/>
  <c r="AT226" i="11"/>
  <c r="V226" i="11"/>
  <c r="AP226" i="11"/>
  <c r="AO226" i="11"/>
  <c r="AD226" i="11"/>
  <c r="AE232" i="11"/>
  <c r="N232" i="11"/>
  <c r="T232" i="11"/>
  <c r="K232" i="11"/>
  <c r="J232" i="11"/>
  <c r="O232" i="11"/>
  <c r="Z232" i="11"/>
  <c r="M232" i="11"/>
  <c r="L232" i="11"/>
  <c r="X232" i="11"/>
  <c r="V232" i="11"/>
  <c r="AI232" i="11"/>
  <c r="AF232" i="11"/>
  <c r="I232" i="11"/>
  <c r="Z52" i="11"/>
  <c r="AJ52" i="11"/>
  <c r="AV52" i="11"/>
  <c r="BF52" i="11"/>
  <c r="BP52" i="11"/>
  <c r="CL52" i="11"/>
  <c r="CV52" i="11"/>
  <c r="DR52" i="11"/>
  <c r="CH77" i="11"/>
  <c r="T39" i="13" s="1"/>
  <c r="K237" i="11"/>
  <c r="K86" i="11"/>
  <c r="L86" i="11" s="1"/>
  <c r="J231" i="11"/>
  <c r="J113" i="11"/>
  <c r="AS226" i="11"/>
  <c r="R230" i="11"/>
  <c r="S230" i="11"/>
  <c r="J230" i="11"/>
  <c r="Q230" i="11"/>
  <c r="I230" i="11"/>
  <c r="O230" i="11"/>
  <c r="N230" i="11"/>
  <c r="M230" i="11"/>
  <c r="P230" i="11"/>
  <c r="L230" i="11"/>
  <c r="K230" i="11"/>
  <c r="G18" i="9"/>
  <c r="Q32" i="10"/>
  <c r="P36" i="13"/>
  <c r="R36" i="13" s="1"/>
  <c r="T36" i="13" s="1"/>
  <c r="Z36" i="13" s="1"/>
  <c r="AB36" i="13" s="1"/>
  <c r="AD36" i="13" s="1"/>
  <c r="AF36" i="13" s="1"/>
  <c r="AH36" i="13" s="1"/>
  <c r="EE52" i="11"/>
  <c r="DW52" i="11"/>
  <c r="DO52" i="11"/>
  <c r="DG52" i="11"/>
  <c r="CY52" i="11"/>
  <c r="CQ52" i="11"/>
  <c r="CI52" i="11"/>
  <c r="BS52" i="11"/>
  <c r="BK52" i="11"/>
  <c r="BC52" i="11"/>
  <c r="AM52" i="11"/>
  <c r="AE52" i="11"/>
  <c r="W52" i="11"/>
  <c r="ED52" i="11"/>
  <c r="DV52" i="11"/>
  <c r="DN52" i="11"/>
  <c r="DF52" i="11"/>
  <c r="CX52" i="11"/>
  <c r="CP52" i="11"/>
  <c r="BR52" i="11"/>
  <c r="BJ52" i="11"/>
  <c r="BB52" i="11"/>
  <c r="AT52" i="11"/>
  <c r="AL52" i="11"/>
  <c r="AD52" i="11"/>
  <c r="V52" i="11"/>
  <c r="AB52" i="11"/>
  <c r="AN52" i="11"/>
  <c r="AX52" i="11"/>
  <c r="BT52" i="11"/>
  <c r="CN52" i="11"/>
  <c r="CZ52" i="11"/>
  <c r="DJ52" i="11"/>
  <c r="DT52" i="11"/>
  <c r="EF52" i="11"/>
  <c r="DH73" i="11"/>
  <c r="I254" i="11"/>
  <c r="I127" i="11"/>
  <c r="CU209" i="11"/>
  <c r="Z38" i="13" s="1"/>
  <c r="V230" i="11"/>
  <c r="H18" i="9"/>
  <c r="AC52" i="11"/>
  <c r="AO52" i="11"/>
  <c r="AY52" i="11"/>
  <c r="BI52" i="11"/>
  <c r="CO52" i="11"/>
  <c r="DA52" i="11"/>
  <c r="DK52" i="11"/>
  <c r="EG52" i="11"/>
  <c r="AH55" i="11"/>
  <c r="EH55" i="11"/>
  <c r="I115" i="11"/>
  <c r="DU209" i="11"/>
  <c r="AD38" i="13" s="1"/>
  <c r="BR240" i="11"/>
  <c r="BJ240" i="11"/>
  <c r="BA240" i="11"/>
  <c r="AR240" i="11"/>
  <c r="AJ240" i="11"/>
  <c r="AA240" i="11"/>
  <c r="R240" i="11"/>
  <c r="J240" i="11"/>
  <c r="BP240" i="11"/>
  <c r="BG240" i="11"/>
  <c r="BO240" i="11"/>
  <c r="BF240" i="11"/>
  <c r="AX240" i="11"/>
  <c r="AO240" i="11"/>
  <c r="AF240" i="11"/>
  <c r="X240" i="11"/>
  <c r="O240" i="11"/>
  <c r="BL240" i="11"/>
  <c r="AY240" i="11"/>
  <c r="AM240" i="11"/>
  <c r="AB240" i="11"/>
  <c r="P240" i="11"/>
  <c r="BI240" i="11"/>
  <c r="AV240" i="11"/>
  <c r="AK240" i="11"/>
  <c r="Y240" i="11"/>
  <c r="M240" i="11"/>
  <c r="BM240" i="11"/>
  <c r="AT240" i="11"/>
  <c r="AE240" i="11"/>
  <c r="Q240" i="11"/>
  <c r="BK240" i="11"/>
  <c r="AS240" i="11"/>
  <c r="AD240" i="11"/>
  <c r="N240" i="11"/>
  <c r="BE240" i="11"/>
  <c r="AQ240" i="11"/>
  <c r="AC240" i="11"/>
  <c r="L240" i="11"/>
  <c r="BD240" i="11"/>
  <c r="AP240" i="11"/>
  <c r="Z240" i="11"/>
  <c r="K240" i="11"/>
  <c r="BB240" i="11"/>
  <c r="V240" i="11"/>
  <c r="AZ240" i="11"/>
  <c r="T240" i="11"/>
  <c r="AW240" i="11"/>
  <c r="S240" i="11"/>
  <c r="AL240" i="11"/>
  <c r="AI240" i="11"/>
  <c r="AG240" i="11"/>
  <c r="BC240" i="11"/>
  <c r="AN240" i="11"/>
  <c r="W240" i="11"/>
  <c r="I244" i="11"/>
  <c r="I93" i="11"/>
  <c r="U209" i="11"/>
  <c r="AU209" i="11"/>
  <c r="BU209" i="11"/>
  <c r="AL238" i="11"/>
  <c r="AC238" i="11"/>
  <c r="T238" i="11"/>
  <c r="L238" i="11"/>
  <c r="AA238" i="11"/>
  <c r="R238" i="11"/>
  <c r="J238" i="11"/>
  <c r="AB238" i="11"/>
  <c r="P238" i="11"/>
  <c r="Z238" i="11"/>
  <c r="O238" i="11"/>
  <c r="AK238" i="11"/>
  <c r="Y238" i="11"/>
  <c r="N238" i="11"/>
  <c r="X238" i="11"/>
  <c r="M238" i="11"/>
  <c r="AD238" i="11"/>
  <c r="AS238" i="11"/>
  <c r="W238" i="11"/>
  <c r="V238" i="11"/>
  <c r="Q238" i="11"/>
  <c r="K238" i="11"/>
  <c r="AP238" i="11"/>
  <c r="I238" i="11"/>
  <c r="AF238" i="11"/>
  <c r="BN240" i="11"/>
  <c r="I227" i="11"/>
  <c r="I109" i="11"/>
  <c r="I110" i="11"/>
  <c r="I123" i="11"/>
  <c r="S238" i="11"/>
  <c r="BQ240" i="11"/>
  <c r="CL255" i="11"/>
  <c r="CC255" i="11"/>
  <c r="BT255" i="11"/>
  <c r="BL255" i="11"/>
  <c r="BC255" i="11"/>
  <c r="AT255" i="11"/>
  <c r="AL255" i="11"/>
  <c r="AC255" i="11"/>
  <c r="T255" i="11"/>
  <c r="L255" i="11"/>
  <c r="CK255" i="11"/>
  <c r="CB255" i="11"/>
  <c r="BS255" i="11"/>
  <c r="BK255" i="11"/>
  <c r="BB255" i="11"/>
  <c r="AS255" i="11"/>
  <c r="AK255" i="11"/>
  <c r="CJ255" i="11"/>
  <c r="CA255" i="11"/>
  <c r="BR255" i="11"/>
  <c r="BJ255" i="11"/>
  <c r="BA255" i="11"/>
  <c r="AR255" i="11"/>
  <c r="AJ255" i="11"/>
  <c r="AA255" i="11"/>
  <c r="R255" i="11"/>
  <c r="J255" i="11"/>
  <c r="CF255" i="11"/>
  <c r="BQ255" i="11"/>
  <c r="BE255" i="11"/>
  <c r="AP255" i="11"/>
  <c r="AD255" i="11"/>
  <c r="Q255" i="11"/>
  <c r="CD255" i="11"/>
  <c r="BO255" i="11"/>
  <c r="AZ255" i="11"/>
  <c r="AN255" i="11"/>
  <c r="Z255" i="11"/>
  <c r="O255" i="11"/>
  <c r="BZ255" i="11"/>
  <c r="BN255" i="11"/>
  <c r="AY255" i="11"/>
  <c r="AM255" i="11"/>
  <c r="Y255" i="11"/>
  <c r="N255" i="11"/>
  <c r="CG255" i="11"/>
  <c r="BI255" i="11"/>
  <c r="AO255" i="11"/>
  <c r="V255" i="11"/>
  <c r="CE255" i="11"/>
  <c r="BG255" i="11"/>
  <c r="AI255" i="11"/>
  <c r="S255" i="11"/>
  <c r="BY255" i="11"/>
  <c r="BF255" i="11"/>
  <c r="AG255" i="11"/>
  <c r="P255" i="11"/>
  <c r="BX255" i="11"/>
  <c r="BD255" i="11"/>
  <c r="AF255" i="11"/>
  <c r="M255" i="11"/>
  <c r="BV255" i="11"/>
  <c r="AB255" i="11"/>
  <c r="BP255" i="11"/>
  <c r="X255" i="11"/>
  <c r="BM255" i="11"/>
  <c r="W255" i="11"/>
  <c r="AX255" i="11"/>
  <c r="K255" i="11"/>
  <c r="AV255" i="11"/>
  <c r="AQ255" i="11"/>
  <c r="AE255" i="11"/>
  <c r="BW255" i="11"/>
  <c r="AW255" i="11"/>
  <c r="I255" i="11"/>
  <c r="I221" i="11"/>
  <c r="CI255" i="11"/>
  <c r="I125" i="11"/>
  <c r="J125" i="11" s="1"/>
  <c r="J234" i="11"/>
  <c r="N234" i="11"/>
  <c r="M234" i="11"/>
  <c r="L225" i="11"/>
  <c r="K225" i="11"/>
  <c r="L229" i="11"/>
  <c r="K229" i="11"/>
  <c r="I225" i="11"/>
  <c r="I229" i="11"/>
  <c r="K234" i="11"/>
  <c r="L237" i="11"/>
  <c r="I237" i="11"/>
  <c r="L247" i="11"/>
  <c r="J247" i="11"/>
  <c r="I247" i="11"/>
  <c r="J237" i="11"/>
  <c r="K247" i="11"/>
  <c r="I239" i="11"/>
  <c r="L243" i="11"/>
  <c r="J243" i="11"/>
  <c r="I243" i="11"/>
  <c r="J251" i="11"/>
  <c r="J248" i="11"/>
  <c r="W92" i="13"/>
  <c r="W93" i="13" s="1"/>
  <c r="W94" i="13" s="1"/>
  <c r="W91" i="13"/>
  <c r="J252" i="11"/>
  <c r="C25" i="15"/>
  <c r="I6" i="15"/>
  <c r="J6" i="15" s="1"/>
  <c r="K6" i="15" s="1"/>
  <c r="L6" i="15" s="1"/>
  <c r="M6" i="15" s="1"/>
  <c r="H27" i="15"/>
  <c r="V24" i="15"/>
  <c r="G56" i="19"/>
  <c r="G62" i="19"/>
  <c r="H62" i="19" s="1"/>
  <c r="G54" i="19"/>
  <c r="G55" i="19"/>
  <c r="G58" i="19"/>
  <c r="H58" i="19" s="1"/>
  <c r="G53" i="19"/>
  <c r="I92" i="13"/>
  <c r="H76" i="13"/>
  <c r="I75" i="13"/>
  <c r="I85" i="13"/>
  <c r="I74" i="13"/>
  <c r="I83" i="13"/>
  <c r="I87" i="13"/>
  <c r="E33" i="19"/>
  <c r="E31" i="19"/>
  <c r="E29" i="19"/>
  <c r="E35" i="19"/>
  <c r="E38" i="19"/>
  <c r="F38" i="19" s="1"/>
  <c r="E34" i="19"/>
  <c r="F34" i="19" s="1"/>
  <c r="E32" i="19"/>
  <c r="E30" i="19"/>
  <c r="E37" i="19"/>
  <c r="G27" i="15"/>
  <c r="E27" i="15"/>
  <c r="C27" i="15"/>
  <c r="C28" i="15" s="1"/>
  <c r="C29" i="15" s="1"/>
  <c r="B25" i="19"/>
  <c r="E57" i="19"/>
  <c r="E54" i="19"/>
  <c r="E56" i="19"/>
  <c r="E53" i="19"/>
  <c r="V85" i="11" l="1"/>
  <c r="W85" i="11" s="1"/>
  <c r="X85" i="11" s="1"/>
  <c r="Y85" i="11" s="1"/>
  <c r="Z85" i="11" s="1"/>
  <c r="AA85" i="11" s="1"/>
  <c r="AB85" i="11" s="1"/>
  <c r="AC85" i="11" s="1"/>
  <c r="AD85" i="11" s="1"/>
  <c r="AE85" i="11" s="1"/>
  <c r="AF85" i="11" s="1"/>
  <c r="AG85" i="11" s="1"/>
  <c r="J46" i="13"/>
  <c r="L46" i="13" s="1"/>
  <c r="F27" i="15"/>
  <c r="D27" i="15"/>
  <c r="I212" i="11"/>
  <c r="I53" i="11" s="1"/>
  <c r="I211" i="11"/>
  <c r="I83" i="3"/>
  <c r="I82" i="3"/>
  <c r="I215" i="3"/>
  <c r="I197" i="3"/>
  <c r="G215" i="3"/>
  <c r="G197" i="3"/>
  <c r="W309" i="4"/>
  <c r="Y309" i="4" s="1"/>
  <c r="H23" i="10"/>
  <c r="J23" i="10" s="1"/>
  <c r="H22" i="10"/>
  <c r="J22" i="10" s="1"/>
  <c r="H109" i="3"/>
  <c r="K92" i="3"/>
  <c r="H101" i="13" s="1"/>
  <c r="H21" i="10"/>
  <c r="BN402" i="3"/>
  <c r="BN433" i="3" s="1"/>
  <c r="BO433" i="3" s="1"/>
  <c r="H20" i="10"/>
  <c r="E97" i="3"/>
  <c r="G136" i="3"/>
  <c r="H18" i="10"/>
  <c r="W306" i="4"/>
  <c r="Y306" i="4" s="1"/>
  <c r="W307" i="4"/>
  <c r="Y307" i="4" s="1"/>
  <c r="W313" i="4"/>
  <c r="Y313" i="4" s="1"/>
  <c r="W305" i="4"/>
  <c r="Y305" i="4" s="1"/>
  <c r="W310" i="4"/>
  <c r="Y310" i="4" s="1"/>
  <c r="G137" i="3"/>
  <c r="J314" i="4"/>
  <c r="W314" i="4"/>
  <c r="Y314" i="4" s="1"/>
  <c r="W315" i="4"/>
  <c r="Y315" i="4" s="1"/>
  <c r="W308" i="4"/>
  <c r="Y308" i="4" s="1"/>
  <c r="W312" i="4"/>
  <c r="Y312" i="4" s="1"/>
  <c r="W311" i="4"/>
  <c r="Y311" i="4" s="1"/>
  <c r="I54" i="11"/>
  <c r="I135" i="11"/>
  <c r="I119" i="11"/>
  <c r="I34" i="3"/>
  <c r="I92" i="3"/>
  <c r="E92" i="3"/>
  <c r="G131" i="3"/>
  <c r="E34" i="3"/>
  <c r="E98" i="3"/>
  <c r="L205" i="4"/>
  <c r="J208" i="4"/>
  <c r="I208" i="4" s="1"/>
  <c r="D11" i="26"/>
  <c r="D9" i="26"/>
  <c r="D11" i="25"/>
  <c r="D9" i="25"/>
  <c r="G94" i="3"/>
  <c r="G216" i="4" s="1"/>
  <c r="H20" i="27"/>
  <c r="G22" i="27"/>
  <c r="E40" i="13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AH77" i="11"/>
  <c r="J39" i="13" s="1"/>
  <c r="L39" i="13" s="1"/>
  <c r="S135" i="11"/>
  <c r="S54" i="11"/>
  <c r="R135" i="11"/>
  <c r="R54" i="11"/>
  <c r="BA135" i="11"/>
  <c r="BA54" i="11"/>
  <c r="Y135" i="11"/>
  <c r="Y54" i="11"/>
  <c r="BJ135" i="11"/>
  <c r="BJ54" i="11"/>
  <c r="AI135" i="11"/>
  <c r="AI54" i="11"/>
  <c r="BK135" i="11"/>
  <c r="BK54" i="11"/>
  <c r="T135" i="11"/>
  <c r="T54" i="11"/>
  <c r="AS135" i="11"/>
  <c r="AS54" i="11"/>
  <c r="BL135" i="11"/>
  <c r="BL54" i="11"/>
  <c r="Z135" i="11"/>
  <c r="Z54" i="11"/>
  <c r="AY135" i="11"/>
  <c r="AY54" i="11"/>
  <c r="BT135" i="11"/>
  <c r="BT54" i="11"/>
  <c r="AG135" i="11"/>
  <c r="AG54" i="11"/>
  <c r="AZ135" i="11"/>
  <c r="AZ54" i="11"/>
  <c r="L135" i="11"/>
  <c r="L54" i="11"/>
  <c r="AA135" i="11"/>
  <c r="AA54" i="11"/>
  <c r="AP135" i="11"/>
  <c r="AP54" i="11"/>
  <c r="BB135" i="11"/>
  <c r="BB54" i="11"/>
  <c r="BQ135" i="11"/>
  <c r="BQ54" i="11"/>
  <c r="P135" i="11"/>
  <c r="P54" i="11"/>
  <c r="AB135" i="11"/>
  <c r="AB54" i="11"/>
  <c r="AQ135" i="11"/>
  <c r="AQ54" i="11"/>
  <c r="BC135" i="11"/>
  <c r="BC54" i="11"/>
  <c r="BR135" i="11"/>
  <c r="BR54" i="11"/>
  <c r="Q135" i="11"/>
  <c r="Q54" i="11"/>
  <c r="AC135" i="11"/>
  <c r="AC54" i="11"/>
  <c r="AR135" i="11"/>
  <c r="AR54" i="11"/>
  <c r="BG135" i="11"/>
  <c r="BG54" i="11"/>
  <c r="BS135" i="11"/>
  <c r="BS54" i="11"/>
  <c r="M135" i="11"/>
  <c r="M54" i="11"/>
  <c r="V135" i="11"/>
  <c r="V54" i="11"/>
  <c r="AD135" i="11"/>
  <c r="AD54" i="11"/>
  <c r="AM135" i="11"/>
  <c r="AM54" i="11"/>
  <c r="AV135" i="11"/>
  <c r="AV54" i="11"/>
  <c r="BD135" i="11"/>
  <c r="BD54" i="11"/>
  <c r="BM135" i="11"/>
  <c r="BM54" i="11"/>
  <c r="N135" i="11"/>
  <c r="N54" i="11"/>
  <c r="W135" i="11"/>
  <c r="W54" i="11"/>
  <c r="AE135" i="11"/>
  <c r="AE54" i="11"/>
  <c r="AN135" i="11"/>
  <c r="AN54" i="11"/>
  <c r="AW135" i="11"/>
  <c r="AW54" i="11"/>
  <c r="BE135" i="11"/>
  <c r="BE54" i="11"/>
  <c r="BN135" i="11"/>
  <c r="BN54" i="11"/>
  <c r="O135" i="11"/>
  <c r="O54" i="11"/>
  <c r="X135" i="11"/>
  <c r="X54" i="11"/>
  <c r="AF135" i="11"/>
  <c r="AF54" i="11"/>
  <c r="AO135" i="11"/>
  <c r="AO54" i="11"/>
  <c r="AX135" i="11"/>
  <c r="AX54" i="11"/>
  <c r="BF135" i="11"/>
  <c r="BF54" i="11"/>
  <c r="BO135" i="11"/>
  <c r="BO54" i="11"/>
  <c r="BI135" i="11"/>
  <c r="BI54" i="11"/>
  <c r="J34" i="13"/>
  <c r="L34" i="13" s="1"/>
  <c r="N34" i="13" s="1"/>
  <c r="P34" i="13" s="1"/>
  <c r="R34" i="13" s="1"/>
  <c r="T34" i="13" s="1"/>
  <c r="Z34" i="13" s="1"/>
  <c r="AB34" i="13" s="1"/>
  <c r="AD34" i="13" s="1"/>
  <c r="AF34" i="13" s="1"/>
  <c r="AH34" i="13" s="1"/>
  <c r="N46" i="13"/>
  <c r="BU77" i="11"/>
  <c r="R39" i="13" s="1"/>
  <c r="J235" i="11"/>
  <c r="J117" i="11"/>
  <c r="M243" i="11"/>
  <c r="M92" i="11"/>
  <c r="J135" i="11"/>
  <c r="J54" i="11"/>
  <c r="AJ135" i="11"/>
  <c r="AJ54" i="11"/>
  <c r="AK135" i="11"/>
  <c r="AK54" i="11"/>
  <c r="AL135" i="11"/>
  <c r="AL54" i="11"/>
  <c r="AT135" i="11"/>
  <c r="AT54" i="11"/>
  <c r="BP135" i="11"/>
  <c r="BP54" i="11"/>
  <c r="AU77" i="11"/>
  <c r="N39" i="13" s="1"/>
  <c r="W24" i="13"/>
  <c r="W25" i="13" s="1"/>
  <c r="W26" i="13" s="1"/>
  <c r="W27" i="13" s="1"/>
  <c r="W28" i="13" s="1"/>
  <c r="W29" i="13" s="1"/>
  <c r="W30" i="13" s="1"/>
  <c r="W31" i="13" s="1"/>
  <c r="W32" i="13" s="1"/>
  <c r="W33" i="13" s="1"/>
  <c r="W34" i="13" s="1"/>
  <c r="W35" i="13" s="1"/>
  <c r="W36" i="13" s="1"/>
  <c r="W37" i="13" s="1"/>
  <c r="W38" i="13" s="1"/>
  <c r="W39" i="13" s="1"/>
  <c r="AH10" i="13"/>
  <c r="J51" i="13"/>
  <c r="L51" i="13" s="1"/>
  <c r="N51" i="13" s="1"/>
  <c r="P51" i="13" s="1"/>
  <c r="R51" i="13" s="1"/>
  <c r="T51" i="13" s="1"/>
  <c r="Z51" i="13" s="1"/>
  <c r="AB51" i="13" s="1"/>
  <c r="AD51" i="13" s="1"/>
  <c r="AF51" i="13" s="1"/>
  <c r="AH51" i="13" s="1"/>
  <c r="L61" i="13"/>
  <c r="N61" i="13" s="1"/>
  <c r="P61" i="13" s="1"/>
  <c r="R61" i="13" s="1"/>
  <c r="T61" i="13" s="1"/>
  <c r="Z61" i="13" s="1"/>
  <c r="AB61" i="13" s="1"/>
  <c r="AD61" i="13" s="1"/>
  <c r="AF61" i="13" s="1"/>
  <c r="AH61" i="13" s="1"/>
  <c r="J61" i="13"/>
  <c r="K131" i="3"/>
  <c r="K117" i="3"/>
  <c r="K133" i="3" s="1"/>
  <c r="J24" i="13"/>
  <c r="L24" i="13" s="1"/>
  <c r="I131" i="3"/>
  <c r="I117" i="3"/>
  <c r="I133" i="3" s="1"/>
  <c r="E130" i="3"/>
  <c r="E109" i="3"/>
  <c r="E117" i="3" s="1"/>
  <c r="E133" i="3" s="1"/>
  <c r="E142" i="3" s="1"/>
  <c r="G169" i="3"/>
  <c r="G260" i="3" s="1"/>
  <c r="G266" i="3" s="1"/>
  <c r="G168" i="3"/>
  <c r="BK386" i="3"/>
  <c r="AM208" i="4"/>
  <c r="AM207" i="4"/>
  <c r="Q100" i="13"/>
  <c r="U100" i="13" s="1"/>
  <c r="G11" i="9"/>
  <c r="BJ315" i="3"/>
  <c r="S102" i="13"/>
  <c r="AA102" i="13" s="1"/>
  <c r="AE102" i="13" s="1"/>
  <c r="AI102" i="13" s="1"/>
  <c r="AM204" i="4"/>
  <c r="K259" i="3"/>
  <c r="BJ433" i="3"/>
  <c r="BK433" i="3" s="1"/>
  <c r="AM203" i="4"/>
  <c r="I98" i="3"/>
  <c r="BJ314" i="3"/>
  <c r="N16" i="13"/>
  <c r="P16" i="13" s="1"/>
  <c r="I259" i="3"/>
  <c r="BH33" i="11"/>
  <c r="K34" i="3"/>
  <c r="BQ322" i="3"/>
  <c r="BP315" i="3"/>
  <c r="H52" i="13"/>
  <c r="J217" i="11"/>
  <c r="K98" i="3"/>
  <c r="H119" i="13" s="1"/>
  <c r="S100" i="13"/>
  <c r="BO370" i="3"/>
  <c r="W268" i="4"/>
  <c r="Y268" i="4" s="1"/>
  <c r="H19" i="10"/>
  <c r="I237" i="3"/>
  <c r="G259" i="3"/>
  <c r="B58" i="3"/>
  <c r="B59" i="3" s="1"/>
  <c r="B60" i="3" s="1"/>
  <c r="B61" i="3" s="1"/>
  <c r="B62" i="3" s="1"/>
  <c r="B63" i="3" s="1"/>
  <c r="G237" i="3"/>
  <c r="K237" i="3"/>
  <c r="W316" i="4"/>
  <c r="W280" i="4"/>
  <c r="Y280" i="4" s="1"/>
  <c r="W276" i="4"/>
  <c r="Y276" i="4" s="1"/>
  <c r="G96" i="3"/>
  <c r="G240" i="4" s="1"/>
  <c r="G95" i="3"/>
  <c r="H118" i="11"/>
  <c r="J299" i="4"/>
  <c r="W295" i="4"/>
  <c r="Y295" i="4" s="1"/>
  <c r="W292" i="4"/>
  <c r="Y292" i="4" s="1"/>
  <c r="W288" i="4"/>
  <c r="Y288" i="4" s="1"/>
  <c r="W285" i="4"/>
  <c r="Y285" i="4" s="1"/>
  <c r="W289" i="4"/>
  <c r="Y289" i="4" s="1"/>
  <c r="W298" i="4"/>
  <c r="Y298" i="4" s="1"/>
  <c r="W294" i="4"/>
  <c r="Y294" i="4" s="1"/>
  <c r="W291" i="4"/>
  <c r="Y291" i="4" s="1"/>
  <c r="W286" i="4"/>
  <c r="Y286" i="4" s="1"/>
  <c r="W297" i="4"/>
  <c r="Y297" i="4" s="1"/>
  <c r="W300" i="4"/>
  <c r="Y300" i="4" s="1"/>
  <c r="W293" i="4"/>
  <c r="Y293" i="4" s="1"/>
  <c r="W296" i="4"/>
  <c r="Y296" i="4" s="1"/>
  <c r="AM205" i="4"/>
  <c r="AM202" i="4"/>
  <c r="G186" i="4"/>
  <c r="G188" i="4" s="1"/>
  <c r="W272" i="4"/>
  <c r="Y272" i="4" s="1"/>
  <c r="W273" i="4"/>
  <c r="Y273" i="4" s="1"/>
  <c r="W275" i="4"/>
  <c r="Y275" i="4" s="1"/>
  <c r="J266" i="4"/>
  <c r="W274" i="4"/>
  <c r="Y274" i="4" s="1"/>
  <c r="W269" i="4"/>
  <c r="Y269" i="4" s="1"/>
  <c r="W271" i="4"/>
  <c r="Y271" i="4" s="1"/>
  <c r="F107" i="3"/>
  <c r="H26" i="13"/>
  <c r="W267" i="4"/>
  <c r="Y267" i="4" s="1"/>
  <c r="W266" i="4"/>
  <c r="Y266" i="4" s="1"/>
  <c r="W270" i="4"/>
  <c r="Y270" i="4" s="1"/>
  <c r="K169" i="3"/>
  <c r="K260" i="3" s="1"/>
  <c r="K266" i="3" s="1"/>
  <c r="W277" i="4"/>
  <c r="Y277" i="4" s="1"/>
  <c r="H103" i="3"/>
  <c r="BL433" i="3"/>
  <c r="BM433" i="3" s="1"/>
  <c r="BM402" i="3"/>
  <c r="W278" i="4"/>
  <c r="Y278" i="4" s="1"/>
  <c r="J95" i="11"/>
  <c r="J246" i="11"/>
  <c r="B48" i="19"/>
  <c r="E42" i="19"/>
  <c r="J233" i="11"/>
  <c r="J115" i="11"/>
  <c r="AH52" i="11"/>
  <c r="AU52" i="11"/>
  <c r="AD39" i="13"/>
  <c r="K245" i="11"/>
  <c r="K94" i="11"/>
  <c r="Z39" i="13"/>
  <c r="I209" i="4"/>
  <c r="I210" i="4"/>
  <c r="I207" i="4"/>
  <c r="I205" i="4"/>
  <c r="I206" i="4"/>
  <c r="I211" i="4"/>
  <c r="H18" i="13"/>
  <c r="BP433" i="3"/>
  <c r="BQ433" i="3" s="1"/>
  <c r="BQ402" i="3"/>
  <c r="AE101" i="4"/>
  <c r="H72" i="13"/>
  <c r="G386" i="1"/>
  <c r="I134" i="13"/>
  <c r="I7" i="13"/>
  <c r="B7" i="13"/>
  <c r="H8" i="10" s="1"/>
  <c r="B72" i="13"/>
  <c r="N386" i="1"/>
  <c r="F386" i="1"/>
  <c r="O375" i="1"/>
  <c r="G375" i="1"/>
  <c r="L369" i="1"/>
  <c r="H353" i="1"/>
  <c r="N344" i="1"/>
  <c r="F344" i="1"/>
  <c r="L343" i="1"/>
  <c r="H336" i="1"/>
  <c r="I314" i="1"/>
  <c r="O302" i="1"/>
  <c r="G302" i="1"/>
  <c r="M279" i="1"/>
  <c r="N271" i="1"/>
  <c r="F271" i="1"/>
  <c r="L270" i="1"/>
  <c r="I254" i="1"/>
  <c r="F251" i="1"/>
  <c r="K235" i="1"/>
  <c r="O206" i="1"/>
  <c r="G206" i="1"/>
  <c r="J156" i="1"/>
  <c r="O136" i="1"/>
  <c r="G136" i="1"/>
  <c r="L120" i="1"/>
  <c r="J103" i="1"/>
  <c r="L60" i="1"/>
  <c r="J59" i="1"/>
  <c r="M136" i="1"/>
  <c r="H103" i="1"/>
  <c r="F373" i="1"/>
  <c r="K353" i="1"/>
  <c r="I344" i="1"/>
  <c r="O120" i="1"/>
  <c r="H386" i="1"/>
  <c r="I375" i="1"/>
  <c r="F369" i="1"/>
  <c r="J353" i="1"/>
  <c r="N343" i="1"/>
  <c r="G279" i="1"/>
  <c r="N270" i="1"/>
  <c r="L103" i="1"/>
  <c r="L59" i="1"/>
  <c r="J254" i="1"/>
  <c r="M60" i="1"/>
  <c r="M386" i="1"/>
  <c r="N375" i="1"/>
  <c r="F375" i="1"/>
  <c r="K369" i="1"/>
  <c r="O353" i="1"/>
  <c r="G353" i="1"/>
  <c r="M344" i="1"/>
  <c r="K343" i="1"/>
  <c r="O336" i="1"/>
  <c r="G336" i="1"/>
  <c r="F334" i="1"/>
  <c r="H314" i="1"/>
  <c r="N302" i="1"/>
  <c r="F302" i="1"/>
  <c r="L279" i="1"/>
  <c r="K270" i="1"/>
  <c r="H254" i="1"/>
  <c r="J235" i="1"/>
  <c r="N206" i="1"/>
  <c r="F206" i="1"/>
  <c r="I156" i="1"/>
  <c r="N136" i="1"/>
  <c r="F136" i="1"/>
  <c r="I103" i="1"/>
  <c r="K60" i="1"/>
  <c r="I59" i="1"/>
  <c r="H156" i="1"/>
  <c r="G343" i="1"/>
  <c r="L254" i="1"/>
  <c r="F235" i="1"/>
  <c r="J206" i="1"/>
  <c r="G120" i="1"/>
  <c r="M59" i="1"/>
  <c r="F343" i="1"/>
  <c r="M315" i="1"/>
  <c r="H271" i="1"/>
  <c r="L156" i="1"/>
  <c r="F60" i="1"/>
  <c r="O386" i="1"/>
  <c r="G344" i="1"/>
  <c r="K103" i="1"/>
  <c r="K59" i="1"/>
  <c r="L386" i="1"/>
  <c r="M375" i="1"/>
  <c r="J369" i="1"/>
  <c r="N353" i="1"/>
  <c r="F353" i="1"/>
  <c r="L344" i="1"/>
  <c r="J343" i="1"/>
  <c r="N336" i="1"/>
  <c r="F336" i="1"/>
  <c r="O314" i="1"/>
  <c r="G314" i="1"/>
  <c r="M302" i="1"/>
  <c r="K279" i="1"/>
  <c r="L271" i="1"/>
  <c r="J270" i="1"/>
  <c r="O254" i="1"/>
  <c r="G254" i="1"/>
  <c r="F252" i="1"/>
  <c r="I235" i="1"/>
  <c r="M206" i="1"/>
  <c r="J120" i="1"/>
  <c r="J60" i="1"/>
  <c r="H59" i="1"/>
  <c r="O369" i="1"/>
  <c r="H279" i="1"/>
  <c r="O60" i="1"/>
  <c r="I206" i="1"/>
  <c r="F120" i="1"/>
  <c r="M369" i="1"/>
  <c r="M343" i="1"/>
  <c r="I336" i="1"/>
  <c r="H206" i="1"/>
  <c r="K156" i="1"/>
  <c r="K386" i="1"/>
  <c r="L375" i="1"/>
  <c r="I369" i="1"/>
  <c r="M353" i="1"/>
  <c r="K344" i="1"/>
  <c r="I343" i="1"/>
  <c r="M336" i="1"/>
  <c r="N314" i="1"/>
  <c r="F314" i="1"/>
  <c r="L302" i="1"/>
  <c r="J279" i="1"/>
  <c r="F277" i="1"/>
  <c r="K271" i="1"/>
  <c r="I270" i="1"/>
  <c r="N254" i="1"/>
  <c r="F254" i="1"/>
  <c r="H235" i="1"/>
  <c r="F207" i="1"/>
  <c r="L206" i="1"/>
  <c r="O156" i="1"/>
  <c r="G156" i="1"/>
  <c r="L136" i="1"/>
  <c r="I120" i="1"/>
  <c r="O103" i="1"/>
  <c r="G103" i="1"/>
  <c r="I60" i="1"/>
  <c r="O59" i="1"/>
  <c r="G59" i="1"/>
  <c r="L314" i="1"/>
  <c r="J302" i="1"/>
  <c r="O270" i="1"/>
  <c r="M103" i="1"/>
  <c r="H344" i="1"/>
  <c r="J336" i="1"/>
  <c r="I302" i="1"/>
  <c r="M235" i="1"/>
  <c r="N60" i="1"/>
  <c r="J386" i="1"/>
  <c r="K375" i="1"/>
  <c r="H369" i="1"/>
  <c r="F368" i="1"/>
  <c r="L353" i="1"/>
  <c r="J344" i="1"/>
  <c r="H343" i="1"/>
  <c r="L336" i="1"/>
  <c r="F319" i="1"/>
  <c r="O315" i="1"/>
  <c r="M314" i="1"/>
  <c r="K302" i="1"/>
  <c r="I279" i="1"/>
  <c r="J271" i="1"/>
  <c r="H270" i="1"/>
  <c r="M254" i="1"/>
  <c r="O235" i="1"/>
  <c r="G235" i="1"/>
  <c r="K206" i="1"/>
  <c r="N156" i="1"/>
  <c r="F156" i="1"/>
  <c r="K136" i="1"/>
  <c r="H120" i="1"/>
  <c r="N103" i="1"/>
  <c r="F103" i="1"/>
  <c r="H60" i="1"/>
  <c r="N59" i="1"/>
  <c r="F59" i="1"/>
  <c r="I386" i="1"/>
  <c r="J375" i="1"/>
  <c r="G369" i="1"/>
  <c r="O343" i="1"/>
  <c r="K336" i="1"/>
  <c r="N315" i="1"/>
  <c r="I271" i="1"/>
  <c r="N235" i="1"/>
  <c r="M156" i="1"/>
  <c r="J136" i="1"/>
  <c r="G60" i="1"/>
  <c r="N369" i="1"/>
  <c r="F355" i="1"/>
  <c r="N120" i="1"/>
  <c r="H375" i="1"/>
  <c r="I353" i="1"/>
  <c r="H302" i="1"/>
  <c r="F279" i="1"/>
  <c r="O271" i="1"/>
  <c r="K314" i="1"/>
  <c r="O279" i="1"/>
  <c r="F270" i="1"/>
  <c r="K254" i="1"/>
  <c r="I136" i="1"/>
  <c r="O344" i="1"/>
  <c r="J314" i="1"/>
  <c r="N279" i="1"/>
  <c r="M270" i="1"/>
  <c r="L235" i="1"/>
  <c r="H136" i="1"/>
  <c r="M120" i="1"/>
  <c r="G98" i="3"/>
  <c r="G34" i="3"/>
  <c r="G91" i="3"/>
  <c r="I79" i="13"/>
  <c r="C11" i="15"/>
  <c r="F103" i="3"/>
  <c r="G239" i="4"/>
  <c r="G227" i="4"/>
  <c r="AV87" i="11"/>
  <c r="AV238" i="11"/>
  <c r="CU54" i="11"/>
  <c r="J93" i="11"/>
  <c r="J244" i="11"/>
  <c r="K231" i="11"/>
  <c r="K113" i="11"/>
  <c r="DU54" i="11"/>
  <c r="EH54" i="11"/>
  <c r="L124" i="11"/>
  <c r="L251" i="11"/>
  <c r="AI101" i="11"/>
  <c r="AJ101" i="11" s="1"/>
  <c r="AK101" i="11" s="1"/>
  <c r="AL101" i="11" s="1"/>
  <c r="AM101" i="11" s="1"/>
  <c r="AN101" i="11" s="1"/>
  <c r="AO101" i="11" s="1"/>
  <c r="AP101" i="11" s="1"/>
  <c r="AQ101" i="11" s="1"/>
  <c r="AR101" i="11" s="1"/>
  <c r="AS101" i="11" s="1"/>
  <c r="AT101" i="11" s="1"/>
  <c r="P31" i="13" s="1"/>
  <c r="AO212" i="11"/>
  <c r="AO211" i="11"/>
  <c r="V211" i="11"/>
  <c r="V212" i="11"/>
  <c r="CR211" i="11"/>
  <c r="CR212" i="11"/>
  <c r="AP211" i="11"/>
  <c r="AP212" i="11"/>
  <c r="EE212" i="11"/>
  <c r="EE211" i="11"/>
  <c r="P211" i="11"/>
  <c r="P52" i="11" s="1"/>
  <c r="P212" i="11"/>
  <c r="P53" i="11" s="1"/>
  <c r="AM212" i="11"/>
  <c r="AM211" i="11"/>
  <c r="AG211" i="11"/>
  <c r="AG212" i="11"/>
  <c r="DW212" i="11"/>
  <c r="DW211" i="11"/>
  <c r="CD212" i="11"/>
  <c r="CD211" i="11"/>
  <c r="AW212" i="11"/>
  <c r="AW211" i="11"/>
  <c r="I52" i="11"/>
  <c r="BZ212" i="11"/>
  <c r="BZ211" i="11"/>
  <c r="S211" i="11"/>
  <c r="S52" i="11" s="1"/>
  <c r="S212" i="11"/>
  <c r="S53" i="11" s="1"/>
  <c r="CK211" i="11"/>
  <c r="CK212" i="11"/>
  <c r="D140" i="11"/>
  <c r="D141" i="11" s="1"/>
  <c r="D142" i="11" s="1"/>
  <c r="D143" i="11" s="1"/>
  <c r="D144" i="11" s="1"/>
  <c r="D145" i="11" s="1"/>
  <c r="D146" i="11" s="1"/>
  <c r="D147" i="11" s="1"/>
  <c r="D148" i="11" s="1"/>
  <c r="D149" i="11" s="1"/>
  <c r="D151" i="1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H43" i="13"/>
  <c r="C38" i="15"/>
  <c r="N6" i="15"/>
  <c r="O6" i="15" s="1"/>
  <c r="P6" i="15" s="1"/>
  <c r="Q6" i="15" s="1"/>
  <c r="R6" i="15" s="1"/>
  <c r="S6" i="15" s="1"/>
  <c r="I246" i="11"/>
  <c r="AB39" i="13"/>
  <c r="M271" i="1" s="1"/>
  <c r="DH52" i="11"/>
  <c r="BL212" i="11"/>
  <c r="BL211" i="11"/>
  <c r="DJ212" i="11"/>
  <c r="DJ211" i="11"/>
  <c r="BD211" i="11"/>
  <c r="BD212" i="11"/>
  <c r="BX212" i="11"/>
  <c r="BX211" i="11"/>
  <c r="O212" i="11"/>
  <c r="O53" i="11" s="1"/>
  <c r="O211" i="11"/>
  <c r="O52" i="11" s="1"/>
  <c r="AF212" i="11"/>
  <c r="AF211" i="11"/>
  <c r="BC211" i="11"/>
  <c r="BC212" i="11"/>
  <c r="AT212" i="11"/>
  <c r="AT211" i="11"/>
  <c r="EG212" i="11"/>
  <c r="EG211" i="11"/>
  <c r="CO212" i="11"/>
  <c r="CO211" i="11"/>
  <c r="BG211" i="11"/>
  <c r="BG212" i="11"/>
  <c r="Q212" i="11"/>
  <c r="Q53" i="11" s="1"/>
  <c r="Q211" i="11"/>
  <c r="Q52" i="11" s="1"/>
  <c r="CI212" i="11"/>
  <c r="CI211" i="11"/>
  <c r="AB212" i="11"/>
  <c r="AB211" i="11"/>
  <c r="CS212" i="11"/>
  <c r="CS211" i="11"/>
  <c r="F8" i="10"/>
  <c r="G148" i="3"/>
  <c r="G163" i="3" s="1"/>
  <c r="H78" i="13"/>
  <c r="H86" i="13" s="1"/>
  <c r="I76" i="13"/>
  <c r="L248" i="11"/>
  <c r="L121" i="11"/>
  <c r="M247" i="11"/>
  <c r="M120" i="11"/>
  <c r="I13" i="14"/>
  <c r="K221" i="11"/>
  <c r="K103" i="11"/>
  <c r="AU31" i="11"/>
  <c r="BH31" i="11"/>
  <c r="W112" i="11"/>
  <c r="W230" i="11"/>
  <c r="J256" i="11"/>
  <c r="J129" i="11"/>
  <c r="H13" i="14"/>
  <c r="AJ114" i="11"/>
  <c r="AJ232" i="11"/>
  <c r="DP212" i="11"/>
  <c r="DP211" i="11"/>
  <c r="CW211" i="11"/>
  <c r="CW212" i="11"/>
  <c r="BE211" i="11"/>
  <c r="BE212" i="11"/>
  <c r="CQ212" i="11"/>
  <c r="CQ211" i="11"/>
  <c r="F128" i="4"/>
  <c r="F185" i="4" s="1"/>
  <c r="F216" i="4" s="1"/>
  <c r="F228" i="4" s="1"/>
  <c r="F240" i="4" s="1"/>
  <c r="F85" i="4"/>
  <c r="F346" i="4"/>
  <c r="AN238" i="11"/>
  <c r="Y232" i="11"/>
  <c r="W232" i="11"/>
  <c r="J13" i="14"/>
  <c r="J56" i="9"/>
  <c r="AI85" i="11"/>
  <c r="AJ85" i="11" s="1"/>
  <c r="AK85" i="11" s="1"/>
  <c r="AL85" i="11" s="1"/>
  <c r="AM85" i="11" s="1"/>
  <c r="AN85" i="11" s="1"/>
  <c r="AO85" i="11" s="1"/>
  <c r="AP85" i="11" s="1"/>
  <c r="AQ85" i="11" s="1"/>
  <c r="AR85" i="11" s="1"/>
  <c r="AS85" i="11" s="1"/>
  <c r="AT85" i="11" s="1"/>
  <c r="P46" i="13" s="1"/>
  <c r="CN128" i="11"/>
  <c r="CN255" i="11"/>
  <c r="AC212" i="11"/>
  <c r="AC211" i="11"/>
  <c r="CG211" i="11"/>
  <c r="CG212" i="11"/>
  <c r="AX212" i="11"/>
  <c r="AX211" i="11"/>
  <c r="J211" i="11"/>
  <c r="J52" i="11" s="1"/>
  <c r="J212" i="11"/>
  <c r="J53" i="11" s="1"/>
  <c r="CX212" i="11"/>
  <c r="CX211" i="11"/>
  <c r="DT212" i="11"/>
  <c r="DT211" i="11"/>
  <c r="R211" i="11"/>
  <c r="R52" i="11" s="1"/>
  <c r="R212" i="11"/>
  <c r="R53" i="11" s="1"/>
  <c r="W212" i="11"/>
  <c r="W211" i="11"/>
  <c r="DL211" i="11"/>
  <c r="DL212" i="11"/>
  <c r="BR211" i="11"/>
  <c r="BR212" i="11"/>
  <c r="AL212" i="11"/>
  <c r="AL211" i="11"/>
  <c r="DY212" i="11"/>
  <c r="DY211" i="11"/>
  <c r="BQ212" i="11"/>
  <c r="BQ211" i="11"/>
  <c r="K211" i="11"/>
  <c r="K52" i="11" s="1"/>
  <c r="K212" i="11"/>
  <c r="K53" i="11" s="1"/>
  <c r="CB211" i="11"/>
  <c r="CB212" i="11"/>
  <c r="BO322" i="3"/>
  <c r="BN315" i="3"/>
  <c r="BN314" i="3"/>
  <c r="J109" i="3"/>
  <c r="I77" i="13"/>
  <c r="H25" i="10" s="1"/>
  <c r="I25" i="10"/>
  <c r="I94" i="3"/>
  <c r="J103" i="3"/>
  <c r="I96" i="3"/>
  <c r="G241" i="4" s="1"/>
  <c r="I95" i="3"/>
  <c r="I266" i="3"/>
  <c r="K148" i="3"/>
  <c r="K163" i="3" s="1"/>
  <c r="DB212" i="11"/>
  <c r="DB211" i="11"/>
  <c r="H132" i="13"/>
  <c r="E8" i="10"/>
  <c r="E148" i="3"/>
  <c r="E163" i="3" s="1"/>
  <c r="K91" i="3"/>
  <c r="H100" i="13" s="1"/>
  <c r="K60" i="3"/>
  <c r="J250" i="11"/>
  <c r="J123" i="11"/>
  <c r="AG238" i="11"/>
  <c r="AJ238" i="11"/>
  <c r="AT238" i="11"/>
  <c r="M237" i="11"/>
  <c r="M86" i="11"/>
  <c r="Q232" i="11"/>
  <c r="AA232" i="11"/>
  <c r="AD232" i="11"/>
  <c r="AU54" i="11"/>
  <c r="I104" i="11"/>
  <c r="CH54" i="11"/>
  <c r="G13" i="14"/>
  <c r="J241" i="11"/>
  <c r="J90" i="11"/>
  <c r="AA211" i="11"/>
  <c r="AA212" i="11"/>
  <c r="DG212" i="11"/>
  <c r="DG211" i="11"/>
  <c r="AN212" i="11"/>
  <c r="AN211" i="11"/>
  <c r="ED212" i="11"/>
  <c r="ED211" i="11"/>
  <c r="AY211" i="11"/>
  <c r="AY212" i="11"/>
  <c r="BV212" i="11"/>
  <c r="BV211" i="11"/>
  <c r="CM211" i="11"/>
  <c r="CM212" i="11"/>
  <c r="BP211" i="11"/>
  <c r="BP212" i="11"/>
  <c r="X212" i="11"/>
  <c r="X211" i="11"/>
  <c r="DM212" i="11"/>
  <c r="DM211" i="11"/>
  <c r="CE212" i="11"/>
  <c r="CE211" i="11"/>
  <c r="AI212" i="11"/>
  <c r="AI211" i="11"/>
  <c r="CZ212" i="11"/>
  <c r="CZ211" i="11"/>
  <c r="AS211" i="11"/>
  <c r="AS212" i="11"/>
  <c r="DK211" i="11"/>
  <c r="DK212" i="11"/>
  <c r="BL315" i="3"/>
  <c r="BL314" i="3"/>
  <c r="BM322" i="3"/>
  <c r="G131" i="4"/>
  <c r="H142" i="3"/>
  <c r="J142" i="3" s="1"/>
  <c r="L142" i="3" s="1"/>
  <c r="B147" i="3"/>
  <c r="B162" i="3" s="1"/>
  <c r="CV211" i="11"/>
  <c r="CV212" i="11"/>
  <c r="BA211" i="11"/>
  <c r="BA212" i="11"/>
  <c r="Z212" i="11"/>
  <c r="Z211" i="11"/>
  <c r="F21" i="10"/>
  <c r="F19" i="10"/>
  <c r="H117" i="3"/>
  <c r="G119" i="3"/>
  <c r="G355" i="1"/>
  <c r="J228" i="11"/>
  <c r="J110" i="11"/>
  <c r="AQ238" i="11"/>
  <c r="AM238" i="11"/>
  <c r="AR238" i="11"/>
  <c r="BU52" i="11"/>
  <c r="J254" i="11"/>
  <c r="J127" i="11"/>
  <c r="BH52" i="11"/>
  <c r="AG232" i="11"/>
  <c r="R232" i="11"/>
  <c r="P116" i="11"/>
  <c r="P234" i="11"/>
  <c r="L223" i="11"/>
  <c r="L105" i="11"/>
  <c r="L22" i="10"/>
  <c r="DO212" i="11"/>
  <c r="DO211" i="11"/>
  <c r="AD211" i="11"/>
  <c r="AD212" i="11"/>
  <c r="BM211" i="11"/>
  <c r="BM212" i="11"/>
  <c r="T211" i="11"/>
  <c r="T52" i="11" s="1"/>
  <c r="T212" i="11"/>
  <c r="T53" i="11" s="1"/>
  <c r="BO212" i="11"/>
  <c r="BO211" i="11"/>
  <c r="CL211" i="11"/>
  <c r="CL212" i="11"/>
  <c r="DF212" i="11"/>
  <c r="DF211" i="11"/>
  <c r="CC212" i="11"/>
  <c r="CC211" i="11"/>
  <c r="AJ211" i="11"/>
  <c r="AJ212" i="11"/>
  <c r="DX212" i="11"/>
  <c r="DX211" i="11"/>
  <c r="CP211" i="11"/>
  <c r="CP212" i="11"/>
  <c r="AQ212" i="11"/>
  <c r="AQ211" i="11"/>
  <c r="DI211" i="11"/>
  <c r="DI212" i="11"/>
  <c r="BB211" i="11"/>
  <c r="BB212" i="11"/>
  <c r="DS212" i="11"/>
  <c r="DS211" i="11"/>
  <c r="L109" i="3"/>
  <c r="G88" i="4"/>
  <c r="J201" i="4"/>
  <c r="G344" i="4"/>
  <c r="K344" i="4" s="1"/>
  <c r="G73" i="4"/>
  <c r="L103" i="3"/>
  <c r="K96" i="3"/>
  <c r="K95" i="3"/>
  <c r="H116" i="13" s="1"/>
  <c r="K94" i="3"/>
  <c r="H115" i="13" s="1"/>
  <c r="F130" i="4"/>
  <c r="F187" i="4" s="1"/>
  <c r="F218" i="4" s="1"/>
  <c r="F230" i="4" s="1"/>
  <c r="F242" i="4" s="1"/>
  <c r="F87" i="4"/>
  <c r="K15" i="4"/>
  <c r="F348" i="4"/>
  <c r="F15" i="4"/>
  <c r="I133" i="1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AG133" i="11" s="1"/>
  <c r="AI133" i="11" s="1"/>
  <c r="AJ133" i="11" s="1"/>
  <c r="AK133" i="11" s="1"/>
  <c r="AL133" i="11" s="1"/>
  <c r="AM133" i="11" s="1"/>
  <c r="AN133" i="11" s="1"/>
  <c r="AO133" i="11" s="1"/>
  <c r="AP133" i="11" s="1"/>
  <c r="AQ133" i="11" s="1"/>
  <c r="AR133" i="11" s="1"/>
  <c r="AS133" i="11" s="1"/>
  <c r="AT133" i="11" s="1"/>
  <c r="AV133" i="11" s="1"/>
  <c r="AW133" i="11" s="1"/>
  <c r="AX133" i="11" s="1"/>
  <c r="AY133" i="11" s="1"/>
  <c r="AZ133" i="11" s="1"/>
  <c r="BA133" i="11" s="1"/>
  <c r="BB133" i="11" s="1"/>
  <c r="BC133" i="11" s="1"/>
  <c r="BD133" i="11" s="1"/>
  <c r="BE133" i="11" s="1"/>
  <c r="BF133" i="11" s="1"/>
  <c r="BG133" i="11" s="1"/>
  <c r="BI133" i="11" s="1"/>
  <c r="BJ133" i="11" s="1"/>
  <c r="BK133" i="11" s="1"/>
  <c r="BL133" i="11" s="1"/>
  <c r="BM133" i="11" s="1"/>
  <c r="BN133" i="11" s="1"/>
  <c r="BO133" i="11" s="1"/>
  <c r="BP133" i="11" s="1"/>
  <c r="BQ133" i="11" s="1"/>
  <c r="BR133" i="11" s="1"/>
  <c r="BS133" i="11" s="1"/>
  <c r="BT133" i="11" s="1"/>
  <c r="BV133" i="11" s="1"/>
  <c r="BW133" i="11" s="1"/>
  <c r="BX133" i="11" s="1"/>
  <c r="BY133" i="11" s="1"/>
  <c r="BZ133" i="11" s="1"/>
  <c r="CA133" i="11" s="1"/>
  <c r="CB133" i="11" s="1"/>
  <c r="CC133" i="11" s="1"/>
  <c r="CD133" i="11" s="1"/>
  <c r="CE133" i="11" s="1"/>
  <c r="CF133" i="11" s="1"/>
  <c r="CG133" i="11" s="1"/>
  <c r="CI133" i="11" s="1"/>
  <c r="CJ133" i="11" s="1"/>
  <c r="CK133" i="11" s="1"/>
  <c r="CL133" i="11" s="1"/>
  <c r="CM133" i="11" s="1"/>
  <c r="CN133" i="11" s="1"/>
  <c r="CO133" i="11" s="1"/>
  <c r="CP133" i="11" s="1"/>
  <c r="CQ133" i="11" s="1"/>
  <c r="CR133" i="11" s="1"/>
  <c r="CS133" i="11" s="1"/>
  <c r="CT133" i="11" s="1"/>
  <c r="CV133" i="11" s="1"/>
  <c r="CW133" i="11" s="1"/>
  <c r="CX133" i="11" s="1"/>
  <c r="CY133" i="11" s="1"/>
  <c r="CZ133" i="11" s="1"/>
  <c r="DA133" i="11" s="1"/>
  <c r="DB133" i="11" s="1"/>
  <c r="DC133" i="11" s="1"/>
  <c r="DD133" i="11" s="1"/>
  <c r="DE133" i="11" s="1"/>
  <c r="DF133" i="11" s="1"/>
  <c r="DG133" i="11" s="1"/>
  <c r="DI133" i="11" s="1"/>
  <c r="DJ133" i="11" s="1"/>
  <c r="DK133" i="11" s="1"/>
  <c r="DL133" i="11" s="1"/>
  <c r="DM133" i="11" s="1"/>
  <c r="DN133" i="11" s="1"/>
  <c r="DO133" i="11" s="1"/>
  <c r="DP133" i="11" s="1"/>
  <c r="DQ133" i="11" s="1"/>
  <c r="DR133" i="11" s="1"/>
  <c r="DS133" i="11" s="1"/>
  <c r="DT133" i="11" s="1"/>
  <c r="DV133" i="11" s="1"/>
  <c r="DW133" i="11" s="1"/>
  <c r="DX133" i="11" s="1"/>
  <c r="DY133" i="11" s="1"/>
  <c r="DZ133" i="11" s="1"/>
  <c r="EA133" i="11" s="1"/>
  <c r="EB133" i="11" s="1"/>
  <c r="EC133" i="11" s="1"/>
  <c r="ED133" i="11" s="1"/>
  <c r="EE133" i="11" s="1"/>
  <c r="EF133" i="11" s="1"/>
  <c r="EG133" i="11" s="1"/>
  <c r="J8" i="1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AI8" i="11" s="1"/>
  <c r="AJ8" i="11" s="1"/>
  <c r="AK8" i="11" s="1"/>
  <c r="AL8" i="11" s="1"/>
  <c r="AM8" i="11" s="1"/>
  <c r="AN8" i="11" s="1"/>
  <c r="AO8" i="11" s="1"/>
  <c r="AP8" i="11" s="1"/>
  <c r="AQ8" i="11" s="1"/>
  <c r="AR8" i="11" s="1"/>
  <c r="AS8" i="11" s="1"/>
  <c r="AT8" i="11" s="1"/>
  <c r="AV8" i="11" s="1"/>
  <c r="AW8" i="11" s="1"/>
  <c r="AX8" i="11" s="1"/>
  <c r="AY8" i="11" s="1"/>
  <c r="AZ8" i="11" s="1"/>
  <c r="BA8" i="11" s="1"/>
  <c r="BB8" i="11" s="1"/>
  <c r="BC8" i="11" s="1"/>
  <c r="BD8" i="11" s="1"/>
  <c r="BE8" i="11" s="1"/>
  <c r="BF8" i="11" s="1"/>
  <c r="BG8" i="11" s="1"/>
  <c r="BI8" i="11" s="1"/>
  <c r="BJ8" i="11" s="1"/>
  <c r="BK8" i="11" s="1"/>
  <c r="BL8" i="11" s="1"/>
  <c r="BM8" i="11" s="1"/>
  <c r="BN8" i="11" s="1"/>
  <c r="BO8" i="11" s="1"/>
  <c r="BP8" i="11" s="1"/>
  <c r="BQ8" i="11" s="1"/>
  <c r="BR8" i="11" s="1"/>
  <c r="BS8" i="11" s="1"/>
  <c r="BT8" i="11" s="1"/>
  <c r="BV8" i="11" s="1"/>
  <c r="BW8" i="11" s="1"/>
  <c r="BX8" i="11" s="1"/>
  <c r="BY8" i="11" s="1"/>
  <c r="BZ8" i="11" s="1"/>
  <c r="CA8" i="11" s="1"/>
  <c r="CB8" i="11" s="1"/>
  <c r="CC8" i="11" s="1"/>
  <c r="CD8" i="11" s="1"/>
  <c r="CE8" i="11" s="1"/>
  <c r="CF8" i="11" s="1"/>
  <c r="CG8" i="11" s="1"/>
  <c r="CI8" i="11" s="1"/>
  <c r="CJ8" i="11" s="1"/>
  <c r="CK8" i="11" s="1"/>
  <c r="CL8" i="11" s="1"/>
  <c r="CM8" i="11" s="1"/>
  <c r="CN8" i="11" s="1"/>
  <c r="CO8" i="11" s="1"/>
  <c r="CP8" i="11" s="1"/>
  <c r="CQ8" i="11" s="1"/>
  <c r="CR8" i="11" s="1"/>
  <c r="CS8" i="11" s="1"/>
  <c r="CT8" i="11" s="1"/>
  <c r="CV8" i="11" s="1"/>
  <c r="CW8" i="11" s="1"/>
  <c r="CX8" i="11" s="1"/>
  <c r="CY8" i="11" s="1"/>
  <c r="CZ8" i="11" s="1"/>
  <c r="DA8" i="11" s="1"/>
  <c r="DB8" i="11" s="1"/>
  <c r="DC8" i="11" s="1"/>
  <c r="DD8" i="11" s="1"/>
  <c r="DE8" i="11" s="1"/>
  <c r="DF8" i="11" s="1"/>
  <c r="DG8" i="11" s="1"/>
  <c r="DI8" i="11" s="1"/>
  <c r="DJ8" i="11" s="1"/>
  <c r="DK8" i="11" s="1"/>
  <c r="DL8" i="11" s="1"/>
  <c r="DM8" i="11" s="1"/>
  <c r="DN8" i="11" s="1"/>
  <c r="DO8" i="11" s="1"/>
  <c r="DP8" i="11" s="1"/>
  <c r="DQ8" i="11" s="1"/>
  <c r="DR8" i="11" s="1"/>
  <c r="DS8" i="11" s="1"/>
  <c r="DT8" i="11" s="1"/>
  <c r="DV8" i="11" s="1"/>
  <c r="DW8" i="11" s="1"/>
  <c r="DX8" i="11" s="1"/>
  <c r="DY8" i="11" s="1"/>
  <c r="DZ8" i="11" s="1"/>
  <c r="EA8" i="11" s="1"/>
  <c r="EB8" i="11" s="1"/>
  <c r="EC8" i="11" s="1"/>
  <c r="ED8" i="11" s="1"/>
  <c r="EE8" i="11" s="1"/>
  <c r="EF8" i="11" s="1"/>
  <c r="EG8" i="11" s="1"/>
  <c r="J109" i="11"/>
  <c r="J227" i="11"/>
  <c r="AO238" i="11"/>
  <c r="EH52" i="11"/>
  <c r="CU52" i="11"/>
  <c r="S232" i="11"/>
  <c r="AH54" i="11"/>
  <c r="BU54" i="11"/>
  <c r="M229" i="11"/>
  <c r="M111" i="11"/>
  <c r="L23" i="10"/>
  <c r="BL108" i="11"/>
  <c r="BL226" i="11"/>
  <c r="EF212" i="11"/>
  <c r="EF211" i="11"/>
  <c r="BN211" i="11"/>
  <c r="BN212" i="11"/>
  <c r="CF212" i="11"/>
  <c r="CF211" i="11"/>
  <c r="CT212" i="11"/>
  <c r="CT211" i="11"/>
  <c r="AR211" i="11"/>
  <c r="AR212" i="11"/>
  <c r="CJ211" i="11"/>
  <c r="CJ212" i="11"/>
  <c r="DE212" i="11"/>
  <c r="DE211" i="11"/>
  <c r="EA211" i="11"/>
  <c r="EA212" i="11"/>
  <c r="CN211" i="11"/>
  <c r="CN212" i="11"/>
  <c r="AV212" i="11"/>
  <c r="AV211" i="11"/>
  <c r="N212" i="11"/>
  <c r="N53" i="11" s="1"/>
  <c r="N211" i="11"/>
  <c r="N52" i="11" s="1"/>
  <c r="DC212" i="11"/>
  <c r="DC211" i="11"/>
  <c r="AZ212" i="11"/>
  <c r="AZ211" i="11"/>
  <c r="DQ212" i="11"/>
  <c r="DQ211" i="11"/>
  <c r="BK212" i="11"/>
  <c r="BK211" i="11"/>
  <c r="EB212" i="11"/>
  <c r="EB211" i="11"/>
  <c r="F347" i="4"/>
  <c r="F129" i="4"/>
  <c r="F186" i="4" s="1"/>
  <c r="F217" i="4" s="1"/>
  <c r="F229" i="4" s="1"/>
  <c r="F241" i="4" s="1"/>
  <c r="F86" i="4"/>
  <c r="E132" i="11"/>
  <c r="U94" i="11"/>
  <c r="BJ211" i="11"/>
  <c r="BJ212" i="11"/>
  <c r="AE211" i="11"/>
  <c r="AE212" i="11"/>
  <c r="BW212" i="11"/>
  <c r="BW211" i="11"/>
  <c r="M212" i="11"/>
  <c r="M53" i="11" s="1"/>
  <c r="M211" i="11"/>
  <c r="M52" i="11" s="1"/>
  <c r="DA211" i="11"/>
  <c r="DA212" i="11"/>
  <c r="BT212" i="11"/>
  <c r="BT211" i="11"/>
  <c r="AK211" i="11"/>
  <c r="AK212" i="11"/>
  <c r="O18" i="9"/>
  <c r="I107" i="4"/>
  <c r="K252" i="11"/>
  <c r="K125" i="11"/>
  <c r="AI238" i="11"/>
  <c r="BV52" i="11"/>
  <c r="AB232" i="11"/>
  <c r="AC232" i="11"/>
  <c r="K239" i="11"/>
  <c r="K88" i="11"/>
  <c r="I70" i="10"/>
  <c r="D46" i="9"/>
  <c r="DH54" i="11"/>
  <c r="J253" i="11"/>
  <c r="J126" i="11"/>
  <c r="N107" i="11"/>
  <c r="N225" i="11"/>
  <c r="BS240" i="11"/>
  <c r="BS89" i="11"/>
  <c r="K217" i="11"/>
  <c r="K100" i="11"/>
  <c r="DU52" i="11"/>
  <c r="DZ53" i="11"/>
  <c r="DR53" i="11"/>
  <c r="DJ53" i="11"/>
  <c r="DB53" i="11"/>
  <c r="CT53" i="11"/>
  <c r="CL53" i="11"/>
  <c r="CD53" i="11"/>
  <c r="BV53" i="11"/>
  <c r="BN53" i="11"/>
  <c r="BF53" i="11"/>
  <c r="AX53" i="11"/>
  <c r="AP53" i="11"/>
  <c r="Z53" i="11"/>
  <c r="EG53" i="11"/>
  <c r="DY53" i="11"/>
  <c r="DQ53" i="11"/>
  <c r="DI53" i="11"/>
  <c r="DA53" i="11"/>
  <c r="CS53" i="11"/>
  <c r="CK53" i="11"/>
  <c r="CC53" i="11"/>
  <c r="BM53" i="11"/>
  <c r="BE53" i="11"/>
  <c r="AW53" i="11"/>
  <c r="AO53" i="11"/>
  <c r="AG53" i="11"/>
  <c r="Y53" i="11"/>
  <c r="EB53" i="11"/>
  <c r="DP53" i="11"/>
  <c r="DF53" i="11"/>
  <c r="CV53" i="11"/>
  <c r="CJ53" i="11"/>
  <c r="BZ53" i="11"/>
  <c r="BP53" i="11"/>
  <c r="BD53" i="11"/>
  <c r="AT53" i="11"/>
  <c r="AJ53" i="11"/>
  <c r="X53" i="11"/>
  <c r="EA53" i="11"/>
  <c r="DO53" i="11"/>
  <c r="DE53" i="11"/>
  <c r="CI53" i="11"/>
  <c r="BY53" i="11"/>
  <c r="BO53" i="11"/>
  <c r="BC53" i="11"/>
  <c r="AS53" i="11"/>
  <c r="AI53" i="11"/>
  <c r="W53" i="11"/>
  <c r="DW53" i="11"/>
  <c r="DM53" i="11"/>
  <c r="DC53" i="11"/>
  <c r="CQ53" i="11"/>
  <c r="CG53" i="11"/>
  <c r="BW53" i="11"/>
  <c r="BK53" i="11"/>
  <c r="BA53" i="11"/>
  <c r="AQ53" i="11"/>
  <c r="AE53" i="11"/>
  <c r="DD53" i="11"/>
  <c r="CN53" i="11"/>
  <c r="BT53" i="11"/>
  <c r="BG53" i="11"/>
  <c r="AM53" i="11"/>
  <c r="V53" i="11"/>
  <c r="DT53" i="11"/>
  <c r="CZ53" i="11"/>
  <c r="CM53" i="11"/>
  <c r="BS53" i="11"/>
  <c r="BB53" i="11"/>
  <c r="AL53" i="11"/>
  <c r="EF53" i="11"/>
  <c r="DS53" i="11"/>
  <c r="CY53" i="11"/>
  <c r="BR53" i="11"/>
  <c r="AZ53" i="11"/>
  <c r="AK53" i="11"/>
  <c r="EE53" i="11"/>
  <c r="DN53" i="11"/>
  <c r="CX53" i="11"/>
  <c r="CF53" i="11"/>
  <c r="BQ53" i="11"/>
  <c r="AY53" i="11"/>
  <c r="AF53" i="11"/>
  <c r="DL53" i="11"/>
  <c r="CE53" i="11"/>
  <c r="AV53" i="11"/>
  <c r="DK53" i="11"/>
  <c r="CB53" i="11"/>
  <c r="CR53" i="11"/>
  <c r="ED53" i="11"/>
  <c r="CP53" i="11"/>
  <c r="AR53" i="11"/>
  <c r="EC53" i="11"/>
  <c r="CO53" i="11"/>
  <c r="AN53" i="11"/>
  <c r="DX53" i="11"/>
  <c r="CA53" i="11"/>
  <c r="AD53" i="11"/>
  <c r="DV53" i="11"/>
  <c r="BX53" i="11"/>
  <c r="AC53" i="11"/>
  <c r="DG53" i="11"/>
  <c r="BJ53" i="11"/>
  <c r="CW53" i="11"/>
  <c r="BL53" i="11"/>
  <c r="BI53" i="11"/>
  <c r="AB53" i="11"/>
  <c r="AA53" i="11"/>
  <c r="CA211" i="11"/>
  <c r="CA212" i="11"/>
  <c r="EC212" i="11"/>
  <c r="EC211" i="11"/>
  <c r="DR211" i="11"/>
  <c r="DR212" i="11"/>
  <c r="BY211" i="11"/>
  <c r="BY212" i="11"/>
  <c r="DD212" i="11"/>
  <c r="DD211" i="11"/>
  <c r="DV211" i="11"/>
  <c r="DV212" i="11"/>
  <c r="L212" i="11"/>
  <c r="L53" i="11" s="1"/>
  <c r="L211" i="11"/>
  <c r="L52" i="11" s="1"/>
  <c r="CY211" i="11"/>
  <c r="CY212" i="11"/>
  <c r="BF212" i="11"/>
  <c r="BF211" i="11"/>
  <c r="Y211" i="11"/>
  <c r="Y212" i="11"/>
  <c r="DN211" i="11"/>
  <c r="DN212" i="11"/>
  <c r="BI212" i="11"/>
  <c r="BI211" i="11"/>
  <c r="DZ212" i="11"/>
  <c r="DZ211" i="11"/>
  <c r="BS211" i="11"/>
  <c r="BS212" i="11"/>
  <c r="C16" i="15"/>
  <c r="AA100" i="4"/>
  <c r="J25" i="10"/>
  <c r="K170" i="3"/>
  <c r="K267" i="3"/>
  <c r="K274" i="3" s="1"/>
  <c r="I267" i="3"/>
  <c r="I274" i="3" s="1"/>
  <c r="I170" i="3"/>
  <c r="F84" i="4"/>
  <c r="F345" i="4"/>
  <c r="F127" i="4"/>
  <c r="F184" i="4" s="1"/>
  <c r="F215" i="4" s="1"/>
  <c r="F227" i="4" s="1"/>
  <c r="F239" i="4" s="1"/>
  <c r="G8" i="10"/>
  <c r="F15" i="10" s="1"/>
  <c r="I148" i="3"/>
  <c r="I163" i="3" s="1"/>
  <c r="W7" i="13"/>
  <c r="W72" i="13" s="1"/>
  <c r="E72" i="13"/>
  <c r="H319" i="1" l="1"/>
  <c r="G207" i="1"/>
  <c r="F17" i="4"/>
  <c r="N368" i="1"/>
  <c r="K315" i="1"/>
  <c r="G170" i="3"/>
  <c r="BO402" i="3"/>
  <c r="H315" i="1"/>
  <c r="G315" i="1"/>
  <c r="M368" i="1"/>
  <c r="I368" i="1"/>
  <c r="K136" i="3"/>
  <c r="H106" i="13" s="1"/>
  <c r="L368" i="1"/>
  <c r="L315" i="1"/>
  <c r="W302" i="4"/>
  <c r="N334" i="1"/>
  <c r="G334" i="1"/>
  <c r="O334" i="1"/>
  <c r="I315" i="1"/>
  <c r="J334" i="1"/>
  <c r="M334" i="1"/>
  <c r="G242" i="4"/>
  <c r="G243" i="4" s="1"/>
  <c r="H117" i="13"/>
  <c r="I137" i="3"/>
  <c r="I135" i="3"/>
  <c r="I140" i="3"/>
  <c r="I138" i="3"/>
  <c r="G368" i="1"/>
  <c r="O368" i="1"/>
  <c r="H334" i="1"/>
  <c r="H207" i="1"/>
  <c r="K137" i="3"/>
  <c r="H107" i="13" s="1"/>
  <c r="K135" i="3"/>
  <c r="H105" i="13" s="1"/>
  <c r="K138" i="3"/>
  <c r="H110" i="13" s="1"/>
  <c r="H103" i="13"/>
  <c r="K140" i="3"/>
  <c r="H108" i="13" s="1"/>
  <c r="K142" i="3"/>
  <c r="K368" i="1"/>
  <c r="F315" i="1"/>
  <c r="L334" i="1"/>
  <c r="J368" i="1"/>
  <c r="K334" i="1"/>
  <c r="H368" i="1"/>
  <c r="J315" i="1"/>
  <c r="E137" i="3"/>
  <c r="E135" i="3"/>
  <c r="E136" i="3"/>
  <c r="I136" i="3"/>
  <c r="I334" i="1"/>
  <c r="J119" i="11"/>
  <c r="G135" i="3"/>
  <c r="G140" i="3"/>
  <c r="G138" i="3"/>
  <c r="E140" i="3"/>
  <c r="E138" i="3"/>
  <c r="G134" i="3" a="1"/>
  <c r="G134" i="3" s="1"/>
  <c r="K134" i="3" a="1"/>
  <c r="K134" i="3" s="1"/>
  <c r="H104" i="13" s="1"/>
  <c r="I142" i="3"/>
  <c r="I134" i="3" a="1"/>
  <c r="I134" i="3" s="1"/>
  <c r="G142" i="3"/>
  <c r="G129" i="3"/>
  <c r="H10" i="4" s="1"/>
  <c r="I119" i="13"/>
  <c r="M119" i="13" s="1"/>
  <c r="I103" i="13"/>
  <c r="M103" i="13" s="1"/>
  <c r="Q103" i="13" s="1"/>
  <c r="D6" i="24"/>
  <c r="D7" i="24" s="1"/>
  <c r="D11" i="24" s="1"/>
  <c r="C6" i="23"/>
  <c r="I20" i="27"/>
  <c r="H22" i="27"/>
  <c r="N243" i="11"/>
  <c r="N92" i="11"/>
  <c r="K235" i="11"/>
  <c r="K117" i="11"/>
  <c r="BH54" i="11"/>
  <c r="W40" i="13"/>
  <c r="W41" i="13" s="1"/>
  <c r="W42" i="13" s="1"/>
  <c r="W43" i="13" s="1"/>
  <c r="W44" i="13" s="1"/>
  <c r="W45" i="13" s="1"/>
  <c r="W46" i="13" s="1"/>
  <c r="W47" i="13" s="1"/>
  <c r="W48" i="13" s="1"/>
  <c r="W49" i="13" s="1"/>
  <c r="W50" i="13" s="1"/>
  <c r="W51" i="13" s="1"/>
  <c r="W52" i="13" s="1"/>
  <c r="W53" i="13" s="1"/>
  <c r="W54" i="13" s="1"/>
  <c r="W55" i="13" s="1"/>
  <c r="W56" i="13" s="1"/>
  <c r="W57" i="13" s="1"/>
  <c r="W58" i="13" s="1"/>
  <c r="W59" i="13" s="1"/>
  <c r="W60" i="13" s="1"/>
  <c r="W61" i="13" s="1"/>
  <c r="W62" i="13" s="1"/>
  <c r="W63" i="13" s="1"/>
  <c r="W64" i="13" s="1"/>
  <c r="W65" i="13" s="1"/>
  <c r="W66" i="13" s="1"/>
  <c r="J80" i="13"/>
  <c r="K121" i="13"/>
  <c r="J121" i="13"/>
  <c r="J124" i="13" s="1"/>
  <c r="K124" i="13"/>
  <c r="K129" i="3"/>
  <c r="H12" i="4" s="1"/>
  <c r="I129" i="3"/>
  <c r="H11" i="4" s="1"/>
  <c r="I97" i="3"/>
  <c r="G228" i="4"/>
  <c r="G97" i="3"/>
  <c r="E131" i="3"/>
  <c r="E119" i="3"/>
  <c r="F109" i="3"/>
  <c r="R16" i="13"/>
  <c r="T16" i="13" s="1"/>
  <c r="Z16" i="13" s="1"/>
  <c r="AB16" i="13" s="1"/>
  <c r="AD16" i="13" s="1"/>
  <c r="AF16" i="13" s="1"/>
  <c r="AH16" i="13" s="1"/>
  <c r="I207" i="1"/>
  <c r="H53" i="13"/>
  <c r="H27" i="13"/>
  <c r="AA100" i="13"/>
  <c r="AE100" i="13" s="1"/>
  <c r="AI100" i="13" s="1"/>
  <c r="G267" i="3"/>
  <c r="G274" i="3" s="1"/>
  <c r="U102" i="13"/>
  <c r="AC102" i="13" s="1"/>
  <c r="AG102" i="13" s="1"/>
  <c r="B64" i="3"/>
  <c r="B65" i="3" s="1"/>
  <c r="B66" i="3" s="1"/>
  <c r="B67" i="3" s="1"/>
  <c r="B68" i="3" s="1"/>
  <c r="B69" i="3" s="1"/>
  <c r="B70" i="3" s="1"/>
  <c r="B71" i="3" s="1"/>
  <c r="B72" i="3" s="1"/>
  <c r="B73" i="3" s="1"/>
  <c r="W263" i="4"/>
  <c r="K275" i="3"/>
  <c r="W282" i="4"/>
  <c r="BU53" i="11"/>
  <c r="I236" i="11"/>
  <c r="I118" i="11"/>
  <c r="CU53" i="11"/>
  <c r="I275" i="3"/>
  <c r="U52" i="11"/>
  <c r="G26" i="10"/>
  <c r="G229" i="4"/>
  <c r="F117" i="3"/>
  <c r="U53" i="11"/>
  <c r="L58" i="13" s="1"/>
  <c r="F354" i="1" s="1"/>
  <c r="H81" i="11"/>
  <c r="G331" i="4"/>
  <c r="G284" i="4"/>
  <c r="G304" i="4" s="1"/>
  <c r="G318" i="4" s="1"/>
  <c r="M248" i="11"/>
  <c r="M121" i="11"/>
  <c r="D38" i="15"/>
  <c r="F38" i="15" s="1"/>
  <c r="K97" i="3"/>
  <c r="H118" i="13" s="1"/>
  <c r="G218" i="4"/>
  <c r="M105" i="11"/>
  <c r="M223" i="11"/>
  <c r="K127" i="11"/>
  <c r="K254" i="11"/>
  <c r="K110" i="11"/>
  <c r="K228" i="11"/>
  <c r="J104" i="11"/>
  <c r="J222" i="11"/>
  <c r="L103" i="11"/>
  <c r="L221" i="11"/>
  <c r="L231" i="11"/>
  <c r="L113" i="11"/>
  <c r="L25" i="10"/>
  <c r="C31" i="15" a="1"/>
  <c r="C31" i="15" s="1"/>
  <c r="DU53" i="11"/>
  <c r="L252" i="11"/>
  <c r="L125" i="11"/>
  <c r="BM108" i="11"/>
  <c r="BM226" i="11"/>
  <c r="AH53" i="11"/>
  <c r="CH53" i="11"/>
  <c r="O107" i="11"/>
  <c r="O225" i="11"/>
  <c r="U103" i="11"/>
  <c r="AH94" i="11"/>
  <c r="AU53" i="11"/>
  <c r="DH53" i="11"/>
  <c r="L217" i="11"/>
  <c r="L100" i="11"/>
  <c r="J70" i="10"/>
  <c r="AC100" i="13"/>
  <c r="AG100" i="13" s="1"/>
  <c r="N23" i="10"/>
  <c r="I26" i="10"/>
  <c r="G230" i="4"/>
  <c r="K119" i="3"/>
  <c r="L117" i="3"/>
  <c r="N54" i="13"/>
  <c r="K241" i="11"/>
  <c r="K90" i="11"/>
  <c r="I102" i="11"/>
  <c r="J102" i="11" s="1"/>
  <c r="CO128" i="11"/>
  <c r="CO255" i="11"/>
  <c r="X112" i="11"/>
  <c r="X230" i="11"/>
  <c r="H66" i="19"/>
  <c r="F66" i="19"/>
  <c r="L88" i="11"/>
  <c r="L239" i="11"/>
  <c r="H10" i="9"/>
  <c r="I8" i="10"/>
  <c r="J15" i="10" s="1"/>
  <c r="K127" i="4"/>
  <c r="K28" i="4"/>
  <c r="F28" i="4"/>
  <c r="H119" i="3"/>
  <c r="G122" i="3"/>
  <c r="G143" i="3" s="1"/>
  <c r="AV85" i="11"/>
  <c r="AW85" i="11" s="1"/>
  <c r="AX85" i="11" s="1"/>
  <c r="AY85" i="11" s="1"/>
  <c r="AZ85" i="11" s="1"/>
  <c r="BA85" i="11" s="1"/>
  <c r="BB85" i="11" s="1"/>
  <c r="BC85" i="11" s="1"/>
  <c r="BD85" i="11" s="1"/>
  <c r="BE85" i="11" s="1"/>
  <c r="BF85" i="11" s="1"/>
  <c r="BG85" i="11" s="1"/>
  <c r="R46" i="13" s="1"/>
  <c r="I319" i="1" s="1"/>
  <c r="AA101" i="4"/>
  <c r="BX52" i="11"/>
  <c r="N229" i="11"/>
  <c r="N111" i="11"/>
  <c r="Q116" i="11"/>
  <c r="Q234" i="11"/>
  <c r="N247" i="11"/>
  <c r="N120" i="11"/>
  <c r="D195" i="1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170" i="11"/>
  <c r="D171" i="11" s="1"/>
  <c r="D172" i="11" s="1"/>
  <c r="D173" i="11" s="1"/>
  <c r="D174" i="11" s="1"/>
  <c r="D175" i="11" s="1"/>
  <c r="D176" i="11" s="1"/>
  <c r="D177" i="11" s="1"/>
  <c r="D178" i="11" s="1"/>
  <c r="D179" i="11" s="1"/>
  <c r="K244" i="11"/>
  <c r="K93" i="11"/>
  <c r="G215" i="4"/>
  <c r="M13" i="14"/>
  <c r="K233" i="11"/>
  <c r="K115" i="11"/>
  <c r="K95" i="11"/>
  <c r="K246" i="11"/>
  <c r="N22" i="10"/>
  <c r="U36" i="11"/>
  <c r="BH53" i="11"/>
  <c r="I131" i="13"/>
  <c r="I129" i="13"/>
  <c r="I132" i="13"/>
  <c r="J117" i="3"/>
  <c r="I119" i="3"/>
  <c r="I72" i="13"/>
  <c r="BW52" i="11"/>
  <c r="K56" i="9"/>
  <c r="G10" i="9"/>
  <c r="D16" i="9" s="1"/>
  <c r="AE102" i="4"/>
  <c r="L245" i="11"/>
  <c r="L94" i="11"/>
  <c r="K253" i="11"/>
  <c r="K126" i="11"/>
  <c r="N86" i="11"/>
  <c r="N237" i="11"/>
  <c r="G217" i="4"/>
  <c r="I78" i="13"/>
  <c r="N13" i="14"/>
  <c r="AV101" i="11"/>
  <c r="AW101" i="11" s="1"/>
  <c r="AX101" i="11" s="1"/>
  <c r="AY101" i="11" s="1"/>
  <c r="AZ101" i="11" s="1"/>
  <c r="BA101" i="11" s="1"/>
  <c r="BB101" i="11" s="1"/>
  <c r="BC101" i="11" s="1"/>
  <c r="BD101" i="11" s="1"/>
  <c r="BE101" i="11" s="1"/>
  <c r="BF101" i="11" s="1"/>
  <c r="BG101" i="11" s="1"/>
  <c r="R31" i="13" s="1"/>
  <c r="AW87" i="11"/>
  <c r="AW238" i="11"/>
  <c r="EH53" i="11"/>
  <c r="BT89" i="11"/>
  <c r="BT240" i="11"/>
  <c r="D47" i="9"/>
  <c r="K227" i="11"/>
  <c r="K109" i="11"/>
  <c r="K123" i="11"/>
  <c r="K250" i="11"/>
  <c r="AK114" i="11"/>
  <c r="AK232" i="11"/>
  <c r="K256" i="11"/>
  <c r="K129" i="11"/>
  <c r="G28" i="4"/>
  <c r="S27" i="15"/>
  <c r="S28" i="15" s="1"/>
  <c r="T6" i="15"/>
  <c r="M251" i="11"/>
  <c r="M124" i="11"/>
  <c r="H15" i="10"/>
  <c r="G319" i="1"/>
  <c r="L59" i="13" l="1"/>
  <c r="F374" i="1" s="1"/>
  <c r="J59" i="13"/>
  <c r="Q119" i="13"/>
  <c r="S119" i="13" s="1"/>
  <c r="U119" i="13" s="1"/>
  <c r="J22" i="13"/>
  <c r="L22" i="13" s="1"/>
  <c r="L80" i="13"/>
  <c r="F38" i="1" s="1"/>
  <c r="O207" i="1"/>
  <c r="J207" i="1"/>
  <c r="L207" i="1"/>
  <c r="K207" i="1"/>
  <c r="M207" i="1"/>
  <c r="N207" i="1"/>
  <c r="G275" i="3"/>
  <c r="G176" i="3"/>
  <c r="G132" i="3"/>
  <c r="N58" i="13"/>
  <c r="P58" i="13" s="1"/>
  <c r="R58" i="13" s="1"/>
  <c r="T58" i="13" s="1"/>
  <c r="N59" i="13"/>
  <c r="G374" i="1"/>
  <c r="E13" i="23"/>
  <c r="E14" i="23" s="1"/>
  <c r="E11" i="23"/>
  <c r="E12" i="23" s="1"/>
  <c r="E15" i="23"/>
  <c r="H13" i="23"/>
  <c r="H14" i="23" s="1"/>
  <c r="G13" i="23"/>
  <c r="G14" i="23" s="1"/>
  <c r="F13" i="23"/>
  <c r="F14" i="23" s="1"/>
  <c r="H11" i="23"/>
  <c r="H12" i="23" s="1"/>
  <c r="G11" i="23"/>
  <c r="G12" i="23" s="1"/>
  <c r="F11" i="23"/>
  <c r="F12" i="23" s="1"/>
  <c r="J20" i="27"/>
  <c r="I22" i="27"/>
  <c r="J79" i="13"/>
  <c r="L124" i="13"/>
  <c r="J35" i="13"/>
  <c r="L35" i="13" s="1"/>
  <c r="F301" i="1" s="1"/>
  <c r="J58" i="13"/>
  <c r="L235" i="11"/>
  <c r="L117" i="11"/>
  <c r="O243" i="11"/>
  <c r="O92" i="11"/>
  <c r="G151" i="3"/>
  <c r="G70" i="3"/>
  <c r="H112" i="13"/>
  <c r="J236" i="11"/>
  <c r="J118" i="11"/>
  <c r="AH36" i="11"/>
  <c r="G231" i="4"/>
  <c r="H88" i="13"/>
  <c r="I86" i="13"/>
  <c r="L115" i="11"/>
  <c r="L233" i="11"/>
  <c r="J24" i="10"/>
  <c r="L96" i="13"/>
  <c r="AL114" i="11"/>
  <c r="AL232" i="11"/>
  <c r="O237" i="11"/>
  <c r="O86" i="11"/>
  <c r="L17" i="9"/>
  <c r="L19" i="9" s="1"/>
  <c r="D17" i="9"/>
  <c r="D19" i="9" s="1"/>
  <c r="F30" i="10"/>
  <c r="K17" i="9"/>
  <c r="K19" i="9" s="1"/>
  <c r="I17" i="9"/>
  <c r="I19" i="9" s="1"/>
  <c r="G17" i="9"/>
  <c r="G19" i="9" s="1"/>
  <c r="F17" i="9"/>
  <c r="F19" i="9" s="1"/>
  <c r="O17" i="9"/>
  <c r="O19" i="9" s="1"/>
  <c r="J17" i="9"/>
  <c r="J19" i="9" s="1"/>
  <c r="H17" i="9"/>
  <c r="H19" i="9" s="1"/>
  <c r="E17" i="9"/>
  <c r="E19" i="9" s="1"/>
  <c r="N17" i="9"/>
  <c r="N19" i="9" s="1"/>
  <c r="M17" i="9"/>
  <c r="M19" i="9" s="1"/>
  <c r="C21" i="1"/>
  <c r="D21" i="1"/>
  <c r="E21" i="1"/>
  <c r="O120" i="11"/>
  <c r="O247" i="11"/>
  <c r="R116" i="11"/>
  <c r="R234" i="11"/>
  <c r="P23" i="10"/>
  <c r="T27" i="15"/>
  <c r="T28" i="15" s="1"/>
  <c r="U6" i="15"/>
  <c r="L256" i="11"/>
  <c r="L129" i="11"/>
  <c r="BI101" i="11"/>
  <c r="BJ101" i="11" s="1"/>
  <c r="BK101" i="11" s="1"/>
  <c r="BL101" i="11" s="1"/>
  <c r="BM101" i="11" s="1"/>
  <c r="BN101" i="11" s="1"/>
  <c r="BO101" i="11" s="1"/>
  <c r="BP101" i="11" s="1"/>
  <c r="BQ101" i="11" s="1"/>
  <c r="BR101" i="11" s="1"/>
  <c r="BS101" i="11" s="1"/>
  <c r="BT101" i="11" s="1"/>
  <c r="T31" i="13" s="1"/>
  <c r="BZ52" i="11"/>
  <c r="J8" i="10"/>
  <c r="L15" i="10" s="1"/>
  <c r="F38" i="4"/>
  <c r="K128" i="4"/>
  <c r="I10" i="9"/>
  <c r="K38" i="4"/>
  <c r="N124" i="11"/>
  <c r="N251" i="11"/>
  <c r="D48" i="9"/>
  <c r="L56" i="9"/>
  <c r="BY52" i="11"/>
  <c r="E39" i="1"/>
  <c r="D39" i="1"/>
  <c r="C39" i="1"/>
  <c r="L244" i="11"/>
  <c r="L93" i="11"/>
  <c r="BI85" i="11"/>
  <c r="BJ85" i="11" s="1"/>
  <c r="BK85" i="11" s="1"/>
  <c r="BL85" i="11" s="1"/>
  <c r="BM85" i="11" s="1"/>
  <c r="BN85" i="11" s="1"/>
  <c r="BO85" i="11" s="1"/>
  <c r="BP85" i="11" s="1"/>
  <c r="BQ85" i="11" s="1"/>
  <c r="BR85" i="11" s="1"/>
  <c r="BS85" i="11" s="1"/>
  <c r="BT85" i="11" s="1"/>
  <c r="T46" i="13" s="1"/>
  <c r="J319" i="1" s="1"/>
  <c r="K84" i="4"/>
  <c r="K184" i="4"/>
  <c r="K215" i="4" s="1"/>
  <c r="AU94" i="11"/>
  <c r="AH103" i="11"/>
  <c r="M231" i="11"/>
  <c r="M113" i="11"/>
  <c r="M103" i="11"/>
  <c r="M221" i="11"/>
  <c r="E122" i="3"/>
  <c r="E143" i="3" s="1"/>
  <c r="F119" i="3"/>
  <c r="N223" i="11"/>
  <c r="N105" i="11"/>
  <c r="L123" i="11"/>
  <c r="L250" i="11"/>
  <c r="K119" i="11"/>
  <c r="P54" i="13"/>
  <c r="H355" i="1"/>
  <c r="BV89" i="11"/>
  <c r="BV240" i="11"/>
  <c r="L253" i="11"/>
  <c r="L126" i="11"/>
  <c r="P22" i="10"/>
  <c r="L7" i="13"/>
  <c r="C22" i="9"/>
  <c r="Y112" i="11"/>
  <c r="Y230" i="11"/>
  <c r="L241" i="11"/>
  <c r="L90" i="11"/>
  <c r="L119" i="3"/>
  <c r="K122" i="3"/>
  <c r="BN108" i="11"/>
  <c r="BN226" i="11"/>
  <c r="N25" i="10"/>
  <c r="L110" i="11"/>
  <c r="L228" i="11"/>
  <c r="K26" i="10"/>
  <c r="P107" i="11"/>
  <c r="P225" i="11"/>
  <c r="K104" i="11"/>
  <c r="K222" i="11"/>
  <c r="N248" i="11"/>
  <c r="N121" i="11"/>
  <c r="J119" i="3"/>
  <c r="I122" i="3"/>
  <c r="I143" i="3" s="1"/>
  <c r="G219" i="4"/>
  <c r="D182" i="11"/>
  <c r="D183" i="11" s="1"/>
  <c r="D184" i="11" s="1"/>
  <c r="D185" i="11" s="1"/>
  <c r="D186" i="11" s="1"/>
  <c r="D187" i="11" s="1"/>
  <c r="D188" i="11" s="1"/>
  <c r="D189" i="11" s="1"/>
  <c r="D190" i="11" s="1"/>
  <c r="D191" i="11" s="1"/>
  <c r="D192" i="11" s="1"/>
  <c r="D180" i="11"/>
  <c r="O229" i="11"/>
  <c r="O111" i="11"/>
  <c r="G125" i="3"/>
  <c r="H122" i="3"/>
  <c r="M239" i="11"/>
  <c r="M88" i="11"/>
  <c r="K70" i="10"/>
  <c r="M252" i="11"/>
  <c r="M125" i="11"/>
  <c r="L127" i="11"/>
  <c r="L254" i="11"/>
  <c r="G271" i="1"/>
  <c r="I9" i="10"/>
  <c r="K16" i="10" s="1"/>
  <c r="H11" i="9"/>
  <c r="K18" i="10"/>
  <c r="L227" i="11"/>
  <c r="L109" i="11"/>
  <c r="AX87" i="11"/>
  <c r="AX238" i="11"/>
  <c r="M94" i="11"/>
  <c r="M245" i="11"/>
  <c r="AE103" i="4"/>
  <c r="L95" i="11"/>
  <c r="L246" i="11"/>
  <c r="AA102" i="4"/>
  <c r="CP128" i="11"/>
  <c r="CP255" i="11"/>
  <c r="M100" i="11"/>
  <c r="M217" i="11"/>
  <c r="J19" i="13" l="1"/>
  <c r="L19" i="13" s="1"/>
  <c r="F219" i="1" s="1"/>
  <c r="L79" i="13"/>
  <c r="N35" i="13"/>
  <c r="K132" i="3"/>
  <c r="K143" i="3"/>
  <c r="H113" i="13" s="1"/>
  <c r="E125" i="3"/>
  <c r="E70" i="3"/>
  <c r="E9" i="26"/>
  <c r="E11" i="26" s="1"/>
  <c r="E12" i="26" s="1"/>
  <c r="E14" i="26" s="1"/>
  <c r="E8" i="26"/>
  <c r="E8" i="25"/>
  <c r="D4" i="27"/>
  <c r="P59" i="13"/>
  <c r="H374" i="1"/>
  <c r="K20" i="27"/>
  <c r="J22" i="27"/>
  <c r="O124" i="13"/>
  <c r="P243" i="11"/>
  <c r="P92" i="11"/>
  <c r="M235" i="11"/>
  <c r="M117" i="11"/>
  <c r="I176" i="3"/>
  <c r="I132" i="3"/>
  <c r="E132" i="3"/>
  <c r="K70" i="3"/>
  <c r="K151" i="3"/>
  <c r="I70" i="3"/>
  <c r="I151" i="3"/>
  <c r="E20" i="9"/>
  <c r="K236" i="11"/>
  <c r="K118" i="11"/>
  <c r="K176" i="3"/>
  <c r="AU36" i="11"/>
  <c r="P35" i="13" s="1"/>
  <c r="AE104" i="4"/>
  <c r="G373" i="1"/>
  <c r="J126" i="13"/>
  <c r="J26" i="13"/>
  <c r="BW89" i="11"/>
  <c r="BW240" i="11"/>
  <c r="M244" i="11"/>
  <c r="M93" i="11"/>
  <c r="CB52" i="11"/>
  <c r="R23" i="10"/>
  <c r="P247" i="11"/>
  <c r="P120" i="11"/>
  <c r="E22" i="9"/>
  <c r="J10" i="11" s="1"/>
  <c r="J18" i="10"/>
  <c r="K23" i="10"/>
  <c r="K22" i="10"/>
  <c r="N239" i="11"/>
  <c r="N88" i="11"/>
  <c r="CQ128" i="11"/>
  <c r="CQ255" i="11"/>
  <c r="AA103" i="4"/>
  <c r="M254" i="11"/>
  <c r="M127" i="11"/>
  <c r="Q107" i="11"/>
  <c r="Q225" i="11"/>
  <c r="M110" i="11"/>
  <c r="M228" i="11"/>
  <c r="BV85" i="11"/>
  <c r="BW85" i="11" s="1"/>
  <c r="BX85" i="11" s="1"/>
  <c r="BY85" i="11" s="1"/>
  <c r="BZ85" i="11" s="1"/>
  <c r="CA85" i="11" s="1"/>
  <c r="CB85" i="11" s="1"/>
  <c r="CC85" i="11" s="1"/>
  <c r="CD85" i="11" s="1"/>
  <c r="CE85" i="11" s="1"/>
  <c r="CF85" i="11" s="1"/>
  <c r="CG85" i="11" s="1"/>
  <c r="CA52" i="11"/>
  <c r="G252" i="1"/>
  <c r="V6" i="15"/>
  <c r="U27" i="15"/>
  <c r="U28" i="15" s="1"/>
  <c r="F20" i="9"/>
  <c r="F22" i="9" s="1"/>
  <c r="K10" i="11" s="1"/>
  <c r="N31" i="10"/>
  <c r="N33" i="10" s="1"/>
  <c r="F31" i="10"/>
  <c r="F33" i="10" s="1"/>
  <c r="M31" i="10"/>
  <c r="M33" i="10" s="1"/>
  <c r="K31" i="10"/>
  <c r="K33" i="10" s="1"/>
  <c r="L31" i="10"/>
  <c r="L33" i="10" s="1"/>
  <c r="J31" i="10"/>
  <c r="J33" i="10" s="1"/>
  <c r="H31" i="10"/>
  <c r="H33" i="10" s="1"/>
  <c r="P31" i="10"/>
  <c r="P33" i="10" s="1"/>
  <c r="O31" i="10"/>
  <c r="O33" i="10" s="1"/>
  <c r="I31" i="10"/>
  <c r="I33" i="10" s="1"/>
  <c r="Q31" i="10"/>
  <c r="Q33" i="10" s="1"/>
  <c r="G31" i="10"/>
  <c r="G33" i="10" s="1"/>
  <c r="H91" i="13"/>
  <c r="I88" i="13"/>
  <c r="N245" i="11"/>
  <c r="N94" i="11"/>
  <c r="P25" i="10"/>
  <c r="AU103" i="11"/>
  <c r="BH94" i="11"/>
  <c r="N80" i="13"/>
  <c r="N22" i="13" s="1"/>
  <c r="G38" i="1"/>
  <c r="D20" i="9"/>
  <c r="D22" i="9" s="1"/>
  <c r="I10" i="11" s="1"/>
  <c r="AM114" i="11"/>
  <c r="AM232" i="11"/>
  <c r="M26" i="10"/>
  <c r="O121" i="11"/>
  <c r="O248" i="11"/>
  <c r="M250" i="11"/>
  <c r="M123" i="11"/>
  <c r="L119" i="11"/>
  <c r="F122" i="3"/>
  <c r="N7" i="13"/>
  <c r="C24" i="9"/>
  <c r="G20" i="9"/>
  <c r="G22" i="9" s="1"/>
  <c r="L10" i="11" s="1"/>
  <c r="L20" i="9"/>
  <c r="L22" i="9" s="1"/>
  <c r="Q10" i="11" s="1"/>
  <c r="AY87" i="11"/>
  <c r="AY238" i="11"/>
  <c r="K24" i="10"/>
  <c r="I11" i="9"/>
  <c r="F9" i="26" s="1"/>
  <c r="F11" i="26" s="1"/>
  <c r="F12" i="26" s="1"/>
  <c r="F14" i="26" s="1"/>
  <c r="J9" i="10"/>
  <c r="M16" i="10" s="1"/>
  <c r="I38" i="4"/>
  <c r="D49" i="9"/>
  <c r="M220" i="4"/>
  <c r="D50" i="9" s="1"/>
  <c r="K185" i="4"/>
  <c r="K216" i="4" s="1"/>
  <c r="K85" i="4"/>
  <c r="M90" i="11"/>
  <c r="M241" i="11"/>
  <c r="K25" i="10"/>
  <c r="P229" i="11"/>
  <c r="P111" i="11"/>
  <c r="Z112" i="11"/>
  <c r="Z230" i="11"/>
  <c r="M253" i="11"/>
  <c r="M126" i="11"/>
  <c r="M56" i="9"/>
  <c r="K129" i="4"/>
  <c r="J10" i="9"/>
  <c r="K48" i="4"/>
  <c r="F48" i="4"/>
  <c r="K8" i="10"/>
  <c r="N15" i="10" s="1"/>
  <c r="BV101" i="11"/>
  <c r="BW101" i="11" s="1"/>
  <c r="BX101" i="11" s="1"/>
  <c r="BY101" i="11" s="1"/>
  <c r="BZ101" i="11" s="1"/>
  <c r="CA101" i="11" s="1"/>
  <c r="CB101" i="11" s="1"/>
  <c r="CC101" i="11" s="1"/>
  <c r="CD101" i="11" s="1"/>
  <c r="CE101" i="11" s="1"/>
  <c r="CF101" i="11" s="1"/>
  <c r="CG101" i="11" s="1"/>
  <c r="S116" i="11"/>
  <c r="S234" i="11"/>
  <c r="M20" i="9"/>
  <c r="M22" i="9" s="1"/>
  <c r="R10" i="11" s="1"/>
  <c r="H20" i="9"/>
  <c r="I20" i="9"/>
  <c r="I22" i="9" s="1"/>
  <c r="N10" i="11" s="1"/>
  <c r="P237" i="11"/>
  <c r="P86" i="11"/>
  <c r="N125" i="11"/>
  <c r="N252" i="11"/>
  <c r="H125" i="3"/>
  <c r="G179" i="3"/>
  <c r="G216" i="3" s="1"/>
  <c r="N100" i="11"/>
  <c r="N217" i="11"/>
  <c r="M95" i="11"/>
  <c r="M246" i="11"/>
  <c r="M109" i="11"/>
  <c r="M227" i="11"/>
  <c r="L70" i="10"/>
  <c r="I125" i="3"/>
  <c r="J122" i="3"/>
  <c r="L104" i="11"/>
  <c r="L222" i="11"/>
  <c r="BO108" i="11"/>
  <c r="BO226" i="11"/>
  <c r="C36" i="10"/>
  <c r="C57" i="9"/>
  <c r="R22" i="10"/>
  <c r="R54" i="13"/>
  <c r="I355" i="1"/>
  <c r="N103" i="11"/>
  <c r="N221" i="11"/>
  <c r="O124" i="11"/>
  <c r="O251" i="11"/>
  <c r="G354" i="1"/>
  <c r="N20" i="9"/>
  <c r="N22" i="9" s="1"/>
  <c r="S10" i="11" s="1"/>
  <c r="J20" i="9"/>
  <c r="J22" i="9" s="1"/>
  <c r="O10" i="11" s="1"/>
  <c r="H22" i="9"/>
  <c r="M10" i="11" s="1"/>
  <c r="M115" i="11"/>
  <c r="M233" i="11"/>
  <c r="L122" i="3"/>
  <c r="K125" i="3"/>
  <c r="L134" i="13"/>
  <c r="L72" i="13"/>
  <c r="M7" i="13"/>
  <c r="D11" i="15"/>
  <c r="L129" i="13"/>
  <c r="L131" i="13" s="1"/>
  <c r="O223" i="11"/>
  <c r="O105" i="11"/>
  <c r="N231" i="11"/>
  <c r="N113" i="11"/>
  <c r="E45" i="9"/>
  <c r="K227" i="4"/>
  <c r="K239" i="4" s="1"/>
  <c r="G59" i="10" s="1"/>
  <c r="M256" i="11"/>
  <c r="M129" i="11"/>
  <c r="O20" i="9"/>
  <c r="O22" i="9" s="1"/>
  <c r="T10" i="11" s="1"/>
  <c r="K20" i="9"/>
  <c r="K22" i="9" s="1"/>
  <c r="P10" i="11" s="1"/>
  <c r="F21" i="1" l="1"/>
  <c r="F39" i="1"/>
  <c r="M124" i="13"/>
  <c r="L137" i="13"/>
  <c r="L139" i="13" s="1"/>
  <c r="N79" i="13"/>
  <c r="N19" i="13" s="1"/>
  <c r="P79" i="13" s="1"/>
  <c r="H301" i="1"/>
  <c r="G301" i="1"/>
  <c r="D23" i="9"/>
  <c r="D57" i="9" s="1"/>
  <c r="I11" i="11" s="1"/>
  <c r="I12" i="11" s="1"/>
  <c r="E72" i="3"/>
  <c r="G69" i="3"/>
  <c r="G276" i="3"/>
  <c r="G280" i="3" s="1"/>
  <c r="F8" i="26"/>
  <c r="F8" i="25"/>
  <c r="E4" i="27"/>
  <c r="I13" i="11"/>
  <c r="I69" i="3"/>
  <c r="K69" i="3" s="1"/>
  <c r="R59" i="13"/>
  <c r="I374" i="1"/>
  <c r="L20" i="27"/>
  <c r="K22" i="27"/>
  <c r="N235" i="11"/>
  <c r="N117" i="11"/>
  <c r="Q92" i="11"/>
  <c r="Q243" i="11"/>
  <c r="I34" i="10"/>
  <c r="L236" i="11"/>
  <c r="L118" i="11"/>
  <c r="G38" i="4"/>
  <c r="J11" i="9" s="1"/>
  <c r="G9" i="26" s="1"/>
  <c r="G11" i="26" s="1"/>
  <c r="G12" i="26" s="1"/>
  <c r="G14" i="26" s="1"/>
  <c r="BH36" i="11"/>
  <c r="R35" i="13" s="1"/>
  <c r="I301" i="1" s="1"/>
  <c r="M4" i="11"/>
  <c r="M13" i="11"/>
  <c r="S103" i="13"/>
  <c r="F58" i="4"/>
  <c r="L8" i="10"/>
  <c r="P15" i="10" s="1"/>
  <c r="K130" i="4"/>
  <c r="K10" i="9"/>
  <c r="K58" i="4"/>
  <c r="P13" i="11"/>
  <c r="P4" i="11"/>
  <c r="O26" i="10"/>
  <c r="J34" i="10"/>
  <c r="O239" i="11"/>
  <c r="O88" i="11"/>
  <c r="N56" i="9"/>
  <c r="V27" i="15"/>
  <c r="V28" i="15" s="1"/>
  <c r="W6" i="15"/>
  <c r="R107" i="11"/>
  <c r="R225" i="11"/>
  <c r="H373" i="1"/>
  <c r="K179" i="3"/>
  <c r="K216" i="3" s="1"/>
  <c r="H63" i="13"/>
  <c r="L125" i="3"/>
  <c r="T4" i="11"/>
  <c r="T13" i="11"/>
  <c r="K228" i="4"/>
  <c r="K240" i="4" s="1"/>
  <c r="G60" i="10" s="1"/>
  <c r="E46" i="9"/>
  <c r="F125" i="3"/>
  <c r="P80" i="13"/>
  <c r="P22" i="13" s="1"/>
  <c r="H38" i="1"/>
  <c r="R25" i="10"/>
  <c r="G34" i="10"/>
  <c r="K34" i="10"/>
  <c r="N127" i="11"/>
  <c r="N254" i="11"/>
  <c r="Q84" i="10"/>
  <c r="T22" i="11" s="1"/>
  <c r="N84" i="10"/>
  <c r="Q22" i="11" s="1"/>
  <c r="I84" i="10"/>
  <c r="L22" i="11" s="1"/>
  <c r="F84" i="10"/>
  <c r="L84" i="10"/>
  <c r="O22" i="11" s="1"/>
  <c r="H84" i="10"/>
  <c r="K22" i="11" s="1"/>
  <c r="M84" i="10"/>
  <c r="P22" i="11" s="1"/>
  <c r="J84" i="10"/>
  <c r="M22" i="11" s="1"/>
  <c r="G84" i="10"/>
  <c r="J22" i="11" s="1"/>
  <c r="K84" i="10"/>
  <c r="N22" i="11" s="1"/>
  <c r="O84" i="10"/>
  <c r="R22" i="11" s="1"/>
  <c r="P84" i="10"/>
  <c r="S22" i="11" s="1"/>
  <c r="T23" i="10"/>
  <c r="M104" i="11"/>
  <c r="M222" i="11"/>
  <c r="N227" i="11"/>
  <c r="N109" i="11"/>
  <c r="N241" i="11"/>
  <c r="N90" i="11"/>
  <c r="N4" i="11"/>
  <c r="N13" i="11"/>
  <c r="AZ87" i="11"/>
  <c r="AZ238" i="11"/>
  <c r="C9" i="15"/>
  <c r="C12" i="15" s="1"/>
  <c r="C14" i="15" s="1"/>
  <c r="H94" i="13"/>
  <c r="I94" i="13" s="1"/>
  <c r="I91" i="13"/>
  <c r="L34" i="10"/>
  <c r="P7" i="13"/>
  <c r="C26" i="9"/>
  <c r="N115" i="11"/>
  <c r="N233" i="11"/>
  <c r="C84" i="10"/>
  <c r="C107" i="10" s="1"/>
  <c r="C130" i="10" s="1"/>
  <c r="C71" i="10"/>
  <c r="G58" i="10" s="1"/>
  <c r="H58" i="10" s="1"/>
  <c r="I58" i="10" s="1"/>
  <c r="J58" i="10" s="1"/>
  <c r="K58" i="10" s="1"/>
  <c r="L58" i="10" s="1"/>
  <c r="M58" i="10" s="1"/>
  <c r="J125" i="3"/>
  <c r="I179" i="3"/>
  <c r="I216" i="3" s="1"/>
  <c r="I276" i="3" s="1"/>
  <c r="I280" i="3" s="1"/>
  <c r="N95" i="11"/>
  <c r="N246" i="11"/>
  <c r="O252" i="11"/>
  <c r="O125" i="11"/>
  <c r="T116" i="11"/>
  <c r="T234" i="11"/>
  <c r="K186" i="4"/>
  <c r="K217" i="4" s="1"/>
  <c r="K86" i="4"/>
  <c r="N126" i="11"/>
  <c r="N253" i="11"/>
  <c r="S13" i="11"/>
  <c r="S4" i="11"/>
  <c r="BU94" i="11"/>
  <c r="BH103" i="11"/>
  <c r="Q34" i="10"/>
  <c r="M34" i="10"/>
  <c r="L107" i="10"/>
  <c r="O23" i="11" s="1"/>
  <c r="M107" i="10"/>
  <c r="P23" i="11" s="1"/>
  <c r="K107" i="10"/>
  <c r="N23" i="11" s="1"/>
  <c r="Q107" i="10"/>
  <c r="T23" i="11" s="1"/>
  <c r="J107" i="10"/>
  <c r="M23" i="11" s="1"/>
  <c r="I107" i="10"/>
  <c r="L23" i="11" s="1"/>
  <c r="G107" i="10"/>
  <c r="J23" i="11" s="1"/>
  <c r="P107" i="10"/>
  <c r="S23" i="11" s="1"/>
  <c r="H107" i="10"/>
  <c r="K23" i="11" s="1"/>
  <c r="F107" i="10"/>
  <c r="N107" i="10"/>
  <c r="Q23" i="11" s="1"/>
  <c r="O107" i="10"/>
  <c r="R23" i="11" s="1"/>
  <c r="O4" i="11"/>
  <c r="O13" i="11"/>
  <c r="CD52" i="11"/>
  <c r="T54" i="13"/>
  <c r="J355" i="1"/>
  <c r="J13" i="11"/>
  <c r="J4" i="11"/>
  <c r="BX89" i="11"/>
  <c r="BX240" i="11"/>
  <c r="AE105" i="4"/>
  <c r="M22" i="10"/>
  <c r="M23" i="10"/>
  <c r="M25" i="10"/>
  <c r="C38" i="10"/>
  <c r="C58" i="9"/>
  <c r="AN114" i="11"/>
  <c r="AN232" i="11"/>
  <c r="F34" i="10"/>
  <c r="H252" i="1"/>
  <c r="N256" i="11"/>
  <c r="N129" i="11"/>
  <c r="P105" i="11"/>
  <c r="P223" i="11"/>
  <c r="BP108" i="11"/>
  <c r="BP226" i="11"/>
  <c r="M70" i="10"/>
  <c r="O217" i="11"/>
  <c r="O100" i="11"/>
  <c r="Q237" i="11"/>
  <c r="Q86" i="11"/>
  <c r="Z30" i="13"/>
  <c r="L278" i="1" s="1"/>
  <c r="CI101" i="11"/>
  <c r="CJ101" i="11" s="1"/>
  <c r="CK101" i="11" s="1"/>
  <c r="CL101" i="11" s="1"/>
  <c r="CM101" i="11" s="1"/>
  <c r="CN101" i="11" s="1"/>
  <c r="CO101" i="11" s="1"/>
  <c r="CP101" i="11" s="1"/>
  <c r="CQ101" i="11" s="1"/>
  <c r="CR101" i="11" s="1"/>
  <c r="CS101" i="11" s="1"/>
  <c r="CT101" i="11" s="1"/>
  <c r="Q111" i="11"/>
  <c r="Q229" i="11"/>
  <c r="I24" i="9"/>
  <c r="AA10" i="11" s="1"/>
  <c r="H24" i="9"/>
  <c r="Z10" i="11" s="1"/>
  <c r="N24" i="9"/>
  <c r="AF10" i="11" s="1"/>
  <c r="F24" i="9"/>
  <c r="X10" i="11" s="1"/>
  <c r="J24" i="9"/>
  <c r="AB10" i="11" s="1"/>
  <c r="G24" i="9"/>
  <c r="Y10" i="11" s="1"/>
  <c r="D24" i="9"/>
  <c r="O24" i="9"/>
  <c r="AG10" i="11" s="1"/>
  <c r="M24" i="9"/>
  <c r="AE10" i="11" s="1"/>
  <c r="L24" i="9"/>
  <c r="AD10" i="11" s="1"/>
  <c r="K24" i="9"/>
  <c r="AC10" i="11" s="1"/>
  <c r="E24" i="9"/>
  <c r="W10" i="11" s="1"/>
  <c r="N134" i="13"/>
  <c r="N72" i="13"/>
  <c r="O7" i="13"/>
  <c r="O245" i="11"/>
  <c r="O94" i="11"/>
  <c r="O34" i="10"/>
  <c r="N34" i="10"/>
  <c r="AA104" i="4"/>
  <c r="K13" i="11"/>
  <c r="K4" i="11"/>
  <c r="N244" i="11"/>
  <c r="N93" i="11"/>
  <c r="L126" i="13"/>
  <c r="G219" i="1"/>
  <c r="T22" i="10"/>
  <c r="AA112" i="11"/>
  <c r="AA230" i="11"/>
  <c r="N123" i="11"/>
  <c r="N250" i="11"/>
  <c r="M119" i="11"/>
  <c r="L13" i="11"/>
  <c r="L4" i="11"/>
  <c r="P34" i="10"/>
  <c r="CC52" i="11"/>
  <c r="N110" i="11"/>
  <c r="N228" i="11"/>
  <c r="E23" i="9"/>
  <c r="E57" i="9" s="1"/>
  <c r="J11" i="11" s="1"/>
  <c r="O231" i="11"/>
  <c r="O113" i="11"/>
  <c r="H354" i="1"/>
  <c r="P251" i="11"/>
  <c r="P124" i="11"/>
  <c r="O103" i="11"/>
  <c r="O221" i="11"/>
  <c r="G130" i="10"/>
  <c r="J24" i="11" s="1"/>
  <c r="M130" i="10"/>
  <c r="P24" i="11" s="1"/>
  <c r="L130" i="10"/>
  <c r="O24" i="11" s="1"/>
  <c r="P130" i="10"/>
  <c r="S24" i="11" s="1"/>
  <c r="O130" i="10"/>
  <c r="R24" i="11" s="1"/>
  <c r="Q130" i="10"/>
  <c r="T24" i="11" s="1"/>
  <c r="F130" i="10"/>
  <c r="K130" i="10"/>
  <c r="N24" i="11" s="1"/>
  <c r="J130" i="10"/>
  <c r="M24" i="11" s="1"/>
  <c r="H130" i="10"/>
  <c r="K24" i="11" s="1"/>
  <c r="N130" i="10"/>
  <c r="Q24" i="11" s="1"/>
  <c r="I130" i="10"/>
  <c r="L24" i="11" s="1"/>
  <c r="L24" i="10"/>
  <c r="M24" i="10" s="1"/>
  <c r="M20" i="10" s="1"/>
  <c r="K20" i="10"/>
  <c r="P121" i="11"/>
  <c r="P248" i="11"/>
  <c r="R13" i="11"/>
  <c r="R4" i="11"/>
  <c r="H34" i="10"/>
  <c r="Q13" i="11"/>
  <c r="Q4" i="11"/>
  <c r="Z46" i="13"/>
  <c r="K319" i="1" s="1"/>
  <c r="CI85" i="11"/>
  <c r="CJ85" i="11" s="1"/>
  <c r="CK85" i="11" s="1"/>
  <c r="CL85" i="11" s="1"/>
  <c r="CM85" i="11" s="1"/>
  <c r="CN85" i="11" s="1"/>
  <c r="CO85" i="11" s="1"/>
  <c r="CP85" i="11" s="1"/>
  <c r="CQ85" i="11" s="1"/>
  <c r="CR85" i="11" s="1"/>
  <c r="CS85" i="11" s="1"/>
  <c r="CT85" i="11" s="1"/>
  <c r="CR128" i="11"/>
  <c r="CR255" i="11"/>
  <c r="Q120" i="11"/>
  <c r="Q247" i="11"/>
  <c r="U10" i="11"/>
  <c r="I4" i="11"/>
  <c r="I14" i="11" l="1"/>
  <c r="K9" i="10"/>
  <c r="O16" i="10" s="1"/>
  <c r="I48" i="4"/>
  <c r="E144" i="3"/>
  <c r="E139" i="3"/>
  <c r="E141" i="3"/>
  <c r="I218" i="11"/>
  <c r="I27" i="11" s="1"/>
  <c r="I5" i="11"/>
  <c r="E73" i="3"/>
  <c r="G150" i="3"/>
  <c r="E93" i="3"/>
  <c r="G8" i="26"/>
  <c r="G8" i="25"/>
  <c r="F4" i="27"/>
  <c r="T59" i="13"/>
  <c r="J374" i="1"/>
  <c r="M20" i="27"/>
  <c r="L22" i="27"/>
  <c r="L30" i="11"/>
  <c r="I30" i="11"/>
  <c r="N124" i="13"/>
  <c r="R92" i="11"/>
  <c r="R243" i="11"/>
  <c r="O235" i="11"/>
  <c r="O117" i="11"/>
  <c r="J74" i="13"/>
  <c r="L74" i="13" s="1"/>
  <c r="F4" i="1" s="1"/>
  <c r="K19" i="10"/>
  <c r="E9" i="25" s="1"/>
  <c r="E11" i="25" s="1"/>
  <c r="J13" i="13"/>
  <c r="L13" i="13" s="1"/>
  <c r="F186" i="1" s="1"/>
  <c r="K276" i="3"/>
  <c r="K280" i="3" s="1"/>
  <c r="R30" i="11"/>
  <c r="K30" i="11"/>
  <c r="U13" i="11"/>
  <c r="G48" i="4"/>
  <c r="L9" i="10" s="1"/>
  <c r="Q16" i="10" s="1"/>
  <c r="M236" i="11"/>
  <c r="M118" i="11"/>
  <c r="T30" i="11"/>
  <c r="BU36" i="11"/>
  <c r="T35" i="13" s="1"/>
  <c r="J301" i="1" s="1"/>
  <c r="N13" i="13"/>
  <c r="O18" i="10"/>
  <c r="N18" i="10" s="1"/>
  <c r="L20" i="10"/>
  <c r="AE4" i="11"/>
  <c r="AE13" i="11"/>
  <c r="P24" i="9"/>
  <c r="J257" i="11"/>
  <c r="J28" i="11" s="1"/>
  <c r="J12" i="11"/>
  <c r="J14" i="11" s="1"/>
  <c r="AG4" i="11"/>
  <c r="AG13" i="11"/>
  <c r="P30" i="11"/>
  <c r="I354" i="1"/>
  <c r="D25" i="9"/>
  <c r="V10" i="11"/>
  <c r="P217" i="11"/>
  <c r="P100" i="11"/>
  <c r="I252" i="1"/>
  <c r="N109" i="10"/>
  <c r="AD23" i="11" s="1"/>
  <c r="F109" i="10"/>
  <c r="M109" i="10"/>
  <c r="AC23" i="11" s="1"/>
  <c r="K109" i="10"/>
  <c r="AA23" i="11" s="1"/>
  <c r="P109" i="10"/>
  <c r="AF23" i="11" s="1"/>
  <c r="O109" i="10"/>
  <c r="AE23" i="11" s="1"/>
  <c r="J109" i="10"/>
  <c r="Z23" i="11" s="1"/>
  <c r="Q109" i="10"/>
  <c r="AG23" i="11" s="1"/>
  <c r="L109" i="10"/>
  <c r="AB23" i="11" s="1"/>
  <c r="I109" i="10"/>
  <c r="Y23" i="11" s="1"/>
  <c r="H109" i="10"/>
  <c r="X23" i="11" s="1"/>
  <c r="G109" i="10"/>
  <c r="W23" i="11" s="1"/>
  <c r="J30" i="11"/>
  <c r="CF52" i="11"/>
  <c r="C40" i="10"/>
  <c r="C59" i="9"/>
  <c r="O227" i="11"/>
  <c r="O109" i="11"/>
  <c r="R80" i="13"/>
  <c r="R22" i="13" s="1"/>
  <c r="I38" i="1"/>
  <c r="O56" i="9"/>
  <c r="Q26" i="10"/>
  <c r="S26" i="10"/>
  <c r="F23" i="9"/>
  <c r="N126" i="13"/>
  <c r="K187" i="4"/>
  <c r="K218" i="4" s="1"/>
  <c r="K87" i="4"/>
  <c r="O26" i="9"/>
  <c r="AT10" i="11" s="1"/>
  <c r="G26" i="9"/>
  <c r="AL10" i="11" s="1"/>
  <c r="N26" i="9"/>
  <c r="AS10" i="11" s="1"/>
  <c r="F26" i="9"/>
  <c r="AK10" i="11" s="1"/>
  <c r="L26" i="9"/>
  <c r="AQ10" i="11" s="1"/>
  <c r="D26" i="9"/>
  <c r="I26" i="9"/>
  <c r="AN10" i="11" s="1"/>
  <c r="H26" i="9"/>
  <c r="AM10" i="11" s="1"/>
  <c r="K26" i="9"/>
  <c r="AP10" i="11" s="1"/>
  <c r="J26" i="9"/>
  <c r="AO10" i="11" s="1"/>
  <c r="E26" i="9"/>
  <c r="AJ10" i="11" s="1"/>
  <c r="M26" i="9"/>
  <c r="AR10" i="11" s="1"/>
  <c r="E11" i="15"/>
  <c r="N137" i="13"/>
  <c r="Y13" i="11"/>
  <c r="Y4" i="11"/>
  <c r="L86" i="10"/>
  <c r="AB22" i="11" s="1"/>
  <c r="K86" i="10"/>
  <c r="AA22" i="11" s="1"/>
  <c r="Q86" i="10"/>
  <c r="AG22" i="11" s="1"/>
  <c r="I86" i="10"/>
  <c r="Y22" i="11" s="1"/>
  <c r="P86" i="10"/>
  <c r="AF22" i="11" s="1"/>
  <c r="O86" i="10"/>
  <c r="AE22" i="11" s="1"/>
  <c r="M86" i="10"/>
  <c r="AC22" i="11" s="1"/>
  <c r="F86" i="10"/>
  <c r="H86" i="10"/>
  <c r="X22" i="11" s="1"/>
  <c r="G86" i="10"/>
  <c r="W22" i="11" s="1"/>
  <c r="N86" i="10"/>
  <c r="AD22" i="11" s="1"/>
  <c r="J86" i="10"/>
  <c r="Z22" i="11" s="1"/>
  <c r="O253" i="11"/>
  <c r="O126" i="11"/>
  <c r="P134" i="13"/>
  <c r="P72" i="13"/>
  <c r="Q7" i="13"/>
  <c r="O254" i="11"/>
  <c r="O127" i="11"/>
  <c r="I373" i="1"/>
  <c r="P239" i="11"/>
  <c r="P88" i="11"/>
  <c r="K68" i="4"/>
  <c r="M8" i="10"/>
  <c r="R15" i="10" s="1"/>
  <c r="K131" i="4"/>
  <c r="L10" i="9"/>
  <c r="F68" i="4"/>
  <c r="U103" i="13"/>
  <c r="P132" i="10"/>
  <c r="AF24" i="11" s="1"/>
  <c r="H132" i="10"/>
  <c r="X24" i="11" s="1"/>
  <c r="O132" i="10"/>
  <c r="AE24" i="11" s="1"/>
  <c r="G132" i="10"/>
  <c r="W24" i="11" s="1"/>
  <c r="M132" i="10"/>
  <c r="AC24" i="11" s="1"/>
  <c r="N132" i="10"/>
  <c r="AD24" i="11" s="1"/>
  <c r="L132" i="10"/>
  <c r="AB24" i="11" s="1"/>
  <c r="J132" i="10"/>
  <c r="Z24" i="11" s="1"/>
  <c r="Q132" i="10"/>
  <c r="AG24" i="11" s="1"/>
  <c r="K132" i="10"/>
  <c r="AA24" i="11" s="1"/>
  <c r="I132" i="10"/>
  <c r="Y24" i="11" s="1"/>
  <c r="F132" i="10"/>
  <c r="O233" i="11"/>
  <c r="O115" i="11"/>
  <c r="I257" i="11"/>
  <c r="I28" i="11" s="1"/>
  <c r="N5" i="11"/>
  <c r="M5" i="11"/>
  <c r="S5" i="11"/>
  <c r="K5" i="11"/>
  <c r="P5" i="11"/>
  <c r="O5" i="11"/>
  <c r="J5" i="11"/>
  <c r="J21" i="11" s="1"/>
  <c r="L5" i="11"/>
  <c r="Q5" i="11"/>
  <c r="T5" i="11"/>
  <c r="R5" i="11"/>
  <c r="Q248" i="11"/>
  <c r="Q121" i="11"/>
  <c r="Q124" i="11"/>
  <c r="Q251" i="11"/>
  <c r="O110" i="11"/>
  <c r="O228" i="11"/>
  <c r="R120" i="11"/>
  <c r="R247" i="11"/>
  <c r="Q30" i="11"/>
  <c r="M18" i="10"/>
  <c r="M19" i="10" s="1"/>
  <c r="F9" i="25" s="1"/>
  <c r="F11" i="25" s="1"/>
  <c r="F12" i="25" s="1"/>
  <c r="F14" i="25" s="1"/>
  <c r="F15" i="25" s="1"/>
  <c r="F16" i="25" s="1"/>
  <c r="J20" i="10"/>
  <c r="O23" i="10"/>
  <c r="O22" i="10"/>
  <c r="O25" i="10"/>
  <c r="O93" i="11"/>
  <c r="O244" i="11"/>
  <c r="AB4" i="11"/>
  <c r="AB13" i="11"/>
  <c r="AE106" i="4"/>
  <c r="BA87" i="11"/>
  <c r="BA238" i="11"/>
  <c r="V23" i="10"/>
  <c r="I23" i="11"/>
  <c r="U23" i="11" s="1"/>
  <c r="F108" i="10"/>
  <c r="G108" i="10" s="1"/>
  <c r="H108" i="10" s="1"/>
  <c r="AA105" i="4"/>
  <c r="N24" i="10"/>
  <c r="O24" i="10" s="1"/>
  <c r="R111" i="11"/>
  <c r="R229" i="11"/>
  <c r="AO114" i="11"/>
  <c r="AO232" i="11"/>
  <c r="Z54" i="13"/>
  <c r="K355" i="1"/>
  <c r="E47" i="9"/>
  <c r="K229" i="4"/>
  <c r="K241" i="4" s="1"/>
  <c r="G61" i="10" s="1"/>
  <c r="O95" i="11"/>
  <c r="O246" i="11"/>
  <c r="N104" i="11"/>
  <c r="N222" i="11"/>
  <c r="CS128" i="11"/>
  <c r="CS255" i="11"/>
  <c r="W4" i="11"/>
  <c r="W13" i="11"/>
  <c r="X13" i="11"/>
  <c r="X4" i="11"/>
  <c r="O30" i="11"/>
  <c r="S107" i="11"/>
  <c r="S225" i="11"/>
  <c r="I24" i="11"/>
  <c r="U24" i="11" s="1"/>
  <c r="F131" i="10"/>
  <c r="G131" i="10" s="1"/>
  <c r="H131" i="10" s="1"/>
  <c r="CE52" i="11"/>
  <c r="AB112" i="11"/>
  <c r="AB230" i="11"/>
  <c r="V22" i="10"/>
  <c r="AC4" i="11"/>
  <c r="AC13" i="11"/>
  <c r="AF13" i="11"/>
  <c r="AF4" i="11"/>
  <c r="AB30" i="13"/>
  <c r="M278" i="1" s="1"/>
  <c r="CV101" i="11"/>
  <c r="CW101" i="11" s="1"/>
  <c r="CX101" i="11" s="1"/>
  <c r="CY101" i="11" s="1"/>
  <c r="CZ101" i="11" s="1"/>
  <c r="DA101" i="11" s="1"/>
  <c r="DB101" i="11" s="1"/>
  <c r="DC101" i="11" s="1"/>
  <c r="DD101" i="11" s="1"/>
  <c r="DE101" i="11" s="1"/>
  <c r="DF101" i="11" s="1"/>
  <c r="DG101" i="11" s="1"/>
  <c r="N70" i="10"/>
  <c r="Q223" i="11"/>
  <c r="Q105" i="11"/>
  <c r="N30" i="11"/>
  <c r="I22" i="11"/>
  <c r="U22" i="11" s="1"/>
  <c r="F85" i="10"/>
  <c r="G85" i="10" s="1"/>
  <c r="H85" i="10" s="1"/>
  <c r="W27" i="15"/>
  <c r="W28" i="15" s="1"/>
  <c r="X6" i="15"/>
  <c r="M30" i="11"/>
  <c r="AB46" i="13"/>
  <c r="L319" i="1" s="1"/>
  <c r="CV85" i="11"/>
  <c r="CW85" i="11" s="1"/>
  <c r="CX85" i="11" s="1"/>
  <c r="CY85" i="11" s="1"/>
  <c r="CZ85" i="11" s="1"/>
  <c r="DA85" i="11" s="1"/>
  <c r="DB85" i="11" s="1"/>
  <c r="DC85" i="11" s="1"/>
  <c r="DD85" i="11" s="1"/>
  <c r="DE85" i="11" s="1"/>
  <c r="DF85" i="11" s="1"/>
  <c r="DG85" i="11" s="1"/>
  <c r="P113" i="11"/>
  <c r="P231" i="11"/>
  <c r="O250" i="11"/>
  <c r="O123" i="11"/>
  <c r="N119" i="11"/>
  <c r="P103" i="11"/>
  <c r="P221" i="11"/>
  <c r="P94" i="11"/>
  <c r="P245" i="11"/>
  <c r="AD4" i="11"/>
  <c r="AD13" i="11"/>
  <c r="Z13" i="11"/>
  <c r="Z4" i="11"/>
  <c r="O256" i="11"/>
  <c r="O129" i="11"/>
  <c r="C86" i="10"/>
  <c r="C109" i="10" s="1"/>
  <c r="C132" i="10" s="1"/>
  <c r="C72" i="10"/>
  <c r="BY89" i="11"/>
  <c r="BY240" i="11"/>
  <c r="CH94" i="11"/>
  <c r="BU103" i="11"/>
  <c r="S30" i="11"/>
  <c r="V234" i="11"/>
  <c r="V116" i="11"/>
  <c r="AA13" i="11"/>
  <c r="AA4" i="11"/>
  <c r="R86" i="11"/>
  <c r="R237" i="11"/>
  <c r="BQ108" i="11"/>
  <c r="BQ226" i="11"/>
  <c r="P125" i="11"/>
  <c r="P252" i="11"/>
  <c r="O241" i="11"/>
  <c r="O90" i="11"/>
  <c r="R7" i="13"/>
  <c r="C28" i="9"/>
  <c r="G21" i="1" l="1"/>
  <c r="P124" i="13"/>
  <c r="M36" i="10"/>
  <c r="P15" i="11" s="1"/>
  <c r="P16" i="11" s="1"/>
  <c r="K36" i="10"/>
  <c r="N15" i="11" s="1"/>
  <c r="N16" i="11" s="1"/>
  <c r="N36" i="10"/>
  <c r="Q15" i="11" s="1"/>
  <c r="Q16" i="11" s="1"/>
  <c r="F36" i="10"/>
  <c r="I15" i="11" s="1"/>
  <c r="I16" i="11" s="1"/>
  <c r="K21" i="10"/>
  <c r="J21" i="10" s="1"/>
  <c r="J19" i="10"/>
  <c r="H36" i="10"/>
  <c r="K15" i="11" s="1"/>
  <c r="K16" i="11" s="1"/>
  <c r="L36" i="10"/>
  <c r="O15" i="11" s="1"/>
  <c r="O16" i="11" s="1"/>
  <c r="Q36" i="10"/>
  <c r="T15" i="11" s="1"/>
  <c r="T16" i="11" s="1"/>
  <c r="T17" i="11" s="1"/>
  <c r="I36" i="10"/>
  <c r="L15" i="11" s="1"/>
  <c r="L16" i="11" s="1"/>
  <c r="P36" i="10"/>
  <c r="S15" i="11" s="1"/>
  <c r="S16" i="11" s="1"/>
  <c r="S17" i="11" s="1"/>
  <c r="J36" i="10"/>
  <c r="M15" i="11" s="1"/>
  <c r="M16" i="11" s="1"/>
  <c r="O36" i="10"/>
  <c r="R15" i="11" s="1"/>
  <c r="R16" i="11" s="1"/>
  <c r="G36" i="10"/>
  <c r="J15" i="11" s="1"/>
  <c r="J16" i="11" s="1"/>
  <c r="H8" i="26"/>
  <c r="H8" i="25"/>
  <c r="G4" i="27"/>
  <c r="E12" i="25"/>
  <c r="E14" i="25" s="1"/>
  <c r="E15" i="25" s="1"/>
  <c r="E16" i="25" s="1"/>
  <c r="Z59" i="13"/>
  <c r="K374" i="1"/>
  <c r="N20" i="27"/>
  <c r="M22" i="27"/>
  <c r="M82" i="13"/>
  <c r="M81" i="13"/>
  <c r="P19" i="13"/>
  <c r="Q124" i="13"/>
  <c r="P117" i="11"/>
  <c r="P235" i="11"/>
  <c r="S243" i="11"/>
  <c r="S92" i="11"/>
  <c r="J77" i="13"/>
  <c r="L77" i="13" s="1"/>
  <c r="J84" i="13"/>
  <c r="L84" i="13" s="1"/>
  <c r="K11" i="9"/>
  <c r="F28" i="9" s="1"/>
  <c r="AX10" i="11" s="1"/>
  <c r="I58" i="4"/>
  <c r="G58" i="4" s="1"/>
  <c r="U30" i="11"/>
  <c r="N118" i="11"/>
  <c r="N236" i="11"/>
  <c r="J252" i="1"/>
  <c r="P93" i="11"/>
  <c r="P244" i="11"/>
  <c r="P233" i="11"/>
  <c r="P115" i="11"/>
  <c r="K188" i="4"/>
  <c r="K219" i="4" s="1"/>
  <c r="K88" i="4"/>
  <c r="P126" i="11"/>
  <c r="P253" i="11"/>
  <c r="AI10" i="11"/>
  <c r="D27" i="9"/>
  <c r="E48" i="9"/>
  <c r="K230" i="4"/>
  <c r="K242" i="4" s="1"/>
  <c r="G62" i="10" s="1"/>
  <c r="P26" i="9"/>
  <c r="V23" i="11"/>
  <c r="AH23" i="11" s="1"/>
  <c r="F110" i="10"/>
  <c r="G110" i="10" s="1"/>
  <c r="H110" i="10" s="1"/>
  <c r="AC112" i="11"/>
  <c r="AC230" i="11"/>
  <c r="R134" i="13"/>
  <c r="R72" i="13"/>
  <c r="S7" i="13"/>
  <c r="S111" i="11"/>
  <c r="S229" i="11"/>
  <c r="M134" i="10"/>
  <c r="AP24" i="11" s="1"/>
  <c r="L134" i="10"/>
  <c r="AO24" i="11" s="1"/>
  <c r="J134" i="10"/>
  <c r="AM24" i="11" s="1"/>
  <c r="N134" i="10"/>
  <c r="AQ24" i="11" s="1"/>
  <c r="K134" i="10"/>
  <c r="AN24" i="11" s="1"/>
  <c r="H134" i="10"/>
  <c r="AK24" i="11" s="1"/>
  <c r="G134" i="10"/>
  <c r="AJ24" i="11" s="1"/>
  <c r="F134" i="10"/>
  <c r="Q134" i="10"/>
  <c r="AT24" i="11" s="1"/>
  <c r="P134" i="10"/>
  <c r="AS24" i="11" s="1"/>
  <c r="O134" i="10"/>
  <c r="AR24" i="11" s="1"/>
  <c r="I134" i="10"/>
  <c r="AL24" i="11" s="1"/>
  <c r="M21" i="10"/>
  <c r="L21" i="10" s="1"/>
  <c r="L18" i="10"/>
  <c r="P254" i="11"/>
  <c r="P127" i="11"/>
  <c r="AQ13" i="11"/>
  <c r="AQ4" i="11"/>
  <c r="R223" i="11"/>
  <c r="R105" i="11"/>
  <c r="Q245" i="11"/>
  <c r="Q94" i="11"/>
  <c r="P90" i="11"/>
  <c r="P241" i="11"/>
  <c r="Z35" i="13"/>
  <c r="K301" i="1"/>
  <c r="CT128" i="11"/>
  <c r="CT255" i="11"/>
  <c r="G72" i="3"/>
  <c r="Q88" i="10"/>
  <c r="AT22" i="11" s="1"/>
  <c r="I88" i="10"/>
  <c r="AL22" i="11" s="1"/>
  <c r="P88" i="10"/>
  <c r="AS22" i="11" s="1"/>
  <c r="H88" i="10"/>
  <c r="AK22" i="11" s="1"/>
  <c r="N88" i="10"/>
  <c r="AQ22" i="11" s="1"/>
  <c r="F88" i="10"/>
  <c r="O88" i="10"/>
  <c r="AR22" i="11" s="1"/>
  <c r="M88" i="10"/>
  <c r="AP22" i="11" s="1"/>
  <c r="K88" i="10"/>
  <c r="AN22" i="11" s="1"/>
  <c r="L88" i="10"/>
  <c r="AO22" i="11" s="1"/>
  <c r="J88" i="10"/>
  <c r="AM22" i="11" s="1"/>
  <c r="G88" i="10"/>
  <c r="AJ22" i="11" s="1"/>
  <c r="G186" i="1"/>
  <c r="P110" i="11"/>
  <c r="P228" i="11"/>
  <c r="AR13" i="11"/>
  <c r="AR4" i="11"/>
  <c r="AK4" i="11"/>
  <c r="AK13" i="11"/>
  <c r="C73" i="10"/>
  <c r="C88" i="10"/>
  <c r="C111" i="10" s="1"/>
  <c r="C134" i="10" s="1"/>
  <c r="J354" i="1"/>
  <c r="C42" i="10"/>
  <c r="C60" i="9"/>
  <c r="W116" i="11"/>
  <c r="W234" i="11"/>
  <c r="S86" i="11"/>
  <c r="S237" i="11"/>
  <c r="P129" i="11"/>
  <c r="P256" i="11"/>
  <c r="Q231" i="11"/>
  <c r="Q113" i="11"/>
  <c r="P24" i="10"/>
  <c r="Q24" i="10" s="1"/>
  <c r="Q20" i="10" s="1"/>
  <c r="CG52" i="11"/>
  <c r="CH52" i="11" s="1"/>
  <c r="P75" i="13"/>
  <c r="Q103" i="11"/>
  <c r="Q221" i="11"/>
  <c r="Y6" i="15"/>
  <c r="X27" i="15"/>
  <c r="X28" i="15" s="1"/>
  <c r="T107" i="11"/>
  <c r="T225" i="11"/>
  <c r="X23" i="10"/>
  <c r="AE107" i="4"/>
  <c r="K111" i="10"/>
  <c r="AN23" i="11" s="1"/>
  <c r="J111" i="10"/>
  <c r="AM23" i="11" s="1"/>
  <c r="P111" i="10"/>
  <c r="AS23" i="11" s="1"/>
  <c r="H111" i="10"/>
  <c r="AK23" i="11" s="1"/>
  <c r="N111" i="10"/>
  <c r="AQ23" i="11" s="1"/>
  <c r="M111" i="10"/>
  <c r="AP23" i="11" s="1"/>
  <c r="I111" i="10"/>
  <c r="AL23" i="11" s="1"/>
  <c r="L111" i="10"/>
  <c r="AO23" i="11" s="1"/>
  <c r="G111" i="10"/>
  <c r="AJ23" i="11" s="1"/>
  <c r="F111" i="10"/>
  <c r="Q111" i="10"/>
  <c r="AT23" i="11" s="1"/>
  <c r="O111" i="10"/>
  <c r="AR23" i="11" s="1"/>
  <c r="Q23" i="10"/>
  <c r="Q22" i="10"/>
  <c r="Q25" i="10"/>
  <c r="O20" i="10"/>
  <c r="O19" i="10" s="1"/>
  <c r="G9" i="25" s="1"/>
  <c r="G11" i="25" s="1"/>
  <c r="G12" i="25" s="1"/>
  <c r="G14" i="25" s="1"/>
  <c r="G15" i="25" s="1"/>
  <c r="G16" i="25" s="1"/>
  <c r="N139" i="13"/>
  <c r="AJ13" i="11"/>
  <c r="AJ4" i="11"/>
  <c r="AS4" i="11"/>
  <c r="AS13" i="11"/>
  <c r="R38" i="10"/>
  <c r="J38" i="10"/>
  <c r="Z15" i="11" s="1"/>
  <c r="Q38" i="10"/>
  <c r="AG15" i="11" s="1"/>
  <c r="I38" i="10"/>
  <c r="Y15" i="11" s="1"/>
  <c r="O38" i="10"/>
  <c r="AE15" i="11" s="1"/>
  <c r="G38" i="10"/>
  <c r="W15" i="11" s="1"/>
  <c r="F38" i="10"/>
  <c r="N38" i="10"/>
  <c r="AD15" i="11" s="1"/>
  <c r="P38" i="10"/>
  <c r="AF15" i="11" s="1"/>
  <c r="L38" i="10"/>
  <c r="AB15" i="11" s="1"/>
  <c r="K38" i="10"/>
  <c r="AA15" i="11" s="1"/>
  <c r="H38" i="10"/>
  <c r="X15" i="11" s="1"/>
  <c r="M38" i="10"/>
  <c r="AC15" i="11" s="1"/>
  <c r="L19" i="10"/>
  <c r="O70" i="10"/>
  <c r="O104" i="11"/>
  <c r="O222" i="11"/>
  <c r="AA106" i="4"/>
  <c r="M83" i="13"/>
  <c r="M80" i="13"/>
  <c r="M93" i="13"/>
  <c r="M85" i="13"/>
  <c r="M90" i="13"/>
  <c r="M79" i="13"/>
  <c r="M74" i="13"/>
  <c r="M92" i="13"/>
  <c r="R124" i="11"/>
  <c r="R251" i="11"/>
  <c r="V24" i="11"/>
  <c r="AH24" i="11" s="1"/>
  <c r="N77" i="13" s="1"/>
  <c r="F133" i="10"/>
  <c r="G133" i="10" s="1"/>
  <c r="H133" i="10" s="1"/>
  <c r="AA103" i="13"/>
  <c r="AC103" i="13" s="1"/>
  <c r="AE103" i="13" s="1"/>
  <c r="AG103" i="13" s="1"/>
  <c r="AI103" i="13" s="1"/>
  <c r="Q88" i="11"/>
  <c r="Q239" i="11"/>
  <c r="AO13" i="11"/>
  <c r="AO4" i="11"/>
  <c r="AL13" i="11"/>
  <c r="AL4" i="11"/>
  <c r="G23" i="9"/>
  <c r="F57" i="9"/>
  <c r="K11" i="11" s="1"/>
  <c r="T80" i="13"/>
  <c r="T22" i="13" s="1"/>
  <c r="Z22" i="13" s="1"/>
  <c r="AB22" i="13" s="1"/>
  <c r="AD22" i="13" s="1"/>
  <c r="AF22" i="13" s="1"/>
  <c r="AH22" i="13" s="1"/>
  <c r="Q100" i="11"/>
  <c r="Q217" i="11"/>
  <c r="I85" i="10"/>
  <c r="J85" i="10" s="1"/>
  <c r="K85" i="10" s="1"/>
  <c r="L85" i="10" s="1"/>
  <c r="M85" i="10" s="1"/>
  <c r="N85" i="10" s="1"/>
  <c r="O85" i="10" s="1"/>
  <c r="P85" i="10" s="1"/>
  <c r="Q85" i="10" s="1"/>
  <c r="R84" i="10"/>
  <c r="AB54" i="13"/>
  <c r="L355" i="1"/>
  <c r="R121" i="11"/>
  <c r="R248" i="11"/>
  <c r="AP13" i="11"/>
  <c r="AP4" i="11"/>
  <c r="AT4" i="11"/>
  <c r="AT13" i="11"/>
  <c r="CH103" i="11"/>
  <c r="CU94" i="11"/>
  <c r="AD30" i="13"/>
  <c r="N278" i="1" s="1"/>
  <c r="DI101" i="11"/>
  <c r="DJ101" i="11" s="1"/>
  <c r="DK101" i="11" s="1"/>
  <c r="DL101" i="11" s="1"/>
  <c r="DM101" i="11" s="1"/>
  <c r="DN101" i="11" s="1"/>
  <c r="DO101" i="11" s="1"/>
  <c r="DP101" i="11" s="1"/>
  <c r="DQ101" i="11" s="1"/>
  <c r="DR101" i="11" s="1"/>
  <c r="DS101" i="11" s="1"/>
  <c r="DT101" i="11" s="1"/>
  <c r="Q252" i="11"/>
  <c r="Q125" i="11"/>
  <c r="X22" i="10"/>
  <c r="R130" i="10"/>
  <c r="I131" i="10"/>
  <c r="J131" i="10" s="1"/>
  <c r="K131" i="10" s="1"/>
  <c r="L131" i="10" s="1"/>
  <c r="M131" i="10" s="1"/>
  <c r="N131" i="10" s="1"/>
  <c r="O131" i="10" s="1"/>
  <c r="P131" i="10" s="1"/>
  <c r="Q131" i="10" s="1"/>
  <c r="P246" i="11"/>
  <c r="P95" i="11"/>
  <c r="R107" i="10"/>
  <c r="I108" i="10"/>
  <c r="J108" i="10" s="1"/>
  <c r="K108" i="10" s="1"/>
  <c r="L108" i="10" s="1"/>
  <c r="M108" i="10" s="1"/>
  <c r="N108" i="10" s="1"/>
  <c r="O108" i="10" s="1"/>
  <c r="P108" i="10" s="1"/>
  <c r="Q108" i="10" s="1"/>
  <c r="BB87" i="11"/>
  <c r="BB238" i="11"/>
  <c r="F74" i="4"/>
  <c r="M10" i="9"/>
  <c r="N8" i="10"/>
  <c r="T15" i="10" s="1"/>
  <c r="K132" i="4"/>
  <c r="F87" i="10"/>
  <c r="G87" i="10" s="1"/>
  <c r="H87" i="10" s="1"/>
  <c r="V22" i="11"/>
  <c r="AH22" i="11" s="1"/>
  <c r="AM4" i="11"/>
  <c r="AM13" i="11"/>
  <c r="P109" i="11"/>
  <c r="P227" i="11"/>
  <c r="AH10" i="11"/>
  <c r="N74" i="13" s="1"/>
  <c r="G4" i="1" s="1"/>
  <c r="V4" i="1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V13" i="11"/>
  <c r="AH13" i="11" s="1"/>
  <c r="N84" i="13" s="1"/>
  <c r="BR108" i="11"/>
  <c r="BR226" i="11"/>
  <c r="BZ89" i="11"/>
  <c r="BZ240" i="11"/>
  <c r="P123" i="11"/>
  <c r="P250" i="11"/>
  <c r="O119" i="11"/>
  <c r="AD46" i="13"/>
  <c r="M319" i="1" s="1"/>
  <c r="DI85" i="11"/>
  <c r="DJ85" i="11" s="1"/>
  <c r="DK85" i="11" s="1"/>
  <c r="DL85" i="11" s="1"/>
  <c r="DM85" i="11" s="1"/>
  <c r="DN85" i="11" s="1"/>
  <c r="DO85" i="11" s="1"/>
  <c r="DP85" i="11" s="1"/>
  <c r="DQ85" i="11" s="1"/>
  <c r="DR85" i="11" s="1"/>
  <c r="DS85" i="11" s="1"/>
  <c r="DT85" i="11" s="1"/>
  <c r="AP114" i="11"/>
  <c r="AP232" i="11"/>
  <c r="S120" i="11"/>
  <c r="S247" i="11"/>
  <c r="T7" i="13"/>
  <c r="C30" i="9"/>
  <c r="C61" i="9"/>
  <c r="J373" i="1"/>
  <c r="AN4" i="11"/>
  <c r="AN13" i="11"/>
  <c r="F11" i="15"/>
  <c r="P137" i="13"/>
  <c r="E25" i="9"/>
  <c r="D58" i="9"/>
  <c r="V11" i="11" s="1"/>
  <c r="G28" i="9" l="1"/>
  <c r="AY10" i="11" s="1"/>
  <c r="J38" i="1"/>
  <c r="G37" i="1"/>
  <c r="F37" i="1"/>
  <c r="F37" i="10"/>
  <c r="G39" i="1"/>
  <c r="R79" i="13"/>
  <c r="H219" i="1"/>
  <c r="G53" i="1"/>
  <c r="F53" i="1"/>
  <c r="H21" i="1"/>
  <c r="I17" i="11"/>
  <c r="I19" i="11" s="1"/>
  <c r="J26" i="11" s="1"/>
  <c r="N22" i="27"/>
  <c r="D35" i="27" a="1"/>
  <c r="D35" i="27" s="1"/>
  <c r="M77" i="13"/>
  <c r="J28" i="9"/>
  <c r="BB10" i="11" s="1"/>
  <c r="M84" i="13"/>
  <c r="D28" i="9"/>
  <c r="AV10" i="11" s="1"/>
  <c r="L28" i="9"/>
  <c r="BD10" i="11" s="1"/>
  <c r="BD13" i="11" s="1"/>
  <c r="P126" i="13"/>
  <c r="R124" i="13" s="1"/>
  <c r="K28" i="9"/>
  <c r="BC10" i="11" s="1"/>
  <c r="BC4" i="11" s="1"/>
  <c r="I28" i="9"/>
  <c r="BA10" i="11" s="1"/>
  <c r="BA4" i="11" s="1"/>
  <c r="N28" i="9"/>
  <c r="BF10" i="11" s="1"/>
  <c r="BF13" i="11" s="1"/>
  <c r="O28" i="9"/>
  <c r="BG10" i="11" s="1"/>
  <c r="BG4" i="11" s="1"/>
  <c r="H28" i="9"/>
  <c r="AZ10" i="11" s="1"/>
  <c r="AZ4" i="11" s="1"/>
  <c r="M28" i="9"/>
  <c r="BE10" i="11" s="1"/>
  <c r="BE4" i="11" s="1"/>
  <c r="K21" i="11"/>
  <c r="G144" i="3"/>
  <c r="G139" i="3"/>
  <c r="G141" i="3"/>
  <c r="J17" i="11"/>
  <c r="J25" i="11" s="1"/>
  <c r="L17" i="11"/>
  <c r="N21" i="11" s="1"/>
  <c r="R17" i="11"/>
  <c r="R25" i="11" s="1"/>
  <c r="Q17" i="11"/>
  <c r="Q25" i="11" s="1"/>
  <c r="N17" i="11"/>
  <c r="N25" i="11" s="1"/>
  <c r="O17" i="11"/>
  <c r="O25" i="11" s="1"/>
  <c r="K17" i="11"/>
  <c r="M17" i="11"/>
  <c r="P17" i="11"/>
  <c r="P25" i="11" s="1"/>
  <c r="G159" i="3"/>
  <c r="I8" i="26"/>
  <c r="I8" i="25"/>
  <c r="H4" i="27"/>
  <c r="I4" i="27" s="1"/>
  <c r="J4" i="27" s="1"/>
  <c r="K4" i="27" s="1"/>
  <c r="L4" i="27" s="1"/>
  <c r="M4" i="27" s="1"/>
  <c r="N4" i="27" s="1"/>
  <c r="K12" i="11"/>
  <c r="K14" i="11" s="1"/>
  <c r="AB59" i="13"/>
  <c r="L374" i="1"/>
  <c r="E28" i="9"/>
  <c r="AW10" i="11" s="1"/>
  <c r="AW13" i="11" s="1"/>
  <c r="H9" i="26"/>
  <c r="H11" i="26" s="1"/>
  <c r="H12" i="26" s="1"/>
  <c r="H14" i="26" s="1"/>
  <c r="O81" i="13"/>
  <c r="O82" i="13"/>
  <c r="S124" i="13"/>
  <c r="T92" i="11"/>
  <c r="T243" i="11"/>
  <c r="Q235" i="11"/>
  <c r="Q117" i="11"/>
  <c r="F63" i="3"/>
  <c r="F54" i="3"/>
  <c r="F41" i="3"/>
  <c r="F45" i="3"/>
  <c r="F46" i="3"/>
  <c r="F47" i="3"/>
  <c r="F48" i="3"/>
  <c r="E99" i="3"/>
  <c r="F17" i="3"/>
  <c r="F16" i="3"/>
  <c r="O236" i="11"/>
  <c r="O118" i="11"/>
  <c r="S25" i="11"/>
  <c r="T25" i="11"/>
  <c r="R13" i="13"/>
  <c r="S18" i="10"/>
  <c r="P20" i="10"/>
  <c r="Q250" i="11"/>
  <c r="Q123" i="11"/>
  <c r="P119" i="11"/>
  <c r="Q244" i="11"/>
  <c r="Q93" i="11"/>
  <c r="J136" i="10"/>
  <c r="AZ24" i="11" s="1"/>
  <c r="Q136" i="10"/>
  <c r="BG24" i="11" s="1"/>
  <c r="I136" i="10"/>
  <c r="AY24" i="11" s="1"/>
  <c r="O136" i="10"/>
  <c r="BE24" i="11" s="1"/>
  <c r="G136" i="10"/>
  <c r="AW24" i="11" s="1"/>
  <c r="L136" i="10"/>
  <c r="BB24" i="11" s="1"/>
  <c r="K136" i="10"/>
  <c r="BA24" i="11" s="1"/>
  <c r="F136" i="10"/>
  <c r="P136" i="10"/>
  <c r="BF24" i="11" s="1"/>
  <c r="N136" i="10"/>
  <c r="BD24" i="11" s="1"/>
  <c r="M136" i="10"/>
  <c r="BC24" i="11" s="1"/>
  <c r="H136" i="10"/>
  <c r="AX24" i="11" s="1"/>
  <c r="AD112" i="11"/>
  <c r="AD230" i="11"/>
  <c r="Q253" i="11"/>
  <c r="Q126" i="11"/>
  <c r="C44" i="10"/>
  <c r="W16" i="11"/>
  <c r="W17" i="11" s="1"/>
  <c r="N90" i="10"/>
  <c r="BD22" i="11" s="1"/>
  <c r="F90" i="10"/>
  <c r="M90" i="10"/>
  <c r="BC22" i="11" s="1"/>
  <c r="K90" i="10"/>
  <c r="BA22" i="11" s="1"/>
  <c r="O90" i="10"/>
  <c r="BE22" i="11" s="1"/>
  <c r="L90" i="10"/>
  <c r="BB22" i="11" s="1"/>
  <c r="I90" i="10"/>
  <c r="AY22" i="11" s="1"/>
  <c r="J90" i="10"/>
  <c r="AZ22" i="11" s="1"/>
  <c r="H90" i="10"/>
  <c r="AX22" i="11" s="1"/>
  <c r="G90" i="10"/>
  <c r="AW22" i="11" s="1"/>
  <c r="Q90" i="10"/>
  <c r="BG22" i="11" s="1"/>
  <c r="P90" i="10"/>
  <c r="BF22" i="11" s="1"/>
  <c r="O40" i="10"/>
  <c r="AR15" i="11" s="1"/>
  <c r="G40" i="10"/>
  <c r="AJ15" i="11" s="1"/>
  <c r="N40" i="10"/>
  <c r="AQ15" i="11" s="1"/>
  <c r="F40" i="10"/>
  <c r="L40" i="10"/>
  <c r="AO15" i="11" s="1"/>
  <c r="R40" i="10"/>
  <c r="Q40" i="10"/>
  <c r="AT15" i="11" s="1"/>
  <c r="M40" i="10"/>
  <c r="AP15" i="11" s="1"/>
  <c r="K40" i="10"/>
  <c r="AN15" i="11" s="1"/>
  <c r="J40" i="10"/>
  <c r="AM15" i="11" s="1"/>
  <c r="I40" i="10"/>
  <c r="AL15" i="11" s="1"/>
  <c r="P40" i="10"/>
  <c r="AS15" i="11" s="1"/>
  <c r="H40" i="10"/>
  <c r="AK15" i="11" s="1"/>
  <c r="N19" i="10"/>
  <c r="X116" i="11"/>
  <c r="X234" i="11"/>
  <c r="T134" i="13"/>
  <c r="T72" i="13"/>
  <c r="U7" i="13"/>
  <c r="CA89" i="11"/>
  <c r="CA240" i="11"/>
  <c r="O90" i="13"/>
  <c r="O92" i="13"/>
  <c r="O80" i="13"/>
  <c r="O77" i="13"/>
  <c r="O93" i="13"/>
  <c r="O79" i="13"/>
  <c r="O84" i="13"/>
  <c r="O85" i="13"/>
  <c r="O74" i="13"/>
  <c r="O83" i="13"/>
  <c r="I87" i="10"/>
  <c r="J87" i="10" s="1"/>
  <c r="K87" i="10" s="1"/>
  <c r="L87" i="10" s="1"/>
  <c r="M87" i="10" s="1"/>
  <c r="N87" i="10" s="1"/>
  <c r="O87" i="10" s="1"/>
  <c r="P87" i="10" s="1"/>
  <c r="Q87" i="10" s="1"/>
  <c r="R86" i="10"/>
  <c r="AF30" i="13"/>
  <c r="O278" i="1" s="1"/>
  <c r="DV101" i="11"/>
  <c r="DW101" i="11" s="1"/>
  <c r="DX101" i="11" s="1"/>
  <c r="DY101" i="11" s="1"/>
  <c r="DZ101" i="11" s="1"/>
  <c r="EA101" i="11" s="1"/>
  <c r="EB101" i="11" s="1"/>
  <c r="EC101" i="11" s="1"/>
  <c r="ED101" i="11" s="1"/>
  <c r="EE101" i="11" s="1"/>
  <c r="EF101" i="11" s="1"/>
  <c r="EG101" i="11" s="1"/>
  <c r="AH30" i="13" s="1"/>
  <c r="AD54" i="13"/>
  <c r="M355" i="1"/>
  <c r="S124" i="11"/>
  <c r="S251" i="11"/>
  <c r="R24" i="10"/>
  <c r="P70" i="10"/>
  <c r="X16" i="11"/>
  <c r="AE16" i="11"/>
  <c r="P113" i="10"/>
  <c r="BF23" i="11" s="1"/>
  <c r="H113" i="10"/>
  <c r="AX23" i="11" s="1"/>
  <c r="O113" i="10"/>
  <c r="BE23" i="11" s="1"/>
  <c r="G113" i="10"/>
  <c r="AW23" i="11" s="1"/>
  <c r="M113" i="10"/>
  <c r="BC23" i="11" s="1"/>
  <c r="L113" i="10"/>
  <c r="BB23" i="11" s="1"/>
  <c r="K113" i="10"/>
  <c r="BA23" i="11" s="1"/>
  <c r="I113" i="10"/>
  <c r="AY23" i="11" s="1"/>
  <c r="F113" i="10"/>
  <c r="Q113" i="10"/>
  <c r="BG23" i="11" s="1"/>
  <c r="J113" i="10"/>
  <c r="AZ23" i="11" s="1"/>
  <c r="N113" i="10"/>
  <c r="BD23" i="11" s="1"/>
  <c r="V107" i="11"/>
  <c r="V225" i="11"/>
  <c r="BB4" i="11"/>
  <c r="BB13" i="11"/>
  <c r="Q228" i="11"/>
  <c r="Q110" i="11"/>
  <c r="AB35" i="13"/>
  <c r="L301" i="1" s="1"/>
  <c r="R109" i="10"/>
  <c r="I110" i="10"/>
  <c r="J110" i="10" s="1"/>
  <c r="K110" i="10" s="1"/>
  <c r="L110" i="10" s="1"/>
  <c r="M110" i="10" s="1"/>
  <c r="N110" i="10" s="1"/>
  <c r="O110" i="10" s="1"/>
  <c r="P110" i="10" s="1"/>
  <c r="Q110" i="10" s="1"/>
  <c r="AY13" i="11"/>
  <c r="AY4" i="11"/>
  <c r="P139" i="13"/>
  <c r="H39" i="1" s="1"/>
  <c r="R217" i="11"/>
  <c r="R100" i="11"/>
  <c r="AC16" i="11"/>
  <c r="AI23" i="11"/>
  <c r="AU23" i="11" s="1"/>
  <c r="F112" i="10"/>
  <c r="G112" i="10" s="1"/>
  <c r="H112" i="10" s="1"/>
  <c r="Z58" i="13"/>
  <c r="K354" i="1"/>
  <c r="G37" i="10"/>
  <c r="F71" i="10"/>
  <c r="I18" i="11" s="1"/>
  <c r="I20" i="11" s="1"/>
  <c r="U15" i="11"/>
  <c r="BC87" i="11"/>
  <c r="BC238" i="11"/>
  <c r="Z80" i="13"/>
  <c r="K38" i="1"/>
  <c r="R239" i="11"/>
  <c r="R88" i="11"/>
  <c r="N96" i="13"/>
  <c r="AA16" i="11"/>
  <c r="Y16" i="11"/>
  <c r="Q256" i="11"/>
  <c r="Q129" i="11"/>
  <c r="I72" i="3"/>
  <c r="K231" i="4"/>
  <c r="K243" i="4" s="1"/>
  <c r="G63" i="10" s="1"/>
  <c r="E49" i="9"/>
  <c r="V15" i="11"/>
  <c r="F39" i="10"/>
  <c r="R113" i="11"/>
  <c r="R231" i="11"/>
  <c r="T120" i="11"/>
  <c r="T247" i="11"/>
  <c r="AF46" i="13"/>
  <c r="N319" i="1" s="1"/>
  <c r="DV85" i="11"/>
  <c r="DW85" i="11" s="1"/>
  <c r="DX85" i="11" s="1"/>
  <c r="DY85" i="11" s="1"/>
  <c r="DZ85" i="11" s="1"/>
  <c r="EA85" i="11" s="1"/>
  <c r="EB85" i="11" s="1"/>
  <c r="EC85" i="11" s="1"/>
  <c r="ED85" i="11" s="1"/>
  <c r="EE85" i="11" s="1"/>
  <c r="EF85" i="11" s="1"/>
  <c r="EG85" i="11" s="1"/>
  <c r="AH46" i="13" s="1"/>
  <c r="L25" i="11"/>
  <c r="Q227" i="11"/>
  <c r="Q109" i="11"/>
  <c r="DH94" i="11"/>
  <c r="CU103" i="11"/>
  <c r="AA107" i="4"/>
  <c r="AB16" i="11"/>
  <c r="AG16" i="11"/>
  <c r="AG17" i="11" s="1"/>
  <c r="AE108" i="4"/>
  <c r="Y27" i="15"/>
  <c r="Y28" i="15" s="1"/>
  <c r="Z6" i="15"/>
  <c r="Z27" i="15" s="1"/>
  <c r="Z28" i="15" s="1"/>
  <c r="G93" i="3"/>
  <c r="I150" i="3"/>
  <c r="G73" i="3"/>
  <c r="Q241" i="11"/>
  <c r="Q90" i="11"/>
  <c r="T111" i="11"/>
  <c r="T229" i="11"/>
  <c r="M9" i="10"/>
  <c r="S16" i="10" s="1"/>
  <c r="L11" i="9"/>
  <c r="I9" i="26" s="1"/>
  <c r="I11" i="26" s="1"/>
  <c r="I12" i="26" s="1"/>
  <c r="I14" i="26" s="1"/>
  <c r="G68" i="4"/>
  <c r="Z16" i="11"/>
  <c r="T86" i="11"/>
  <c r="T237" i="11"/>
  <c r="AI22" i="11"/>
  <c r="AU22" i="11" s="1"/>
  <c r="F89" i="10"/>
  <c r="G89" i="10" s="1"/>
  <c r="H89" i="10" s="1"/>
  <c r="R245" i="11"/>
  <c r="R94" i="11"/>
  <c r="Q115" i="11"/>
  <c r="Q233" i="11"/>
  <c r="H79" i="4"/>
  <c r="N10" i="9"/>
  <c r="F75" i="4"/>
  <c r="R125" i="11"/>
  <c r="R252" i="11"/>
  <c r="S248" i="11"/>
  <c r="S121" i="11"/>
  <c r="H23" i="9"/>
  <c r="G57" i="9"/>
  <c r="L11" i="11" s="1"/>
  <c r="BS108" i="11"/>
  <c r="BS226" i="11"/>
  <c r="Q246" i="11"/>
  <c r="Q95" i="11"/>
  <c r="I133" i="10"/>
  <c r="J133" i="10" s="1"/>
  <c r="K133" i="10" s="1"/>
  <c r="L133" i="10" s="1"/>
  <c r="M133" i="10" s="1"/>
  <c r="N133" i="10" s="1"/>
  <c r="O133" i="10" s="1"/>
  <c r="P133" i="10" s="1"/>
  <c r="Q133" i="10" s="1"/>
  <c r="R132" i="10"/>
  <c r="AF16" i="11"/>
  <c r="AF17" i="11" s="1"/>
  <c r="Z23" i="10"/>
  <c r="R103" i="11"/>
  <c r="R221" i="11"/>
  <c r="R75" i="13"/>
  <c r="I20" i="1" s="1"/>
  <c r="C90" i="10"/>
  <c r="C113" i="10" s="1"/>
  <c r="C136" i="10" s="1"/>
  <c r="C74" i="10"/>
  <c r="CV128" i="11"/>
  <c r="CV255" i="11"/>
  <c r="Q254" i="11"/>
  <c r="Q127" i="11"/>
  <c r="F135" i="10"/>
  <c r="G135" i="10" s="1"/>
  <c r="H135" i="10" s="1"/>
  <c r="AI24" i="11"/>
  <c r="AU24" i="11" s="1"/>
  <c r="P77" i="13" s="1"/>
  <c r="F71" i="3"/>
  <c r="F66" i="3"/>
  <c r="F60" i="3"/>
  <c r="F65" i="3"/>
  <c r="F38" i="3"/>
  <c r="F33" i="3"/>
  <c r="F30" i="3"/>
  <c r="F25" i="3"/>
  <c r="F22" i="3"/>
  <c r="F73" i="3"/>
  <c r="F69" i="3"/>
  <c r="F64" i="3"/>
  <c r="F57" i="3"/>
  <c r="F37" i="3"/>
  <c r="F21" i="3"/>
  <c r="F58" i="3"/>
  <c r="F56" i="3"/>
  <c r="F36" i="3"/>
  <c r="F32" i="3"/>
  <c r="F28" i="3"/>
  <c r="F20" i="3"/>
  <c r="F62" i="3"/>
  <c r="F55" i="3"/>
  <c r="F50" i="3"/>
  <c r="F42" i="3"/>
  <c r="F35" i="3"/>
  <c r="F34" i="3"/>
  <c r="F27" i="3"/>
  <c r="F19" i="3"/>
  <c r="F70" i="3"/>
  <c r="F61" i="3"/>
  <c r="F26" i="3"/>
  <c r="F67" i="3"/>
  <c r="F51" i="3"/>
  <c r="F43" i="3"/>
  <c r="F39" i="3"/>
  <c r="F23" i="3"/>
  <c r="F68" i="3"/>
  <c r="F53" i="3"/>
  <c r="F40" i="3"/>
  <c r="F59" i="3"/>
  <c r="F72" i="3"/>
  <c r="F49" i="3"/>
  <c r="F29" i="3"/>
  <c r="F24" i="3"/>
  <c r="F31" i="3"/>
  <c r="F52" i="3"/>
  <c r="F44" i="3"/>
  <c r="F18" i="3"/>
  <c r="E27" i="9"/>
  <c r="D59" i="9"/>
  <c r="AI11" i="11" s="1"/>
  <c r="K133" i="4"/>
  <c r="K134" i="4" s="1"/>
  <c r="K135" i="4" s="1"/>
  <c r="K136" i="4" s="1"/>
  <c r="K189" i="4"/>
  <c r="K89" i="4"/>
  <c r="K90" i="4" s="1"/>
  <c r="K91" i="4" s="1"/>
  <c r="K92" i="4" s="1"/>
  <c r="K93" i="4" s="1"/>
  <c r="F25" i="9"/>
  <c r="E58" i="9"/>
  <c r="W11" i="11" s="1"/>
  <c r="Z60" i="13"/>
  <c r="K373" i="1"/>
  <c r="AQ114" i="11"/>
  <c r="AQ232" i="11"/>
  <c r="O21" i="10"/>
  <c r="N21" i="10" s="1"/>
  <c r="Z7" i="13"/>
  <c r="C62" i="9"/>
  <c r="C32" i="9"/>
  <c r="Z22" i="10"/>
  <c r="P104" i="11"/>
  <c r="P222" i="11"/>
  <c r="AD16" i="11"/>
  <c r="P13" i="13"/>
  <c r="H186" i="1" s="1"/>
  <c r="Q18" i="10"/>
  <c r="N20" i="10"/>
  <c r="AX13" i="11"/>
  <c r="AX4" i="11"/>
  <c r="S223" i="11"/>
  <c r="S105" i="11"/>
  <c r="AI13" i="11"/>
  <c r="AU13" i="11" s="1"/>
  <c r="P84" i="13" s="1"/>
  <c r="H53" i="1" s="1"/>
  <c r="AU10" i="11"/>
  <c r="P74" i="13" s="1"/>
  <c r="H4" i="1" s="1"/>
  <c r="AI4" i="1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O319" i="1" l="1"/>
  <c r="M21" i="11"/>
  <c r="R19" i="13"/>
  <c r="I99" i="11"/>
  <c r="I25" i="11"/>
  <c r="I39" i="11" s="1"/>
  <c r="T79" i="13"/>
  <c r="I219" i="1"/>
  <c r="R137" i="13"/>
  <c r="G11" i="15"/>
  <c r="H37" i="1"/>
  <c r="M25" i="11"/>
  <c r="Q21" i="11"/>
  <c r="S21" i="11"/>
  <c r="T21" i="11"/>
  <c r="R21" i="11"/>
  <c r="P21" i="11"/>
  <c r="O21" i="11"/>
  <c r="D29" i="9"/>
  <c r="BA13" i="11"/>
  <c r="AW4" i="11"/>
  <c r="BF4" i="11"/>
  <c r="BD4" i="11"/>
  <c r="BG13" i="11"/>
  <c r="BC13" i="11"/>
  <c r="BE13" i="11"/>
  <c r="K25" i="11"/>
  <c r="AZ13" i="11"/>
  <c r="P28" i="9"/>
  <c r="R126" i="13"/>
  <c r="T124" i="13" s="1"/>
  <c r="J19" i="11"/>
  <c r="L21" i="11"/>
  <c r="I144" i="3"/>
  <c r="I139" i="3"/>
  <c r="I141" i="3"/>
  <c r="AD17" i="11"/>
  <c r="Z17" i="11"/>
  <c r="Z25" i="11" s="1"/>
  <c r="AB17" i="11"/>
  <c r="AB25" i="11" s="1"/>
  <c r="Y17" i="11"/>
  <c r="Y25" i="11" s="1"/>
  <c r="AA17" i="11"/>
  <c r="AA25" i="11" s="1"/>
  <c r="AC17" i="11"/>
  <c r="AC25" i="11" s="1"/>
  <c r="AE17" i="11"/>
  <c r="AE25" i="11" s="1"/>
  <c r="X17" i="11"/>
  <c r="G157" i="3"/>
  <c r="AD59" i="13"/>
  <c r="M374" i="1"/>
  <c r="G154" i="3"/>
  <c r="P96" i="13"/>
  <c r="Q81" i="13"/>
  <c r="Q82" i="13"/>
  <c r="T19" i="13"/>
  <c r="T126" i="13" s="1"/>
  <c r="U124" i="13"/>
  <c r="R235" i="11"/>
  <c r="R117" i="11"/>
  <c r="V243" i="11"/>
  <c r="V92" i="11"/>
  <c r="J75" i="13"/>
  <c r="H63" i="3"/>
  <c r="H25" i="3"/>
  <c r="H54" i="3"/>
  <c r="H45" i="3"/>
  <c r="H46" i="3"/>
  <c r="H47" i="3"/>
  <c r="H48" i="3"/>
  <c r="G99" i="3"/>
  <c r="P118" i="11"/>
  <c r="P236" i="11"/>
  <c r="R139" i="13"/>
  <c r="I39" i="1" s="1"/>
  <c r="AG25" i="11"/>
  <c r="AF25" i="11"/>
  <c r="U16" i="11"/>
  <c r="H64" i="3"/>
  <c r="H58" i="3"/>
  <c r="H57" i="3"/>
  <c r="H37" i="3"/>
  <c r="H21" i="3"/>
  <c r="H17" i="3"/>
  <c r="H56" i="3"/>
  <c r="H50" i="3"/>
  <c r="H42" i="3"/>
  <c r="H36" i="3"/>
  <c r="H34" i="3"/>
  <c r="H32" i="3"/>
  <c r="H28" i="3"/>
  <c r="H20" i="3"/>
  <c r="H70" i="3"/>
  <c r="H62" i="3"/>
  <c r="H55" i="3"/>
  <c r="H35" i="3"/>
  <c r="H27" i="3"/>
  <c r="H19" i="3"/>
  <c r="H68" i="3"/>
  <c r="H61" i="3"/>
  <c r="H59" i="3"/>
  <c r="H26" i="3"/>
  <c r="H24" i="3"/>
  <c r="H18" i="3"/>
  <c r="H16" i="3"/>
  <c r="H72" i="3"/>
  <c r="H53" i="3"/>
  <c r="H49" i="3"/>
  <c r="H41" i="3"/>
  <c r="H31" i="3"/>
  <c r="H29" i="3"/>
  <c r="H73" i="3"/>
  <c r="H71" i="3"/>
  <c r="H69" i="3"/>
  <c r="H66" i="3"/>
  <c r="H65" i="3"/>
  <c r="H38" i="3"/>
  <c r="H30" i="3"/>
  <c r="H22" i="3"/>
  <c r="H33" i="3"/>
  <c r="H52" i="3"/>
  <c r="H44" i="3"/>
  <c r="H39" i="3"/>
  <c r="H60" i="3"/>
  <c r="H40" i="3"/>
  <c r="H51" i="3"/>
  <c r="H43" i="3"/>
  <c r="H23" i="3"/>
  <c r="H67" i="3"/>
  <c r="T124" i="11"/>
  <c r="T251" i="11"/>
  <c r="P18" i="10"/>
  <c r="R134" i="10"/>
  <c r="I135" i="10"/>
  <c r="J135" i="10" s="1"/>
  <c r="K135" i="10" s="1"/>
  <c r="L135" i="10" s="1"/>
  <c r="M135" i="10" s="1"/>
  <c r="N135" i="10" s="1"/>
  <c r="O135" i="10" s="1"/>
  <c r="P135" i="10" s="1"/>
  <c r="Q135" i="10" s="1"/>
  <c r="S103" i="11"/>
  <c r="S221" i="11"/>
  <c r="AB7" i="13"/>
  <c r="O8" i="10"/>
  <c r="V15" i="10" s="1"/>
  <c r="C34" i="9"/>
  <c r="K30" i="9"/>
  <c r="BP10" i="11" s="1"/>
  <c r="J30" i="9"/>
  <c r="BO10" i="11" s="1"/>
  <c r="H30" i="9"/>
  <c r="BM10" i="11" s="1"/>
  <c r="G30" i="9"/>
  <c r="BL10" i="11" s="1"/>
  <c r="F30" i="9"/>
  <c r="BK10" i="11" s="1"/>
  <c r="O30" i="9"/>
  <c r="BT10" i="11" s="1"/>
  <c r="D30" i="9"/>
  <c r="N30" i="9"/>
  <c r="BS10" i="11" s="1"/>
  <c r="I30" i="9"/>
  <c r="BN10" i="11" s="1"/>
  <c r="E30" i="9"/>
  <c r="BJ10" i="11" s="1"/>
  <c r="M30" i="9"/>
  <c r="BR10" i="11" s="1"/>
  <c r="L30" i="9"/>
  <c r="BQ10" i="11" s="1"/>
  <c r="AA108" i="4"/>
  <c r="R129" i="11"/>
  <c r="R256" i="11"/>
  <c r="AB58" i="13"/>
  <c r="L354" i="1"/>
  <c r="Q70" i="10"/>
  <c r="AF54" i="13"/>
  <c r="N355" i="1"/>
  <c r="CB89" i="11"/>
  <c r="CB240" i="11"/>
  <c r="AS16" i="11"/>
  <c r="AS17" i="11" s="1"/>
  <c r="AO16" i="11"/>
  <c r="R116" i="13"/>
  <c r="F72" i="10"/>
  <c r="V18" i="11" s="1"/>
  <c r="G39" i="10"/>
  <c r="H62" i="13"/>
  <c r="L62" i="13" s="1"/>
  <c r="K72" i="3"/>
  <c r="AB80" i="13"/>
  <c r="L38" i="1"/>
  <c r="R228" i="11"/>
  <c r="R110" i="11"/>
  <c r="AM16" i="11"/>
  <c r="AQ16" i="11"/>
  <c r="R123" i="11"/>
  <c r="R250" i="11"/>
  <c r="Q119" i="11"/>
  <c r="T223" i="11"/>
  <c r="T105" i="11"/>
  <c r="AB60" i="13"/>
  <c r="L373" i="1"/>
  <c r="R127" i="11"/>
  <c r="R254" i="11"/>
  <c r="AB23" i="10"/>
  <c r="R246" i="11"/>
  <c r="R95" i="11"/>
  <c r="Z20" i="13"/>
  <c r="K252" i="1" s="1"/>
  <c r="L12" i="11"/>
  <c r="G25" i="9"/>
  <c r="F58" i="9"/>
  <c r="X11" i="11" s="1"/>
  <c r="X12" i="11" s="1"/>
  <c r="X14" i="11" s="1"/>
  <c r="I23" i="9"/>
  <c r="H57" i="9"/>
  <c r="M11" i="11" s="1"/>
  <c r="T248" i="11"/>
  <c r="T121" i="11"/>
  <c r="V86" i="11"/>
  <c r="V237" i="11"/>
  <c r="V111" i="11"/>
  <c r="V229" i="11"/>
  <c r="AH15" i="11"/>
  <c r="N75" i="13" s="1"/>
  <c r="V16" i="11"/>
  <c r="I159" i="3"/>
  <c r="K150" i="3"/>
  <c r="I93" i="3"/>
  <c r="I73" i="3"/>
  <c r="AV23" i="11"/>
  <c r="BH23" i="11" s="1"/>
  <c r="F114" i="10"/>
  <c r="G114" i="10" s="1"/>
  <c r="H114" i="10" s="1"/>
  <c r="I114" i="10" s="1"/>
  <c r="J114" i="10" s="1"/>
  <c r="K114" i="10" s="1"/>
  <c r="L114" i="10" s="1"/>
  <c r="M114" i="10" s="1"/>
  <c r="N114" i="10" s="1"/>
  <c r="O114" i="10" s="1"/>
  <c r="P114" i="10" s="1"/>
  <c r="Q114" i="10" s="1"/>
  <c r="R113" i="10" s="1"/>
  <c r="S24" i="10"/>
  <c r="AN16" i="11"/>
  <c r="AJ16" i="11"/>
  <c r="R18" i="10"/>
  <c r="S22" i="10"/>
  <c r="S23" i="10"/>
  <c r="S25" i="10"/>
  <c r="AL16" i="11"/>
  <c r="W25" i="11"/>
  <c r="V120" i="11"/>
  <c r="V247" i="11"/>
  <c r="E29" i="9"/>
  <c r="D60" i="9"/>
  <c r="AV11" i="11" s="1"/>
  <c r="BD87" i="11"/>
  <c r="BD238" i="11"/>
  <c r="AP16" i="11"/>
  <c r="AR16" i="11"/>
  <c r="AE112" i="11"/>
  <c r="AE230" i="11"/>
  <c r="R111" i="10"/>
  <c r="I112" i="10"/>
  <c r="J112" i="10" s="1"/>
  <c r="K112" i="10" s="1"/>
  <c r="L112" i="10" s="1"/>
  <c r="M112" i="10" s="1"/>
  <c r="N112" i="10" s="1"/>
  <c r="O112" i="10" s="1"/>
  <c r="P112" i="10" s="1"/>
  <c r="Q112" i="10" s="1"/>
  <c r="AD35" i="13"/>
  <c r="M301" i="1"/>
  <c r="AI15" i="11"/>
  <c r="F41" i="10"/>
  <c r="R126" i="11"/>
  <c r="R253" i="11"/>
  <c r="C46" i="10"/>
  <c r="Z72" i="13"/>
  <c r="Z134" i="13"/>
  <c r="AA7" i="13"/>
  <c r="W12" i="11"/>
  <c r="W14" i="11" s="1"/>
  <c r="CW128" i="11"/>
  <c r="CW255" i="11"/>
  <c r="R115" i="11"/>
  <c r="R233" i="11"/>
  <c r="R241" i="11"/>
  <c r="R90" i="11"/>
  <c r="DH103" i="11"/>
  <c r="DU94" i="11"/>
  <c r="F27" i="9"/>
  <c r="E59" i="9"/>
  <c r="AJ11" i="11" s="1"/>
  <c r="Q19" i="10"/>
  <c r="S245" i="11"/>
  <c r="S94" i="11"/>
  <c r="R227" i="11"/>
  <c r="R109" i="11"/>
  <c r="AV4" i="11"/>
  <c r="AV5" i="11" s="1"/>
  <c r="AW5" i="11" s="1"/>
  <c r="AX5" i="11" s="1"/>
  <c r="AY5" i="11" s="1"/>
  <c r="AZ5" i="11" s="1"/>
  <c r="BA5" i="11" s="1"/>
  <c r="BB5" i="11" s="1"/>
  <c r="BC5" i="11" s="1"/>
  <c r="BD5" i="11" s="1"/>
  <c r="BE5" i="11" s="1"/>
  <c r="BF5" i="11" s="1"/>
  <c r="BG5" i="11" s="1"/>
  <c r="AV13" i="11"/>
  <c r="BH10" i="11"/>
  <c r="R74" i="13" s="1"/>
  <c r="I4" i="1" s="1"/>
  <c r="H37" i="10"/>
  <c r="G71" i="10"/>
  <c r="J18" i="11" s="1"/>
  <c r="J20" i="11" s="1"/>
  <c r="S100" i="11"/>
  <c r="S217" i="11"/>
  <c r="Y116" i="11"/>
  <c r="Y234" i="11"/>
  <c r="AT16" i="11"/>
  <c r="AT17" i="11" s="1"/>
  <c r="AV24" i="11"/>
  <c r="BH24" i="11" s="1"/>
  <c r="R77" i="13" s="1"/>
  <c r="F137" i="10"/>
  <c r="G137" i="10" s="1"/>
  <c r="H137" i="10" s="1"/>
  <c r="I137" i="10" s="1"/>
  <c r="J137" i="10" s="1"/>
  <c r="K137" i="10" s="1"/>
  <c r="L137" i="10" s="1"/>
  <c r="M137" i="10" s="1"/>
  <c r="N137" i="10" s="1"/>
  <c r="O137" i="10" s="1"/>
  <c r="P137" i="10" s="1"/>
  <c r="Q137" i="10" s="1"/>
  <c r="R136" i="10" s="1"/>
  <c r="R93" i="11"/>
  <c r="R244" i="11"/>
  <c r="P116" i="13"/>
  <c r="I186" i="1"/>
  <c r="AB22" i="10"/>
  <c r="K220" i="4"/>
  <c r="K190" i="4"/>
  <c r="BT108" i="11"/>
  <c r="BT226" i="11"/>
  <c r="S252" i="11"/>
  <c r="S125" i="11"/>
  <c r="Q90" i="13"/>
  <c r="Q93" i="13"/>
  <c r="Q92" i="13"/>
  <c r="Q84" i="13"/>
  <c r="Q77" i="13"/>
  <c r="Q85" i="13"/>
  <c r="Q80" i="13"/>
  <c r="Q79" i="13"/>
  <c r="Q74" i="13"/>
  <c r="Q75" i="13"/>
  <c r="P76" i="13"/>
  <c r="P78" i="13" s="1"/>
  <c r="P86" i="13" s="1"/>
  <c r="Q83" i="13"/>
  <c r="Q104" i="11"/>
  <c r="Q222" i="11"/>
  <c r="AR114" i="11"/>
  <c r="AR232" i="11"/>
  <c r="O10" i="9"/>
  <c r="F76" i="4"/>
  <c r="I89" i="10"/>
  <c r="J89" i="10" s="1"/>
  <c r="K89" i="10" s="1"/>
  <c r="L89" i="10" s="1"/>
  <c r="M89" i="10" s="1"/>
  <c r="N89" i="10" s="1"/>
  <c r="O89" i="10" s="1"/>
  <c r="P89" i="10" s="1"/>
  <c r="Q89" i="10" s="1"/>
  <c r="R88" i="10"/>
  <c r="G74" i="4"/>
  <c r="N9" i="10"/>
  <c r="U16" i="10" s="1"/>
  <c r="M11" i="9"/>
  <c r="S113" i="11"/>
  <c r="S231" i="11"/>
  <c r="S88" i="11"/>
  <c r="S239" i="11"/>
  <c r="W225" i="11"/>
  <c r="W107" i="11"/>
  <c r="AK16" i="11"/>
  <c r="AV22" i="11"/>
  <c r="BH22" i="11" s="1"/>
  <c r="F91" i="10"/>
  <c r="G91" i="10" s="1"/>
  <c r="H91" i="10" s="1"/>
  <c r="I91" i="10" s="1"/>
  <c r="J91" i="10" s="1"/>
  <c r="K91" i="10" s="1"/>
  <c r="L91" i="10" s="1"/>
  <c r="M91" i="10" s="1"/>
  <c r="N91" i="10" s="1"/>
  <c r="O91" i="10" s="1"/>
  <c r="P91" i="10" s="1"/>
  <c r="Q91" i="10" s="1"/>
  <c r="R90" i="10" s="1"/>
  <c r="C75" i="10"/>
  <c r="C92" i="10"/>
  <c r="C115" i="10" s="1"/>
  <c r="C138" i="10" s="1"/>
  <c r="J76" i="13" l="1"/>
  <c r="J78" i="13" s="1"/>
  <c r="J86" i="13" s="1"/>
  <c r="L75" i="13"/>
  <c r="F20" i="1" s="1"/>
  <c r="T137" i="13"/>
  <c r="H11" i="15"/>
  <c r="AE21" i="11"/>
  <c r="J219" i="1"/>
  <c r="J21" i="1"/>
  <c r="I21" i="1"/>
  <c r="I37" i="1"/>
  <c r="AG21" i="11"/>
  <c r="AD21" i="11"/>
  <c r="AB21" i="11"/>
  <c r="AF21" i="11"/>
  <c r="K19" i="11"/>
  <c r="L26" i="11" s="1"/>
  <c r="K26" i="11"/>
  <c r="AD25" i="11"/>
  <c r="X25" i="11"/>
  <c r="BH13" i="11"/>
  <c r="R84" i="13" s="1"/>
  <c r="AC21" i="11"/>
  <c r="AA21" i="11"/>
  <c r="Z124" i="13"/>
  <c r="Z79" i="13" s="1"/>
  <c r="Z19" i="13" s="1"/>
  <c r="K219" i="1" s="1"/>
  <c r="G158" i="3"/>
  <c r="K144" i="3"/>
  <c r="H114" i="13" s="1"/>
  <c r="K139" i="3"/>
  <c r="H111" i="13" s="1"/>
  <c r="K141" i="3"/>
  <c r="H109" i="13" s="1"/>
  <c r="AK17" i="11"/>
  <c r="AR17" i="11"/>
  <c r="AR25" i="11" s="1"/>
  <c r="AP17" i="11"/>
  <c r="AP25" i="11" s="1"/>
  <c r="AL17" i="11"/>
  <c r="AL25" i="11" s="1"/>
  <c r="AJ17" i="11"/>
  <c r="AN21" i="11" s="1"/>
  <c r="AN17" i="11"/>
  <c r="AH16" i="11"/>
  <c r="AQ17" i="11"/>
  <c r="AQ25" i="11" s="1"/>
  <c r="AM17" i="11"/>
  <c r="AM25" i="11" s="1"/>
  <c r="AO17" i="11"/>
  <c r="AF59" i="13"/>
  <c r="N374" i="1"/>
  <c r="Q21" i="10"/>
  <c r="P21" i="10" s="1"/>
  <c r="I9" i="25"/>
  <c r="I11" i="25" s="1"/>
  <c r="I12" i="25" s="1"/>
  <c r="I14" i="25" s="1"/>
  <c r="I15" i="25" s="1"/>
  <c r="I16" i="25" s="1"/>
  <c r="H9" i="25"/>
  <c r="H11" i="25" s="1"/>
  <c r="H12" i="25" s="1"/>
  <c r="H14" i="25" s="1"/>
  <c r="H15" i="25" s="1"/>
  <c r="H16" i="25" s="1"/>
  <c r="R96" i="13"/>
  <c r="S81" i="13"/>
  <c r="S82" i="13"/>
  <c r="W92" i="11"/>
  <c r="W243" i="11"/>
  <c r="S235" i="11"/>
  <c r="S117" i="11"/>
  <c r="J62" i="13"/>
  <c r="L116" i="13"/>
  <c r="J63" i="3"/>
  <c r="I154" i="3"/>
  <c r="I157" i="3"/>
  <c r="K93" i="3"/>
  <c r="H102" i="13" s="1"/>
  <c r="M143" i="3" a="1"/>
  <c r="M143" i="3" s="1"/>
  <c r="H98" i="13"/>
  <c r="J54" i="3"/>
  <c r="J55" i="3"/>
  <c r="J47" i="3"/>
  <c r="J48" i="3"/>
  <c r="J45" i="3"/>
  <c r="J46" i="3"/>
  <c r="I99" i="3"/>
  <c r="V17" i="11"/>
  <c r="Z21" i="11" s="1"/>
  <c r="Q236" i="11"/>
  <c r="Q118" i="11"/>
  <c r="AS25" i="11"/>
  <c r="AT25" i="11"/>
  <c r="BT13" i="11"/>
  <c r="BT4" i="11"/>
  <c r="N11" i="9"/>
  <c r="G75" i="4"/>
  <c r="T245" i="11"/>
  <c r="T94" i="11"/>
  <c r="S241" i="11"/>
  <c r="S90" i="11"/>
  <c r="H20" i="1"/>
  <c r="N116" i="13"/>
  <c r="O75" i="13"/>
  <c r="N76" i="13"/>
  <c r="BN4" i="11"/>
  <c r="BN13" i="11"/>
  <c r="T139" i="13"/>
  <c r="J39" i="1" s="1"/>
  <c r="AF35" i="13"/>
  <c r="N301" i="1"/>
  <c r="O138" i="10"/>
  <c r="BR24" i="11" s="1"/>
  <c r="G138" i="10"/>
  <c r="BJ24" i="11" s="1"/>
  <c r="N138" i="10"/>
  <c r="BQ24" i="11" s="1"/>
  <c r="F138" i="10"/>
  <c r="L138" i="10"/>
  <c r="BO24" i="11" s="1"/>
  <c r="J138" i="10"/>
  <c r="BM24" i="11" s="1"/>
  <c r="I138" i="10"/>
  <c r="BL24" i="11" s="1"/>
  <c r="P138" i="10"/>
  <c r="BS24" i="11" s="1"/>
  <c r="M138" i="10"/>
  <c r="BP24" i="11" s="1"/>
  <c r="K138" i="10"/>
  <c r="BN24" i="11" s="1"/>
  <c r="Q138" i="10"/>
  <c r="BT24" i="11" s="1"/>
  <c r="H138" i="10"/>
  <c r="BK24" i="11" s="1"/>
  <c r="J70" i="3"/>
  <c r="J56" i="3"/>
  <c r="J36" i="3"/>
  <c r="J32" i="3"/>
  <c r="J28" i="3"/>
  <c r="J20" i="3"/>
  <c r="J68" i="3"/>
  <c r="J62" i="3"/>
  <c r="J59" i="3"/>
  <c r="J35" i="3"/>
  <c r="J27" i="3"/>
  <c r="J24" i="3"/>
  <c r="J19" i="3"/>
  <c r="J16" i="3"/>
  <c r="J72" i="3"/>
  <c r="J61" i="3"/>
  <c r="J31" i="3"/>
  <c r="J26" i="3"/>
  <c r="J18" i="3"/>
  <c r="J53" i="3"/>
  <c r="J49" i="3"/>
  <c r="J41" i="3"/>
  <c r="J29" i="3"/>
  <c r="J60" i="3"/>
  <c r="J52" i="3"/>
  <c r="J44" i="3"/>
  <c r="J40" i="3"/>
  <c r="J33" i="3"/>
  <c r="J25" i="3"/>
  <c r="J64" i="3"/>
  <c r="J57" i="3"/>
  <c r="J50" i="3"/>
  <c r="J42" i="3"/>
  <c r="J37" i="3"/>
  <c r="J34" i="3"/>
  <c r="J21" i="3"/>
  <c r="J38" i="3"/>
  <c r="J69" i="3"/>
  <c r="J66" i="3"/>
  <c r="J39" i="3"/>
  <c r="J30" i="3"/>
  <c r="J22" i="3"/>
  <c r="J58" i="3"/>
  <c r="J17" i="3"/>
  <c r="J71" i="3"/>
  <c r="J51" i="3"/>
  <c r="J43" i="3"/>
  <c r="J73" i="3"/>
  <c r="J23" i="3"/>
  <c r="J67" i="3"/>
  <c r="J65" i="3"/>
  <c r="P22" i="9"/>
  <c r="J23" i="9"/>
  <c r="J57" i="9" s="1"/>
  <c r="I57" i="9"/>
  <c r="N11" i="11" s="1"/>
  <c r="N12" i="11" s="1"/>
  <c r="N14" i="11" s="1"/>
  <c r="AB20" i="13"/>
  <c r="L252" i="1" s="1"/>
  <c r="U25" i="11"/>
  <c r="U21" i="11"/>
  <c r="U17" i="11"/>
  <c r="CC89" i="11"/>
  <c r="CC240" i="11"/>
  <c r="BS4" i="11"/>
  <c r="BS13" i="11"/>
  <c r="S244" i="11"/>
  <c r="S93" i="11"/>
  <c r="C94" i="10"/>
  <c r="C117" i="10" s="1"/>
  <c r="C140" i="10" s="1"/>
  <c r="C76" i="10"/>
  <c r="H25" i="9"/>
  <c r="G58" i="9"/>
  <c r="Y11" i="11" s="1"/>
  <c r="Y12" i="11" s="1"/>
  <c r="Y14" i="11" s="1"/>
  <c r="S95" i="11"/>
  <c r="S246" i="11"/>
  <c r="AD7" i="13"/>
  <c r="C36" i="9"/>
  <c r="P8" i="10"/>
  <c r="X15" i="10" s="1"/>
  <c r="F29" i="9"/>
  <c r="E60" i="9"/>
  <c r="AW11" i="11" s="1"/>
  <c r="AW12" i="11" s="1"/>
  <c r="AW14" i="11" s="1"/>
  <c r="G20" i="1"/>
  <c r="M75" i="13"/>
  <c r="L76" i="13"/>
  <c r="L97" i="13" s="1"/>
  <c r="BP4" i="11"/>
  <c r="BP13" i="11"/>
  <c r="Z234" i="11"/>
  <c r="Z116" i="11"/>
  <c r="Q76" i="13"/>
  <c r="BV108" i="11"/>
  <c r="BV226" i="11"/>
  <c r="S227" i="11"/>
  <c r="S109" i="11"/>
  <c r="L42" i="10"/>
  <c r="BB15" i="11" s="1"/>
  <c r="K42" i="10"/>
  <c r="BA15" i="11" s="1"/>
  <c r="Q42" i="10"/>
  <c r="BG15" i="11" s="1"/>
  <c r="I42" i="10"/>
  <c r="AY15" i="11" s="1"/>
  <c r="P42" i="10"/>
  <c r="BF15" i="11" s="1"/>
  <c r="O42" i="10"/>
  <c r="BE15" i="11" s="1"/>
  <c r="M42" i="10"/>
  <c r="BC15" i="11" s="1"/>
  <c r="G42" i="10"/>
  <c r="AW15" i="11" s="1"/>
  <c r="F42" i="10"/>
  <c r="N42" i="10"/>
  <c r="BD15" i="11" s="1"/>
  <c r="J42" i="10"/>
  <c r="AZ15" i="11" s="1"/>
  <c r="H42" i="10"/>
  <c r="AX15" i="11" s="1"/>
  <c r="P19" i="10"/>
  <c r="M115" i="10"/>
  <c r="BP23" i="11" s="1"/>
  <c r="L115" i="10"/>
  <c r="BO23" i="11" s="1"/>
  <c r="J115" i="10"/>
  <c r="BM23" i="11" s="1"/>
  <c r="K115" i="10"/>
  <c r="BN23" i="11" s="1"/>
  <c r="I115" i="10"/>
  <c r="BL23" i="11" s="1"/>
  <c r="G115" i="10"/>
  <c r="BJ23" i="11" s="1"/>
  <c r="Q115" i="10"/>
  <c r="BT23" i="11" s="1"/>
  <c r="P115" i="10"/>
  <c r="BS23" i="11" s="1"/>
  <c r="O115" i="10"/>
  <c r="BR23" i="11" s="1"/>
  <c r="H115" i="10"/>
  <c r="BK23" i="11" s="1"/>
  <c r="F115" i="10"/>
  <c r="N115" i="10"/>
  <c r="BQ23" i="11" s="1"/>
  <c r="M12" i="11"/>
  <c r="M14" i="11" s="1"/>
  <c r="S250" i="11"/>
  <c r="S123" i="11"/>
  <c r="R119" i="11"/>
  <c r="AD58" i="13"/>
  <c r="M354" i="1"/>
  <c r="BI10" i="11"/>
  <c r="D31" i="9"/>
  <c r="P30" i="9"/>
  <c r="AS114" i="11"/>
  <c r="AS232" i="11"/>
  <c r="T217" i="11"/>
  <c r="T100" i="11"/>
  <c r="S233" i="11"/>
  <c r="S115" i="11"/>
  <c r="W247" i="11"/>
  <c r="W120" i="11"/>
  <c r="W229" i="11"/>
  <c r="W111" i="11"/>
  <c r="S254" i="11"/>
  <c r="S127" i="11"/>
  <c r="AD80" i="13"/>
  <c r="M38" i="1"/>
  <c r="X225" i="11"/>
  <c r="X107" i="11"/>
  <c r="Q78" i="13"/>
  <c r="E50" i="9"/>
  <c r="K232" i="4"/>
  <c r="K244" i="4" s="1"/>
  <c r="G64" i="10" s="1"/>
  <c r="T75" i="13"/>
  <c r="S20" i="10"/>
  <c r="S19" i="10" s="1"/>
  <c r="AH54" i="13"/>
  <c r="O355" i="1"/>
  <c r="BK4" i="11"/>
  <c r="BK13" i="11"/>
  <c r="T113" i="11"/>
  <c r="T231" i="11"/>
  <c r="R104" i="11"/>
  <c r="R222" i="11"/>
  <c r="R36" i="10"/>
  <c r="I37" i="10"/>
  <c r="H71" i="10"/>
  <c r="K18" i="11" s="1"/>
  <c r="K20" i="11" s="1"/>
  <c r="CX128" i="11"/>
  <c r="CX255" i="11"/>
  <c r="S253" i="11"/>
  <c r="S126" i="11"/>
  <c r="W86" i="11"/>
  <c r="W237" i="11"/>
  <c r="AD60" i="13"/>
  <c r="M373" i="1"/>
  <c r="H65" i="13"/>
  <c r="BQ13" i="11"/>
  <c r="BQ4" i="11"/>
  <c r="BL13" i="11"/>
  <c r="BL4" i="11"/>
  <c r="AB134" i="13"/>
  <c r="AC7" i="13"/>
  <c r="AB72" i="13"/>
  <c r="V251" i="11"/>
  <c r="V124" i="11"/>
  <c r="K92" i="10"/>
  <c r="BN22" i="11" s="1"/>
  <c r="J92" i="10"/>
  <c r="BM22" i="11" s="1"/>
  <c r="P92" i="10"/>
  <c r="BS22" i="11" s="1"/>
  <c r="H92" i="10"/>
  <c r="BK22" i="11" s="1"/>
  <c r="M92" i="10"/>
  <c r="BP22" i="11" s="1"/>
  <c r="L92" i="10"/>
  <c r="BO22" i="11" s="1"/>
  <c r="G92" i="10"/>
  <c r="BJ22" i="11" s="1"/>
  <c r="Q92" i="10"/>
  <c r="BT22" i="11" s="1"/>
  <c r="O92" i="10"/>
  <c r="BR22" i="11" s="1"/>
  <c r="N92" i="10"/>
  <c r="BQ22" i="11" s="1"/>
  <c r="I92" i="10"/>
  <c r="BL22" i="11" s="1"/>
  <c r="F92" i="10"/>
  <c r="S93" i="13"/>
  <c r="S74" i="13"/>
  <c r="S85" i="13"/>
  <c r="S90" i="13"/>
  <c r="S75" i="13"/>
  <c r="S92" i="13"/>
  <c r="S77" i="13"/>
  <c r="R76" i="13"/>
  <c r="R78" i="13" s="1"/>
  <c r="R86" i="13" s="1"/>
  <c r="S84" i="13"/>
  <c r="S79" i="13"/>
  <c r="S80" i="13"/>
  <c r="S83" i="13"/>
  <c r="DU103" i="11"/>
  <c r="EH94" i="11"/>
  <c r="EH103" i="11" s="1"/>
  <c r="G41" i="10"/>
  <c r="F73" i="10"/>
  <c r="AI18" i="11" s="1"/>
  <c r="AF112" i="11"/>
  <c r="AF230" i="11"/>
  <c r="V248" i="11"/>
  <c r="V121" i="11"/>
  <c r="L14" i="11"/>
  <c r="V223" i="11"/>
  <c r="V105" i="11"/>
  <c r="H39" i="10"/>
  <c r="G72" i="10"/>
  <c r="W18" i="11" s="1"/>
  <c r="W20" i="11" s="1"/>
  <c r="S256" i="11"/>
  <c r="S129" i="11"/>
  <c r="BR13" i="11"/>
  <c r="BR4" i="11"/>
  <c r="BM4" i="11"/>
  <c r="BM13" i="11"/>
  <c r="K191" i="4"/>
  <c r="K221" i="4"/>
  <c r="C63" i="9"/>
  <c r="C48" i="10"/>
  <c r="G27" i="9"/>
  <c r="F59" i="9"/>
  <c r="AK11" i="11" s="1"/>
  <c r="AK12" i="11" s="1"/>
  <c r="AK14" i="11" s="1"/>
  <c r="BE87" i="11"/>
  <c r="BE238" i="11"/>
  <c r="AJ12" i="11"/>
  <c r="AJ14" i="11" s="1"/>
  <c r="K159" i="3"/>
  <c r="K73" i="3"/>
  <c r="I32" i="9"/>
  <c r="CA10" i="11" s="1"/>
  <c r="H32" i="9"/>
  <c r="BZ10" i="11" s="1"/>
  <c r="N32" i="9"/>
  <c r="CF10" i="11" s="1"/>
  <c r="F32" i="9"/>
  <c r="BX10" i="11" s="1"/>
  <c r="G32" i="9"/>
  <c r="BY10" i="11" s="1"/>
  <c r="E32" i="9"/>
  <c r="BW10" i="11" s="1"/>
  <c r="O32" i="9"/>
  <c r="CG10" i="11" s="1"/>
  <c r="M32" i="9"/>
  <c r="CE10" i="11" s="1"/>
  <c r="L32" i="9"/>
  <c r="CD10" i="11" s="1"/>
  <c r="K32" i="9"/>
  <c r="CC10" i="11" s="1"/>
  <c r="J32" i="9"/>
  <c r="CB10" i="11" s="1"/>
  <c r="D32" i="9"/>
  <c r="P97" i="13"/>
  <c r="P98" i="13"/>
  <c r="T88" i="11"/>
  <c r="T239" i="11"/>
  <c r="U24" i="10"/>
  <c r="U25" i="10"/>
  <c r="U22" i="10"/>
  <c r="U23" i="10"/>
  <c r="P10" i="9"/>
  <c r="F77" i="4"/>
  <c r="T252" i="11"/>
  <c r="T125" i="11"/>
  <c r="AI16" i="11"/>
  <c r="AU15" i="11"/>
  <c r="S228" i="11"/>
  <c r="S110" i="11"/>
  <c r="BJ13" i="11"/>
  <c r="BJ4" i="11"/>
  <c r="BO13" i="11"/>
  <c r="BO4" i="11"/>
  <c r="T103" i="11"/>
  <c r="T221" i="11"/>
  <c r="AP21" i="11" l="1"/>
  <c r="L19" i="11"/>
  <c r="M19" i="11" s="1"/>
  <c r="J20" i="1"/>
  <c r="I53" i="1"/>
  <c r="Z126" i="13"/>
  <c r="AB124" i="13" s="1"/>
  <c r="AB79" i="13" s="1"/>
  <c r="AB137" i="13" s="1"/>
  <c r="AJ25" i="11"/>
  <c r="AO25" i="11"/>
  <c r="AS21" i="11"/>
  <c r="M26" i="11"/>
  <c r="AT21" i="11"/>
  <c r="AO21" i="11"/>
  <c r="AH17" i="11"/>
  <c r="Z137" i="13"/>
  <c r="Z139" i="13" s="1"/>
  <c r="K39" i="1" s="1"/>
  <c r="AK25" i="11"/>
  <c r="AR21" i="11"/>
  <c r="AQ21" i="11"/>
  <c r="V25" i="11"/>
  <c r="AH25" i="11" s="1"/>
  <c r="AN25" i="11"/>
  <c r="I158" i="3"/>
  <c r="P103" i="13"/>
  <c r="G6" i="14" s="1"/>
  <c r="G7" i="14" s="1"/>
  <c r="AU16" i="11"/>
  <c r="AH59" i="13"/>
  <c r="O374" i="1"/>
  <c r="H66" i="13"/>
  <c r="I22" i="13" s="1"/>
  <c r="R98" i="13"/>
  <c r="T235" i="11"/>
  <c r="T117" i="11"/>
  <c r="X243" i="11"/>
  <c r="X92" i="11"/>
  <c r="J29" i="13"/>
  <c r="L29" i="13" s="1"/>
  <c r="F276" i="1" s="1"/>
  <c r="K157" i="3"/>
  <c r="L63" i="3"/>
  <c r="D6" i="14"/>
  <c r="D7" i="14" s="1"/>
  <c r="D11" i="14" s="1"/>
  <c r="L54" i="3"/>
  <c r="L55" i="3"/>
  <c r="L46" i="3"/>
  <c r="L47" i="3"/>
  <c r="L48" i="3"/>
  <c r="L45" i="3"/>
  <c r="K99" i="3"/>
  <c r="L25" i="3"/>
  <c r="L20" i="3"/>
  <c r="L19" i="3"/>
  <c r="R97" i="13"/>
  <c r="R236" i="11"/>
  <c r="R118" i="11"/>
  <c r="Q44" i="10"/>
  <c r="BT15" i="11" s="1"/>
  <c r="I44" i="10"/>
  <c r="BL15" i="11" s="1"/>
  <c r="P44" i="10"/>
  <c r="BS15" i="11" s="1"/>
  <c r="H44" i="10"/>
  <c r="BK15" i="11" s="1"/>
  <c r="N44" i="10"/>
  <c r="BQ15" i="11" s="1"/>
  <c r="F44" i="10"/>
  <c r="M44" i="10"/>
  <c r="BP15" i="11" s="1"/>
  <c r="L44" i="10"/>
  <c r="BO15" i="11" s="1"/>
  <c r="J44" i="10"/>
  <c r="BM15" i="11" s="1"/>
  <c r="O44" i="10"/>
  <c r="BR15" i="11" s="1"/>
  <c r="K44" i="10"/>
  <c r="BN15" i="11" s="1"/>
  <c r="G44" i="10"/>
  <c r="BJ15" i="11" s="1"/>
  <c r="R19" i="10"/>
  <c r="S21" i="10"/>
  <c r="R21" i="10" s="1"/>
  <c r="E51" i="9"/>
  <c r="K233" i="4"/>
  <c r="K245" i="4" s="1"/>
  <c r="G65" i="10" s="1"/>
  <c r="W223" i="11"/>
  <c r="W105" i="11"/>
  <c r="W251" i="11"/>
  <c r="W124" i="11"/>
  <c r="V100" i="11"/>
  <c r="V217" i="11"/>
  <c r="BI23" i="11"/>
  <c r="BU23" i="11" s="1"/>
  <c r="F116" i="10"/>
  <c r="G116" i="10" s="1"/>
  <c r="H116" i="10" s="1"/>
  <c r="I116" i="10" s="1"/>
  <c r="J116" i="10" s="1"/>
  <c r="K116" i="10" s="1"/>
  <c r="L116" i="10" s="1"/>
  <c r="M116" i="10" s="1"/>
  <c r="N116" i="10" s="1"/>
  <c r="O116" i="10" s="1"/>
  <c r="P116" i="10" s="1"/>
  <c r="Q116" i="10" s="1"/>
  <c r="R115" i="10" s="1"/>
  <c r="AW16" i="11"/>
  <c r="BB16" i="11"/>
  <c r="J99" i="11"/>
  <c r="AF97" i="4"/>
  <c r="AD20" i="13"/>
  <c r="M252" i="1" s="1"/>
  <c r="AH35" i="13"/>
  <c r="O301" i="1"/>
  <c r="N78" i="13"/>
  <c r="N86" i="13" s="1"/>
  <c r="O76" i="13"/>
  <c r="N97" i="13"/>
  <c r="J79" i="4"/>
  <c r="Q10" i="9"/>
  <c r="T127" i="11"/>
  <c r="T254" i="11"/>
  <c r="AF7" i="13"/>
  <c r="Q8" i="10"/>
  <c r="Z15" i="10" s="1"/>
  <c r="C38" i="9"/>
  <c r="CC4" i="11"/>
  <c r="CC13" i="11"/>
  <c r="BZ4" i="11"/>
  <c r="BZ13" i="11"/>
  <c r="AI17" i="11"/>
  <c r="J117" i="10"/>
  <c r="BZ23" i="11" s="1"/>
  <c r="Q117" i="10"/>
  <c r="CG23" i="11" s="1"/>
  <c r="I117" i="10"/>
  <c r="BY23" i="11" s="1"/>
  <c r="O117" i="10"/>
  <c r="CE23" i="11" s="1"/>
  <c r="G117" i="10"/>
  <c r="BW23" i="11" s="1"/>
  <c r="K117" i="10"/>
  <c r="CA23" i="11" s="1"/>
  <c r="H117" i="10"/>
  <c r="BX23" i="11" s="1"/>
  <c r="M117" i="10"/>
  <c r="CC23" i="11" s="1"/>
  <c r="L117" i="10"/>
  <c r="CB23" i="11" s="1"/>
  <c r="F117" i="10"/>
  <c r="P117" i="10"/>
  <c r="CF23" i="11" s="1"/>
  <c r="N117" i="10"/>
  <c r="CD23" i="11" s="1"/>
  <c r="CD13" i="11"/>
  <c r="CD4" i="11"/>
  <c r="CA13" i="11"/>
  <c r="CA4" i="11"/>
  <c r="BF87" i="11"/>
  <c r="BF238" i="11"/>
  <c r="K192" i="4"/>
  <c r="K222" i="4"/>
  <c r="H41" i="10"/>
  <c r="G73" i="10"/>
  <c r="AJ18" i="11" s="1"/>
  <c r="AJ20" i="11" s="1"/>
  <c r="F93" i="10"/>
  <c r="G93" i="10" s="1"/>
  <c r="H93" i="10" s="1"/>
  <c r="I93" i="10" s="1"/>
  <c r="J93" i="10" s="1"/>
  <c r="K93" i="10" s="1"/>
  <c r="L93" i="10" s="1"/>
  <c r="M93" i="10" s="1"/>
  <c r="N93" i="10" s="1"/>
  <c r="O93" i="10" s="1"/>
  <c r="P93" i="10" s="1"/>
  <c r="Q93" i="10" s="1"/>
  <c r="R92" i="10" s="1"/>
  <c r="BI22" i="11"/>
  <c r="BU22" i="11" s="1"/>
  <c r="X237" i="11"/>
  <c r="X86" i="11"/>
  <c r="Y107" i="11"/>
  <c r="Y225" i="11"/>
  <c r="X229" i="11"/>
  <c r="X111" i="11"/>
  <c r="AF58" i="13"/>
  <c r="N354" i="1"/>
  <c r="BC16" i="11"/>
  <c r="T109" i="11"/>
  <c r="T227" i="11"/>
  <c r="C50" i="10"/>
  <c r="C64" i="9"/>
  <c r="T244" i="11"/>
  <c r="T93" i="11"/>
  <c r="G76" i="4"/>
  <c r="O11" i="9"/>
  <c r="CB13" i="11"/>
  <c r="CB4" i="11"/>
  <c r="J37" i="10"/>
  <c r="I71" i="10"/>
  <c r="L18" i="11" s="1"/>
  <c r="L20" i="11" s="1"/>
  <c r="P94" i="10"/>
  <c r="CF22" i="11" s="1"/>
  <c r="H94" i="10"/>
  <c r="BX22" i="11" s="1"/>
  <c r="O94" i="10"/>
  <c r="CE22" i="11" s="1"/>
  <c r="G94" i="10"/>
  <c r="BW22" i="11" s="1"/>
  <c r="M94" i="10"/>
  <c r="CC22" i="11" s="1"/>
  <c r="K94" i="10"/>
  <c r="CA22" i="11" s="1"/>
  <c r="J94" i="10"/>
  <c r="BZ22" i="11" s="1"/>
  <c r="F94" i="10"/>
  <c r="Q94" i="10"/>
  <c r="CG22" i="11" s="1"/>
  <c r="N94" i="10"/>
  <c r="CD22" i="11" s="1"/>
  <c r="L94" i="10"/>
  <c r="CB22" i="11" s="1"/>
  <c r="I94" i="10"/>
  <c r="BY22" i="11" s="1"/>
  <c r="V239" i="11"/>
  <c r="V88" i="11"/>
  <c r="L72" i="3"/>
  <c r="L62" i="3"/>
  <c r="L35" i="3"/>
  <c r="L31" i="3"/>
  <c r="L27" i="3"/>
  <c r="L61" i="3"/>
  <c r="L26" i="3"/>
  <c r="L18" i="3"/>
  <c r="L60" i="3"/>
  <c r="L53" i="3"/>
  <c r="L49" i="3"/>
  <c r="L41" i="3"/>
  <c r="L33" i="3"/>
  <c r="L29" i="3"/>
  <c r="L73" i="3"/>
  <c r="L69" i="3"/>
  <c r="L52" i="3"/>
  <c r="L44" i="3"/>
  <c r="L40" i="3"/>
  <c r="L67" i="3"/>
  <c r="L58" i="3"/>
  <c r="L51" i="3"/>
  <c r="L43" i="3"/>
  <c r="L39" i="3"/>
  <c r="L68" i="3"/>
  <c r="L59" i="3"/>
  <c r="L56" i="3"/>
  <c r="L36" i="3"/>
  <c r="L32" i="3"/>
  <c r="L28" i="3"/>
  <c r="L24" i="3"/>
  <c r="L66" i="3"/>
  <c r="L30" i="3"/>
  <c r="L22" i="3"/>
  <c r="L38" i="3"/>
  <c r="L57" i="3"/>
  <c r="L34" i="3"/>
  <c r="L17" i="3"/>
  <c r="L65" i="3"/>
  <c r="L37" i="3"/>
  <c r="L50" i="3"/>
  <c r="L71" i="3"/>
  <c r="L64" i="3"/>
  <c r="L16" i="3"/>
  <c r="L23" i="3"/>
  <c r="L21" i="3"/>
  <c r="L70" i="3"/>
  <c r="L42" i="3"/>
  <c r="AD134" i="13"/>
  <c r="AE7" i="13"/>
  <c r="AD72" i="13"/>
  <c r="T253" i="11"/>
  <c r="T126" i="11"/>
  <c r="O34" i="9"/>
  <c r="CT10" i="11" s="1"/>
  <c r="G34" i="9"/>
  <c r="CL10" i="11" s="1"/>
  <c r="N34" i="9"/>
  <c r="CS10" i="11" s="1"/>
  <c r="F34" i="9"/>
  <c r="CK10" i="11" s="1"/>
  <c r="L34" i="9"/>
  <c r="CQ10" i="11" s="1"/>
  <c r="D34" i="9"/>
  <c r="H34" i="9"/>
  <c r="CM10" i="11" s="1"/>
  <c r="E34" i="9"/>
  <c r="CJ10" i="11" s="1"/>
  <c r="J34" i="9"/>
  <c r="CO10" i="11" s="1"/>
  <c r="I34" i="9"/>
  <c r="CN10" i="11" s="1"/>
  <c r="O9" i="10"/>
  <c r="W16" i="10" s="1"/>
  <c r="M34" i="9"/>
  <c r="CR10" i="11" s="1"/>
  <c r="K34" i="9"/>
  <c r="CP10" i="11" s="1"/>
  <c r="Z77" i="13"/>
  <c r="L140" i="10"/>
  <c r="CB24" i="11" s="1"/>
  <c r="K140" i="10"/>
  <c r="CA24" i="11" s="1"/>
  <c r="Q140" i="10"/>
  <c r="CG24" i="11" s="1"/>
  <c r="I140" i="10"/>
  <c r="BY24" i="11" s="1"/>
  <c r="H140" i="10"/>
  <c r="BX24" i="11" s="1"/>
  <c r="G140" i="10"/>
  <c r="BW24" i="11" s="1"/>
  <c r="P140" i="10"/>
  <c r="CF24" i="11" s="1"/>
  <c r="J140" i="10"/>
  <c r="BZ24" i="11" s="1"/>
  <c r="F140" i="10"/>
  <c r="M140" i="10"/>
  <c r="CC24" i="11" s="1"/>
  <c r="N140" i="10"/>
  <c r="CD24" i="11" s="1"/>
  <c r="O140" i="10"/>
  <c r="CE24" i="11" s="1"/>
  <c r="H27" i="9"/>
  <c r="G59" i="9"/>
  <c r="AL11" i="11" s="1"/>
  <c r="AL12" i="11" s="1"/>
  <c r="AL14" i="11" s="1"/>
  <c r="R103" i="13"/>
  <c r="H6" i="24" s="1"/>
  <c r="H7" i="24" s="1"/>
  <c r="S104" i="11"/>
  <c r="S222" i="11"/>
  <c r="AT114" i="11"/>
  <c r="AT232" i="11"/>
  <c r="T123" i="11"/>
  <c r="T250" i="11"/>
  <c r="S119" i="11"/>
  <c r="BF16" i="11"/>
  <c r="BF17" i="11" s="1"/>
  <c r="L78" i="13"/>
  <c r="L86" i="13" s="1"/>
  <c r="M76" i="13"/>
  <c r="G29" i="9"/>
  <c r="F60" i="9"/>
  <c r="AX11" i="11" s="1"/>
  <c r="AX12" i="11" s="1"/>
  <c r="AX14" i="11" s="1"/>
  <c r="BI24" i="11"/>
  <c r="BU24" i="11" s="1"/>
  <c r="T77" i="13" s="1"/>
  <c r="F139" i="10"/>
  <c r="G139" i="10" s="1"/>
  <c r="H139" i="10" s="1"/>
  <c r="I139" i="10" s="1"/>
  <c r="J139" i="10" s="1"/>
  <c r="K139" i="10" s="1"/>
  <c r="L139" i="10" s="1"/>
  <c r="M139" i="10" s="1"/>
  <c r="N139" i="10" s="1"/>
  <c r="O139" i="10" s="1"/>
  <c r="P139" i="10" s="1"/>
  <c r="Q139" i="10" s="1"/>
  <c r="R138" i="10" s="1"/>
  <c r="T13" i="13"/>
  <c r="J186" i="1" s="1"/>
  <c r="U18" i="10"/>
  <c r="R20" i="10"/>
  <c r="BE16" i="11"/>
  <c r="CG4" i="11"/>
  <c r="CG13" i="11"/>
  <c r="BW13" i="11"/>
  <c r="BW4" i="11"/>
  <c r="C96" i="10"/>
  <c r="C119" i="10" s="1"/>
  <c r="C142" i="10" s="1"/>
  <c r="C77" i="10"/>
  <c r="W248" i="11"/>
  <c r="W121" i="11"/>
  <c r="K154" i="3"/>
  <c r="X247" i="11"/>
  <c r="X120" i="11"/>
  <c r="AX16" i="11"/>
  <c r="AY16" i="11"/>
  <c r="BW108" i="11"/>
  <c r="BW226" i="11"/>
  <c r="T95" i="11"/>
  <c r="T246" i="11"/>
  <c r="CF13" i="11"/>
  <c r="CF4" i="11"/>
  <c r="AG112" i="11"/>
  <c r="AG230" i="11"/>
  <c r="F43" i="10"/>
  <c r="AV15" i="11"/>
  <c r="CD89" i="11"/>
  <c r="CD240" i="11"/>
  <c r="K23" i="9"/>
  <c r="O11" i="11"/>
  <c r="V103" i="11"/>
  <c r="V221" i="11"/>
  <c r="V252" i="11"/>
  <c r="V125" i="11"/>
  <c r="CY128" i="11"/>
  <c r="CY255" i="11"/>
  <c r="V231" i="11"/>
  <c r="V113" i="11"/>
  <c r="E31" i="9"/>
  <c r="D61" i="9"/>
  <c r="BI11" i="11" s="1"/>
  <c r="AZ16" i="11"/>
  <c r="BG16" i="11"/>
  <c r="BG17" i="11" s="1"/>
  <c r="T241" i="11"/>
  <c r="T90" i="11"/>
  <c r="V94" i="11"/>
  <c r="V245" i="11"/>
  <c r="CE13" i="11"/>
  <c r="CE4" i="11"/>
  <c r="T256" i="11"/>
  <c r="T129" i="11"/>
  <c r="T110" i="11"/>
  <c r="T228" i="11"/>
  <c r="Z75" i="13"/>
  <c r="U20" i="10"/>
  <c r="BY4" i="11"/>
  <c r="BY13" i="11"/>
  <c r="I39" i="10"/>
  <c r="H72" i="10"/>
  <c r="X18" i="11" s="1"/>
  <c r="X20" i="11" s="1"/>
  <c r="BV10" i="11"/>
  <c r="D33" i="9"/>
  <c r="P32" i="9"/>
  <c r="BX13" i="11"/>
  <c r="BX4" i="11"/>
  <c r="S76" i="13"/>
  <c r="S78" i="13"/>
  <c r="AF60" i="13"/>
  <c r="N373" i="1"/>
  <c r="AF80" i="13"/>
  <c r="N38" i="1" s="1"/>
  <c r="T115" i="11"/>
  <c r="T233" i="11"/>
  <c r="BU10" i="11"/>
  <c r="T74" i="13" s="1"/>
  <c r="J4" i="1" s="1"/>
  <c r="BI13" i="11"/>
  <c r="BU13" i="11" s="1"/>
  <c r="T84" i="13" s="1"/>
  <c r="BI4" i="11"/>
  <c r="BI5" i="11" s="1"/>
  <c r="BJ5" i="11" s="1"/>
  <c r="BK5" i="11" s="1"/>
  <c r="BL5" i="11" s="1"/>
  <c r="BM5" i="11" s="1"/>
  <c r="BN5" i="11" s="1"/>
  <c r="BO5" i="11" s="1"/>
  <c r="BP5" i="11" s="1"/>
  <c r="BQ5" i="11" s="1"/>
  <c r="BR5" i="11" s="1"/>
  <c r="BS5" i="11" s="1"/>
  <c r="BT5" i="11" s="1"/>
  <c r="BD16" i="11"/>
  <c r="BA16" i="11"/>
  <c r="AA116" i="11"/>
  <c r="AA234" i="11"/>
  <c r="Q86" i="13"/>
  <c r="I25" i="9"/>
  <c r="H58" i="9"/>
  <c r="Z11" i="11" s="1"/>
  <c r="Z12" i="11" s="1"/>
  <c r="Z14" i="11" s="1"/>
  <c r="AB19" i="13" l="1"/>
  <c r="L219" i="1" s="1"/>
  <c r="J53" i="1"/>
  <c r="K37" i="1"/>
  <c r="J37" i="1"/>
  <c r="L21" i="1"/>
  <c r="K21" i="1"/>
  <c r="K20" i="1"/>
  <c r="N19" i="11"/>
  <c r="N26" i="11"/>
  <c r="I21" i="13"/>
  <c r="I28" i="13"/>
  <c r="I9" i="13"/>
  <c r="I27" i="13"/>
  <c r="I14" i="13"/>
  <c r="I36" i="13"/>
  <c r="I31" i="13"/>
  <c r="I64" i="13"/>
  <c r="I59" i="13"/>
  <c r="I39" i="13"/>
  <c r="I65" i="13"/>
  <c r="I47" i="13"/>
  <c r="I15" i="13"/>
  <c r="I17" i="13"/>
  <c r="I11" i="13"/>
  <c r="I41" i="13"/>
  <c r="I48" i="13"/>
  <c r="I58" i="13"/>
  <c r="I40" i="13"/>
  <c r="H67" i="13"/>
  <c r="I18" i="13"/>
  <c r="I29" i="13"/>
  <c r="I42" i="13"/>
  <c r="I32" i="13"/>
  <c r="I34" i="13"/>
  <c r="I16" i="13"/>
  <c r="I37" i="13"/>
  <c r="I54" i="13"/>
  <c r="I51" i="13"/>
  <c r="I60" i="13"/>
  <c r="I10" i="13"/>
  <c r="I20" i="13"/>
  <c r="I61" i="13"/>
  <c r="I24" i="13"/>
  <c r="I53" i="13"/>
  <c r="I55" i="13"/>
  <c r="I26" i="13"/>
  <c r="I46" i="13"/>
  <c r="I57" i="13"/>
  <c r="I50" i="13"/>
  <c r="I13" i="13"/>
  <c r="I23" i="13"/>
  <c r="I43" i="13"/>
  <c r="I33" i="13"/>
  <c r="I19" i="13"/>
  <c r="I38" i="13"/>
  <c r="I44" i="13"/>
  <c r="I25" i="13"/>
  <c r="I63" i="13"/>
  <c r="I45" i="13"/>
  <c r="I66" i="13"/>
  <c r="I56" i="13"/>
  <c r="I52" i="13"/>
  <c r="I35" i="13"/>
  <c r="I49" i="13"/>
  <c r="I12" i="13"/>
  <c r="I30" i="13"/>
  <c r="I62" i="13"/>
  <c r="R104" i="13" a="1"/>
  <c r="R104" i="13" s="1"/>
  <c r="G6" i="24"/>
  <c r="G7" i="24" s="1"/>
  <c r="BA17" i="11"/>
  <c r="BA25" i="11" s="1"/>
  <c r="BD17" i="11"/>
  <c r="BD25" i="11" s="1"/>
  <c r="AZ17" i="11"/>
  <c r="AZ25" i="11" s="1"/>
  <c r="AY17" i="11"/>
  <c r="AX17" i="11"/>
  <c r="AX25" i="11" s="1"/>
  <c r="BE17" i="11"/>
  <c r="BE25" i="11" s="1"/>
  <c r="BC17" i="11"/>
  <c r="BC25" i="11" s="1"/>
  <c r="BE21" i="11"/>
  <c r="BB17" i="11"/>
  <c r="AW17" i="11"/>
  <c r="U81" i="13"/>
  <c r="U82" i="13"/>
  <c r="Y243" i="11"/>
  <c r="Y92" i="11"/>
  <c r="V235" i="11"/>
  <c r="V117" i="11"/>
  <c r="L98" i="13"/>
  <c r="H97" i="13"/>
  <c r="H99" i="13"/>
  <c r="D29" i="14"/>
  <c r="D33" i="14" s="1"/>
  <c r="D16" i="14"/>
  <c r="H96" i="13"/>
  <c r="K158" i="3"/>
  <c r="S118" i="11"/>
  <c r="S236" i="11"/>
  <c r="BG25" i="11"/>
  <c r="AI112" i="11"/>
  <c r="AI230" i="11"/>
  <c r="AV114" i="11"/>
  <c r="AV232" i="11"/>
  <c r="W100" i="11"/>
  <c r="W217" i="11"/>
  <c r="BP16" i="11"/>
  <c r="I27" i="9"/>
  <c r="H59" i="9"/>
  <c r="AM11" i="11" s="1"/>
  <c r="AM12" i="11" s="1"/>
  <c r="AM14" i="11" s="1"/>
  <c r="W24" i="10"/>
  <c r="W25" i="10"/>
  <c r="W22" i="10"/>
  <c r="W23" i="10"/>
  <c r="V227" i="11"/>
  <c r="V109" i="11"/>
  <c r="CZ128" i="11"/>
  <c r="CZ255" i="11"/>
  <c r="M78" i="13"/>
  <c r="CN4" i="11"/>
  <c r="CN13" i="11"/>
  <c r="CL13" i="11"/>
  <c r="CL4" i="11"/>
  <c r="O12" i="11"/>
  <c r="Z107" i="11"/>
  <c r="Z225" i="11"/>
  <c r="E52" i="9"/>
  <c r="K234" i="4"/>
  <c r="K246" i="4" s="1"/>
  <c r="G66" i="10" s="1"/>
  <c r="V254" i="11"/>
  <c r="V127" i="11"/>
  <c r="X223" i="11"/>
  <c r="X105" i="11"/>
  <c r="BI15" i="11"/>
  <c r="F45" i="10"/>
  <c r="W239" i="11"/>
  <c r="W88" i="11"/>
  <c r="AH80" i="13"/>
  <c r="O38" i="1"/>
  <c r="W245" i="11"/>
  <c r="W94" i="11"/>
  <c r="W252" i="11"/>
  <c r="W125" i="11"/>
  <c r="Y247" i="11"/>
  <c r="Y120" i="11"/>
  <c r="T18" i="10"/>
  <c r="BF25" i="11"/>
  <c r="CO13" i="11"/>
  <c r="CO4" i="11"/>
  <c r="BQ16" i="11"/>
  <c r="CS4" i="11"/>
  <c r="CS13" i="11"/>
  <c r="I41" i="10"/>
  <c r="H73" i="10"/>
  <c r="AK18" i="11" s="1"/>
  <c r="AK20" i="11" s="1"/>
  <c r="J25" i="9"/>
  <c r="I58" i="9"/>
  <c r="AA11" i="11" s="1"/>
  <c r="V110" i="11"/>
  <c r="V228" i="11"/>
  <c r="L23" i="9"/>
  <c r="K57" i="9"/>
  <c r="P11" i="11" s="1"/>
  <c r="P12" i="11" s="1"/>
  <c r="P14" i="11" s="1"/>
  <c r="V246" i="11"/>
  <c r="V95" i="11"/>
  <c r="CT13" i="11"/>
  <c r="CT4" i="11"/>
  <c r="AB126" i="13"/>
  <c r="AD124" i="13" s="1"/>
  <c r="AD79" i="13" s="1"/>
  <c r="AD19" i="13" s="1"/>
  <c r="M219" i="1"/>
  <c r="K223" i="4"/>
  <c r="K193" i="4"/>
  <c r="K224" i="4" s="1"/>
  <c r="AF20" i="13"/>
  <c r="N252" i="1" s="1"/>
  <c r="J39" i="10"/>
  <c r="I72" i="10"/>
  <c r="Y18" i="11" s="1"/>
  <c r="Y20" i="11" s="1"/>
  <c r="T116" i="13"/>
  <c r="H6" i="14"/>
  <c r="H7" i="14" s="1"/>
  <c r="CJ13" i="11"/>
  <c r="CJ4" i="11"/>
  <c r="V253" i="11"/>
  <c r="V126" i="11"/>
  <c r="V244" i="11"/>
  <c r="V93" i="11"/>
  <c r="Y237" i="11"/>
  <c r="Y86" i="11"/>
  <c r="BV23" i="11"/>
  <c r="CH23" i="11" s="1"/>
  <c r="F118" i="10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7" i="10" s="1"/>
  <c r="BJ16" i="11"/>
  <c r="BK16" i="11"/>
  <c r="V256" i="11"/>
  <c r="V129" i="11"/>
  <c r="V90" i="11"/>
  <c r="V241" i="11"/>
  <c r="I207" i="11"/>
  <c r="T104" i="11"/>
  <c r="T222" i="11"/>
  <c r="S86" i="13"/>
  <c r="F141" i="10"/>
  <c r="G141" i="10" s="1"/>
  <c r="H141" i="10" s="1"/>
  <c r="I141" i="10" s="1"/>
  <c r="J141" i="10" s="1"/>
  <c r="K141" i="10" s="1"/>
  <c r="L141" i="10" s="1"/>
  <c r="M141" i="10" s="1"/>
  <c r="N141" i="10" s="1"/>
  <c r="O141" i="10" s="1"/>
  <c r="P141" i="10" s="1"/>
  <c r="Q141" i="10" s="1"/>
  <c r="R140" i="10" s="1"/>
  <c r="BV24" i="11"/>
  <c r="CH24" i="11" s="1"/>
  <c r="CM13" i="11"/>
  <c r="CM4" i="11"/>
  <c r="BG87" i="11"/>
  <c r="BG238" i="11"/>
  <c r="AG97" i="4"/>
  <c r="BN16" i="11"/>
  <c r="BS16" i="11"/>
  <c r="BS17" i="11" s="1"/>
  <c r="BS25" i="11" s="1"/>
  <c r="V233" i="11"/>
  <c r="V115" i="11"/>
  <c r="K37" i="10"/>
  <c r="J71" i="10"/>
  <c r="M18" i="11" s="1"/>
  <c r="AH7" i="13"/>
  <c r="R8" i="10"/>
  <c r="AB15" i="10" s="1"/>
  <c r="C40" i="9"/>
  <c r="CE89" i="11"/>
  <c r="CE240" i="11"/>
  <c r="BX108" i="11"/>
  <c r="BX226" i="11"/>
  <c r="F31" i="9"/>
  <c r="E61" i="9"/>
  <c r="BJ11" i="11" s="1"/>
  <c r="W103" i="11"/>
  <c r="W221" i="11"/>
  <c r="AV16" i="11"/>
  <c r="BH15" i="11"/>
  <c r="CI10" i="11"/>
  <c r="D35" i="9"/>
  <c r="N36" i="9"/>
  <c r="DF10" i="11" s="1"/>
  <c r="F36" i="9"/>
  <c r="CX10" i="11" s="1"/>
  <c r="M36" i="9"/>
  <c r="DE10" i="11" s="1"/>
  <c r="E36" i="9"/>
  <c r="CW10" i="11" s="1"/>
  <c r="K36" i="9"/>
  <c r="DC10" i="11" s="1"/>
  <c r="H36" i="9"/>
  <c r="CZ10" i="11" s="1"/>
  <c r="G36" i="9"/>
  <c r="CY10" i="11" s="1"/>
  <c r="D36" i="9"/>
  <c r="O36" i="9"/>
  <c r="DG10" i="11" s="1"/>
  <c r="L36" i="9"/>
  <c r="DD10" i="11" s="1"/>
  <c r="J36" i="9"/>
  <c r="DB10" i="11" s="1"/>
  <c r="P9" i="10"/>
  <c r="Y16" i="10" s="1"/>
  <c r="I36" i="9"/>
  <c r="DA10" i="11" s="1"/>
  <c r="AH58" i="13"/>
  <c r="O354" i="1"/>
  <c r="AI25" i="11"/>
  <c r="AU25" i="11" s="1"/>
  <c r="AU17" i="11"/>
  <c r="C52" i="10"/>
  <c r="C65" i="9"/>
  <c r="AB139" i="13"/>
  <c r="L39" i="1" s="1"/>
  <c r="BR16" i="11"/>
  <c r="BL16" i="11"/>
  <c r="U84" i="13"/>
  <c r="U80" i="13"/>
  <c r="U85" i="13"/>
  <c r="U92" i="13"/>
  <c r="K120" i="1" s="1"/>
  <c r="U90" i="13"/>
  <c r="U79" i="13"/>
  <c r="U75" i="13"/>
  <c r="U93" i="13"/>
  <c r="U77" i="13"/>
  <c r="T76" i="13"/>
  <c r="T78" i="13" s="1"/>
  <c r="T86" i="13" s="1"/>
  <c r="U83" i="13"/>
  <c r="U74" i="13"/>
  <c r="T96" i="13"/>
  <c r="E33" i="9"/>
  <c r="D62" i="9"/>
  <c r="BV11" i="11" s="1"/>
  <c r="Z13" i="13"/>
  <c r="W18" i="10"/>
  <c r="T20" i="10"/>
  <c r="G43" i="10"/>
  <c r="F74" i="10"/>
  <c r="AV18" i="11" s="1"/>
  <c r="V123" i="11"/>
  <c r="V250" i="11"/>
  <c r="T119" i="11"/>
  <c r="J47" i="13" s="1"/>
  <c r="L47" i="13" s="1"/>
  <c r="F325" i="1" s="1"/>
  <c r="CP13" i="11"/>
  <c r="CP4" i="11"/>
  <c r="N98" i="13"/>
  <c r="O78" i="13"/>
  <c r="X124" i="11"/>
  <c r="X251" i="11"/>
  <c r="BM16" i="11"/>
  <c r="BT16" i="11"/>
  <c r="BT17" i="11" s="1"/>
  <c r="BT25" i="11" s="1"/>
  <c r="AB116" i="11"/>
  <c r="AB234" i="11"/>
  <c r="AH60" i="13"/>
  <c r="O373" i="1"/>
  <c r="W231" i="11"/>
  <c r="W113" i="11"/>
  <c r="H29" i="9"/>
  <c r="G60" i="9"/>
  <c r="AY11" i="11" s="1"/>
  <c r="AY12" i="11" s="1"/>
  <c r="AY14" i="11" s="1"/>
  <c r="CQ13" i="11"/>
  <c r="CQ4" i="11"/>
  <c r="BV22" i="11"/>
  <c r="CH22" i="11" s="1"/>
  <c r="F95" i="10"/>
  <c r="G95" i="10" s="1"/>
  <c r="H95" i="10" s="1"/>
  <c r="I95" i="10" s="1"/>
  <c r="J95" i="10" s="1"/>
  <c r="K95" i="10" s="1"/>
  <c r="L95" i="10" s="1"/>
  <c r="M95" i="10" s="1"/>
  <c r="N95" i="10" s="1"/>
  <c r="O95" i="10" s="1"/>
  <c r="P95" i="10" s="1"/>
  <c r="Q95" i="10" s="1"/>
  <c r="R94" i="10" s="1"/>
  <c r="P11" i="9"/>
  <c r="G77" i="4"/>
  <c r="Q11" i="9" s="1"/>
  <c r="C78" i="10"/>
  <c r="C98" i="10"/>
  <c r="C121" i="10" s="1"/>
  <c r="C144" i="10" s="1"/>
  <c r="Y229" i="11"/>
  <c r="Y111" i="11"/>
  <c r="BV13" i="11"/>
  <c r="CH13" i="11" s="1"/>
  <c r="Z84" i="13" s="1"/>
  <c r="BV4" i="11"/>
  <c r="BV5" i="11" s="1"/>
  <c r="CH10" i="11"/>
  <c r="Z74" i="13" s="1"/>
  <c r="U19" i="10"/>
  <c r="U21" i="10" s="1"/>
  <c r="T21" i="10" s="1"/>
  <c r="X121" i="11"/>
  <c r="X248" i="11"/>
  <c r="CR13" i="11"/>
  <c r="CR4" i="11"/>
  <c r="CK4" i="11"/>
  <c r="CK13" i="11"/>
  <c r="AF134" i="13"/>
  <c r="AF72" i="13"/>
  <c r="AG7" i="13"/>
  <c r="K99" i="11"/>
  <c r="AF98" i="4"/>
  <c r="BO16" i="11"/>
  <c r="Z96" i="13" l="1"/>
  <c r="K4" i="1"/>
  <c r="K53" i="1"/>
  <c r="K186" i="1"/>
  <c r="BD21" i="11"/>
  <c r="AY25" i="11"/>
  <c r="BC21" i="11"/>
  <c r="O19" i="11"/>
  <c r="O26" i="11"/>
  <c r="BF21" i="11"/>
  <c r="BB21" i="11"/>
  <c r="BA21" i="11"/>
  <c r="BG21" i="11"/>
  <c r="AW25" i="11"/>
  <c r="BB25" i="11"/>
  <c r="N103" i="13"/>
  <c r="F6" i="14" s="1"/>
  <c r="F7" i="14" s="1"/>
  <c r="L103" i="13"/>
  <c r="E6" i="14" s="1"/>
  <c r="E7" i="14" s="1"/>
  <c r="BO17" i="11"/>
  <c r="BO25" i="11" s="1"/>
  <c r="BM17" i="11"/>
  <c r="BM25" i="11" s="1"/>
  <c r="BL17" i="11"/>
  <c r="BL25" i="11" s="1"/>
  <c r="BR17" i="11"/>
  <c r="BH16" i="11"/>
  <c r="BN17" i="11"/>
  <c r="BP21" i="11" s="1"/>
  <c r="BK17" i="11"/>
  <c r="BK25" i="11" s="1"/>
  <c r="BJ17" i="11"/>
  <c r="BJ25" i="11" s="1"/>
  <c r="BQ17" i="11"/>
  <c r="BP17" i="11"/>
  <c r="BP25" i="11" s="1"/>
  <c r="U78" i="13"/>
  <c r="W235" i="11"/>
  <c r="W117" i="11"/>
  <c r="Z92" i="11"/>
  <c r="Z243" i="11"/>
  <c r="T97" i="13"/>
  <c r="AH34" i="11"/>
  <c r="AV17" i="11"/>
  <c r="T118" i="11"/>
  <c r="T236" i="11"/>
  <c r="AH20" i="13"/>
  <c r="O252" i="1" s="1"/>
  <c r="W127" i="11"/>
  <c r="W254" i="11"/>
  <c r="X100" i="11"/>
  <c r="X217" i="11"/>
  <c r="AC234" i="11"/>
  <c r="AC116" i="11"/>
  <c r="DG13" i="11"/>
  <c r="DG4" i="11"/>
  <c r="CY4" i="11"/>
  <c r="CY13" i="11"/>
  <c r="CI13" i="11"/>
  <c r="CU13" i="11" s="1"/>
  <c r="AB84" i="13" s="1"/>
  <c r="L53" i="1" s="1"/>
  <c r="CU10" i="11"/>
  <c r="AB74" i="13" s="1"/>
  <c r="AB96" i="13" s="1"/>
  <c r="CI4" i="11"/>
  <c r="CI5" i="11" s="1"/>
  <c r="AH134" i="13"/>
  <c r="AH72" i="13"/>
  <c r="AI7" i="13"/>
  <c r="Z237" i="11"/>
  <c r="Z86" i="11"/>
  <c r="K39" i="10"/>
  <c r="J72" i="10"/>
  <c r="Z18" i="11" s="1"/>
  <c r="Z20" i="11" s="1"/>
  <c r="K235" i="4"/>
  <c r="K247" i="4" s="1"/>
  <c r="G67" i="10" s="1"/>
  <c r="E53" i="9"/>
  <c r="Z120" i="11"/>
  <c r="Z247" i="11"/>
  <c r="X239" i="11"/>
  <c r="X88" i="11"/>
  <c r="O119" i="10"/>
  <c r="CR23" i="11" s="1"/>
  <c r="G119" i="10"/>
  <c r="CJ23" i="11" s="1"/>
  <c r="N119" i="10"/>
  <c r="CQ23" i="11" s="1"/>
  <c r="F119" i="10"/>
  <c r="L119" i="10"/>
  <c r="CO23" i="11" s="1"/>
  <c r="I119" i="10"/>
  <c r="CL23" i="11" s="1"/>
  <c r="H119" i="10"/>
  <c r="CK23" i="11" s="1"/>
  <c r="Q119" i="10"/>
  <c r="CT23" i="11" s="1"/>
  <c r="P119" i="10"/>
  <c r="CS23" i="11" s="1"/>
  <c r="M119" i="10"/>
  <c r="CP23" i="11" s="1"/>
  <c r="K119" i="10"/>
  <c r="CN23" i="11" s="1"/>
  <c r="J119" i="10"/>
  <c r="CM23" i="11" s="1"/>
  <c r="L40" i="9"/>
  <c r="ED10" i="11" s="1"/>
  <c r="D40" i="9"/>
  <c r="K40" i="9"/>
  <c r="EC10" i="11" s="1"/>
  <c r="I40" i="9"/>
  <c r="EA10" i="11" s="1"/>
  <c r="H40" i="9"/>
  <c r="DZ10" i="11" s="1"/>
  <c r="G40" i="9"/>
  <c r="DY10" i="11" s="1"/>
  <c r="E40" i="9"/>
  <c r="DW10" i="11" s="1"/>
  <c r="O40" i="9"/>
  <c r="EG10" i="11" s="1"/>
  <c r="N40" i="9"/>
  <c r="EF10" i="11" s="1"/>
  <c r="M40" i="9"/>
  <c r="EE10" i="11" s="1"/>
  <c r="J40" i="9"/>
  <c r="EB10" i="11" s="1"/>
  <c r="F40" i="9"/>
  <c r="DX10" i="11" s="1"/>
  <c r="R9" i="10"/>
  <c r="AC16" i="10" s="1"/>
  <c r="DF13" i="11"/>
  <c r="DF4" i="11"/>
  <c r="BY108" i="11"/>
  <c r="BY226" i="11"/>
  <c r="W256" i="11"/>
  <c r="W129" i="11"/>
  <c r="CZ13" i="11"/>
  <c r="CZ4" i="11"/>
  <c r="K25" i="9"/>
  <c r="J58" i="9"/>
  <c r="AB11" i="11" s="1"/>
  <c r="DA128" i="11"/>
  <c r="DA255" i="11"/>
  <c r="M96" i="10"/>
  <c r="CP22" i="11" s="1"/>
  <c r="L96" i="10"/>
  <c r="CO22" i="11" s="1"/>
  <c r="J96" i="10"/>
  <c r="CM22" i="11" s="1"/>
  <c r="I96" i="10"/>
  <c r="CL22" i="11" s="1"/>
  <c r="H96" i="10"/>
  <c r="CK22" i="11" s="1"/>
  <c r="Q96" i="10"/>
  <c r="CT22" i="11" s="1"/>
  <c r="F96" i="10"/>
  <c r="K96" i="10"/>
  <c r="CN22" i="11" s="1"/>
  <c r="G96" i="10"/>
  <c r="CJ22" i="11" s="1"/>
  <c r="P96" i="10"/>
  <c r="CS22" i="11" s="1"/>
  <c r="O96" i="10"/>
  <c r="CR22" i="11" s="1"/>
  <c r="N96" i="10"/>
  <c r="CQ22" i="11" s="1"/>
  <c r="J27" i="9"/>
  <c r="I59" i="9"/>
  <c r="AN11" i="11" s="1"/>
  <c r="E35" i="9"/>
  <c r="D63" i="9"/>
  <c r="CI11" i="11" s="1"/>
  <c r="W110" i="11"/>
  <c r="W228" i="11"/>
  <c r="X231" i="11"/>
  <c r="X113" i="11"/>
  <c r="Y121" i="11"/>
  <c r="Y248" i="11"/>
  <c r="Z111" i="11"/>
  <c r="Z229" i="11"/>
  <c r="W123" i="11"/>
  <c r="W250" i="11"/>
  <c r="V119" i="11"/>
  <c r="F33" i="9"/>
  <c r="E62" i="9"/>
  <c r="BW11" i="11" s="1"/>
  <c r="BW12" i="11" s="1"/>
  <c r="BW14" i="11" s="1"/>
  <c r="DA13" i="11"/>
  <c r="DA4" i="11"/>
  <c r="DC13" i="11"/>
  <c r="DC4" i="11"/>
  <c r="X103" i="11"/>
  <c r="X221" i="11"/>
  <c r="L37" i="10"/>
  <c r="K71" i="10"/>
  <c r="N18" i="11" s="1"/>
  <c r="N20" i="11" s="1"/>
  <c r="W233" i="11"/>
  <c r="W115" i="11"/>
  <c r="W244" i="11"/>
  <c r="W93" i="11"/>
  <c r="AD126" i="13"/>
  <c r="AF124" i="13" s="1"/>
  <c r="AF79" i="13" s="1"/>
  <c r="AF19" i="13" s="1"/>
  <c r="N219" i="1" s="1"/>
  <c r="W95" i="11"/>
  <c r="W246" i="11"/>
  <c r="AA12" i="11"/>
  <c r="AA14" i="11" s="1"/>
  <c r="X252" i="11"/>
  <c r="X125" i="11"/>
  <c r="G45" i="10"/>
  <c r="F75" i="10"/>
  <c r="BI18" i="11" s="1"/>
  <c r="AB77" i="13"/>
  <c r="Q142" i="10"/>
  <c r="CT24" i="11" s="1"/>
  <c r="I142" i="10"/>
  <c r="CL24" i="11" s="1"/>
  <c r="P142" i="10"/>
  <c r="CS24" i="11" s="1"/>
  <c r="H142" i="10"/>
  <c r="CK24" i="11" s="1"/>
  <c r="N142" i="10"/>
  <c r="CQ24" i="11" s="1"/>
  <c r="F142" i="10"/>
  <c r="G142" i="10"/>
  <c r="CJ24" i="11" s="1"/>
  <c r="O142" i="10"/>
  <c r="CR24" i="11" s="1"/>
  <c r="L142" i="10"/>
  <c r="CO24" i="11" s="1"/>
  <c r="M142" i="10"/>
  <c r="CP24" i="11" s="1"/>
  <c r="K142" i="10"/>
  <c r="CN24" i="11" s="1"/>
  <c r="J142" i="10"/>
  <c r="CM24" i="11" s="1"/>
  <c r="M38" i="9"/>
  <c r="DR10" i="11" s="1"/>
  <c r="E38" i="9"/>
  <c r="DJ10" i="11" s="1"/>
  <c r="L38" i="9"/>
  <c r="DQ10" i="11" s="1"/>
  <c r="D38" i="9"/>
  <c r="Q9" i="10"/>
  <c r="AA16" i="10" s="1"/>
  <c r="J38" i="9"/>
  <c r="DO10" i="11" s="1"/>
  <c r="H38" i="9"/>
  <c r="DM10" i="11" s="1"/>
  <c r="G38" i="9"/>
  <c r="DL10" i="11" s="1"/>
  <c r="O38" i="9"/>
  <c r="DT10" i="11" s="1"/>
  <c r="F38" i="9"/>
  <c r="DK10" i="11" s="1"/>
  <c r="N38" i="9"/>
  <c r="DS10" i="11" s="1"/>
  <c r="K38" i="9"/>
  <c r="DP10" i="11" s="1"/>
  <c r="I38" i="9"/>
  <c r="DN10" i="11" s="1"/>
  <c r="O86" i="13"/>
  <c r="CV10" i="11"/>
  <c r="D37" i="9"/>
  <c r="K236" i="4"/>
  <c r="K248" i="4" s="1"/>
  <c r="G68" i="10" s="1"/>
  <c r="E54" i="9"/>
  <c r="N46" i="10"/>
  <c r="CD15" i="11" s="1"/>
  <c r="F46" i="10"/>
  <c r="M46" i="10"/>
  <c r="CC15" i="11" s="1"/>
  <c r="K46" i="10"/>
  <c r="CA15" i="11" s="1"/>
  <c r="L46" i="10"/>
  <c r="CB15" i="11" s="1"/>
  <c r="J46" i="10"/>
  <c r="BZ15" i="11" s="1"/>
  <c r="H46" i="10"/>
  <c r="BX15" i="11" s="1"/>
  <c r="O46" i="10"/>
  <c r="CE15" i="11" s="1"/>
  <c r="I46" i="10"/>
  <c r="BY15" i="11" s="1"/>
  <c r="G46" i="10"/>
  <c r="BW15" i="11" s="1"/>
  <c r="Q46" i="10"/>
  <c r="CG15" i="11" s="1"/>
  <c r="P46" i="10"/>
  <c r="CF15" i="11" s="1"/>
  <c r="T19" i="10"/>
  <c r="D8" i="7"/>
  <c r="T98" i="13"/>
  <c r="C79" i="10"/>
  <c r="C100" i="10"/>
  <c r="C123" i="10" s="1"/>
  <c r="C146" i="10" s="1"/>
  <c r="Y25" i="10"/>
  <c r="Y24" i="10"/>
  <c r="Y23" i="10"/>
  <c r="Y22" i="10"/>
  <c r="CW4" i="11"/>
  <c r="CW13" i="11"/>
  <c r="CF89" i="11"/>
  <c r="CF240" i="11"/>
  <c r="BI87" i="11"/>
  <c r="BI238" i="11"/>
  <c r="V104" i="11"/>
  <c r="V222" i="11"/>
  <c r="BI16" i="11"/>
  <c r="BU15" i="11"/>
  <c r="AA107" i="11"/>
  <c r="AA225" i="11"/>
  <c r="AW114" i="11"/>
  <c r="AW232" i="11"/>
  <c r="AA85" i="13"/>
  <c r="AA77" i="13"/>
  <c r="AA92" i="13"/>
  <c r="AA90" i="13"/>
  <c r="AA93" i="13"/>
  <c r="AA80" i="13"/>
  <c r="Z76" i="13"/>
  <c r="Z78" i="13" s="1"/>
  <c r="Z98" i="13" s="1"/>
  <c r="AA84" i="13"/>
  <c r="AA74" i="13"/>
  <c r="AA83" i="13"/>
  <c r="AA75" i="13"/>
  <c r="AA79" i="13"/>
  <c r="L4" i="1"/>
  <c r="Y124" i="11"/>
  <c r="Y251" i="11"/>
  <c r="H43" i="10"/>
  <c r="G74" i="10"/>
  <c r="AW18" i="11" s="1"/>
  <c r="AW20" i="11" s="1"/>
  <c r="DB13" i="11"/>
  <c r="DB4" i="11"/>
  <c r="DE4" i="11"/>
  <c r="DE13" i="11"/>
  <c r="G31" i="9"/>
  <c r="F61" i="9"/>
  <c r="BK11" i="11" s="1"/>
  <c r="BK12" i="11" s="1"/>
  <c r="BK14" i="11" s="1"/>
  <c r="W126" i="11"/>
  <c r="W253" i="11"/>
  <c r="AD137" i="13"/>
  <c r="J41" i="10"/>
  <c r="I73" i="10"/>
  <c r="AL18" i="11" s="1"/>
  <c r="AL20" i="11" s="1"/>
  <c r="X245" i="11"/>
  <c r="X94" i="11"/>
  <c r="Y105" i="11"/>
  <c r="Y223" i="11"/>
  <c r="O14" i="11"/>
  <c r="M86" i="13"/>
  <c r="W227" i="11"/>
  <c r="W109" i="11"/>
  <c r="AB75" i="13"/>
  <c r="W20" i="10"/>
  <c r="W19" i="10" s="1"/>
  <c r="C54" i="10"/>
  <c r="C66" i="9"/>
  <c r="AG98" i="4"/>
  <c r="AF99" i="4"/>
  <c r="L99" i="11"/>
  <c r="BW5" i="11"/>
  <c r="I29" i="9"/>
  <c r="H60" i="9"/>
  <c r="AZ11" i="11" s="1"/>
  <c r="AZ12" i="11" s="1"/>
  <c r="AZ14" i="11" s="1"/>
  <c r="U76" i="13"/>
  <c r="DD4" i="11"/>
  <c r="DD13" i="11"/>
  <c r="CX13" i="11"/>
  <c r="CX4" i="11"/>
  <c r="BJ12" i="11"/>
  <c r="BJ14" i="11" s="1"/>
  <c r="I58" i="11"/>
  <c r="I75" i="11"/>
  <c r="I79" i="11" s="1"/>
  <c r="W241" i="11"/>
  <c r="W90" i="11"/>
  <c r="M23" i="9"/>
  <c r="L57" i="9"/>
  <c r="Q11" i="11" s="1"/>
  <c r="Q12" i="11" s="1"/>
  <c r="Q14" i="11" s="1"/>
  <c r="M20" i="11"/>
  <c r="V18" i="10"/>
  <c r="AJ112" i="11"/>
  <c r="AJ230" i="11"/>
  <c r="M21" i="1" l="1"/>
  <c r="L20" i="1"/>
  <c r="L37" i="1"/>
  <c r="BR21" i="11"/>
  <c r="BS21" i="11"/>
  <c r="BT21" i="11"/>
  <c r="G8" i="7"/>
  <c r="F8" i="7"/>
  <c r="K224" i="11" s="1"/>
  <c r="P19" i="11"/>
  <c r="P26" i="11"/>
  <c r="BQ21" i="11"/>
  <c r="BQ25" i="11"/>
  <c r="BO21" i="11"/>
  <c r="BN21" i="11"/>
  <c r="BN25" i="11"/>
  <c r="BR25" i="11"/>
  <c r="BH17" i="11"/>
  <c r="T103" i="13"/>
  <c r="I6" i="14" s="1"/>
  <c r="I7" i="14" s="1"/>
  <c r="N104" i="13" a="1"/>
  <c r="N104" i="13" s="1"/>
  <c r="L104" i="13" a="1"/>
  <c r="L104" i="13" s="1"/>
  <c r="E6" i="24"/>
  <c r="E7" i="24" s="1"/>
  <c r="P104" i="13" a="1"/>
  <c r="P104" i="13" s="1"/>
  <c r="F6" i="24"/>
  <c r="F7" i="24" s="1"/>
  <c r="BU16" i="11"/>
  <c r="I59" i="11"/>
  <c r="I80" i="11" s="1"/>
  <c r="I81" i="11" s="1"/>
  <c r="I96" i="11"/>
  <c r="K54" i="11"/>
  <c r="AA92" i="11"/>
  <c r="AA243" i="11"/>
  <c r="X235" i="11"/>
  <c r="X117" i="11"/>
  <c r="J135" i="13"/>
  <c r="AA78" i="13"/>
  <c r="AV25" i="11"/>
  <c r="BH25" i="11" s="1"/>
  <c r="AA76" i="13"/>
  <c r="Z97" i="13"/>
  <c r="V118" i="11"/>
  <c r="V236" i="11"/>
  <c r="J138" i="13"/>
  <c r="AF126" i="13"/>
  <c r="AH124" i="13" s="1"/>
  <c r="AH79" i="13" s="1"/>
  <c r="AH19" i="13" s="1"/>
  <c r="O219" i="1" s="1"/>
  <c r="BX5" i="11"/>
  <c r="L25" i="9"/>
  <c r="K58" i="9"/>
  <c r="AC11" i="11" s="1"/>
  <c r="AC12" i="11" s="1"/>
  <c r="AC14" i="11" s="1"/>
  <c r="J29" i="9"/>
  <c r="I60" i="9"/>
  <c r="BA11" i="11" s="1"/>
  <c r="AG99" i="4"/>
  <c r="I43" i="10"/>
  <c r="H74" i="10"/>
  <c r="AX18" i="11" s="1"/>
  <c r="AB107" i="11"/>
  <c r="AB225" i="11"/>
  <c r="C102" i="10"/>
  <c r="C125" i="10" s="1"/>
  <c r="C148" i="10" s="1"/>
  <c r="C80" i="10"/>
  <c r="K41" i="10"/>
  <c r="J73" i="10"/>
  <c r="AM18" i="11" s="1"/>
  <c r="W104" i="11"/>
  <c r="W222" i="11"/>
  <c r="J98" i="10"/>
  <c r="CZ22" i="11" s="1"/>
  <c r="Q98" i="10"/>
  <c r="DG22" i="11" s="1"/>
  <c r="I98" i="10"/>
  <c r="CY22" i="11" s="1"/>
  <c r="O98" i="10"/>
  <c r="DE22" i="11" s="1"/>
  <c r="G98" i="10"/>
  <c r="CW22" i="11" s="1"/>
  <c r="H98" i="10"/>
  <c r="CX22" i="11" s="1"/>
  <c r="F98" i="10"/>
  <c r="P98" i="10"/>
  <c r="DF22" i="11" s="1"/>
  <c r="K98" i="10"/>
  <c r="DA22" i="11" s="1"/>
  <c r="N98" i="10"/>
  <c r="DD22" i="11" s="1"/>
  <c r="M98" i="10"/>
  <c r="DC22" i="11" s="1"/>
  <c r="L98" i="10"/>
  <c r="DB22" i="11" s="1"/>
  <c r="CB16" i="11"/>
  <c r="CB17" i="11" s="1"/>
  <c r="CB25" i="11" s="1"/>
  <c r="DS13" i="11"/>
  <c r="DS4" i="11"/>
  <c r="DQ13" i="11"/>
  <c r="DQ4" i="11"/>
  <c r="X95" i="11"/>
  <c r="X246" i="11"/>
  <c r="X233" i="11"/>
  <c r="X115" i="11"/>
  <c r="X123" i="11"/>
  <c r="X250" i="11"/>
  <c r="W119" i="11"/>
  <c r="EE4" i="11"/>
  <c r="EE13" i="11"/>
  <c r="D41" i="9"/>
  <c r="DV10" i="11"/>
  <c r="L39" i="10"/>
  <c r="K72" i="10"/>
  <c r="AA18" i="11" s="1"/>
  <c r="AA20" i="11" s="1"/>
  <c r="X127" i="11"/>
  <c r="X254" i="11"/>
  <c r="H31" i="9"/>
  <c r="G61" i="9"/>
  <c r="BL11" i="11" s="1"/>
  <c r="BL12" i="11" s="1"/>
  <c r="BL14" i="11" s="1"/>
  <c r="EF13" i="11"/>
  <c r="EF4" i="11"/>
  <c r="CJ5" i="11"/>
  <c r="BI17" i="11"/>
  <c r="BJ87" i="11"/>
  <c r="BJ238" i="11"/>
  <c r="AD75" i="13"/>
  <c r="M20" i="1" s="1"/>
  <c r="Y20" i="10"/>
  <c r="CG16" i="11"/>
  <c r="CG17" i="11" s="1"/>
  <c r="CG25" i="11" s="1"/>
  <c r="CC16" i="11"/>
  <c r="CC17" i="11" s="1"/>
  <c r="CC25" i="11" s="1"/>
  <c r="D64" i="9"/>
  <c r="CV11" i="11" s="1"/>
  <c r="E37" i="9"/>
  <c r="DT4" i="11"/>
  <c r="DT13" i="11"/>
  <c r="DR13" i="11"/>
  <c r="DR4" i="11"/>
  <c r="BZ108" i="11"/>
  <c r="BZ226" i="11"/>
  <c r="EG13" i="11"/>
  <c r="EG4" i="11"/>
  <c r="AN12" i="11"/>
  <c r="AN14" i="11" s="1"/>
  <c r="AA120" i="11"/>
  <c r="AA247" i="11"/>
  <c r="AA86" i="11"/>
  <c r="AA237" i="11"/>
  <c r="AB76" i="13"/>
  <c r="AB78" i="13" s="1"/>
  <c r="AC75" i="13"/>
  <c r="AC83" i="13"/>
  <c r="AC93" i="13"/>
  <c r="AC84" i="13"/>
  <c r="AC77" i="13"/>
  <c r="AC79" i="13"/>
  <c r="AC74" i="13"/>
  <c r="AC85" i="13"/>
  <c r="AC80" i="13"/>
  <c r="AC92" i="13"/>
  <c r="AC90" i="13"/>
  <c r="L121" i="10"/>
  <c r="DB23" i="11" s="1"/>
  <c r="K121" i="10"/>
  <c r="DA23" i="11" s="1"/>
  <c r="Q121" i="10"/>
  <c r="DG23" i="11" s="1"/>
  <c r="I121" i="10"/>
  <c r="CY23" i="11" s="1"/>
  <c r="G121" i="10"/>
  <c r="CW23" i="11" s="1"/>
  <c r="F121" i="10"/>
  <c r="O121" i="10"/>
  <c r="DE23" i="11" s="1"/>
  <c r="P121" i="10"/>
  <c r="DF23" i="11" s="1"/>
  <c r="N121" i="10"/>
  <c r="DD23" i="11" s="1"/>
  <c r="M121" i="10"/>
  <c r="DC23" i="11" s="1"/>
  <c r="J121" i="10"/>
  <c r="CZ23" i="11" s="1"/>
  <c r="H121" i="10"/>
  <c r="CX23" i="11" s="1"/>
  <c r="CF16" i="11"/>
  <c r="CF17" i="11" s="1"/>
  <c r="CF25" i="11" s="1"/>
  <c r="ED4" i="11"/>
  <c r="ED13" i="11"/>
  <c r="K48" i="10"/>
  <c r="CN15" i="11" s="1"/>
  <c r="J48" i="10"/>
  <c r="CM15" i="11" s="1"/>
  <c r="P48" i="10"/>
  <c r="CS15" i="11" s="1"/>
  <c r="H48" i="10"/>
  <c r="CK15" i="11" s="1"/>
  <c r="I48" i="10"/>
  <c r="CL15" i="11" s="1"/>
  <c r="G48" i="10"/>
  <c r="CJ15" i="11" s="1"/>
  <c r="Q48" i="10"/>
  <c r="CT15" i="11" s="1"/>
  <c r="O48" i="10"/>
  <c r="CR15" i="11" s="1"/>
  <c r="N48" i="10"/>
  <c r="CQ15" i="11" s="1"/>
  <c r="M48" i="10"/>
  <c r="CP15" i="11" s="1"/>
  <c r="L48" i="10"/>
  <c r="CO15" i="11" s="1"/>
  <c r="F48" i="10"/>
  <c r="V19" i="10"/>
  <c r="N23" i="9"/>
  <c r="M57" i="9"/>
  <c r="R11" i="11" s="1"/>
  <c r="AB13" i="13"/>
  <c r="Y18" i="10"/>
  <c r="V20" i="10"/>
  <c r="AD139" i="13"/>
  <c r="N144" i="10"/>
  <c r="DD24" i="11" s="1"/>
  <c r="F144" i="10"/>
  <c r="M144" i="10"/>
  <c r="DC24" i="11" s="1"/>
  <c r="K144" i="10"/>
  <c r="DA24" i="11" s="1"/>
  <c r="G144" i="10"/>
  <c r="CW24" i="11" s="1"/>
  <c r="Q144" i="10"/>
  <c r="DG24" i="11" s="1"/>
  <c r="O144" i="10"/>
  <c r="DE24" i="11" s="1"/>
  <c r="P144" i="10"/>
  <c r="DF24" i="11" s="1"/>
  <c r="L144" i="10"/>
  <c r="DB24" i="11" s="1"/>
  <c r="J144" i="10"/>
  <c r="CZ24" i="11" s="1"/>
  <c r="AD77" i="13"/>
  <c r="M37" i="1" s="1"/>
  <c r="H144" i="10"/>
  <c r="CX24" i="11" s="1"/>
  <c r="I144" i="10"/>
  <c r="CY24" i="11" s="1"/>
  <c r="U86" i="13"/>
  <c r="BW16" i="11"/>
  <c r="BW17" i="11" s="1"/>
  <c r="BW25" i="11" s="1"/>
  <c r="BV15" i="11"/>
  <c r="F47" i="10"/>
  <c r="CV4" i="11"/>
  <c r="CV5" i="11" s="1"/>
  <c r="DH10" i="11"/>
  <c r="AD74" i="13" s="1"/>
  <c r="CV13" i="11"/>
  <c r="DH13" i="11" s="1"/>
  <c r="AD84" i="13" s="1"/>
  <c r="DL4" i="11"/>
  <c r="DL13" i="11"/>
  <c r="F143" i="10"/>
  <c r="G143" i="10" s="1"/>
  <c r="H143" i="10" s="1"/>
  <c r="I143" i="10" s="1"/>
  <c r="J143" i="10" s="1"/>
  <c r="K143" i="10" s="1"/>
  <c r="L143" i="10" s="1"/>
  <c r="M143" i="10" s="1"/>
  <c r="N143" i="10" s="1"/>
  <c r="O143" i="10" s="1"/>
  <c r="P143" i="10" s="1"/>
  <c r="Q143" i="10" s="1"/>
  <c r="R142" i="10" s="1"/>
  <c r="CI24" i="11"/>
  <c r="CU24" i="11" s="1"/>
  <c r="H45" i="10"/>
  <c r="G75" i="10"/>
  <c r="BJ18" i="11" s="1"/>
  <c r="M37" i="10"/>
  <c r="L71" i="10"/>
  <c r="O18" i="11" s="1"/>
  <c r="O20" i="11" s="1"/>
  <c r="DW4" i="11"/>
  <c r="DW13" i="11"/>
  <c r="F120" i="10"/>
  <c r="G120" i="10" s="1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R119" i="10" s="1"/>
  <c r="CI23" i="11"/>
  <c r="CU23" i="11" s="1"/>
  <c r="AD234" i="11"/>
  <c r="AD116" i="11"/>
  <c r="DJ13" i="11"/>
  <c r="DJ4" i="11"/>
  <c r="X241" i="11"/>
  <c r="X90" i="11"/>
  <c r="CG89" i="11"/>
  <c r="CG240" i="11"/>
  <c r="BY16" i="11"/>
  <c r="BY17" i="11" s="1"/>
  <c r="BY25" i="11" s="1"/>
  <c r="DM4" i="11"/>
  <c r="DM13" i="11"/>
  <c r="Y125" i="11"/>
  <c r="Y252" i="11"/>
  <c r="AF137" i="13"/>
  <c r="AA111" i="11"/>
  <c r="AA229" i="11"/>
  <c r="X110" i="11"/>
  <c r="X228" i="11"/>
  <c r="DY4" i="11"/>
  <c r="DY13" i="11"/>
  <c r="AB12" i="11"/>
  <c r="AB14" i="11" s="1"/>
  <c r="DK13" i="11"/>
  <c r="DK4" i="11"/>
  <c r="Y113" i="11"/>
  <c r="Y231" i="11"/>
  <c r="AK112" i="11"/>
  <c r="AK230" i="11"/>
  <c r="CE16" i="11"/>
  <c r="CE17" i="11" s="1"/>
  <c r="CE25" i="11" s="1"/>
  <c r="DO4" i="11"/>
  <c r="DO13" i="11"/>
  <c r="X93" i="11"/>
  <c r="X244" i="11"/>
  <c r="Y103" i="11"/>
  <c r="Y221" i="11"/>
  <c r="G33" i="9"/>
  <c r="F62" i="9"/>
  <c r="BX11" i="11" s="1"/>
  <c r="AU34" i="11"/>
  <c r="AC24" i="10"/>
  <c r="AC25" i="10"/>
  <c r="AC23" i="10"/>
  <c r="AC22" i="10"/>
  <c r="DZ13" i="11"/>
  <c r="DZ4" i="11"/>
  <c r="Z124" i="11"/>
  <c r="Z251" i="11"/>
  <c r="CA16" i="11"/>
  <c r="CA17" i="11" s="1"/>
  <c r="CA25" i="11" s="1"/>
  <c r="K27" i="9"/>
  <c r="J59" i="9"/>
  <c r="AO11" i="11" s="1"/>
  <c r="Z223" i="11"/>
  <c r="Z105" i="11"/>
  <c r="CD16" i="11"/>
  <c r="CD17" i="11" s="1"/>
  <c r="CD25" i="11" s="1"/>
  <c r="X227" i="11"/>
  <c r="X109" i="11"/>
  <c r="Y94" i="11"/>
  <c r="Y245" i="11"/>
  <c r="X253" i="11"/>
  <c r="X126" i="11"/>
  <c r="Z103" i="13"/>
  <c r="J6" i="14" s="1"/>
  <c r="J7" i="14" s="1"/>
  <c r="Z86" i="13"/>
  <c r="AX114" i="11"/>
  <c r="AX232" i="11"/>
  <c r="M99" i="11"/>
  <c r="AF100" i="4"/>
  <c r="D9" i="7"/>
  <c r="K257" i="11"/>
  <c r="K28" i="11" s="1"/>
  <c r="BX16" i="11"/>
  <c r="BX17" i="11" s="1"/>
  <c r="BX25" i="11" s="1"/>
  <c r="DN4" i="11"/>
  <c r="DN13" i="11"/>
  <c r="AA24" i="10"/>
  <c r="AA25" i="10"/>
  <c r="AA22" i="10"/>
  <c r="AA23" i="10"/>
  <c r="Z121" i="11"/>
  <c r="Z248" i="11"/>
  <c r="W21" i="10"/>
  <c r="V21" i="10" s="1"/>
  <c r="DX13" i="11"/>
  <c r="DX4" i="11"/>
  <c r="EA13" i="11"/>
  <c r="EA4" i="11"/>
  <c r="Y217" i="11"/>
  <c r="Y100" i="11"/>
  <c r="K106" i="11"/>
  <c r="L106" i="11" s="1"/>
  <c r="M106" i="11" s="1"/>
  <c r="N106" i="11" s="1"/>
  <c r="O106" i="11" s="1"/>
  <c r="P106" i="11" s="1"/>
  <c r="Q106" i="11" s="1"/>
  <c r="R106" i="11" s="1"/>
  <c r="S106" i="11" s="1"/>
  <c r="T106" i="11" s="1"/>
  <c r="K135" i="11"/>
  <c r="BZ16" i="11"/>
  <c r="BZ17" i="11" s="1"/>
  <c r="BZ25" i="11" s="1"/>
  <c r="DP13" i="11"/>
  <c r="DP4" i="11"/>
  <c r="DI10" i="11"/>
  <c r="D39" i="9"/>
  <c r="F35" i="9"/>
  <c r="E63" i="9"/>
  <c r="CJ11" i="11" s="1"/>
  <c r="CI22" i="11"/>
  <c r="CU22" i="11" s="1"/>
  <c r="F97" i="10"/>
  <c r="G97" i="10" s="1"/>
  <c r="H97" i="10" s="1"/>
  <c r="I97" i="10" s="1"/>
  <c r="J97" i="10" s="1"/>
  <c r="K97" i="10" s="1"/>
  <c r="L97" i="10" s="1"/>
  <c r="M97" i="10" s="1"/>
  <c r="N97" i="10" s="1"/>
  <c r="O97" i="10" s="1"/>
  <c r="P97" i="10" s="1"/>
  <c r="Q97" i="10" s="1"/>
  <c r="R96" i="10" s="1"/>
  <c r="DB128" i="11"/>
  <c r="DB255" i="11"/>
  <c r="X256" i="11"/>
  <c r="X129" i="11"/>
  <c r="EB4" i="11"/>
  <c r="EB13" i="11"/>
  <c r="EC13" i="11"/>
  <c r="EC4" i="11"/>
  <c r="Y239" i="11"/>
  <c r="Y88" i="11"/>
  <c r="AD96" i="13" l="1"/>
  <c r="M4" i="1"/>
  <c r="M53" i="1"/>
  <c r="L186" i="1"/>
  <c r="M39" i="1"/>
  <c r="N21" i="1"/>
  <c r="Q19" i="11"/>
  <c r="Q26" i="11"/>
  <c r="T104" i="13" a="1"/>
  <c r="T104" i="13" s="1"/>
  <c r="I6" i="24"/>
  <c r="I7" i="24" s="1"/>
  <c r="J134" i="13"/>
  <c r="J44" i="13" s="1"/>
  <c r="L44" i="13" s="1"/>
  <c r="F323" i="1" s="1"/>
  <c r="Y117" i="11"/>
  <c r="Y235" i="11"/>
  <c r="AB243" i="11"/>
  <c r="AB92" i="11"/>
  <c r="J45" i="13"/>
  <c r="L45" i="13" s="1"/>
  <c r="F324" i="1" s="1"/>
  <c r="W118" i="11"/>
  <c r="W236" i="11"/>
  <c r="G35" i="9"/>
  <c r="F63" i="9"/>
  <c r="CK11" i="11" s="1"/>
  <c r="CK12" i="11" s="1"/>
  <c r="CK14" i="11" s="1"/>
  <c r="AG100" i="4"/>
  <c r="AD13" i="13"/>
  <c r="AA18" i="10"/>
  <c r="X20" i="10"/>
  <c r="BY5" i="11"/>
  <c r="Y129" i="11"/>
  <c r="Y256" i="11"/>
  <c r="AF77" i="13"/>
  <c r="K146" i="10"/>
  <c r="DN24" i="11" s="1"/>
  <c r="J146" i="10"/>
  <c r="DM24" i="11" s="1"/>
  <c r="P146" i="10"/>
  <c r="DS24" i="11" s="1"/>
  <c r="H146" i="10"/>
  <c r="DK24" i="11" s="1"/>
  <c r="Q146" i="10"/>
  <c r="DT24" i="11" s="1"/>
  <c r="O146" i="10"/>
  <c r="DR24" i="11" s="1"/>
  <c r="M146" i="10"/>
  <c r="DP24" i="11" s="1"/>
  <c r="I146" i="10"/>
  <c r="DL24" i="11" s="1"/>
  <c r="G146" i="10"/>
  <c r="DJ24" i="11" s="1"/>
  <c r="F146" i="10"/>
  <c r="L146" i="10"/>
  <c r="DO24" i="11" s="1"/>
  <c r="N146" i="10"/>
  <c r="DQ24" i="11" s="1"/>
  <c r="I45" i="10"/>
  <c r="H75" i="10"/>
  <c r="BK18" i="11" s="1"/>
  <c r="G47" i="10"/>
  <c r="F76" i="10"/>
  <c r="BV18" i="11" s="1"/>
  <c r="O23" i="9"/>
  <c r="O57" i="9" s="1"/>
  <c r="T11" i="11" s="1"/>
  <c r="U11" i="11" s="1"/>
  <c r="N57" i="9"/>
  <c r="S11" i="11" s="1"/>
  <c r="S12" i="11" s="1"/>
  <c r="S14" i="11" s="1"/>
  <c r="CR16" i="11"/>
  <c r="CR17" i="11" s="1"/>
  <c r="CR25" i="11" s="1"/>
  <c r="AB97" i="13"/>
  <c r="Y19" i="10"/>
  <c r="Y21" i="10" s="1"/>
  <c r="X21" i="10" s="1"/>
  <c r="EH10" i="11"/>
  <c r="AH74" i="13" s="1"/>
  <c r="DV4" i="11"/>
  <c r="DV5" i="11" s="1"/>
  <c r="DV13" i="11"/>
  <c r="EH13" i="11" s="1"/>
  <c r="AH84" i="13" s="1"/>
  <c r="Y250" i="11"/>
  <c r="Y123" i="11"/>
  <c r="X119" i="11"/>
  <c r="CV22" i="11"/>
  <c r="DH22" i="11" s="1"/>
  <c r="F99" i="10"/>
  <c r="G99" i="10" s="1"/>
  <c r="H99" i="10" s="1"/>
  <c r="I99" i="10" s="1"/>
  <c r="J99" i="10" s="1"/>
  <c r="K99" i="10" s="1"/>
  <c r="L99" i="10" s="1"/>
  <c r="M99" i="10" s="1"/>
  <c r="N99" i="10" s="1"/>
  <c r="O99" i="10" s="1"/>
  <c r="P99" i="10" s="1"/>
  <c r="Q99" i="10" s="1"/>
  <c r="R98" i="10" s="1"/>
  <c r="X104" i="11"/>
  <c r="X222" i="11"/>
  <c r="K29" i="9"/>
  <c r="J60" i="9"/>
  <c r="BB11" i="11" s="1"/>
  <c r="AF139" i="13"/>
  <c r="CI89" i="11"/>
  <c r="CI240" i="11"/>
  <c r="CW5" i="11"/>
  <c r="CN16" i="11"/>
  <c r="CN17" i="11" s="1"/>
  <c r="CN25" i="11" s="1"/>
  <c r="AB86" i="13"/>
  <c r="AB103" i="13"/>
  <c r="K6" i="14" s="1"/>
  <c r="K7" i="14" s="1"/>
  <c r="M39" i="10"/>
  <c r="L72" i="10"/>
  <c r="AB18" i="11" s="1"/>
  <c r="AB20" i="11" s="1"/>
  <c r="N99" i="11"/>
  <c r="AF101" i="4"/>
  <c r="Y126" i="11"/>
  <c r="Y253" i="11"/>
  <c r="AA223" i="11"/>
  <c r="AA105" i="11"/>
  <c r="D19" i="15"/>
  <c r="D22" i="15" s="1"/>
  <c r="U29" i="11"/>
  <c r="U54" i="11"/>
  <c r="K102" i="11"/>
  <c r="L102" i="11" s="1"/>
  <c r="M102" i="11" s="1"/>
  <c r="N102" i="11" s="1"/>
  <c r="O102" i="11" s="1"/>
  <c r="P102" i="11" s="1"/>
  <c r="Q102" i="11" s="1"/>
  <c r="R102" i="11" s="1"/>
  <c r="S102" i="11" s="1"/>
  <c r="T102" i="11" s="1"/>
  <c r="V102" i="11" s="1"/>
  <c r="W102" i="11" s="1"/>
  <c r="X102" i="11" s="1"/>
  <c r="Y102" i="11" s="1"/>
  <c r="Z102" i="11" s="1"/>
  <c r="AA102" i="11" s="1"/>
  <c r="AB102" i="11" s="1"/>
  <c r="AC102" i="11" s="1"/>
  <c r="AD102" i="11" s="1"/>
  <c r="AE102" i="11" s="1"/>
  <c r="AF102" i="11" s="1"/>
  <c r="AG102" i="11" s="1"/>
  <c r="AI102" i="11" s="1"/>
  <c r="AJ102" i="11" s="1"/>
  <c r="AK102" i="11" s="1"/>
  <c r="AL102" i="11" s="1"/>
  <c r="AM102" i="11" s="1"/>
  <c r="AN102" i="11" s="1"/>
  <c r="AO102" i="11" s="1"/>
  <c r="AP102" i="11" s="1"/>
  <c r="AQ102" i="11" s="1"/>
  <c r="AR102" i="11" s="1"/>
  <c r="AS102" i="11" s="1"/>
  <c r="AT102" i="11" s="1"/>
  <c r="AV102" i="11" s="1"/>
  <c r="AW102" i="11" s="1"/>
  <c r="AX102" i="11" s="1"/>
  <c r="AY102" i="11" s="1"/>
  <c r="AZ102" i="11" s="1"/>
  <c r="BA102" i="11" s="1"/>
  <c r="BB102" i="11" s="1"/>
  <c r="BC102" i="11" s="1"/>
  <c r="BD102" i="11" s="1"/>
  <c r="BE102" i="11" s="1"/>
  <c r="BF102" i="11" s="1"/>
  <c r="BG102" i="11" s="1"/>
  <c r="BI102" i="11" s="1"/>
  <c r="BJ102" i="11" s="1"/>
  <c r="BK102" i="11" s="1"/>
  <c r="BL102" i="11" s="1"/>
  <c r="BM102" i="11" s="1"/>
  <c r="BN102" i="11" s="1"/>
  <c r="BO102" i="11" s="1"/>
  <c r="BP102" i="11" s="1"/>
  <c r="BQ102" i="11" s="1"/>
  <c r="BR102" i="11" s="1"/>
  <c r="BS102" i="11" s="1"/>
  <c r="BT102" i="11" s="1"/>
  <c r="BV102" i="11" s="1"/>
  <c r="BW102" i="11" s="1"/>
  <c r="BX102" i="11" s="1"/>
  <c r="BY102" i="11" s="1"/>
  <c r="BZ102" i="11" s="1"/>
  <c r="CA102" i="11" s="1"/>
  <c r="CB102" i="11" s="1"/>
  <c r="CC102" i="11" s="1"/>
  <c r="CD102" i="11" s="1"/>
  <c r="CE102" i="11" s="1"/>
  <c r="CF102" i="11" s="1"/>
  <c r="CG102" i="11" s="1"/>
  <c r="CI102" i="11" s="1"/>
  <c r="CJ102" i="11" s="1"/>
  <c r="CK102" i="11" s="1"/>
  <c r="CL102" i="11" s="1"/>
  <c r="CM102" i="11" s="1"/>
  <c r="CN102" i="11" s="1"/>
  <c r="CO102" i="11" s="1"/>
  <c r="CP102" i="11" s="1"/>
  <c r="CQ102" i="11" s="1"/>
  <c r="CR102" i="11" s="1"/>
  <c r="CS102" i="11" s="1"/>
  <c r="CT102" i="11" s="1"/>
  <c r="CV102" i="11" s="1"/>
  <c r="CW102" i="11" s="1"/>
  <c r="CX102" i="11" s="1"/>
  <c r="CY102" i="11" s="1"/>
  <c r="CZ102" i="11" s="1"/>
  <c r="DA102" i="11" s="1"/>
  <c r="DB102" i="11" s="1"/>
  <c r="DC102" i="11" s="1"/>
  <c r="DD102" i="11" s="1"/>
  <c r="DE102" i="11" s="1"/>
  <c r="DF102" i="11" s="1"/>
  <c r="DG102" i="11" s="1"/>
  <c r="DI102" i="11" s="1"/>
  <c r="DJ102" i="11" s="1"/>
  <c r="DK102" i="11" s="1"/>
  <c r="DL102" i="11" s="1"/>
  <c r="DM102" i="11" s="1"/>
  <c r="DN102" i="11" s="1"/>
  <c r="DO102" i="11" s="1"/>
  <c r="DP102" i="11" s="1"/>
  <c r="DQ102" i="11" s="1"/>
  <c r="DR102" i="11" s="1"/>
  <c r="DS102" i="11" s="1"/>
  <c r="DT102" i="11" s="1"/>
  <c r="DV102" i="11" s="1"/>
  <c r="DW102" i="11" s="1"/>
  <c r="DX102" i="11" s="1"/>
  <c r="DY102" i="11" s="1"/>
  <c r="DZ102" i="11" s="1"/>
  <c r="EA102" i="11" s="1"/>
  <c r="EB102" i="11" s="1"/>
  <c r="EC102" i="11" s="1"/>
  <c r="ED102" i="11" s="1"/>
  <c r="EE102" i="11" s="1"/>
  <c r="EF102" i="11" s="1"/>
  <c r="EG102" i="11" s="1"/>
  <c r="AF75" i="13"/>
  <c r="N20" i="1" s="1"/>
  <c r="AA20" i="10"/>
  <c r="BA12" i="11"/>
  <c r="BA14" i="11" s="1"/>
  <c r="AA124" i="11"/>
  <c r="AA251" i="11"/>
  <c r="H33" i="9"/>
  <c r="G62" i="9"/>
  <c r="BY11" i="11" s="1"/>
  <c r="BY12" i="11" s="1"/>
  <c r="BY14" i="11" s="1"/>
  <c r="Y110" i="11"/>
  <c r="Y228" i="11"/>
  <c r="Z252" i="11"/>
  <c r="Z125" i="11"/>
  <c r="Y90" i="11"/>
  <c r="Y241" i="11"/>
  <c r="CH15" i="11"/>
  <c r="BV16" i="11"/>
  <c r="CH16" i="11" s="1"/>
  <c r="CV24" i="11"/>
  <c r="DH24" i="11" s="1"/>
  <c r="F145" i="10"/>
  <c r="G145" i="10" s="1"/>
  <c r="H145" i="10" s="1"/>
  <c r="I145" i="10" s="1"/>
  <c r="J145" i="10" s="1"/>
  <c r="K145" i="10" s="1"/>
  <c r="L145" i="10" s="1"/>
  <c r="M145" i="10" s="1"/>
  <c r="N145" i="10" s="1"/>
  <c r="O145" i="10" s="1"/>
  <c r="P145" i="10" s="1"/>
  <c r="Q145" i="10" s="1"/>
  <c r="R144" i="10" s="1"/>
  <c r="CT16" i="11"/>
  <c r="CT17" i="11" s="1"/>
  <c r="CT25" i="11" s="1"/>
  <c r="AB98" i="13"/>
  <c r="F37" i="9"/>
  <c r="E64" i="9"/>
  <c r="CW11" i="11" s="1"/>
  <c r="CW12" i="11" s="1"/>
  <c r="CW14" i="11" s="1"/>
  <c r="E41" i="9"/>
  <c r="D66" i="9"/>
  <c r="DV11" i="11" s="1"/>
  <c r="Y115" i="11"/>
  <c r="Y233" i="11"/>
  <c r="AC107" i="11"/>
  <c r="AC225" i="11"/>
  <c r="I82" i="11"/>
  <c r="I83" i="11" s="1"/>
  <c r="J9" i="11"/>
  <c r="N37" i="10"/>
  <c r="M71" i="10"/>
  <c r="P18" i="11" s="1"/>
  <c r="P20" i="11" s="1"/>
  <c r="AA86" i="13"/>
  <c r="N125" i="10"/>
  <c r="ED23" i="11" s="1"/>
  <c r="F125" i="10"/>
  <c r="M125" i="10"/>
  <c r="EC23" i="11" s="1"/>
  <c r="K125" i="10"/>
  <c r="EA23" i="11" s="1"/>
  <c r="Q125" i="10"/>
  <c r="EG23" i="11" s="1"/>
  <c r="P125" i="10"/>
  <c r="EF23" i="11" s="1"/>
  <c r="L125" i="10"/>
  <c r="EB23" i="11" s="1"/>
  <c r="H125" i="10"/>
  <c r="DX23" i="11" s="1"/>
  <c r="G125" i="10"/>
  <c r="DW23" i="11" s="1"/>
  <c r="I125" i="10"/>
  <c r="DY23" i="11" s="1"/>
  <c r="O125" i="10"/>
  <c r="EE23" i="11" s="1"/>
  <c r="J125" i="10"/>
  <c r="DZ23" i="11" s="1"/>
  <c r="O100" i="10"/>
  <c r="DR22" i="11" s="1"/>
  <c r="G100" i="10"/>
  <c r="DJ22" i="11" s="1"/>
  <c r="N100" i="10"/>
  <c r="DQ22" i="11" s="1"/>
  <c r="F100" i="10"/>
  <c r="L100" i="10"/>
  <c r="DO22" i="11" s="1"/>
  <c r="H100" i="10"/>
  <c r="DK22" i="11" s="1"/>
  <c r="P100" i="10"/>
  <c r="DS22" i="11" s="1"/>
  <c r="Q100" i="10"/>
  <c r="DT22" i="11" s="1"/>
  <c r="M100" i="10"/>
  <c r="DP22" i="11" s="1"/>
  <c r="K100" i="10"/>
  <c r="DN22" i="11" s="1"/>
  <c r="I100" i="10"/>
  <c r="DL22" i="11" s="1"/>
  <c r="J100" i="10"/>
  <c r="DM22" i="11" s="1"/>
  <c r="E39" i="9"/>
  <c r="D65" i="9"/>
  <c r="DI11" i="11" s="1"/>
  <c r="Z217" i="11"/>
  <c r="Z100" i="11"/>
  <c r="G9" i="7"/>
  <c r="D10" i="7" s="1"/>
  <c r="L257" i="11"/>
  <c r="L28" i="11" s="1"/>
  <c r="Z245" i="11"/>
  <c r="Z94" i="11"/>
  <c r="L27" i="9"/>
  <c r="K59" i="9"/>
  <c r="AP11" i="11" s="1"/>
  <c r="AP12" i="11" s="1"/>
  <c r="AP14" i="11" s="1"/>
  <c r="Z221" i="11"/>
  <c r="Z103" i="11"/>
  <c r="Z231" i="11"/>
  <c r="Z113" i="11"/>
  <c r="AB111" i="11"/>
  <c r="AB229" i="11"/>
  <c r="CL16" i="11"/>
  <c r="CL17" i="11" s="1"/>
  <c r="CL25" i="11" s="1"/>
  <c r="BK87" i="11"/>
  <c r="BK238" i="11"/>
  <c r="I31" i="9"/>
  <c r="H61" i="9"/>
  <c r="BM11" i="11" s="1"/>
  <c r="BM12" i="11" s="1"/>
  <c r="BM14" i="11" s="1"/>
  <c r="L41" i="10"/>
  <c r="K73" i="10"/>
  <c r="AN18" i="11" s="1"/>
  <c r="AN20" i="11" s="1"/>
  <c r="J43" i="10"/>
  <c r="I74" i="10"/>
  <c r="AY18" i="11" s="1"/>
  <c r="Z88" i="11"/>
  <c r="Z239" i="11"/>
  <c r="CJ16" i="11"/>
  <c r="CJ17" i="11" s="1"/>
  <c r="CJ25" i="11" s="1"/>
  <c r="I98" i="11"/>
  <c r="I97" i="11"/>
  <c r="I1" i="11"/>
  <c r="AB97" i="4"/>
  <c r="J216" i="11"/>
  <c r="J218" i="11" s="1"/>
  <c r="J27" i="11" s="1"/>
  <c r="DC128" i="11"/>
  <c r="DC255" i="11"/>
  <c r="DI13" i="11"/>
  <c r="DU13" i="11" s="1"/>
  <c r="AF84" i="13" s="1"/>
  <c r="DU10" i="11"/>
  <c r="AF74" i="13" s="1"/>
  <c r="AF96" i="13" s="1"/>
  <c r="DI4" i="11"/>
  <c r="DI5" i="11" s="1"/>
  <c r="AA248" i="11"/>
  <c r="AA121" i="11"/>
  <c r="AX20" i="11"/>
  <c r="Y109" i="11"/>
  <c r="Y227" i="11"/>
  <c r="AH75" i="13"/>
  <c r="AC20" i="10"/>
  <c r="BX12" i="11"/>
  <c r="BX14" i="11" s="1"/>
  <c r="F49" i="10"/>
  <c r="CI15" i="11"/>
  <c r="CK16" i="11"/>
  <c r="CK17" i="11" s="1"/>
  <c r="CK25" i="11" s="1"/>
  <c r="AC76" i="13"/>
  <c r="AB120" i="11"/>
  <c r="AB247" i="11"/>
  <c r="BJ20" i="11"/>
  <c r="BU17" i="11"/>
  <c r="BI25" i="11"/>
  <c r="BU25" i="11" s="1"/>
  <c r="Y246" i="11"/>
  <c r="Y95" i="11"/>
  <c r="AM20" i="11"/>
  <c r="AH126" i="13"/>
  <c r="Q123" i="10"/>
  <c r="DT23" i="11" s="1"/>
  <c r="I123" i="10"/>
  <c r="DL23" i="11" s="1"/>
  <c r="P123" i="10"/>
  <c r="DS23" i="11" s="1"/>
  <c r="H123" i="10"/>
  <c r="DK23" i="11" s="1"/>
  <c r="N123" i="10"/>
  <c r="DQ23" i="11" s="1"/>
  <c r="F123" i="10"/>
  <c r="M123" i="10"/>
  <c r="DP23" i="11" s="1"/>
  <c r="L123" i="10"/>
  <c r="DO23" i="11" s="1"/>
  <c r="K123" i="10"/>
  <c r="DN23" i="11" s="1"/>
  <c r="J123" i="10"/>
  <c r="DM23" i="11" s="1"/>
  <c r="O123" i="10"/>
  <c r="DR23" i="11" s="1"/>
  <c r="G123" i="10"/>
  <c r="DJ23" i="11" s="1"/>
  <c r="AE83" i="13"/>
  <c r="AE90" i="13"/>
  <c r="AE84" i="13"/>
  <c r="AE80" i="13"/>
  <c r="AE74" i="13"/>
  <c r="AE92" i="13"/>
  <c r="AE75" i="13"/>
  <c r="AE79" i="13"/>
  <c r="AE85" i="13"/>
  <c r="AE93" i="13"/>
  <c r="AD76" i="13"/>
  <c r="AD78" i="13" s="1"/>
  <c r="AE78" i="13" s="1"/>
  <c r="AE77" i="13"/>
  <c r="AH77" i="13"/>
  <c r="P148" i="10"/>
  <c r="EF24" i="11" s="1"/>
  <c r="H148" i="10"/>
  <c r="DX24" i="11" s="1"/>
  <c r="O148" i="10"/>
  <c r="EE24" i="11" s="1"/>
  <c r="G148" i="10"/>
  <c r="DW24" i="11" s="1"/>
  <c r="M148" i="10"/>
  <c r="EC24" i="11" s="1"/>
  <c r="Q148" i="10"/>
  <c r="EG24" i="11" s="1"/>
  <c r="N148" i="10"/>
  <c r="ED24" i="11" s="1"/>
  <c r="K148" i="10"/>
  <c r="EA24" i="11" s="1"/>
  <c r="L148" i="10"/>
  <c r="EB24" i="11" s="1"/>
  <c r="J148" i="10"/>
  <c r="DZ24" i="11" s="1"/>
  <c r="I148" i="10"/>
  <c r="DY24" i="11" s="1"/>
  <c r="F148" i="10"/>
  <c r="CQ16" i="11"/>
  <c r="CQ17" i="11" s="1"/>
  <c r="CQ25" i="11" s="1"/>
  <c r="V106" i="1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AG106" i="11" s="1"/>
  <c r="AI106" i="11" s="1"/>
  <c r="AJ106" i="11" s="1"/>
  <c r="AK106" i="11" s="1"/>
  <c r="AL106" i="11" s="1"/>
  <c r="AM106" i="11" s="1"/>
  <c r="AN106" i="11" s="1"/>
  <c r="AO106" i="11" s="1"/>
  <c r="AP106" i="11" s="1"/>
  <c r="AQ106" i="11" s="1"/>
  <c r="AR106" i="11" s="1"/>
  <c r="AS106" i="11" s="1"/>
  <c r="AT106" i="11" s="1"/>
  <c r="AV106" i="11" s="1"/>
  <c r="AW106" i="11" s="1"/>
  <c r="AX106" i="11" s="1"/>
  <c r="AY106" i="11" s="1"/>
  <c r="AZ106" i="11" s="1"/>
  <c r="BA106" i="11" s="1"/>
  <c r="BB106" i="11" s="1"/>
  <c r="BC106" i="11" s="1"/>
  <c r="BD106" i="11" s="1"/>
  <c r="BE106" i="11" s="1"/>
  <c r="BF106" i="11" s="1"/>
  <c r="BG106" i="11" s="1"/>
  <c r="BI106" i="11" s="1"/>
  <c r="BJ106" i="11" s="1"/>
  <c r="BK106" i="11" s="1"/>
  <c r="BL106" i="11" s="1"/>
  <c r="BM106" i="11" s="1"/>
  <c r="BN106" i="11" s="1"/>
  <c r="BO106" i="11" s="1"/>
  <c r="BP106" i="11" s="1"/>
  <c r="BQ106" i="11" s="1"/>
  <c r="BR106" i="11" s="1"/>
  <c r="BS106" i="11" s="1"/>
  <c r="BT106" i="11" s="1"/>
  <c r="J137" i="13"/>
  <c r="CJ12" i="11"/>
  <c r="CJ14" i="11" s="1"/>
  <c r="F122" i="10"/>
  <c r="G122" i="10" s="1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1" i="10" s="1"/>
  <c r="CV23" i="11"/>
  <c r="DH23" i="11" s="1"/>
  <c r="AB86" i="11"/>
  <c r="AB237" i="11"/>
  <c r="CA108" i="11"/>
  <c r="CA226" i="11"/>
  <c r="AY114" i="11"/>
  <c r="AY232" i="11"/>
  <c r="L102" i="10"/>
  <c r="EB22" i="11" s="1"/>
  <c r="K102" i="10"/>
  <c r="EA22" i="11" s="1"/>
  <c r="Q102" i="10"/>
  <c r="EG22" i="11" s="1"/>
  <c r="I102" i="10"/>
  <c r="DY22" i="11" s="1"/>
  <c r="F102" i="10"/>
  <c r="P102" i="10"/>
  <c r="EF22" i="11" s="1"/>
  <c r="N102" i="10"/>
  <c r="ED22" i="11" s="1"/>
  <c r="J102" i="10"/>
  <c r="DZ22" i="11" s="1"/>
  <c r="H102" i="10"/>
  <c r="DX22" i="11" s="1"/>
  <c r="G102" i="10"/>
  <c r="DW22" i="11" s="1"/>
  <c r="O102" i="10"/>
  <c r="EE22" i="11" s="1"/>
  <c r="M102" i="10"/>
  <c r="EC22" i="11" s="1"/>
  <c r="Y93" i="11"/>
  <c r="Y244" i="11"/>
  <c r="AL112" i="11"/>
  <c r="AL230" i="11"/>
  <c r="AE116" i="11"/>
  <c r="AE234" i="11"/>
  <c r="X18" i="10"/>
  <c r="CO16" i="11"/>
  <c r="CO17" i="11" s="1"/>
  <c r="CO25" i="11" s="1"/>
  <c r="CS16" i="11"/>
  <c r="CS17" i="11" s="1"/>
  <c r="CS25" i="11" s="1"/>
  <c r="AC78" i="13"/>
  <c r="R12" i="11"/>
  <c r="Y254" i="11"/>
  <c r="Y127" i="11"/>
  <c r="AO12" i="11"/>
  <c r="AO14" i="11" s="1"/>
  <c r="AH137" i="13"/>
  <c r="AH139" i="13" s="1"/>
  <c r="CP16" i="11"/>
  <c r="CP17" i="11" s="1"/>
  <c r="CP25" i="11" s="1"/>
  <c r="CM16" i="11"/>
  <c r="CM17" i="11" s="1"/>
  <c r="CM25" i="11" s="1"/>
  <c r="CK5" i="11"/>
  <c r="M25" i="9"/>
  <c r="L58" i="9"/>
  <c r="AD11" i="11" s="1"/>
  <c r="AD12" i="11" s="1"/>
  <c r="AD14" i="11" s="1"/>
  <c r="L52" i="13" l="1"/>
  <c r="O53" i="1"/>
  <c r="O21" i="1"/>
  <c r="O39" i="1"/>
  <c r="O37" i="1"/>
  <c r="M186" i="1"/>
  <c r="N4" i="1"/>
  <c r="O20" i="1"/>
  <c r="N37" i="1"/>
  <c r="N39" i="1"/>
  <c r="N53" i="1"/>
  <c r="G10" i="7"/>
  <c r="R19" i="11"/>
  <c r="R26" i="11"/>
  <c r="AC92" i="11"/>
  <c r="AC243" i="11"/>
  <c r="Z117" i="11"/>
  <c r="Z235" i="11"/>
  <c r="J12" i="13"/>
  <c r="L12" i="13" s="1"/>
  <c r="F170" i="1" s="1"/>
  <c r="BU34" i="11"/>
  <c r="T12" i="11"/>
  <c r="T14" i="11" s="1"/>
  <c r="X236" i="11"/>
  <c r="X118" i="11"/>
  <c r="AD97" i="13"/>
  <c r="DI23" i="11"/>
  <c r="DU23" i="11" s="1"/>
  <c r="F124" i="10"/>
  <c r="G124" i="10" s="1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3" i="10" s="1"/>
  <c r="D11" i="7"/>
  <c r="F11" i="7" s="1"/>
  <c r="N224" i="11" s="1"/>
  <c r="M257" i="11"/>
  <c r="M28" i="11" s="1"/>
  <c r="Y104" i="11"/>
  <c r="Y222" i="11"/>
  <c r="H47" i="10"/>
  <c r="G76" i="10"/>
  <c r="BW18" i="11" s="1"/>
  <c r="BW20" i="11" s="1"/>
  <c r="Z18" i="10"/>
  <c r="BV106" i="11"/>
  <c r="BV224" i="11"/>
  <c r="Z95" i="11"/>
  <c r="Z246" i="11"/>
  <c r="AC120" i="11"/>
  <c r="AC247" i="11"/>
  <c r="J39" i="11"/>
  <c r="AA103" i="11"/>
  <c r="AA221" i="11"/>
  <c r="AA100" i="11"/>
  <c r="AA217" i="11"/>
  <c r="AD107" i="11"/>
  <c r="AD225" i="11"/>
  <c r="Z241" i="11"/>
  <c r="Z90" i="11"/>
  <c r="AB251" i="11"/>
  <c r="AB124" i="11"/>
  <c r="P50" i="10"/>
  <c r="DF15" i="11" s="1"/>
  <c r="H50" i="10"/>
  <c r="CX15" i="11" s="1"/>
  <c r="O50" i="10"/>
  <c r="DE15" i="11" s="1"/>
  <c r="G50" i="10"/>
  <c r="CW15" i="11" s="1"/>
  <c r="M50" i="10"/>
  <c r="DC15" i="11" s="1"/>
  <c r="F50" i="10"/>
  <c r="N50" i="10"/>
  <c r="DD15" i="11" s="1"/>
  <c r="L50" i="10"/>
  <c r="DB15" i="11" s="1"/>
  <c r="K50" i="10"/>
  <c r="DA15" i="11" s="1"/>
  <c r="J50" i="10"/>
  <c r="CZ15" i="11" s="1"/>
  <c r="Q50" i="10"/>
  <c r="DG15" i="11" s="1"/>
  <c r="I50" i="10"/>
  <c r="CY15" i="11" s="1"/>
  <c r="X19" i="10"/>
  <c r="Z109" i="11"/>
  <c r="Z227" i="11"/>
  <c r="DD128" i="11"/>
  <c r="DD255" i="11"/>
  <c r="AA239" i="11"/>
  <c r="AA88" i="11"/>
  <c r="J31" i="9"/>
  <c r="I61" i="9"/>
  <c r="BN11" i="11" s="1"/>
  <c r="BN12" i="11" s="1"/>
  <c r="BN14" i="11" s="1"/>
  <c r="O99" i="11"/>
  <c r="AF102" i="4"/>
  <c r="AI77" i="13"/>
  <c r="AI93" i="13"/>
  <c r="AI92" i="13"/>
  <c r="AI83" i="13"/>
  <c r="AI85" i="13"/>
  <c r="AI80" i="13"/>
  <c r="AI84" i="13"/>
  <c r="AI75" i="13"/>
  <c r="AH76" i="13"/>
  <c r="AH78" i="13" s="1"/>
  <c r="AI74" i="13"/>
  <c r="AI90" i="13"/>
  <c r="AI79" i="13"/>
  <c r="AF116" i="11"/>
  <c r="AF234" i="11"/>
  <c r="AC86" i="11"/>
  <c r="AC237" i="11"/>
  <c r="CL5" i="11"/>
  <c r="AB121" i="11"/>
  <c r="AB248" i="11"/>
  <c r="AC97" i="4"/>
  <c r="BL87" i="11"/>
  <c r="BL238" i="11"/>
  <c r="AA125" i="11"/>
  <c r="AA252" i="11"/>
  <c r="Z253" i="11"/>
  <c r="Z126" i="11"/>
  <c r="N39" i="10"/>
  <c r="M72" i="10"/>
  <c r="AC18" i="11" s="1"/>
  <c r="CJ89" i="11"/>
  <c r="CJ240" i="11"/>
  <c r="J45" i="10"/>
  <c r="I75" i="10"/>
  <c r="BL18" i="11" s="1"/>
  <c r="BL20" i="11" s="1"/>
  <c r="Z256" i="11"/>
  <c r="Z129" i="11"/>
  <c r="BK20" i="11"/>
  <c r="DV23" i="11"/>
  <c r="EH23" i="11" s="1"/>
  <c r="F126" i="10"/>
  <c r="G126" i="10" s="1"/>
  <c r="H126" i="10" s="1"/>
  <c r="I126" i="10" s="1"/>
  <c r="J126" i="10" s="1"/>
  <c r="K126" i="10" s="1"/>
  <c r="L126" i="10" s="1"/>
  <c r="M126" i="10" s="1"/>
  <c r="N126" i="10" s="1"/>
  <c r="O126" i="10" s="1"/>
  <c r="P126" i="10" s="1"/>
  <c r="Q126" i="10" s="1"/>
  <c r="R125" i="10" s="1"/>
  <c r="Z233" i="11"/>
  <c r="Z115" i="11"/>
  <c r="AF13" i="13"/>
  <c r="N186" i="1" s="1"/>
  <c r="AC18" i="10"/>
  <c r="AC19" i="10" s="1"/>
  <c r="Z20" i="10"/>
  <c r="BZ5" i="11"/>
  <c r="BH34" i="11"/>
  <c r="Z254" i="11"/>
  <c r="Z127" i="11"/>
  <c r="AD103" i="13"/>
  <c r="L6" i="14" s="1"/>
  <c r="L7" i="14" s="1"/>
  <c r="AD86" i="13"/>
  <c r="AH13" i="13"/>
  <c r="AB20" i="10"/>
  <c r="K43" i="10"/>
  <c r="J74" i="10"/>
  <c r="AZ18" i="11" s="1"/>
  <c r="AZ20" i="11" s="1"/>
  <c r="M27" i="9"/>
  <c r="L59" i="9"/>
  <c r="AQ11" i="11" s="1"/>
  <c r="AQ12" i="11" s="1"/>
  <c r="AQ14" i="11" s="1"/>
  <c r="F39" i="9"/>
  <c r="E65" i="9"/>
  <c r="DJ11" i="11" s="1"/>
  <c r="O37" i="10"/>
  <c r="N71" i="10"/>
  <c r="Q18" i="11" s="1"/>
  <c r="Q20" i="11" s="1"/>
  <c r="AA19" i="10"/>
  <c r="AA21" i="10" s="1"/>
  <c r="Z21" i="10" s="1"/>
  <c r="AC86" i="13"/>
  <c r="Z250" i="11"/>
  <c r="Z123" i="11"/>
  <c r="Y119" i="11"/>
  <c r="DV24" i="11"/>
  <c r="EH24" i="11" s="1"/>
  <c r="F149" i="10"/>
  <c r="G149" i="10" s="1"/>
  <c r="H149" i="10" s="1"/>
  <c r="I149" i="10" s="1"/>
  <c r="J149" i="10" s="1"/>
  <c r="K149" i="10" s="1"/>
  <c r="L149" i="10" s="1"/>
  <c r="M149" i="10" s="1"/>
  <c r="N149" i="10" s="1"/>
  <c r="O149" i="10" s="1"/>
  <c r="P149" i="10" s="1"/>
  <c r="Q149" i="10" s="1"/>
  <c r="R148" i="10" s="1"/>
  <c r="DJ5" i="11"/>
  <c r="Z244" i="11"/>
  <c r="Z93" i="11"/>
  <c r="F103" i="10"/>
  <c r="G103" i="10" s="1"/>
  <c r="H103" i="10" s="1"/>
  <c r="I103" i="10" s="1"/>
  <c r="J103" i="10" s="1"/>
  <c r="K103" i="10" s="1"/>
  <c r="L103" i="10" s="1"/>
  <c r="M103" i="10" s="1"/>
  <c r="N103" i="10" s="1"/>
  <c r="O103" i="10" s="1"/>
  <c r="P103" i="10" s="1"/>
  <c r="Q103" i="10" s="1"/>
  <c r="R102" i="10" s="1"/>
  <c r="DV22" i="11"/>
  <c r="EH22" i="11" s="1"/>
  <c r="AZ114" i="11"/>
  <c r="AZ232" i="11"/>
  <c r="AH96" i="13"/>
  <c r="AG93" i="13"/>
  <c r="AG90" i="13"/>
  <c r="AG79" i="13"/>
  <c r="AG92" i="13"/>
  <c r="AG84" i="13"/>
  <c r="AG83" i="13"/>
  <c r="AG75" i="13"/>
  <c r="AG85" i="13"/>
  <c r="AG74" i="13"/>
  <c r="AG77" i="13"/>
  <c r="AG80" i="13"/>
  <c r="AF76" i="13"/>
  <c r="AF78" i="13" s="1"/>
  <c r="AF98" i="13" s="1"/>
  <c r="O4" i="1"/>
  <c r="AA245" i="11"/>
  <c r="AA94" i="11"/>
  <c r="F101" i="10"/>
  <c r="G101" i="10" s="1"/>
  <c r="H101" i="10" s="1"/>
  <c r="I101" i="10" s="1"/>
  <c r="J101" i="10" s="1"/>
  <c r="K101" i="10" s="1"/>
  <c r="L101" i="10" s="1"/>
  <c r="M101" i="10" s="1"/>
  <c r="N101" i="10" s="1"/>
  <c r="O101" i="10" s="1"/>
  <c r="P101" i="10" s="1"/>
  <c r="Q101" i="10" s="1"/>
  <c r="R100" i="10" s="1"/>
  <c r="DI22" i="11"/>
  <c r="DU22" i="11" s="1"/>
  <c r="E66" i="9"/>
  <c r="DW11" i="11" s="1"/>
  <c r="DW12" i="11" s="1"/>
  <c r="DW14" i="11" s="1"/>
  <c r="F41" i="9"/>
  <c r="BV17" i="11"/>
  <c r="Z110" i="11"/>
  <c r="Z228" i="11"/>
  <c r="BB12" i="11"/>
  <c r="BB14" i="11" s="1"/>
  <c r="AM112" i="11"/>
  <c r="AM230" i="11"/>
  <c r="R14" i="11"/>
  <c r="AE76" i="13"/>
  <c r="CU15" i="11"/>
  <c r="CI16" i="11"/>
  <c r="CU16" i="11" s="1"/>
  <c r="M41" i="10"/>
  <c r="L73" i="10"/>
  <c r="AO18" i="11" s="1"/>
  <c r="AO20" i="11" s="1"/>
  <c r="AC111" i="11"/>
  <c r="AC229" i="11"/>
  <c r="L29" i="9"/>
  <c r="K60" i="9"/>
  <c r="BC11" i="11" s="1"/>
  <c r="V12" i="11"/>
  <c r="DI24" i="11"/>
  <c r="DU24" i="11" s="1"/>
  <c r="F147" i="10"/>
  <c r="G147" i="10" s="1"/>
  <c r="H147" i="10" s="1"/>
  <c r="I147" i="10" s="1"/>
  <c r="J147" i="10" s="1"/>
  <c r="K147" i="10" s="1"/>
  <c r="L147" i="10" s="1"/>
  <c r="M147" i="10" s="1"/>
  <c r="N147" i="10" s="1"/>
  <c r="O147" i="10" s="1"/>
  <c r="P147" i="10" s="1"/>
  <c r="Q147" i="10" s="1"/>
  <c r="R146" i="10" s="1"/>
  <c r="AD98" i="13"/>
  <c r="N25" i="9"/>
  <c r="M58" i="9"/>
  <c r="AE11" i="11" s="1"/>
  <c r="CB108" i="11"/>
  <c r="CB226" i="11"/>
  <c r="G49" i="10"/>
  <c r="F77" i="10"/>
  <c r="CI18" i="11" s="1"/>
  <c r="AA231" i="11"/>
  <c r="AA113" i="11"/>
  <c r="AY20" i="11"/>
  <c r="G37" i="9"/>
  <c r="F64" i="9"/>
  <c r="CX11" i="11" s="1"/>
  <c r="I33" i="9"/>
  <c r="H62" i="9"/>
  <c r="BZ11" i="11" s="1"/>
  <c r="AB223" i="11"/>
  <c r="AB105" i="11"/>
  <c r="AG101" i="4"/>
  <c r="CX5" i="11"/>
  <c r="DW5" i="11"/>
  <c r="H35" i="9"/>
  <c r="G63" i="9"/>
  <c r="CL11" i="11" s="1"/>
  <c r="O186" i="1" l="1"/>
  <c r="S19" i="11"/>
  <c r="S26" i="11"/>
  <c r="U12" i="11"/>
  <c r="U14" i="11" s="1"/>
  <c r="L115" i="13"/>
  <c r="AA235" i="11"/>
  <c r="AA117" i="11"/>
  <c r="AD243" i="11"/>
  <c r="AD92" i="11"/>
  <c r="AF97" i="13"/>
  <c r="Y118" i="11"/>
  <c r="Y236" i="11"/>
  <c r="L43" i="10"/>
  <c r="K74" i="10"/>
  <c r="BA18" i="11" s="1"/>
  <c r="BA20" i="11" s="1"/>
  <c r="DA16" i="11"/>
  <c r="DA17" i="11" s="1"/>
  <c r="DA25" i="11" s="1"/>
  <c r="CH17" i="11"/>
  <c r="BV25" i="11"/>
  <c r="CH25" i="11" s="1"/>
  <c r="J33" i="9"/>
  <c r="I62" i="9"/>
  <c r="CA11" i="11" s="1"/>
  <c r="CA12" i="11" s="1"/>
  <c r="CA14" i="11" s="1"/>
  <c r="O25" i="9"/>
  <c r="O58" i="9" s="1"/>
  <c r="AG11" i="11" s="1"/>
  <c r="AH11" i="11" s="1"/>
  <c r="N58" i="9"/>
  <c r="AF11" i="11" s="1"/>
  <c r="AD111" i="11"/>
  <c r="AD229" i="11"/>
  <c r="G41" i="9"/>
  <c r="F66" i="9"/>
  <c r="DX11" i="11" s="1"/>
  <c r="AA250" i="11"/>
  <c r="AA123" i="11"/>
  <c r="Z119" i="11"/>
  <c r="P37" i="10"/>
  <c r="O71" i="10"/>
  <c r="R18" i="11" s="1"/>
  <c r="R20" i="11" s="1"/>
  <c r="CA5" i="11"/>
  <c r="AA129" i="11"/>
  <c r="AA256" i="11"/>
  <c r="AA253" i="11"/>
  <c r="AA126" i="11"/>
  <c r="AD86" i="11"/>
  <c r="AD237" i="11"/>
  <c r="AI76" i="13"/>
  <c r="AB239" i="11"/>
  <c r="AB88" i="11"/>
  <c r="DD16" i="11"/>
  <c r="DD17" i="11" s="1"/>
  <c r="DD25" i="11" s="1"/>
  <c r="AE107" i="11"/>
  <c r="AE225" i="11"/>
  <c r="J52" i="13"/>
  <c r="DX5" i="11"/>
  <c r="AN112" i="11"/>
  <c r="AN230" i="11"/>
  <c r="K31" i="9"/>
  <c r="J61" i="9"/>
  <c r="BO11" i="11" s="1"/>
  <c r="BO12" i="11" s="1"/>
  <c r="BO14" i="11" s="1"/>
  <c r="BC12" i="11"/>
  <c r="BC14" i="11" s="1"/>
  <c r="AF103" i="13"/>
  <c r="M6" i="14" s="1"/>
  <c r="M7" i="14" s="1"/>
  <c r="AF86" i="13"/>
  <c r="J54" i="10"/>
  <c r="DZ15" i="11" s="1"/>
  <c r="Q54" i="10"/>
  <c r="EG15" i="11" s="1"/>
  <c r="I54" i="10"/>
  <c r="DY15" i="11" s="1"/>
  <c r="O54" i="10"/>
  <c r="EE15" i="11" s="1"/>
  <c r="G54" i="10"/>
  <c r="DW15" i="11" s="1"/>
  <c r="P54" i="10"/>
  <c r="EF15" i="11" s="1"/>
  <c r="N54" i="10"/>
  <c r="ED15" i="11" s="1"/>
  <c r="L54" i="10"/>
  <c r="EB15" i="11" s="1"/>
  <c r="M54" i="10"/>
  <c r="EC15" i="11" s="1"/>
  <c r="K54" i="10"/>
  <c r="EA15" i="11" s="1"/>
  <c r="H54" i="10"/>
  <c r="DX15" i="11" s="1"/>
  <c r="F54" i="10"/>
  <c r="AB19" i="10"/>
  <c r="DK5" i="11"/>
  <c r="AE86" i="13"/>
  <c r="AH103" i="13"/>
  <c r="N6" i="14" s="1"/>
  <c r="N7" i="14" s="1"/>
  <c r="AH86" i="13"/>
  <c r="CV15" i="11"/>
  <c r="F51" i="10"/>
  <c r="G11" i="7"/>
  <c r="D12" i="7" s="1"/>
  <c r="N257" i="11"/>
  <c r="N28" i="11" s="1"/>
  <c r="J207" i="11"/>
  <c r="V14" i="11"/>
  <c r="AA115" i="11"/>
  <c r="AA233" i="11"/>
  <c r="M29" i="9"/>
  <c r="L60" i="9"/>
  <c r="BD11" i="11" s="1"/>
  <c r="N41" i="10"/>
  <c r="M73" i="10"/>
  <c r="AP18" i="11" s="1"/>
  <c r="AP20" i="11" s="1"/>
  <c r="AE12" i="11"/>
  <c r="AE14" i="11" s="1"/>
  <c r="G39" i="9"/>
  <c r="F65" i="9"/>
  <c r="DK11" i="11" s="1"/>
  <c r="DK12" i="11" s="1"/>
  <c r="DK14" i="11" s="1"/>
  <c r="AG116" i="11"/>
  <c r="AG234" i="11"/>
  <c r="AH97" i="13"/>
  <c r="DC16" i="11"/>
  <c r="DC17" i="11" s="1"/>
  <c r="DC25" i="11" s="1"/>
  <c r="U34" i="11"/>
  <c r="AB217" i="11"/>
  <c r="AB100" i="11"/>
  <c r="AD120" i="11"/>
  <c r="AD247" i="11"/>
  <c r="AA110" i="11"/>
  <c r="AA228" i="11"/>
  <c r="AA93" i="11"/>
  <c r="AA244" i="11"/>
  <c r="DF16" i="11"/>
  <c r="DF17" i="11" s="1"/>
  <c r="DF25" i="11" s="1"/>
  <c r="AC20" i="11"/>
  <c r="H37" i="9"/>
  <c r="G64" i="9"/>
  <c r="CY11" i="11" s="1"/>
  <c r="AG76" i="13"/>
  <c r="BA114" i="11"/>
  <c r="BA232" i="11"/>
  <c r="AA254" i="11"/>
  <c r="AA127" i="11"/>
  <c r="K45" i="10"/>
  <c r="J75" i="10"/>
  <c r="BM18" i="11" s="1"/>
  <c r="BM20" i="11" s="1"/>
  <c r="AC248" i="11"/>
  <c r="AC121" i="11"/>
  <c r="AH98" i="13"/>
  <c r="DE128" i="11"/>
  <c r="DE255" i="11"/>
  <c r="CY16" i="11"/>
  <c r="CY17" i="11" s="1"/>
  <c r="CY25" i="11" s="1"/>
  <c r="CW16" i="11"/>
  <c r="CW17" i="11" s="1"/>
  <c r="CW25" i="11" s="1"/>
  <c r="AC124" i="11"/>
  <c r="AC251" i="11"/>
  <c r="I47" i="10"/>
  <c r="H76" i="10"/>
  <c r="BX18" i="11" s="1"/>
  <c r="BW106" i="11"/>
  <c r="BW224" i="11"/>
  <c r="CY5" i="11"/>
  <c r="H49" i="10"/>
  <c r="G77" i="10"/>
  <c r="CJ18" i="11" s="1"/>
  <c r="CJ20" i="11" s="1"/>
  <c r="I35" i="9"/>
  <c r="H63" i="9"/>
  <c r="CM11" i="11" s="1"/>
  <c r="CM12" i="11" s="1"/>
  <c r="CM14" i="11" s="1"/>
  <c r="CL12" i="11"/>
  <c r="CL14" i="11" s="1"/>
  <c r="BZ12" i="11"/>
  <c r="BZ14" i="11" s="1"/>
  <c r="CI17" i="11"/>
  <c r="N27" i="9"/>
  <c r="M59" i="9"/>
  <c r="AR11" i="11" s="1"/>
  <c r="AR12" i="11" s="1"/>
  <c r="AR14" i="11" s="1"/>
  <c r="DJ12" i="11"/>
  <c r="DJ14" i="11" s="1"/>
  <c r="AB252" i="11"/>
  <c r="AB125" i="11"/>
  <c r="AG102" i="4"/>
  <c r="DG16" i="11"/>
  <c r="DG17" i="11" s="1"/>
  <c r="DG25" i="11" s="1"/>
  <c r="DE16" i="11"/>
  <c r="DE17" i="11" s="1"/>
  <c r="DE25" i="11" s="1"/>
  <c r="AB103" i="11"/>
  <c r="AB221" i="11"/>
  <c r="O39" i="10"/>
  <c r="N72" i="10"/>
  <c r="AD18" i="11" s="1"/>
  <c r="AD20" i="11" s="1"/>
  <c r="BM87" i="11"/>
  <c r="BM238" i="11"/>
  <c r="DB16" i="11"/>
  <c r="DB17" i="11" s="1"/>
  <c r="DB25" i="11" s="1"/>
  <c r="AC105" i="11"/>
  <c r="AC223" i="11"/>
  <c r="AB231" i="11"/>
  <c r="AB113" i="11"/>
  <c r="CC108" i="11"/>
  <c r="CC226" i="11"/>
  <c r="CX12" i="11"/>
  <c r="CX14" i="11" s="1"/>
  <c r="AB245" i="11"/>
  <c r="AB94" i="11"/>
  <c r="AG78" i="13"/>
  <c r="M52" i="10"/>
  <c r="DP15" i="11" s="1"/>
  <c r="L52" i="10"/>
  <c r="DO15" i="11" s="1"/>
  <c r="J52" i="10"/>
  <c r="DM15" i="11" s="1"/>
  <c r="Q52" i="10"/>
  <c r="DT15" i="11" s="1"/>
  <c r="F52" i="10"/>
  <c r="P52" i="10"/>
  <c r="DS15" i="11" s="1"/>
  <c r="N52" i="10"/>
  <c r="DQ15" i="11" s="1"/>
  <c r="G52" i="10"/>
  <c r="DJ15" i="11" s="1"/>
  <c r="O52" i="10"/>
  <c r="DR15" i="11" s="1"/>
  <c r="K52" i="10"/>
  <c r="DN15" i="11" s="1"/>
  <c r="I52" i="10"/>
  <c r="DL15" i="11" s="1"/>
  <c r="H52" i="10"/>
  <c r="DK15" i="11" s="1"/>
  <c r="Z19" i="10"/>
  <c r="AC21" i="10"/>
  <c r="AB21" i="10" s="1"/>
  <c r="AB18" i="10"/>
  <c r="CK89" i="11"/>
  <c r="CK240" i="11"/>
  <c r="CM5" i="11"/>
  <c r="AI78" i="13"/>
  <c r="P99" i="11"/>
  <c r="AF103" i="4"/>
  <c r="AA227" i="11"/>
  <c r="AA109" i="11"/>
  <c r="CZ16" i="11"/>
  <c r="CZ17" i="11" s="1"/>
  <c r="CZ25" i="11" s="1"/>
  <c r="CX16" i="11"/>
  <c r="CX17" i="11" s="1"/>
  <c r="CX25" i="11" s="1"/>
  <c r="AA241" i="11"/>
  <c r="AA90" i="11"/>
  <c r="AA95" i="11"/>
  <c r="AA246" i="11"/>
  <c r="Z104" i="11"/>
  <c r="Z222" i="11"/>
  <c r="T26" i="11" l="1"/>
  <c r="U26" i="11" s="1"/>
  <c r="T19" i="11"/>
  <c r="U19" i="11" s="1"/>
  <c r="AE243" i="11"/>
  <c r="AE92" i="11"/>
  <c r="AB117" i="11"/>
  <c r="AB235" i="11"/>
  <c r="J17" i="13"/>
  <c r="L17" i="13" s="1"/>
  <c r="F202" i="1" s="1"/>
  <c r="Z118" i="11"/>
  <c r="Z236" i="11"/>
  <c r="AG12" i="11"/>
  <c r="AG14" i="11" s="1"/>
  <c r="DS16" i="11"/>
  <c r="DS17" i="11" s="1"/>
  <c r="DS25" i="11" s="1"/>
  <c r="AE120" i="11"/>
  <c r="AE247" i="11"/>
  <c r="O41" i="10"/>
  <c r="N73" i="10"/>
  <c r="AQ18" i="11" s="1"/>
  <c r="AQ20" i="11" s="1"/>
  <c r="DH15" i="11"/>
  <c r="CV16" i="11"/>
  <c r="CV17" i="11" s="1"/>
  <c r="DW16" i="11"/>
  <c r="DW17" i="11" s="1"/>
  <c r="DW25" i="11" s="1"/>
  <c r="AB250" i="11"/>
  <c r="AB123" i="11"/>
  <c r="AA119" i="11"/>
  <c r="CN5" i="11"/>
  <c r="F53" i="10"/>
  <c r="DI15" i="11"/>
  <c r="I37" i="9"/>
  <c r="H64" i="9"/>
  <c r="CZ11" i="11" s="1"/>
  <c r="AI234" i="11"/>
  <c r="AI116" i="11"/>
  <c r="AI86" i="13"/>
  <c r="DV15" i="11"/>
  <c r="F55" i="10"/>
  <c r="EE16" i="11"/>
  <c r="EE17" i="11" s="1"/>
  <c r="EE25" i="11" s="1"/>
  <c r="AO112" i="11"/>
  <c r="AO230" i="11"/>
  <c r="AD223" i="11"/>
  <c r="AD105" i="11"/>
  <c r="J35" i="9"/>
  <c r="I63" i="9"/>
  <c r="CN11" i="11" s="1"/>
  <c r="CN12" i="11" s="1"/>
  <c r="CN14" i="11" s="1"/>
  <c r="BX224" i="11"/>
  <c r="BX106" i="11"/>
  <c r="DF128" i="11"/>
  <c r="DF255" i="11"/>
  <c r="AB254" i="11"/>
  <c r="AB127" i="11"/>
  <c r="DK16" i="11"/>
  <c r="DK17" i="11" s="1"/>
  <c r="DK25" i="11" s="1"/>
  <c r="DT16" i="11"/>
  <c r="DT17" i="11" s="1"/>
  <c r="DT25" i="11" s="1"/>
  <c r="CI25" i="11"/>
  <c r="CU25" i="11" s="1"/>
  <c r="CU17" i="11"/>
  <c r="AD124" i="11"/>
  <c r="AD251" i="11"/>
  <c r="AC100" i="11"/>
  <c r="AC217" i="11"/>
  <c r="N29" i="9"/>
  <c r="M60" i="9"/>
  <c r="BE11" i="11" s="1"/>
  <c r="BE12" i="11" s="1"/>
  <c r="BE14" i="11" s="1"/>
  <c r="DX16" i="11"/>
  <c r="DX17" i="11" s="1"/>
  <c r="DX25" i="11" s="1"/>
  <c r="DY16" i="11"/>
  <c r="DY17" i="11" s="1"/>
  <c r="DY25" i="11" s="1"/>
  <c r="BD12" i="11"/>
  <c r="BD14" i="11" s="1"/>
  <c r="DY5" i="11"/>
  <c r="AC88" i="11"/>
  <c r="AC239" i="11"/>
  <c r="AB256" i="11"/>
  <c r="AB129" i="11"/>
  <c r="EG16" i="11"/>
  <c r="EG17" i="11" s="1"/>
  <c r="EG25" i="11" s="1"/>
  <c r="CY12" i="11"/>
  <c r="CY14" i="11" s="1"/>
  <c r="CA21" i="11"/>
  <c r="CB5" i="11"/>
  <c r="H41" i="9"/>
  <c r="G66" i="9"/>
  <c r="DY11" i="11" s="1"/>
  <c r="N12" i="13"/>
  <c r="G170" i="1" s="1"/>
  <c r="AI12" i="11"/>
  <c r="M43" i="10"/>
  <c r="L74" i="10"/>
  <c r="BB18" i="11" s="1"/>
  <c r="Q99" i="11"/>
  <c r="AF104" i="4"/>
  <c r="O27" i="9"/>
  <c r="O59" i="9" s="1"/>
  <c r="AT11" i="11" s="1"/>
  <c r="AU11" i="11" s="1"/>
  <c r="N59" i="9"/>
  <c r="AS11" i="11" s="1"/>
  <c r="DM16" i="11"/>
  <c r="DM17" i="11" s="1"/>
  <c r="DM25" i="11" s="1"/>
  <c r="AC252" i="11"/>
  <c r="AC125" i="11"/>
  <c r="I49" i="10"/>
  <c r="H77" i="10"/>
  <c r="CK18" i="11" s="1"/>
  <c r="CK20" i="11" s="1"/>
  <c r="AB244" i="11"/>
  <c r="AB93" i="11"/>
  <c r="J58" i="11"/>
  <c r="J75" i="11"/>
  <c r="EA16" i="11"/>
  <c r="EA17" i="11" s="1"/>
  <c r="EA25" i="11" s="1"/>
  <c r="AB227" i="11"/>
  <c r="AB109" i="11"/>
  <c r="CL89" i="11"/>
  <c r="CL240" i="11"/>
  <c r="DN16" i="11"/>
  <c r="DN17" i="11" s="1"/>
  <c r="DN25" i="11" s="1"/>
  <c r="DO16" i="11"/>
  <c r="DO17" i="11" s="1"/>
  <c r="DO25" i="11" s="1"/>
  <c r="AC113" i="11"/>
  <c r="AC231" i="11"/>
  <c r="BN87" i="11"/>
  <c r="BN238" i="11"/>
  <c r="AC103" i="11"/>
  <c r="AC221" i="11"/>
  <c r="CZ5" i="11"/>
  <c r="AD121" i="11"/>
  <c r="AD248" i="11"/>
  <c r="BB114" i="11"/>
  <c r="BB232" i="11"/>
  <c r="EC16" i="11"/>
  <c r="EC17" i="11" s="1"/>
  <c r="EC25" i="11" s="1"/>
  <c r="DZ16" i="11"/>
  <c r="DZ17" i="11" s="1"/>
  <c r="DZ25" i="11" s="1"/>
  <c r="DQ16" i="11"/>
  <c r="DQ17" i="11" s="1"/>
  <c r="DQ25" i="11" s="1"/>
  <c r="AC245" i="11"/>
  <c r="AC94" i="11"/>
  <c r="DL16" i="11"/>
  <c r="DL17" i="11" s="1"/>
  <c r="DL25" i="11" s="1"/>
  <c r="AB95" i="11"/>
  <c r="AB246" i="11"/>
  <c r="DR16" i="11"/>
  <c r="DR17" i="11" s="1"/>
  <c r="DR25" i="11" s="1"/>
  <c r="AB110" i="11"/>
  <c r="AB228" i="11"/>
  <c r="H39" i="9"/>
  <c r="G65" i="9"/>
  <c r="DL11" i="11" s="1"/>
  <c r="DL12" i="11" s="1"/>
  <c r="DL14" i="11" s="1"/>
  <c r="G270" i="1"/>
  <c r="E13" i="14"/>
  <c r="F13" i="14"/>
  <c r="EB16" i="11"/>
  <c r="EB17" i="11" s="1"/>
  <c r="EB25" i="11" s="1"/>
  <c r="AG86" i="13"/>
  <c r="L31" i="9"/>
  <c r="K61" i="9"/>
  <c r="BP11" i="11" s="1"/>
  <c r="BP12" i="11" s="1"/>
  <c r="BP14" i="11" s="1"/>
  <c r="AE111" i="11"/>
  <c r="AE229" i="11"/>
  <c r="K33" i="9"/>
  <c r="J62" i="9"/>
  <c r="CB11" i="11" s="1"/>
  <c r="CB12" i="11" s="1"/>
  <c r="CB14" i="11" s="1"/>
  <c r="AA104" i="11"/>
  <c r="AA222" i="11"/>
  <c r="CD108" i="11"/>
  <c r="CD226" i="11"/>
  <c r="DP16" i="11"/>
  <c r="DP17" i="11" s="1"/>
  <c r="DP25" i="11" s="1"/>
  <c r="AB241" i="11"/>
  <c r="AB90" i="11"/>
  <c r="AG103" i="4"/>
  <c r="DJ16" i="11"/>
  <c r="DJ17" i="11" s="1"/>
  <c r="DJ25" i="11" s="1"/>
  <c r="P39" i="10"/>
  <c r="O72" i="10"/>
  <c r="AE18" i="11" s="1"/>
  <c r="J47" i="10"/>
  <c r="I76" i="10"/>
  <c r="BY18" i="11" s="1"/>
  <c r="BX20" i="11"/>
  <c r="O257" i="11"/>
  <c r="O28" i="11" s="1"/>
  <c r="G12" i="7"/>
  <c r="D13" i="7" s="1"/>
  <c r="ED16" i="11"/>
  <c r="ED17" i="11" s="1"/>
  <c r="ED25" i="11" s="1"/>
  <c r="AE86" i="11"/>
  <c r="AE237" i="11"/>
  <c r="Q37" i="10"/>
  <c r="Q71" i="10" s="1"/>
  <c r="T18" i="11" s="1"/>
  <c r="U18" i="11" s="1"/>
  <c r="P71" i="10"/>
  <c r="S18" i="11" s="1"/>
  <c r="L45" i="10"/>
  <c r="K75" i="10"/>
  <c r="BN18" i="11" s="1"/>
  <c r="AB233" i="11"/>
  <c r="AB115" i="11"/>
  <c r="G51" i="10"/>
  <c r="F78" i="10"/>
  <c r="CV18" i="11" s="1"/>
  <c r="DL5" i="11"/>
  <c r="EF16" i="11"/>
  <c r="EF17" i="11" s="1"/>
  <c r="EF25" i="11" s="1"/>
  <c r="DX12" i="11"/>
  <c r="DX14" i="11" s="1"/>
  <c r="AF12" i="11"/>
  <c r="AF107" i="11"/>
  <c r="AF225" i="11"/>
  <c r="AB253" i="11"/>
  <c r="AB126" i="11"/>
  <c r="V26" i="11" l="1"/>
  <c r="Y21" i="11"/>
  <c r="X21" i="11"/>
  <c r="V21" i="11"/>
  <c r="W21" i="11"/>
  <c r="V19" i="11"/>
  <c r="AC235" i="11"/>
  <c r="AC117" i="11"/>
  <c r="AF243" i="11"/>
  <c r="AF92" i="11"/>
  <c r="J32" i="13"/>
  <c r="L32" i="13" s="1"/>
  <c r="T20" i="11"/>
  <c r="AT12" i="11"/>
  <c r="AT14" i="11" s="1"/>
  <c r="S20" i="11"/>
  <c r="AA236" i="11"/>
  <c r="AA118" i="11"/>
  <c r="CV25" i="11"/>
  <c r="DH25" i="11" s="1"/>
  <c r="DH17" i="11"/>
  <c r="DV16" i="11"/>
  <c r="DV17" i="11" s="1"/>
  <c r="EH15" i="11"/>
  <c r="J37" i="9"/>
  <c r="I64" i="9"/>
  <c r="DA11" i="11" s="1"/>
  <c r="DA12" i="11" s="1"/>
  <c r="DA14" i="11" s="1"/>
  <c r="CN21" i="11"/>
  <c r="CO5" i="11"/>
  <c r="AC253" i="11"/>
  <c r="AC126" i="11"/>
  <c r="DM5" i="11"/>
  <c r="M45" i="10"/>
  <c r="L75" i="10"/>
  <c r="BO18" i="11" s="1"/>
  <c r="BO20" i="11" s="1"/>
  <c r="BN20" i="11"/>
  <c r="AF111" i="11"/>
  <c r="AF229" i="11"/>
  <c r="I39" i="9"/>
  <c r="H65" i="9"/>
  <c r="DM11" i="11" s="1"/>
  <c r="DM12" i="11" s="1"/>
  <c r="DM14" i="11" s="1"/>
  <c r="N17" i="13"/>
  <c r="G202" i="1"/>
  <c r="I41" i="9"/>
  <c r="H66" i="9"/>
  <c r="DZ11" i="11" s="1"/>
  <c r="DY12" i="11"/>
  <c r="DY14" i="11" s="1"/>
  <c r="AD217" i="11"/>
  <c r="AD100" i="11"/>
  <c r="AC127" i="11"/>
  <c r="AC254" i="11"/>
  <c r="AE223" i="11"/>
  <c r="AE105" i="11"/>
  <c r="Q39" i="10"/>
  <c r="Q72" i="10" s="1"/>
  <c r="AG18" i="11" s="1"/>
  <c r="AH18" i="11" s="1"/>
  <c r="P72" i="10"/>
  <c r="AF18" i="11" s="1"/>
  <c r="AF20" i="11" s="1"/>
  <c r="N24" i="13"/>
  <c r="P24" i="13" s="1"/>
  <c r="G251" i="1"/>
  <c r="L26" i="13"/>
  <c r="AG104" i="4"/>
  <c r="CB21" i="11"/>
  <c r="CC5" i="11"/>
  <c r="AC256" i="11"/>
  <c r="AC129" i="11"/>
  <c r="AC123" i="11"/>
  <c r="AC250" i="11"/>
  <c r="AB119" i="11"/>
  <c r="AF86" i="11"/>
  <c r="AF237" i="11"/>
  <c r="DA5" i="11"/>
  <c r="CE108" i="11"/>
  <c r="CE226" i="11"/>
  <c r="G13" i="7"/>
  <c r="D14" i="7" s="1"/>
  <c r="F14" i="7" s="1"/>
  <c r="Q224" i="11" s="1"/>
  <c r="P257" i="11"/>
  <c r="P28" i="11" s="1"/>
  <c r="AC110" i="11"/>
  <c r="AC228" i="11"/>
  <c r="AC95" i="11"/>
  <c r="AC246" i="11"/>
  <c r="J79" i="11"/>
  <c r="AF105" i="4"/>
  <c r="R99" i="11"/>
  <c r="P41" i="10"/>
  <c r="O73" i="10"/>
  <c r="AR18" i="11" s="1"/>
  <c r="AG225" i="11"/>
  <c r="AG107" i="11"/>
  <c r="H51" i="10"/>
  <c r="G78" i="10"/>
  <c r="CW18" i="11" s="1"/>
  <c r="CW20" i="11" s="1"/>
  <c r="AD103" i="11"/>
  <c r="AD221" i="11"/>
  <c r="DG128" i="11"/>
  <c r="DG255" i="11"/>
  <c r="AP112" i="11"/>
  <c r="AP230" i="11"/>
  <c r="AD231" i="11"/>
  <c r="AD113" i="11"/>
  <c r="K47" i="10"/>
  <c r="J76" i="10"/>
  <c r="BZ18" i="11" s="1"/>
  <c r="BZ20" i="11" s="1"/>
  <c r="AB104" i="11"/>
  <c r="AB222" i="11"/>
  <c r="V20" i="11"/>
  <c r="AC90" i="11"/>
  <c r="AC241" i="11"/>
  <c r="BY20" i="11"/>
  <c r="BC114" i="11"/>
  <c r="BC232" i="11"/>
  <c r="P12" i="13"/>
  <c r="H170" i="1" s="1"/>
  <c r="AV12" i="11"/>
  <c r="N43" i="10"/>
  <c r="M74" i="10"/>
  <c r="BC18" i="11" s="1"/>
  <c r="AD239" i="11"/>
  <c r="AD88" i="11"/>
  <c r="BY224" i="11"/>
  <c r="BY106" i="11"/>
  <c r="AJ116" i="11"/>
  <c r="AJ234" i="11"/>
  <c r="DU15" i="11"/>
  <c r="DI16" i="11"/>
  <c r="DI17" i="11" s="1"/>
  <c r="K35" i="9"/>
  <c r="J63" i="9"/>
  <c r="CO11" i="11" s="1"/>
  <c r="CO12" i="11" s="1"/>
  <c r="CO14" i="11" s="1"/>
  <c r="J59" i="11"/>
  <c r="J96" i="11"/>
  <c r="J49" i="10"/>
  <c r="I77" i="10"/>
  <c r="CL18" i="11" s="1"/>
  <c r="AF14" i="11"/>
  <c r="AH12" i="11"/>
  <c r="AH14" i="11" s="1"/>
  <c r="AC115" i="11"/>
  <c r="AC233" i="11"/>
  <c r="AS12" i="11"/>
  <c r="AS14" i="11" s="1"/>
  <c r="M31" i="9"/>
  <c r="L61" i="9"/>
  <c r="BQ11" i="11" s="1"/>
  <c r="BQ12" i="11" s="1"/>
  <c r="BQ14" i="11" s="1"/>
  <c r="AD94" i="11"/>
  <c r="AD245" i="11"/>
  <c r="BO87" i="11"/>
  <c r="BO238" i="11"/>
  <c r="CM89" i="11"/>
  <c r="CM240" i="11"/>
  <c r="AD252" i="11"/>
  <c r="AD125" i="11"/>
  <c r="AI14" i="11"/>
  <c r="DZ5" i="11"/>
  <c r="G53" i="10"/>
  <c r="F79" i="10"/>
  <c r="DI18" i="11" s="1"/>
  <c r="AF120" i="11"/>
  <c r="AF247" i="11"/>
  <c r="L33" i="9"/>
  <c r="K62" i="9"/>
  <c r="CC11" i="11" s="1"/>
  <c r="CC12" i="11" s="1"/>
  <c r="CC14" i="11" s="1"/>
  <c r="AE20" i="11"/>
  <c r="AE248" i="11"/>
  <c r="AE121" i="11"/>
  <c r="AC227" i="11"/>
  <c r="AC109" i="11"/>
  <c r="AC244" i="11"/>
  <c r="AC93" i="11"/>
  <c r="N115" i="13"/>
  <c r="BB20" i="11"/>
  <c r="O29" i="9"/>
  <c r="O60" i="9" s="1"/>
  <c r="BG11" i="11" s="1"/>
  <c r="N60" i="9"/>
  <c r="BF11" i="11" s="1"/>
  <c r="BF12" i="11" s="1"/>
  <c r="BF14" i="11" s="1"/>
  <c r="AE251" i="11"/>
  <c r="AE124" i="11"/>
  <c r="F80" i="10"/>
  <c r="DV18" i="11" s="1"/>
  <c r="G55" i="10"/>
  <c r="DH16" i="11"/>
  <c r="CZ12" i="11"/>
  <c r="CZ14" i="11" s="1"/>
  <c r="R24" i="13" l="1"/>
  <c r="P26" i="13"/>
  <c r="AH21" i="11"/>
  <c r="E8" i="24"/>
  <c r="F285" i="1"/>
  <c r="L117" i="13"/>
  <c r="L118" i="13" s="1"/>
  <c r="U20" i="11"/>
  <c r="W19" i="11"/>
  <c r="W26" i="11"/>
  <c r="F9" i="24"/>
  <c r="E11" i="24"/>
  <c r="AG243" i="11"/>
  <c r="AG92" i="11"/>
  <c r="AD235" i="11"/>
  <c r="AD117" i="11"/>
  <c r="AB236" i="11"/>
  <c r="AB118" i="11"/>
  <c r="AE252" i="11"/>
  <c r="AE125" i="11"/>
  <c r="DZ12" i="11"/>
  <c r="DZ14" i="11" s="1"/>
  <c r="N31" i="9"/>
  <c r="M61" i="9"/>
  <c r="BR11" i="11" s="1"/>
  <c r="BR12" i="11" s="1"/>
  <c r="BR14" i="11" s="1"/>
  <c r="DU16" i="11"/>
  <c r="AC104" i="11"/>
  <c r="AC222" i="11"/>
  <c r="AG105" i="4"/>
  <c r="DB5" i="11"/>
  <c r="DA21" i="11"/>
  <c r="AF223" i="11"/>
  <c r="AF105" i="11"/>
  <c r="J41" i="9"/>
  <c r="I66" i="9"/>
  <c r="EA11" i="11" s="1"/>
  <c r="AG229" i="11"/>
  <c r="AG111" i="11"/>
  <c r="CP5" i="11"/>
  <c r="CO21" i="11"/>
  <c r="AG120" i="11"/>
  <c r="AG247" i="11"/>
  <c r="L35" i="9"/>
  <c r="K63" i="9"/>
  <c r="CP11" i="11" s="1"/>
  <c r="CP12" i="11" s="1"/>
  <c r="CP14" i="11" s="1"/>
  <c r="BD114" i="11"/>
  <c r="BD232" i="11"/>
  <c r="AE231" i="11"/>
  <c r="AE113" i="11"/>
  <c r="AI225" i="11"/>
  <c r="AI107" i="11"/>
  <c r="S99" i="11"/>
  <c r="AF106" i="4"/>
  <c r="AF107" i="4"/>
  <c r="AD246" i="11"/>
  <c r="AD95" i="11"/>
  <c r="H53" i="10"/>
  <c r="G79" i="10"/>
  <c r="DJ18" i="11" s="1"/>
  <c r="DJ20" i="11" s="1"/>
  <c r="DU17" i="11"/>
  <c r="DI25" i="11"/>
  <c r="DU25" i="11" s="1"/>
  <c r="BC20" i="11"/>
  <c r="CL20" i="11"/>
  <c r="AD110" i="11"/>
  <c r="AD228" i="11"/>
  <c r="AD123" i="11"/>
  <c r="AD250" i="11"/>
  <c r="AC119" i="11"/>
  <c r="H55" i="10"/>
  <c r="G80" i="10"/>
  <c r="DW18" i="11" s="1"/>
  <c r="AF248" i="11"/>
  <c r="AF121" i="11"/>
  <c r="AE88" i="11"/>
  <c r="AE239" i="11"/>
  <c r="AF124" i="11"/>
  <c r="AF251" i="11"/>
  <c r="CN89" i="11"/>
  <c r="CN240" i="11"/>
  <c r="K49" i="10"/>
  <c r="J77" i="10"/>
  <c r="CM18" i="11" s="1"/>
  <c r="O43" i="10"/>
  <c r="N74" i="10"/>
  <c r="BD18" i="11" s="1"/>
  <c r="BD20" i="11" s="1"/>
  <c r="AD256" i="11"/>
  <c r="AD129" i="11"/>
  <c r="H251" i="1"/>
  <c r="N26" i="13"/>
  <c r="M33" i="9"/>
  <c r="L62" i="9"/>
  <c r="CD11" i="11" s="1"/>
  <c r="CD12" i="11" s="1"/>
  <c r="CD14" i="11" s="1"/>
  <c r="AV14" i="11"/>
  <c r="AQ112" i="11"/>
  <c r="AQ230" i="11"/>
  <c r="Q41" i="10"/>
  <c r="Q73" i="10" s="1"/>
  <c r="AT18" i="11" s="1"/>
  <c r="AU18" i="11" s="1"/>
  <c r="P73" i="10"/>
  <c r="AS18" i="11" s="1"/>
  <c r="AD127" i="11"/>
  <c r="AD254" i="11"/>
  <c r="N45" i="10"/>
  <c r="M75" i="10"/>
  <c r="BP18" i="11" s="1"/>
  <c r="BP20" i="11" s="1"/>
  <c r="K37" i="9"/>
  <c r="J64" i="9"/>
  <c r="DB11" i="11" s="1"/>
  <c r="DB12" i="11" s="1"/>
  <c r="DB14" i="11" s="1"/>
  <c r="AD244" i="11"/>
  <c r="AD93" i="11"/>
  <c r="EA5" i="11"/>
  <c r="J97" i="11"/>
  <c r="AB98" i="4"/>
  <c r="J98" i="11"/>
  <c r="K216" i="11"/>
  <c r="K218" i="11" s="1"/>
  <c r="K27" i="11" s="1"/>
  <c r="AD90" i="11"/>
  <c r="AD241" i="11"/>
  <c r="BG12" i="11"/>
  <c r="BG14" i="11" s="1"/>
  <c r="BP87" i="11"/>
  <c r="BP238" i="11"/>
  <c r="AK116" i="11"/>
  <c r="AK234" i="11"/>
  <c r="P115" i="13"/>
  <c r="L47" i="10"/>
  <c r="K76" i="10"/>
  <c r="CA18" i="11" s="1"/>
  <c r="CA20" i="11" s="1"/>
  <c r="AE103" i="11"/>
  <c r="AE221" i="11"/>
  <c r="G14" i="7"/>
  <c r="D15" i="7" s="1"/>
  <c r="Q257" i="11"/>
  <c r="Q28" i="11" s="1"/>
  <c r="CD5" i="11"/>
  <c r="CC21" i="11"/>
  <c r="AE100" i="11"/>
  <c r="AE217" i="11"/>
  <c r="P17" i="13"/>
  <c r="H202" i="1"/>
  <c r="R12" i="13"/>
  <c r="I170" i="1" s="1"/>
  <c r="BH11" i="11"/>
  <c r="BI12" i="11" s="1"/>
  <c r="AD227" i="11"/>
  <c r="AD109" i="11"/>
  <c r="AU12" i="11"/>
  <c r="AU14" i="11" s="1"/>
  <c r="J82" i="11"/>
  <c r="J83" i="11" s="1"/>
  <c r="J80" i="11"/>
  <c r="J81" i="11" s="1"/>
  <c r="K9" i="11" s="1"/>
  <c r="BZ106" i="11"/>
  <c r="BZ224" i="11"/>
  <c r="E8" i="14"/>
  <c r="DI128" i="11"/>
  <c r="DI255" i="11"/>
  <c r="AG86" i="11"/>
  <c r="AG237" i="11"/>
  <c r="AG20" i="11"/>
  <c r="AH20" i="11" s="1"/>
  <c r="DN5" i="11"/>
  <c r="EH16" i="11"/>
  <c r="AE245" i="11"/>
  <c r="AE94" i="11"/>
  <c r="AD115" i="11"/>
  <c r="AD233" i="11"/>
  <c r="I51" i="10"/>
  <c r="H78" i="10"/>
  <c r="CX18" i="11" s="1"/>
  <c r="CF108" i="11"/>
  <c r="CF226" i="11"/>
  <c r="AR20" i="11"/>
  <c r="N32" i="13"/>
  <c r="F8" i="24" s="1"/>
  <c r="AI20" i="11"/>
  <c r="J39" i="9"/>
  <c r="I65" i="9"/>
  <c r="DN11" i="11" s="1"/>
  <c r="DN12" i="11" s="1"/>
  <c r="DN14" i="11" s="1"/>
  <c r="AD253" i="11"/>
  <c r="AD126" i="11"/>
  <c r="EH17" i="11"/>
  <c r="DV25" i="11"/>
  <c r="EH25" i="11" s="1"/>
  <c r="T24" i="13" l="1"/>
  <c r="I251" i="1"/>
  <c r="R26" i="13"/>
  <c r="G285" i="1"/>
  <c r="X19" i="11"/>
  <c r="X26" i="11"/>
  <c r="G9" i="24"/>
  <c r="F11" i="24"/>
  <c r="F12" i="24" s="1"/>
  <c r="E12" i="24"/>
  <c r="E25" i="24"/>
  <c r="AE235" i="11"/>
  <c r="AE117" i="11"/>
  <c r="AI92" i="11"/>
  <c r="AI243" i="11"/>
  <c r="AC236" i="11"/>
  <c r="AC118" i="11"/>
  <c r="DJ128" i="11"/>
  <c r="DJ255" i="11"/>
  <c r="P43" i="10"/>
  <c r="O74" i="10"/>
  <c r="BE18" i="11" s="1"/>
  <c r="BE20" i="11" s="1"/>
  <c r="AG251" i="11"/>
  <c r="AG124" i="11"/>
  <c r="CP21" i="11"/>
  <c r="CQ5" i="11"/>
  <c r="DC5" i="11"/>
  <c r="DB21" i="11"/>
  <c r="F9" i="14"/>
  <c r="E11" i="14"/>
  <c r="AF217" i="11"/>
  <c r="AF100" i="11"/>
  <c r="M47" i="10"/>
  <c r="L76" i="10"/>
  <c r="CB18" i="11" s="1"/>
  <c r="CB20" i="11" s="1"/>
  <c r="AE244" i="11"/>
  <c r="AE93" i="11"/>
  <c r="O45" i="10"/>
  <c r="N75" i="10"/>
  <c r="BQ18" i="11" s="1"/>
  <c r="BQ20" i="11" s="1"/>
  <c r="I53" i="10"/>
  <c r="H79" i="10"/>
  <c r="DK18" i="11" s="1"/>
  <c r="DK20" i="11" s="1"/>
  <c r="T99" i="11"/>
  <c r="AF108" i="4"/>
  <c r="BE114" i="11"/>
  <c r="BE232" i="11"/>
  <c r="AI229" i="11"/>
  <c r="AI111" i="11"/>
  <c r="AF252" i="11"/>
  <c r="AF125" i="11"/>
  <c r="N117" i="13"/>
  <c r="N118" i="13" s="1"/>
  <c r="F8" i="14"/>
  <c r="AE227" i="11"/>
  <c r="AE109" i="11"/>
  <c r="BQ87" i="11"/>
  <c r="BQ238" i="11"/>
  <c r="K39" i="11"/>
  <c r="AR112" i="11"/>
  <c r="AR230" i="11"/>
  <c r="L49" i="10"/>
  <c r="K77" i="10"/>
  <c r="CN18" i="11" s="1"/>
  <c r="AF239" i="11"/>
  <c r="AF88" i="11"/>
  <c r="AJ225" i="11"/>
  <c r="AJ107" i="11"/>
  <c r="AL234" i="11"/>
  <c r="AL116" i="11"/>
  <c r="AI86" i="11"/>
  <c r="AI237" i="11"/>
  <c r="CE5" i="11"/>
  <c r="CD21" i="11"/>
  <c r="AE127" i="11"/>
  <c r="AE254" i="11"/>
  <c r="AG121" i="11"/>
  <c r="AG248" i="11"/>
  <c r="M35" i="9"/>
  <c r="L63" i="9"/>
  <c r="CQ11" i="11" s="1"/>
  <c r="O31" i="9"/>
  <c r="O61" i="9" s="1"/>
  <c r="BT11" i="11" s="1"/>
  <c r="BU11" i="11" s="1"/>
  <c r="N61" i="9"/>
  <c r="BS11" i="11" s="1"/>
  <c r="AF245" i="11"/>
  <c r="AF94" i="11"/>
  <c r="AC98" i="4"/>
  <c r="BH12" i="11"/>
  <c r="BH14" i="11" s="1"/>
  <c r="AE256" i="11"/>
  <c r="AE129" i="11"/>
  <c r="K41" i="9"/>
  <c r="J66" i="9"/>
  <c r="EB11" i="11" s="1"/>
  <c r="AD104" i="11"/>
  <c r="AD222" i="11"/>
  <c r="AE115" i="11"/>
  <c r="AE233" i="11"/>
  <c r="AE126" i="11"/>
  <c r="AE253" i="11"/>
  <c r="CG108" i="11"/>
  <c r="CG226" i="11"/>
  <c r="R115" i="13"/>
  <c r="R257" i="11"/>
  <c r="R28" i="11" s="1"/>
  <c r="G15" i="7"/>
  <c r="D16" i="7" s="1"/>
  <c r="CO89" i="11"/>
  <c r="CO240" i="11"/>
  <c r="AE123" i="11"/>
  <c r="AE250" i="11"/>
  <c r="AD119" i="11"/>
  <c r="AE95" i="11"/>
  <c r="AE246" i="11"/>
  <c r="AG105" i="11"/>
  <c r="AG223" i="11"/>
  <c r="DW20" i="11"/>
  <c r="AG106" i="4"/>
  <c r="BI14" i="11"/>
  <c r="DN21" i="11"/>
  <c r="DO5" i="11"/>
  <c r="CX20" i="11"/>
  <c r="CA106" i="11"/>
  <c r="CA224" i="11"/>
  <c r="AE241" i="11"/>
  <c r="AE90" i="11"/>
  <c r="AT20" i="11"/>
  <c r="AS20" i="11"/>
  <c r="I55" i="10"/>
  <c r="H80" i="10"/>
  <c r="DX18" i="11" s="1"/>
  <c r="DX20" i="11" s="1"/>
  <c r="AF231" i="11"/>
  <c r="AF113" i="11"/>
  <c r="AI120" i="11"/>
  <c r="AI247" i="11"/>
  <c r="K39" i="9"/>
  <c r="J65" i="9"/>
  <c r="DO11" i="11" s="1"/>
  <c r="J51" i="10"/>
  <c r="I78" i="10"/>
  <c r="CY18" i="11" s="1"/>
  <c r="CY20" i="11" s="1"/>
  <c r="R17" i="13"/>
  <c r="I202" i="1"/>
  <c r="AF103" i="11"/>
  <c r="AF221" i="11"/>
  <c r="EA21" i="11"/>
  <c r="EB5" i="11"/>
  <c r="L37" i="9"/>
  <c r="K64" i="9"/>
  <c r="DC11" i="11" s="1"/>
  <c r="P32" i="13"/>
  <c r="G8" i="24" s="1"/>
  <c r="AV20" i="11"/>
  <c r="N33" i="9"/>
  <c r="M62" i="9"/>
  <c r="CE11" i="11" s="1"/>
  <c r="AE110" i="11"/>
  <c r="AE228" i="11"/>
  <c r="CM20" i="11"/>
  <c r="AG107" i="4"/>
  <c r="EA12" i="11"/>
  <c r="EA14" i="11" s="1"/>
  <c r="Z24" i="13" l="1"/>
  <c r="J251" i="1"/>
  <c r="T26" i="13"/>
  <c r="H285" i="1"/>
  <c r="J30" i="13"/>
  <c r="L30" i="13" s="1"/>
  <c r="Y19" i="11"/>
  <c r="Y26" i="11"/>
  <c r="H9" i="24"/>
  <c r="G11" i="24"/>
  <c r="G12" i="24" s="1"/>
  <c r="F25" i="24"/>
  <c r="E26" i="24"/>
  <c r="AJ92" i="11"/>
  <c r="AJ243" i="11"/>
  <c r="AF235" i="11"/>
  <c r="AF117" i="11"/>
  <c r="BT12" i="11"/>
  <c r="BT14" i="11" s="1"/>
  <c r="AD236" i="11"/>
  <c r="AD118" i="11"/>
  <c r="K207" i="11"/>
  <c r="G277" i="1"/>
  <c r="V99" i="11"/>
  <c r="U107" i="11"/>
  <c r="U105" i="11"/>
  <c r="U109" i="11"/>
  <c r="AM116" i="11"/>
  <c r="AM234" i="11"/>
  <c r="BR87" i="11"/>
  <c r="BR238" i="11"/>
  <c r="J53" i="10"/>
  <c r="I79" i="10"/>
  <c r="DL18" i="11" s="1"/>
  <c r="DL20" i="11" s="1"/>
  <c r="P45" i="10"/>
  <c r="O75" i="10"/>
  <c r="BR18" i="11" s="1"/>
  <c r="BR20" i="11" s="1"/>
  <c r="AI223" i="11"/>
  <c r="AI105" i="11"/>
  <c r="AF93" i="11"/>
  <c r="AF244" i="11"/>
  <c r="O33" i="9"/>
  <c r="O62" i="9" s="1"/>
  <c r="CG11" i="11" s="1"/>
  <c r="CH11" i="11" s="1"/>
  <c r="N62" i="9"/>
  <c r="CF11" i="11" s="1"/>
  <c r="AE104" i="11"/>
  <c r="AE222" i="11"/>
  <c r="J55" i="10"/>
  <c r="I80" i="10"/>
  <c r="DY18" i="11" s="1"/>
  <c r="DY20" i="11" s="1"/>
  <c r="AF253" i="11"/>
  <c r="AF126" i="11"/>
  <c r="T12" i="13"/>
  <c r="J170" i="1" s="1"/>
  <c r="BV12" i="11"/>
  <c r="AF254" i="11"/>
  <c r="AF127" i="11"/>
  <c r="AF227" i="11"/>
  <c r="AF109" i="11"/>
  <c r="AJ229" i="11"/>
  <c r="AJ111" i="11"/>
  <c r="CI108" i="11"/>
  <c r="CI226" i="11"/>
  <c r="AI121" i="11"/>
  <c r="AI248" i="11"/>
  <c r="AI124" i="11"/>
  <c r="AI251" i="11"/>
  <c r="L39" i="9"/>
  <c r="K65" i="9"/>
  <c r="DP11" i="11" s="1"/>
  <c r="L41" i="9"/>
  <c r="K66" i="9"/>
  <c r="EC11" i="11" s="1"/>
  <c r="Q43" i="10"/>
  <c r="P74" i="10"/>
  <c r="BF18" i="11" s="1"/>
  <c r="BF20" i="11" s="1"/>
  <c r="CE12" i="11"/>
  <c r="CE14" i="11" s="1"/>
  <c r="CB106" i="11"/>
  <c r="CB224" i="11"/>
  <c r="CP89" i="11"/>
  <c r="CP240" i="11"/>
  <c r="AF233" i="11"/>
  <c r="AF115" i="11"/>
  <c r="AF256" i="11"/>
  <c r="AF129" i="11"/>
  <c r="EB12" i="11"/>
  <c r="EB14" i="11" s="1"/>
  <c r="CF5" i="11"/>
  <c r="CE21" i="11"/>
  <c r="BS12" i="11"/>
  <c r="G9" i="14"/>
  <c r="F11" i="14"/>
  <c r="AG217" i="11"/>
  <c r="AG100" i="11"/>
  <c r="CQ21" i="11"/>
  <c r="CR5" i="11"/>
  <c r="AG113" i="11"/>
  <c r="AG231" i="11"/>
  <c r="AF241" i="11"/>
  <c r="AF90" i="11"/>
  <c r="AG239" i="11"/>
  <c r="AG88" i="11"/>
  <c r="AG125" i="11"/>
  <c r="AG252" i="11"/>
  <c r="AG103" i="11"/>
  <c r="AG221" i="11"/>
  <c r="AF250" i="11"/>
  <c r="AF123" i="11"/>
  <c r="AE119" i="11"/>
  <c r="P117" i="13"/>
  <c r="P118" i="13" s="1"/>
  <c r="G8" i="14"/>
  <c r="M49" i="10"/>
  <c r="L77" i="10"/>
  <c r="CO18" i="11" s="1"/>
  <c r="CO20" i="11" s="1"/>
  <c r="M37" i="9"/>
  <c r="L64" i="9"/>
  <c r="DD11" i="11" s="1"/>
  <c r="AJ120" i="11"/>
  <c r="AJ247" i="11"/>
  <c r="AF95" i="11"/>
  <c r="AF246" i="11"/>
  <c r="AU20" i="11"/>
  <c r="AG94" i="11"/>
  <c r="AG245" i="11"/>
  <c r="CQ12" i="11"/>
  <c r="CQ14" i="11" s="1"/>
  <c r="AS112" i="11"/>
  <c r="AS230" i="11"/>
  <c r="BF114" i="11"/>
  <c r="BF232" i="11"/>
  <c r="CN20" i="11"/>
  <c r="DK128" i="11"/>
  <c r="DK255" i="11"/>
  <c r="K51" i="10"/>
  <c r="J78" i="10"/>
  <c r="CZ18" i="11" s="1"/>
  <c r="CZ20" i="11" s="1"/>
  <c r="G16" i="7"/>
  <c r="D17" i="7" s="1"/>
  <c r="F17" i="7" s="1"/>
  <c r="T224" i="11" s="1"/>
  <c r="S257" i="11"/>
  <c r="S28" i="11" s="1"/>
  <c r="DO12" i="11"/>
  <c r="DO14" i="11" s="1"/>
  <c r="T17" i="13"/>
  <c r="J202" i="1"/>
  <c r="N47" i="10"/>
  <c r="M76" i="10"/>
  <c r="CC18" i="11" s="1"/>
  <c r="DD5" i="11"/>
  <c r="DC21" i="11"/>
  <c r="AF228" i="11"/>
  <c r="AF110" i="11"/>
  <c r="EB21" i="11"/>
  <c r="EC5" i="11"/>
  <c r="DC12" i="11"/>
  <c r="DC14" i="11" s="1"/>
  <c r="DO21" i="11"/>
  <c r="DP5" i="11"/>
  <c r="N35" i="9"/>
  <c r="M63" i="9"/>
  <c r="CR11" i="11" s="1"/>
  <c r="AJ237" i="11"/>
  <c r="AJ86" i="11"/>
  <c r="AK107" i="11"/>
  <c r="AK225" i="11"/>
  <c r="AG108" i="4"/>
  <c r="E29" i="14"/>
  <c r="AB24" i="13" l="1"/>
  <c r="K251" i="1"/>
  <c r="Z26" i="13"/>
  <c r="F278" i="1"/>
  <c r="Z19" i="11"/>
  <c r="Z26" i="11"/>
  <c r="T115" i="13"/>
  <c r="G25" i="24"/>
  <c r="F26" i="24"/>
  <c r="AG117" i="11"/>
  <c r="AG235" i="11"/>
  <c r="AK92" i="11"/>
  <c r="AK243" i="11"/>
  <c r="CG12" i="11"/>
  <c r="CG14" i="11" s="1"/>
  <c r="CF12" i="11"/>
  <c r="CF14" i="11" s="1"/>
  <c r="AE118" i="11"/>
  <c r="AE236" i="11"/>
  <c r="E33" i="14"/>
  <c r="E30" i="14"/>
  <c r="G17" i="7"/>
  <c r="D18" i="7" s="1"/>
  <c r="T257" i="11"/>
  <c r="T28" i="11" s="1"/>
  <c r="U28" i="11" s="1"/>
  <c r="BG114" i="11"/>
  <c r="BG232" i="11"/>
  <c r="N37" i="9"/>
  <c r="M64" i="9"/>
  <c r="DE11" i="11" s="1"/>
  <c r="DE12" i="11" s="1"/>
  <c r="DE14" i="11" s="1"/>
  <c r="AI103" i="11"/>
  <c r="AI221" i="11"/>
  <c r="N29" i="13"/>
  <c r="G276" i="1" s="1"/>
  <c r="AI217" i="11"/>
  <c r="AI100" i="11"/>
  <c r="CG5" i="11"/>
  <c r="CG21" i="11" s="1"/>
  <c r="CF21" i="11"/>
  <c r="AN116" i="11"/>
  <c r="AN234" i="11"/>
  <c r="M41" i="9"/>
  <c r="L66" i="9"/>
  <c r="ED11" i="11" s="1"/>
  <c r="ED12" i="11" s="1"/>
  <c r="ED14" i="11" s="1"/>
  <c r="AG109" i="11"/>
  <c r="AG227" i="11"/>
  <c r="W99" i="11"/>
  <c r="X99" i="11" s="1"/>
  <c r="Y99" i="11" s="1"/>
  <c r="Z99" i="11" s="1"/>
  <c r="AA99" i="11" s="1"/>
  <c r="AB99" i="11" s="1"/>
  <c r="AC99" i="11" s="1"/>
  <c r="AD99" i="11" s="1"/>
  <c r="AE99" i="11" s="1"/>
  <c r="AF99" i="11" s="1"/>
  <c r="AG99" i="11" s="1"/>
  <c r="N30" i="13" s="1"/>
  <c r="DE5" i="11"/>
  <c r="DD21" i="11"/>
  <c r="AG95" i="11"/>
  <c r="AG246" i="11"/>
  <c r="AG90" i="11"/>
  <c r="AG241" i="11"/>
  <c r="CC106" i="11"/>
  <c r="CC224" i="11"/>
  <c r="M39" i="9"/>
  <c r="L65" i="9"/>
  <c r="DQ11" i="11" s="1"/>
  <c r="Z12" i="13"/>
  <c r="CI12" i="11"/>
  <c r="H9" i="14"/>
  <c r="G11" i="14"/>
  <c r="AG129" i="11"/>
  <c r="AG256" i="11"/>
  <c r="AG254" i="11"/>
  <c r="AG127" i="11"/>
  <c r="Q45" i="10"/>
  <c r="P75" i="10"/>
  <c r="BS18" i="11" s="1"/>
  <c r="BS20" i="11" s="1"/>
  <c r="K75" i="11"/>
  <c r="K58" i="11"/>
  <c r="AF104" i="11"/>
  <c r="AF222" i="11"/>
  <c r="O35" i="9"/>
  <c r="O63" i="9" s="1"/>
  <c r="CT11" i="11" s="1"/>
  <c r="CU11" i="11" s="1"/>
  <c r="N63" i="9"/>
  <c r="CS11" i="11" s="1"/>
  <c r="AT112" i="11"/>
  <c r="AT230" i="11"/>
  <c r="ED5" i="11"/>
  <c r="EC21" i="11"/>
  <c r="O47" i="10"/>
  <c r="N76" i="10"/>
  <c r="CD18" i="11" s="1"/>
  <c r="CD20" i="11" s="1"/>
  <c r="N49" i="10"/>
  <c r="M77" i="10"/>
  <c r="CP18" i="11" s="1"/>
  <c r="AI252" i="11"/>
  <c r="AI125" i="11"/>
  <c r="DP12" i="11"/>
  <c r="DP14" i="11" s="1"/>
  <c r="DD12" i="11"/>
  <c r="DD14" i="11" s="1"/>
  <c r="AJ124" i="11"/>
  <c r="AJ251" i="11"/>
  <c r="K55" i="10"/>
  <c r="J80" i="10"/>
  <c r="DZ18" i="11" s="1"/>
  <c r="AG93" i="11"/>
  <c r="AG244" i="11"/>
  <c r="CJ108" i="11"/>
  <c r="CJ226" i="11"/>
  <c r="AG126" i="11"/>
  <c r="AG253" i="11"/>
  <c r="CR12" i="11"/>
  <c r="CR14" i="11" s="1"/>
  <c r="AG250" i="11"/>
  <c r="AG123" i="11"/>
  <c r="AF119" i="11"/>
  <c r="AI88" i="11"/>
  <c r="AI239" i="11"/>
  <c r="F29" i="14"/>
  <c r="AG233" i="11"/>
  <c r="AG115" i="11"/>
  <c r="CC20" i="11"/>
  <c r="BV14" i="11"/>
  <c r="K53" i="10"/>
  <c r="J79" i="10"/>
  <c r="DM18" i="11" s="1"/>
  <c r="DM20" i="11" s="1"/>
  <c r="AK237" i="11"/>
  <c r="AK86" i="11"/>
  <c r="L51" i="10"/>
  <c r="K78" i="10"/>
  <c r="DA18" i="11" s="1"/>
  <c r="R42" i="10"/>
  <c r="Q74" i="10"/>
  <c r="BG18" i="11" s="1"/>
  <c r="BH18" i="11" s="1"/>
  <c r="AJ121" i="11"/>
  <c r="AJ248" i="11"/>
  <c r="AK111" i="11"/>
  <c r="AK229" i="11"/>
  <c r="K170" i="1"/>
  <c r="AJ105" i="11"/>
  <c r="AJ223" i="11"/>
  <c r="CQ89" i="11"/>
  <c r="CQ240" i="11"/>
  <c r="AG228" i="11"/>
  <c r="AG110" i="11"/>
  <c r="Z17" i="13"/>
  <c r="K202" i="1"/>
  <c r="DL128" i="11"/>
  <c r="DL255" i="11"/>
  <c r="AK247" i="11"/>
  <c r="AK120" i="11"/>
  <c r="AI231" i="11"/>
  <c r="AI113" i="11"/>
  <c r="AL107" i="11"/>
  <c r="AL225" i="11"/>
  <c r="DQ5" i="11"/>
  <c r="DP21" i="11"/>
  <c r="AI245" i="11"/>
  <c r="AI94" i="11"/>
  <c r="CS5" i="11"/>
  <c r="CR21" i="11"/>
  <c r="BS14" i="11"/>
  <c r="BU12" i="11"/>
  <c r="BU14" i="11" s="1"/>
  <c r="EC12" i="11"/>
  <c r="EC14" i="11" s="1"/>
  <c r="BS87" i="11"/>
  <c r="BS238" i="11"/>
  <c r="AD24" i="13" l="1"/>
  <c r="L251" i="1"/>
  <c r="AB26" i="13"/>
  <c r="G278" i="1"/>
  <c r="AA19" i="11"/>
  <c r="AA26" i="11"/>
  <c r="CH12" i="11"/>
  <c r="CH14" i="11" s="1"/>
  <c r="E27" i="24"/>
  <c r="E28" i="24" s="1"/>
  <c r="G26" i="24"/>
  <c r="AL92" i="11"/>
  <c r="AL243" i="11"/>
  <c r="AI235" i="11"/>
  <c r="AI117" i="11"/>
  <c r="CT12" i="11"/>
  <c r="CT14" i="11" s="1"/>
  <c r="CS12" i="11"/>
  <c r="CS14" i="11" s="1"/>
  <c r="AF236" i="11"/>
  <c r="AF118" i="11"/>
  <c r="AH107" i="11"/>
  <c r="EI99" i="11"/>
  <c r="EJ99" i="11" s="1"/>
  <c r="EL99" i="11"/>
  <c r="EM99" i="11" s="1"/>
  <c r="AI227" i="11"/>
  <c r="AI109" i="11"/>
  <c r="E35" i="14"/>
  <c r="CS21" i="11"/>
  <c r="CT5" i="11"/>
  <c r="CT21" i="11" s="1"/>
  <c r="AL120" i="11"/>
  <c r="AL247" i="11"/>
  <c r="R32" i="13"/>
  <c r="BI20" i="11"/>
  <c r="AJ125" i="11"/>
  <c r="AJ252" i="11"/>
  <c r="ED21" i="11"/>
  <c r="EE5" i="11"/>
  <c r="K59" i="11"/>
  <c r="K96" i="11"/>
  <c r="O37" i="9"/>
  <c r="O64" i="9" s="1"/>
  <c r="DG11" i="11" s="1"/>
  <c r="DH11" i="11" s="1"/>
  <c r="N64" i="9"/>
  <c r="DF11" i="11" s="1"/>
  <c r="AK121" i="11"/>
  <c r="AK248" i="11"/>
  <c r="AG104" i="11"/>
  <c r="N44" i="13" s="1"/>
  <c r="G323" i="1" s="1"/>
  <c r="AG222" i="11"/>
  <c r="BT87" i="11"/>
  <c r="BT238" i="11"/>
  <c r="DQ21" i="11"/>
  <c r="DR5" i="11"/>
  <c r="L53" i="10"/>
  <c r="K79" i="10"/>
  <c r="DN18" i="11" s="1"/>
  <c r="DN20" i="11" s="1"/>
  <c r="F33" i="14"/>
  <c r="AI244" i="11"/>
  <c r="AI93" i="11"/>
  <c r="K79" i="11"/>
  <c r="CI14" i="11"/>
  <c r="AI241" i="11"/>
  <c r="AI90" i="11"/>
  <c r="N41" i="9"/>
  <c r="M66" i="9"/>
  <c r="EE11" i="11" s="1"/>
  <c r="EE12" i="11" s="1"/>
  <c r="EE14" i="11" s="1"/>
  <c r="AJ100" i="11"/>
  <c r="AJ217" i="11"/>
  <c r="AV112" i="11"/>
  <c r="AV230" i="11"/>
  <c r="AI256" i="11"/>
  <c r="AI129" i="11"/>
  <c r="H277" i="1"/>
  <c r="BI114" i="11"/>
  <c r="BI232" i="11"/>
  <c r="AJ239" i="11"/>
  <c r="AJ88" i="11"/>
  <c r="AI253" i="11"/>
  <c r="AI126" i="11"/>
  <c r="O49" i="10"/>
  <c r="N77" i="10"/>
  <c r="CQ18" i="11" s="1"/>
  <c r="CQ20" i="11" s="1"/>
  <c r="R44" i="10"/>
  <c r="Q75" i="10"/>
  <c r="BT18" i="11" s="1"/>
  <c r="BU18" i="11" s="1"/>
  <c r="AI246" i="11"/>
  <c r="AI95" i="11"/>
  <c r="AK105" i="11"/>
  <c r="AK223" i="11"/>
  <c r="CR89" i="11"/>
  <c r="CR240" i="11"/>
  <c r="L55" i="10"/>
  <c r="K80" i="10"/>
  <c r="EA18" i="11" s="1"/>
  <c r="AJ231" i="11"/>
  <c r="AJ113" i="11"/>
  <c r="DM128" i="11"/>
  <c r="DM255" i="11"/>
  <c r="DZ20" i="11"/>
  <c r="N39" i="9"/>
  <c r="M65" i="9"/>
  <c r="DR11" i="11" s="1"/>
  <c r="DR12" i="11" s="1"/>
  <c r="DR14" i="11" s="1"/>
  <c r="DA20" i="11"/>
  <c r="AH105" i="11"/>
  <c r="AO116" i="11"/>
  <c r="AO234" i="11"/>
  <c r="V257" i="11"/>
  <c r="V28" i="11" s="1"/>
  <c r="G18" i="7"/>
  <c r="D19" i="7" s="1"/>
  <c r="AJ245" i="11"/>
  <c r="AJ94" i="11"/>
  <c r="AM225" i="11"/>
  <c r="AM107" i="11"/>
  <c r="AL111" i="11"/>
  <c r="AL229" i="11"/>
  <c r="M51" i="10"/>
  <c r="L78" i="10"/>
  <c r="DB18" i="11" s="1"/>
  <c r="BG20" i="11"/>
  <c r="AI123" i="11"/>
  <c r="AI250" i="11"/>
  <c r="AG119" i="11"/>
  <c r="CK108" i="11"/>
  <c r="CK226" i="11"/>
  <c r="AK124" i="11"/>
  <c r="AK251" i="11"/>
  <c r="AB12" i="13"/>
  <c r="L170" i="1" s="1"/>
  <c r="CV12" i="11"/>
  <c r="AI127" i="11"/>
  <c r="AI254" i="11"/>
  <c r="CP20" i="11"/>
  <c r="AH109" i="11"/>
  <c r="AJ103" i="11"/>
  <c r="AJ221" i="11"/>
  <c r="AI110" i="11"/>
  <c r="AI228" i="11"/>
  <c r="AB17" i="13"/>
  <c r="L202" i="1"/>
  <c r="AL86" i="11"/>
  <c r="AL237" i="11"/>
  <c r="AI233" i="11"/>
  <c r="AI115" i="11"/>
  <c r="P47" i="10"/>
  <c r="O76" i="10"/>
  <c r="CE18" i="11" s="1"/>
  <c r="CE20" i="11" s="1"/>
  <c r="G29" i="14"/>
  <c r="G30" i="14" s="1"/>
  <c r="CD106" i="11"/>
  <c r="CD224" i="11"/>
  <c r="DE21" i="11"/>
  <c r="DF5" i="11"/>
  <c r="DQ12" i="11"/>
  <c r="DQ14" i="11" s="1"/>
  <c r="F30" i="14"/>
  <c r="AF24" i="13" l="1"/>
  <c r="M251" i="1"/>
  <c r="AD26" i="13"/>
  <c r="H8" i="24"/>
  <c r="I285" i="1"/>
  <c r="CU12" i="11"/>
  <c r="CU14" i="11" s="1"/>
  <c r="AB19" i="11"/>
  <c r="AB26" i="11"/>
  <c r="I9" i="24"/>
  <c r="H11" i="24"/>
  <c r="F27" i="24"/>
  <c r="F28" i="24" s="1"/>
  <c r="N47" i="13"/>
  <c r="G325" i="1" s="1"/>
  <c r="AJ235" i="11"/>
  <c r="AJ117" i="11"/>
  <c r="AM243" i="11"/>
  <c r="AM92" i="11"/>
  <c r="DG12" i="11"/>
  <c r="DG14" i="11" s="1"/>
  <c r="AG118" i="11"/>
  <c r="N45" i="13" s="1"/>
  <c r="G324" i="1" s="1"/>
  <c r="AG236" i="11"/>
  <c r="O41" i="9"/>
  <c r="O66" i="9" s="1"/>
  <c r="EG11" i="11" s="1"/>
  <c r="EH11" i="11" s="1"/>
  <c r="AH12" i="13" s="1"/>
  <c r="N66" i="9"/>
  <c r="EF11" i="11" s="1"/>
  <c r="EF12" i="11" s="1"/>
  <c r="EF14" i="11" s="1"/>
  <c r="EE21" i="11"/>
  <c r="EF5" i="11"/>
  <c r="BH20" i="11"/>
  <c r="AP116" i="11"/>
  <c r="AP234" i="11"/>
  <c r="AW112" i="11"/>
  <c r="AW230" i="11"/>
  <c r="AJ241" i="11"/>
  <c r="AJ90" i="11"/>
  <c r="BV87" i="11"/>
  <c r="BV238" i="11"/>
  <c r="AJ253" i="11"/>
  <c r="AJ126" i="11"/>
  <c r="AM247" i="11"/>
  <c r="AM120" i="11"/>
  <c r="AD17" i="13"/>
  <c r="M202" i="1"/>
  <c r="AK103" i="11"/>
  <c r="AK221" i="11"/>
  <c r="AK245" i="11"/>
  <c r="AK94" i="11"/>
  <c r="DB20" i="11"/>
  <c r="M55" i="10"/>
  <c r="L80" i="10"/>
  <c r="EB18" i="11" s="1"/>
  <c r="EB20" i="11" s="1"/>
  <c r="AK239" i="11"/>
  <c r="AK88" i="11"/>
  <c r="DF12" i="11"/>
  <c r="DF14" i="11" s="1"/>
  <c r="AD12" i="13"/>
  <c r="M170" i="1" s="1"/>
  <c r="DI12" i="11"/>
  <c r="Q47" i="10"/>
  <c r="P76" i="10"/>
  <c r="CF18" i="11" s="1"/>
  <c r="CF20" i="11" s="1"/>
  <c r="AL124" i="11"/>
  <c r="AL251" i="11"/>
  <c r="N51" i="10"/>
  <c r="M78" i="10"/>
  <c r="DC18" i="11" s="1"/>
  <c r="DC20" i="11" s="1"/>
  <c r="EA20" i="11"/>
  <c r="AK252" i="11"/>
  <c r="AK125" i="11"/>
  <c r="T32" i="13"/>
  <c r="I8" i="24" s="1"/>
  <c r="BV20" i="11"/>
  <c r="M53" i="10"/>
  <c r="L79" i="10"/>
  <c r="DO18" i="11" s="1"/>
  <c r="AJ250" i="11"/>
  <c r="AJ123" i="11"/>
  <c r="AI119" i="11"/>
  <c r="AL121" i="11"/>
  <c r="AL248" i="11"/>
  <c r="DF21" i="11"/>
  <c r="DG5" i="11"/>
  <c r="DG21" i="11" s="1"/>
  <c r="AI104" i="11"/>
  <c r="AI222" i="11"/>
  <c r="AJ233" i="11"/>
  <c r="AJ115" i="11"/>
  <c r="CL108" i="11"/>
  <c r="CL226" i="11"/>
  <c r="AM111" i="11"/>
  <c r="AM229" i="11"/>
  <c r="G19" i="7"/>
  <c r="D20" i="7" s="1"/>
  <c r="F20" i="7" s="1"/>
  <c r="X224" i="11" s="1"/>
  <c r="W257" i="11"/>
  <c r="W28" i="11" s="1"/>
  <c r="O39" i="9"/>
  <c r="O65" i="9" s="1"/>
  <c r="DT11" i="11" s="1"/>
  <c r="DU11" i="11" s="1"/>
  <c r="N65" i="9"/>
  <c r="DS11" i="11" s="1"/>
  <c r="DS12" i="11" s="1"/>
  <c r="DS14" i="11" s="1"/>
  <c r="AK113" i="11"/>
  <c r="AK231" i="11"/>
  <c r="AJ129" i="11"/>
  <c r="AJ256" i="11"/>
  <c r="K97" i="11"/>
  <c r="K98" i="11"/>
  <c r="AB99" i="4"/>
  <c r="L216" i="11"/>
  <c r="L218" i="11" s="1"/>
  <c r="L27" i="11" s="1"/>
  <c r="F35" i="14"/>
  <c r="E36" i="14"/>
  <c r="AM237" i="11"/>
  <c r="AM86" i="11"/>
  <c r="AN225" i="11"/>
  <c r="AN107" i="11"/>
  <c r="BJ114" i="11"/>
  <c r="BJ232" i="11"/>
  <c r="CE106" i="11"/>
  <c r="CE224" i="11"/>
  <c r="AJ254" i="11"/>
  <c r="AJ127" i="11"/>
  <c r="AL105" i="11"/>
  <c r="AL223" i="11"/>
  <c r="AK100" i="11"/>
  <c r="AK217" i="11"/>
  <c r="DR21" i="11"/>
  <c r="DS5" i="11"/>
  <c r="R117" i="13"/>
  <c r="R118" i="13" s="1"/>
  <c r="J285" i="1"/>
  <c r="H8" i="14"/>
  <c r="DN128" i="11"/>
  <c r="DN255" i="11"/>
  <c r="CS89" i="11"/>
  <c r="CS240" i="11"/>
  <c r="G33" i="14"/>
  <c r="AJ110" i="11"/>
  <c r="AJ228" i="11"/>
  <c r="CV14" i="11"/>
  <c r="AJ95" i="11"/>
  <c r="AJ246" i="11"/>
  <c r="P49" i="10"/>
  <c r="O77" i="10"/>
  <c r="CR18" i="11" s="1"/>
  <c r="CR20" i="11" s="1"/>
  <c r="BT20" i="11"/>
  <c r="AJ93" i="11"/>
  <c r="AJ244" i="11"/>
  <c r="K82" i="11"/>
  <c r="K83" i="11" s="1"/>
  <c r="K80" i="11"/>
  <c r="K81" i="11" s="1"/>
  <c r="L9" i="11" s="1"/>
  <c r="AJ227" i="11"/>
  <c r="AJ109" i="11"/>
  <c r="AH24" i="13" l="1"/>
  <c r="N251" i="1"/>
  <c r="AF26" i="13"/>
  <c r="AC19" i="11"/>
  <c r="AC26" i="11"/>
  <c r="I11" i="24"/>
  <c r="I12" i="24" s="1"/>
  <c r="J11" i="24" s="1"/>
  <c r="K11" i="24" s="1"/>
  <c r="L11" i="24" s="1"/>
  <c r="M11" i="24" s="1"/>
  <c r="N11" i="24" s="1"/>
  <c r="H12" i="24"/>
  <c r="H25" i="24"/>
  <c r="AN243" i="11"/>
  <c r="AN92" i="11"/>
  <c r="AK235" i="11"/>
  <c r="AK117" i="11"/>
  <c r="DH12" i="11"/>
  <c r="DH14" i="11" s="1"/>
  <c r="DT12" i="11"/>
  <c r="DT14" i="11" s="1"/>
  <c r="AI236" i="11"/>
  <c r="AI118" i="11"/>
  <c r="X257" i="11"/>
  <c r="X28" i="11" s="1"/>
  <c r="G20" i="7"/>
  <c r="D21" i="7" s="1"/>
  <c r="AN120" i="11"/>
  <c r="AN247" i="11"/>
  <c r="BW87" i="11"/>
  <c r="BW238" i="11"/>
  <c r="BU20" i="11"/>
  <c r="AK110" i="11"/>
  <c r="AK228" i="11"/>
  <c r="I9" i="14"/>
  <c r="H11" i="14"/>
  <c r="AK254" i="11"/>
  <c r="AK127" i="11"/>
  <c r="AN86" i="11"/>
  <c r="AN237" i="11"/>
  <c r="AJ104" i="11"/>
  <c r="AJ222" i="11"/>
  <c r="AK250" i="11"/>
  <c r="AK123" i="11"/>
  <c r="AJ119" i="11"/>
  <c r="T117" i="13"/>
  <c r="T118" i="13" s="1"/>
  <c r="I8" i="14"/>
  <c r="AK241" i="11"/>
  <c r="AK90" i="11"/>
  <c r="EG12" i="11"/>
  <c r="EG14" i="11" s="1"/>
  <c r="L39" i="11"/>
  <c r="AN111" i="11"/>
  <c r="AN229" i="11"/>
  <c r="R46" i="10"/>
  <c r="Q76" i="10"/>
  <c r="CG18" i="11" s="1"/>
  <c r="CH18" i="11" s="1"/>
  <c r="AL103" i="11"/>
  <c r="AL221" i="11"/>
  <c r="AK253" i="11"/>
  <c r="AK126" i="11"/>
  <c r="AL217" i="11"/>
  <c r="AL100" i="11"/>
  <c r="AK256" i="11"/>
  <c r="AK129" i="11"/>
  <c r="AK109" i="11"/>
  <c r="AK227" i="11"/>
  <c r="AQ116" i="11"/>
  <c r="AQ234" i="11"/>
  <c r="AL252" i="11"/>
  <c r="AL125" i="11"/>
  <c r="CF106" i="11"/>
  <c r="CF224" i="11"/>
  <c r="CM108" i="11"/>
  <c r="CM226" i="11"/>
  <c r="O51" i="10"/>
  <c r="N78" i="10"/>
  <c r="DD18" i="11" s="1"/>
  <c r="N55" i="10"/>
  <c r="M80" i="10"/>
  <c r="EC18" i="11" s="1"/>
  <c r="EC20" i="11" s="1"/>
  <c r="AF17" i="13"/>
  <c r="N202" i="1"/>
  <c r="AX112" i="11"/>
  <c r="AX230" i="11"/>
  <c r="AC99" i="4"/>
  <c r="DI14" i="11"/>
  <c r="AK115" i="11"/>
  <c r="AK233" i="11"/>
  <c r="Q49" i="10"/>
  <c r="P77" i="10"/>
  <c r="CS18" i="11" s="1"/>
  <c r="AM223" i="11"/>
  <c r="AM105" i="11"/>
  <c r="AL231" i="11"/>
  <c r="AL113" i="11"/>
  <c r="AK95" i="11"/>
  <c r="AK246" i="11"/>
  <c r="CT89" i="11"/>
  <c r="CT240" i="11"/>
  <c r="DT5" i="11"/>
  <c r="DT21" i="11" s="1"/>
  <c r="DS21" i="11"/>
  <c r="F36" i="14"/>
  <c r="E37" i="14" s="1"/>
  <c r="E38" i="14" s="1"/>
  <c r="G35" i="14"/>
  <c r="BK114" i="11"/>
  <c r="BK232" i="11"/>
  <c r="AF12" i="13"/>
  <c r="N170" i="1" s="1"/>
  <c r="DV12" i="11"/>
  <c r="DO20" i="11"/>
  <c r="AM124" i="11"/>
  <c r="AM251" i="11"/>
  <c r="AL245" i="11"/>
  <c r="AL94" i="11"/>
  <c r="AK244" i="11"/>
  <c r="AK93" i="11"/>
  <c r="DO128" i="11"/>
  <c r="DO255" i="11"/>
  <c r="AO107" i="11"/>
  <c r="AO225" i="11"/>
  <c r="N52" i="13"/>
  <c r="AM248" i="11"/>
  <c r="AM121" i="11"/>
  <c r="N53" i="10"/>
  <c r="M79" i="10"/>
  <c r="DP18" i="11" s="1"/>
  <c r="DP20" i="11" s="1"/>
  <c r="AL88" i="11"/>
  <c r="AL239" i="11"/>
  <c r="EF21" i="11"/>
  <c r="EG5" i="11"/>
  <c r="EG21" i="11" s="1"/>
  <c r="O251" i="1" l="1"/>
  <c r="AH26" i="13"/>
  <c r="AD19" i="11"/>
  <c r="AD26" i="11"/>
  <c r="D30" i="24"/>
  <c r="D31" i="24"/>
  <c r="DU12" i="11"/>
  <c r="DU14" i="11" s="1"/>
  <c r="I25" i="24"/>
  <c r="H26" i="24"/>
  <c r="AL235" i="11"/>
  <c r="AL117" i="11"/>
  <c r="AO243" i="11"/>
  <c r="AO92" i="11"/>
  <c r="AJ236" i="11"/>
  <c r="AJ118" i="11"/>
  <c r="AN248" i="11"/>
  <c r="AN121" i="11"/>
  <c r="CV89" i="11"/>
  <c r="CV240" i="11"/>
  <c r="CG106" i="11"/>
  <c r="CG224" i="11"/>
  <c r="AL127" i="11"/>
  <c r="AL254" i="11"/>
  <c r="AR116" i="11"/>
  <c r="AR234" i="11"/>
  <c r="AL253" i="11"/>
  <c r="AL126" i="11"/>
  <c r="BX87" i="11"/>
  <c r="BX238" i="11"/>
  <c r="AL241" i="11"/>
  <c r="AL90" i="11"/>
  <c r="O55" i="10"/>
  <c r="N80" i="10"/>
  <c r="ED18" i="11" s="1"/>
  <c r="ED20" i="11" s="1"/>
  <c r="Y257" i="11"/>
  <c r="Y28" i="11" s="1"/>
  <c r="G21" i="7"/>
  <c r="D22" i="7" s="1"/>
  <c r="DP128" i="11"/>
  <c r="DP255" i="11"/>
  <c r="BL114" i="11"/>
  <c r="BL232" i="11"/>
  <c r="AL244" i="11"/>
  <c r="AL93" i="11"/>
  <c r="AN251" i="11"/>
  <c r="AN124" i="11"/>
  <c r="AL95" i="11"/>
  <c r="AL246" i="11"/>
  <c r="R48" i="10"/>
  <c r="Q77" i="10"/>
  <c r="CT18" i="11" s="1"/>
  <c r="CU18" i="11" s="1"/>
  <c r="AM252" i="11"/>
  <c r="AM125" i="11"/>
  <c r="AL123" i="11"/>
  <c r="AL250" i="11"/>
  <c r="AK119" i="11"/>
  <c r="H29" i="14"/>
  <c r="G36" i="14"/>
  <c r="F37" i="14" s="1"/>
  <c r="F38" i="14" s="1"/>
  <c r="CS20" i="11"/>
  <c r="AL115" i="11"/>
  <c r="AL233" i="11"/>
  <c r="AY112" i="11"/>
  <c r="AY230" i="11"/>
  <c r="P51" i="10"/>
  <c r="O78" i="10"/>
  <c r="DE18" i="11" s="1"/>
  <c r="DE20" i="11" s="1"/>
  <c r="AL256" i="11"/>
  <c r="AL129" i="11"/>
  <c r="AM103" i="11"/>
  <c r="AM221" i="11"/>
  <c r="L207" i="11"/>
  <c r="CG20" i="11"/>
  <c r="AO120" i="11"/>
  <c r="AO247" i="11"/>
  <c r="O53" i="10"/>
  <c r="N79" i="10"/>
  <c r="DQ18" i="11" s="1"/>
  <c r="DQ20" i="11" s="1"/>
  <c r="AM94" i="11"/>
  <c r="AM245" i="11"/>
  <c r="AN223" i="11"/>
  <c r="AN105" i="11"/>
  <c r="AO237" i="11"/>
  <c r="AO86" i="11"/>
  <c r="AO111" i="11"/>
  <c r="AO229" i="11"/>
  <c r="AM239" i="11"/>
  <c r="AM88" i="11"/>
  <c r="AP107" i="11"/>
  <c r="AP225" i="11"/>
  <c r="DV14" i="11"/>
  <c r="EH12" i="11"/>
  <c r="EH14" i="11" s="1"/>
  <c r="Z32" i="13"/>
  <c r="K285" i="1" s="1"/>
  <c r="CI20" i="11"/>
  <c r="J9" i="14"/>
  <c r="I11" i="14"/>
  <c r="AK104" i="11"/>
  <c r="AK222" i="11"/>
  <c r="AL110" i="11"/>
  <c r="AL228" i="11"/>
  <c r="AM231" i="11"/>
  <c r="AM113" i="11"/>
  <c r="AL109" i="11"/>
  <c r="AL227" i="11"/>
  <c r="O170" i="1"/>
  <c r="DD20" i="11"/>
  <c r="AH17" i="13"/>
  <c r="O202" i="1" s="1"/>
  <c r="CN108" i="11"/>
  <c r="CN226" i="11"/>
  <c r="AM100" i="11"/>
  <c r="AM217" i="11"/>
  <c r="AE19" i="11" l="1"/>
  <c r="AE26" i="11"/>
  <c r="G27" i="24"/>
  <c r="G28" i="24" s="1"/>
  <c r="J25" i="24"/>
  <c r="I26" i="24"/>
  <c r="AP243" i="11"/>
  <c r="AP92" i="11"/>
  <c r="AM117" i="11"/>
  <c r="AM235" i="11"/>
  <c r="AK118" i="11"/>
  <c r="AK236" i="11"/>
  <c r="AM253" i="11"/>
  <c r="AM126" i="11"/>
  <c r="AM110" i="11"/>
  <c r="AM228" i="11"/>
  <c r="AM256" i="11"/>
  <c r="AM129" i="11"/>
  <c r="AO124" i="11"/>
  <c r="AO251" i="11"/>
  <c r="G22" i="7"/>
  <c r="D23" i="7" s="1"/>
  <c r="F23" i="7" s="1"/>
  <c r="AA224" i="11" s="1"/>
  <c r="Z257" i="11"/>
  <c r="Z28" i="11" s="1"/>
  <c r="CI106" i="11"/>
  <c r="CI224" i="11"/>
  <c r="AM227" i="11"/>
  <c r="AM109" i="11"/>
  <c r="AO223" i="11"/>
  <c r="AO105" i="11"/>
  <c r="AP120" i="11"/>
  <c r="AP247" i="11"/>
  <c r="AN252" i="11"/>
  <c r="AN125" i="11"/>
  <c r="AM244" i="11"/>
  <c r="AM93" i="11"/>
  <c r="CW89" i="11"/>
  <c r="CW240" i="11"/>
  <c r="AN221" i="11"/>
  <c r="AN103" i="11"/>
  <c r="AN231" i="11"/>
  <c r="AN113" i="11"/>
  <c r="H33" i="14"/>
  <c r="H30" i="14"/>
  <c r="P55" i="10"/>
  <c r="O80" i="10"/>
  <c r="EE18" i="11" s="1"/>
  <c r="EE20" i="11" s="1"/>
  <c r="AS116" i="11"/>
  <c r="AS234" i="11"/>
  <c r="AO248" i="11"/>
  <c r="AO121" i="11"/>
  <c r="AN100" i="11"/>
  <c r="AN217" i="11"/>
  <c r="AB32" i="13"/>
  <c r="L285" i="1" s="1"/>
  <c r="CV20" i="11"/>
  <c r="AM90" i="11"/>
  <c r="AM241" i="11"/>
  <c r="CT20" i="11"/>
  <c r="CU20" i="11" s="1"/>
  <c r="AQ107" i="11"/>
  <c r="AQ225" i="11"/>
  <c r="AN245" i="11"/>
  <c r="AN94" i="11"/>
  <c r="Q51" i="10"/>
  <c r="P78" i="10"/>
  <c r="DF18" i="11" s="1"/>
  <c r="DF20" i="11" s="1"/>
  <c r="BM114" i="11"/>
  <c r="BM232" i="11"/>
  <c r="AN239" i="11"/>
  <c r="AN88" i="11"/>
  <c r="I29" i="14"/>
  <c r="I30" i="14" s="1"/>
  <c r="CH20" i="11"/>
  <c r="AP111" i="11"/>
  <c r="AP229" i="11"/>
  <c r="L75" i="11"/>
  <c r="L58" i="11"/>
  <c r="AM254" i="11"/>
  <c r="AM127" i="11"/>
  <c r="AL104" i="11"/>
  <c r="AL222" i="11"/>
  <c r="CO108" i="11"/>
  <c r="CO226" i="11"/>
  <c r="J8" i="14"/>
  <c r="AP86" i="11"/>
  <c r="AP237" i="11"/>
  <c r="P53" i="10"/>
  <c r="O79" i="10"/>
  <c r="DR18" i="11" s="1"/>
  <c r="DR20" i="11" s="1"/>
  <c r="AZ112" i="11"/>
  <c r="AZ230" i="11"/>
  <c r="AM233" i="11"/>
  <c r="AM115" i="11"/>
  <c r="AM250" i="11"/>
  <c r="AM123" i="11"/>
  <c r="AL119" i="11"/>
  <c r="AM246" i="11"/>
  <c r="AM95" i="11"/>
  <c r="DQ128" i="11"/>
  <c r="DQ255" i="11"/>
  <c r="BY87" i="11"/>
  <c r="BY238" i="11"/>
  <c r="AF19" i="11" l="1"/>
  <c r="AF26" i="11"/>
  <c r="H27" i="24"/>
  <c r="H28" i="24" s="1"/>
  <c r="K25" i="24"/>
  <c r="J26" i="24"/>
  <c r="AN117" i="11"/>
  <c r="AN235" i="11"/>
  <c r="AQ92" i="11"/>
  <c r="AQ243" i="11"/>
  <c r="AL236" i="11"/>
  <c r="AL118" i="11"/>
  <c r="Q55" i="10"/>
  <c r="P80" i="10"/>
  <c r="EF18" i="11" s="1"/>
  <c r="EF20" i="11" s="1"/>
  <c r="AO103" i="11"/>
  <c r="AO221" i="11"/>
  <c r="BZ238" i="11"/>
  <c r="BZ87" i="11"/>
  <c r="AN233" i="11"/>
  <c r="AN115" i="11"/>
  <c r="AQ86" i="11"/>
  <c r="AQ237" i="11"/>
  <c r="AM104" i="11"/>
  <c r="AM222" i="11"/>
  <c r="L79" i="11"/>
  <c r="AO100" i="11"/>
  <c r="AO217" i="11"/>
  <c r="G23" i="7"/>
  <c r="D24" i="7" s="1"/>
  <c r="AA257" i="11"/>
  <c r="AA28" i="11" s="1"/>
  <c r="AN110" i="11"/>
  <c r="AN228" i="11"/>
  <c r="K9" i="14"/>
  <c r="J11" i="14"/>
  <c r="AR225" i="11"/>
  <c r="AR107" i="11"/>
  <c r="H35" i="14"/>
  <c r="AN126" i="11"/>
  <c r="AN253" i="11"/>
  <c r="CX89" i="11"/>
  <c r="CX240" i="11"/>
  <c r="AQ120" i="11"/>
  <c r="AQ247" i="11"/>
  <c r="AP251" i="11"/>
  <c r="AP124" i="11"/>
  <c r="AN123" i="11"/>
  <c r="AN250" i="11"/>
  <c r="AM119" i="11"/>
  <c r="DR128" i="11"/>
  <c r="DR255" i="11"/>
  <c r="BN114" i="11"/>
  <c r="BN232" i="11"/>
  <c r="AQ111" i="11"/>
  <c r="AQ229" i="11"/>
  <c r="AP105" i="11"/>
  <c r="AP223" i="11"/>
  <c r="AN227" i="11"/>
  <c r="AN109" i="11"/>
  <c r="Q53" i="10"/>
  <c r="P79" i="10"/>
  <c r="DS18" i="11" s="1"/>
  <c r="L59" i="11"/>
  <c r="L96" i="11"/>
  <c r="AO239" i="11"/>
  <c r="AO88" i="11"/>
  <c r="AP121" i="11"/>
  <c r="AP248" i="11"/>
  <c r="AN95" i="11"/>
  <c r="AN246" i="11"/>
  <c r="R50" i="10"/>
  <c r="Q78" i="10"/>
  <c r="DG18" i="11" s="1"/>
  <c r="DH18" i="11" s="1"/>
  <c r="AN241" i="11"/>
  <c r="AN90" i="11"/>
  <c r="AN93" i="11"/>
  <c r="AN244" i="11"/>
  <c r="BA112" i="11"/>
  <c r="BA230" i="11"/>
  <c r="AN127" i="11"/>
  <c r="AN254" i="11"/>
  <c r="AO245" i="11"/>
  <c r="AO94" i="11"/>
  <c r="AT116" i="11"/>
  <c r="AT234" i="11"/>
  <c r="AO231" i="11"/>
  <c r="AO113" i="11"/>
  <c r="AN256" i="11"/>
  <c r="AN129" i="11"/>
  <c r="CP108" i="11"/>
  <c r="CP226" i="11"/>
  <c r="I33" i="14"/>
  <c r="K8" i="14"/>
  <c r="AO252" i="11"/>
  <c r="AO125" i="11"/>
  <c r="CJ106" i="11"/>
  <c r="CJ224" i="11"/>
  <c r="AG19" i="11" l="1"/>
  <c r="AH19" i="11" s="1"/>
  <c r="AG26" i="11"/>
  <c r="AH26" i="11" s="1"/>
  <c r="I27" i="24"/>
  <c r="I28" i="24" s="1"/>
  <c r="L25" i="24"/>
  <c r="K26" i="24"/>
  <c r="AR92" i="11"/>
  <c r="AR243" i="11"/>
  <c r="AO235" i="11"/>
  <c r="AO117" i="11"/>
  <c r="AM118" i="11"/>
  <c r="AM236" i="11"/>
  <c r="BB112" i="11"/>
  <c r="BB230" i="11"/>
  <c r="AQ223" i="11"/>
  <c r="AQ105" i="11"/>
  <c r="AB257" i="11"/>
  <c r="AB28" i="11" s="1"/>
  <c r="G24" i="7"/>
  <c r="D25" i="7" s="1"/>
  <c r="AP103" i="11"/>
  <c r="AP221" i="11"/>
  <c r="DG20" i="11"/>
  <c r="AP94" i="11"/>
  <c r="AP245" i="11"/>
  <c r="L82" i="11"/>
  <c r="L83" i="11" s="1"/>
  <c r="L80" i="11"/>
  <c r="L81" i="11" s="1"/>
  <c r="M9" i="11" s="1"/>
  <c r="BO114" i="11"/>
  <c r="BO232" i="11"/>
  <c r="AQ124" i="11"/>
  <c r="AQ251" i="11"/>
  <c r="AR86" i="11"/>
  <c r="AR237" i="11"/>
  <c r="R54" i="10"/>
  <c r="Q80" i="10"/>
  <c r="EG18" i="11" s="1"/>
  <c r="EH18" i="11" s="1"/>
  <c r="AH32" i="13" s="1"/>
  <c r="N8" i="14" s="1"/>
  <c r="CQ108" i="11"/>
  <c r="CQ226" i="11"/>
  <c r="L97" i="11"/>
  <c r="L98" i="11"/>
  <c r="AB100" i="4"/>
  <c r="M216" i="11"/>
  <c r="M218" i="11" s="1"/>
  <c r="M27" i="11" s="1"/>
  <c r="M39" i="11" s="1"/>
  <c r="CY89" i="11"/>
  <c r="CY240" i="11"/>
  <c r="AO250" i="11"/>
  <c r="AO123" i="11"/>
  <c r="AN119" i="11"/>
  <c r="AS107" i="11"/>
  <c r="AS225" i="11"/>
  <c r="AO93" i="11"/>
  <c r="AO244" i="11"/>
  <c r="J29" i="14"/>
  <c r="AP217" i="11"/>
  <c r="AP100" i="11"/>
  <c r="AO233" i="11"/>
  <c r="AO115" i="11"/>
  <c r="AD32" i="13"/>
  <c r="M285" i="1" s="1"/>
  <c r="DI20" i="11"/>
  <c r="AO95" i="11"/>
  <c r="AO246" i="11"/>
  <c r="R52" i="10"/>
  <c r="Q79" i="10"/>
  <c r="DT18" i="11" s="1"/>
  <c r="DU18" i="11" s="1"/>
  <c r="AR111" i="11"/>
  <c r="AR229" i="11"/>
  <c r="DS128" i="11"/>
  <c r="DS255" i="11"/>
  <c r="AV234" i="11"/>
  <c r="AV116" i="11"/>
  <c r="L9" i="14"/>
  <c r="K11" i="14"/>
  <c r="CK106" i="11"/>
  <c r="CK224" i="11"/>
  <c r="AP113" i="11"/>
  <c r="AP231" i="11"/>
  <c r="AO254" i="11"/>
  <c r="AO127" i="11"/>
  <c r="AQ248" i="11"/>
  <c r="AQ121" i="11"/>
  <c r="AO227" i="11"/>
  <c r="AO109" i="11"/>
  <c r="AO253" i="11"/>
  <c r="AO126" i="11"/>
  <c r="CA87" i="11"/>
  <c r="CA238" i="11"/>
  <c r="AN104" i="11"/>
  <c r="AN222" i="11"/>
  <c r="AO256" i="11"/>
  <c r="AO129" i="11"/>
  <c r="AP125" i="11"/>
  <c r="AP252" i="11"/>
  <c r="DS20" i="11"/>
  <c r="AO241" i="11"/>
  <c r="AO90" i="11"/>
  <c r="AP88" i="11"/>
  <c r="AP239" i="11"/>
  <c r="AR120" i="11"/>
  <c r="AR247" i="11"/>
  <c r="H36" i="14"/>
  <c r="I35" i="14"/>
  <c r="AO228" i="11"/>
  <c r="AO110" i="11"/>
  <c r="AL21" i="11" l="1"/>
  <c r="AM21" i="11"/>
  <c r="AI26" i="11"/>
  <c r="AK21" i="11"/>
  <c r="AI21" i="11"/>
  <c r="AJ21" i="11"/>
  <c r="AI19" i="11"/>
  <c r="J27" i="24"/>
  <c r="J28" i="24" s="1"/>
  <c r="M25" i="24"/>
  <c r="L26" i="24"/>
  <c r="AP117" i="11"/>
  <c r="AP235" i="11"/>
  <c r="AS243" i="11"/>
  <c r="AS92" i="11"/>
  <c r="AN118" i="11"/>
  <c r="AN236" i="11"/>
  <c r="BP114" i="11"/>
  <c r="BP232" i="11"/>
  <c r="AQ103" i="11"/>
  <c r="AQ221" i="11"/>
  <c r="AQ231" i="11"/>
  <c r="AQ113" i="11"/>
  <c r="DT128" i="11"/>
  <c r="DT255" i="11"/>
  <c r="AP95" i="11"/>
  <c r="AP246" i="11"/>
  <c r="M207" i="11"/>
  <c r="G25" i="7"/>
  <c r="D26" i="7" s="1"/>
  <c r="F26" i="7" s="1"/>
  <c r="AD224" i="11" s="1"/>
  <c r="AC257" i="11"/>
  <c r="AC28" i="11" s="1"/>
  <c r="AP123" i="11"/>
  <c r="AP250" i="11"/>
  <c r="AO119" i="11"/>
  <c r="AP129" i="11"/>
  <c r="AP256" i="11"/>
  <c r="AQ217" i="11"/>
  <c r="AQ100" i="11"/>
  <c r="AT107" i="11"/>
  <c r="AT225" i="11"/>
  <c r="AP109" i="11"/>
  <c r="AP227" i="11"/>
  <c r="AP110" i="11"/>
  <c r="AP228" i="11"/>
  <c r="AQ252" i="11"/>
  <c r="AQ125" i="11"/>
  <c r="CL106" i="11"/>
  <c r="CL224" i="11"/>
  <c r="AS111" i="11"/>
  <c r="AS229" i="11"/>
  <c r="J33" i="14"/>
  <c r="J30" i="14"/>
  <c r="D31" i="14" s="1"/>
  <c r="AS237" i="11"/>
  <c r="AS86" i="11"/>
  <c r="AR223" i="11"/>
  <c r="AR105" i="11"/>
  <c r="AO104" i="11"/>
  <c r="AO222" i="11"/>
  <c r="EG20" i="11"/>
  <c r="AC100" i="4"/>
  <c r="AQ88" i="11"/>
  <c r="AQ239" i="11"/>
  <c r="AF32" i="13"/>
  <c r="DV20" i="11"/>
  <c r="AQ245" i="11"/>
  <c r="AQ94" i="11"/>
  <c r="AR121" i="11"/>
  <c r="AR248" i="11"/>
  <c r="K29" i="14"/>
  <c r="K30" i="14" s="1"/>
  <c r="I36" i="14"/>
  <c r="AP90" i="11"/>
  <c r="AP241" i="11"/>
  <c r="CB87" i="11"/>
  <c r="CB238" i="11"/>
  <c r="N285" i="1"/>
  <c r="L8" i="14"/>
  <c r="CZ89" i="11"/>
  <c r="CZ240" i="11"/>
  <c r="CR108" i="11"/>
  <c r="CR226" i="11"/>
  <c r="AS247" i="11"/>
  <c r="AS120" i="11"/>
  <c r="G37" i="14"/>
  <c r="G38" i="14" s="1"/>
  <c r="DT20" i="11"/>
  <c r="AP126" i="11"/>
  <c r="AP253" i="11"/>
  <c r="AP127" i="11"/>
  <c r="AP254" i="11"/>
  <c r="AW234" i="11"/>
  <c r="AW116" i="11"/>
  <c r="AP233" i="11"/>
  <c r="AP115" i="11"/>
  <c r="AP93" i="11"/>
  <c r="AP244" i="11"/>
  <c r="AR124" i="11"/>
  <c r="AR251" i="11"/>
  <c r="DH20" i="11"/>
  <c r="BC112" i="11"/>
  <c r="BC230" i="11"/>
  <c r="AJ19" i="11" l="1"/>
  <c r="AJ26" i="11"/>
  <c r="AU21" i="11"/>
  <c r="AI99" i="11"/>
  <c r="K27" i="24"/>
  <c r="K28" i="24" s="1"/>
  <c r="N25" i="24"/>
  <c r="N26" i="24" s="1"/>
  <c r="N27" i="24" s="1"/>
  <c r="N28" i="24" s="1"/>
  <c r="M26" i="24"/>
  <c r="AT92" i="11"/>
  <c r="AT243" i="11"/>
  <c r="AQ235" i="11"/>
  <c r="AQ117" i="11"/>
  <c r="AO236" i="11"/>
  <c r="AO118" i="11"/>
  <c r="M9" i="14"/>
  <c r="L11" i="14"/>
  <c r="AV107" i="11"/>
  <c r="AV225" i="11"/>
  <c r="AT120" i="11"/>
  <c r="AT247" i="11"/>
  <c r="AR217" i="11"/>
  <c r="AR100" i="11"/>
  <c r="AP104" i="11"/>
  <c r="AP222" i="11"/>
  <c r="G26" i="7"/>
  <c r="D27" i="7" s="1"/>
  <c r="AD257" i="11"/>
  <c r="AD28" i="11" s="1"/>
  <c r="AR231" i="11"/>
  <c r="AR113" i="11"/>
  <c r="AR125" i="11"/>
  <c r="AR252" i="11"/>
  <c r="K33" i="14"/>
  <c r="AQ110" i="11"/>
  <c r="AQ228" i="11"/>
  <c r="AQ254" i="11"/>
  <c r="AQ127" i="11"/>
  <c r="CC87" i="11"/>
  <c r="CC238" i="11"/>
  <c r="AS121" i="11"/>
  <c r="AS248" i="11"/>
  <c r="AQ244" i="11"/>
  <c r="AQ93" i="11"/>
  <c r="AQ253" i="11"/>
  <c r="AQ126" i="11"/>
  <c r="AQ256" i="11"/>
  <c r="AQ129" i="11"/>
  <c r="AR103" i="11"/>
  <c r="AR221" i="11"/>
  <c r="AX116" i="11"/>
  <c r="AX234" i="11"/>
  <c r="AR245" i="11"/>
  <c r="AR94" i="11"/>
  <c r="H37" i="14"/>
  <c r="H38" i="14" s="1"/>
  <c r="O285" i="1"/>
  <c r="M8" i="14"/>
  <c r="AQ115" i="11"/>
  <c r="AQ233" i="11"/>
  <c r="DU20" i="11"/>
  <c r="CS108" i="11"/>
  <c r="CS226" i="11"/>
  <c r="AQ241" i="11"/>
  <c r="AQ90" i="11"/>
  <c r="AR239" i="11"/>
  <c r="AR88" i="11"/>
  <c r="AS223" i="11"/>
  <c r="AS105" i="11"/>
  <c r="AT111" i="11"/>
  <c r="AT229" i="11"/>
  <c r="M75" i="11"/>
  <c r="M58" i="11"/>
  <c r="EH20" i="11"/>
  <c r="DV128" i="11"/>
  <c r="DV255" i="11"/>
  <c r="AS251" i="11"/>
  <c r="AS124" i="11"/>
  <c r="BD112" i="11"/>
  <c r="BD230" i="11"/>
  <c r="J35" i="14"/>
  <c r="AQ227" i="11"/>
  <c r="AQ109" i="11"/>
  <c r="BQ114" i="11"/>
  <c r="BQ232" i="11"/>
  <c r="DA89" i="11"/>
  <c r="DA240" i="11"/>
  <c r="AT86" i="11"/>
  <c r="AT237" i="11"/>
  <c r="CM106" i="11"/>
  <c r="CM224" i="11"/>
  <c r="AQ250" i="11"/>
  <c r="AQ123" i="11"/>
  <c r="AP119" i="11"/>
  <c r="AQ246" i="11"/>
  <c r="AQ95" i="11"/>
  <c r="AK19" i="11" l="1"/>
  <c r="AK26" i="11"/>
  <c r="AJ99" i="11"/>
  <c r="AK99" i="11" s="1"/>
  <c r="AL99" i="11" s="1"/>
  <c r="AM99" i="11" s="1"/>
  <c r="AN99" i="11" s="1"/>
  <c r="AO99" i="11" s="1"/>
  <c r="AP99" i="11" s="1"/>
  <c r="AQ99" i="11" s="1"/>
  <c r="AR99" i="11" s="1"/>
  <c r="AS99" i="11" s="1"/>
  <c r="AT99" i="11" s="1"/>
  <c r="P30" i="13" s="1"/>
  <c r="M27" i="24"/>
  <c r="M28" i="24" s="1"/>
  <c r="L27" i="24"/>
  <c r="L28" i="24" s="1"/>
  <c r="D32" i="24"/>
  <c r="AR235" i="11"/>
  <c r="AR117" i="11"/>
  <c r="AV243" i="11"/>
  <c r="AV92" i="11"/>
  <c r="AP118" i="11"/>
  <c r="AP236" i="11"/>
  <c r="AR250" i="11"/>
  <c r="AR123" i="11"/>
  <c r="AQ119" i="11"/>
  <c r="AT124" i="11"/>
  <c r="AT251" i="11"/>
  <c r="AS239" i="11"/>
  <c r="AS88" i="11"/>
  <c r="AT248" i="11"/>
  <c r="AT121" i="11"/>
  <c r="AR253" i="11"/>
  <c r="AR126" i="11"/>
  <c r="N9" i="14"/>
  <c r="N11" i="14" s="1"/>
  <c r="M11" i="14"/>
  <c r="AY116" i="11"/>
  <c r="AY234" i="11"/>
  <c r="CD87" i="11"/>
  <c r="CD238" i="11"/>
  <c r="AV120" i="11"/>
  <c r="AV247" i="11"/>
  <c r="AR227" i="11"/>
  <c r="AR109" i="11"/>
  <c r="AR93" i="11"/>
  <c r="AR244" i="11"/>
  <c r="AR233" i="11"/>
  <c r="AR115" i="11"/>
  <c r="AR254" i="11"/>
  <c r="AR127" i="11"/>
  <c r="AE257" i="11"/>
  <c r="AE28" i="11" s="1"/>
  <c r="G27" i="7"/>
  <c r="D28" i="7" s="1"/>
  <c r="BR114" i="11"/>
  <c r="BR232" i="11"/>
  <c r="AS113" i="11"/>
  <c r="AS231" i="11"/>
  <c r="M59" i="11"/>
  <c r="M96" i="11"/>
  <c r="M79" i="11"/>
  <c r="CT108" i="11"/>
  <c r="CT226" i="11"/>
  <c r="AR129" i="11"/>
  <c r="AR256" i="11"/>
  <c r="AW107" i="11"/>
  <c r="AW225" i="11"/>
  <c r="AR110" i="11"/>
  <c r="AR228" i="11"/>
  <c r="AR90" i="11"/>
  <c r="AR241" i="11"/>
  <c r="CN106" i="11"/>
  <c r="CN224" i="11"/>
  <c r="DW128" i="11"/>
  <c r="DW255" i="11"/>
  <c r="J36" i="14"/>
  <c r="K35" i="14"/>
  <c r="AS103" i="11"/>
  <c r="AS221" i="11"/>
  <c r="AR246" i="11"/>
  <c r="AR95" i="11"/>
  <c r="AT223" i="11"/>
  <c r="AT105" i="11"/>
  <c r="AS252" i="11"/>
  <c r="AS125" i="11"/>
  <c r="AQ104" i="11"/>
  <c r="AQ222" i="11"/>
  <c r="L29" i="14"/>
  <c r="AV237" i="11"/>
  <c r="AV86" i="11"/>
  <c r="AV229" i="11"/>
  <c r="AV111" i="11"/>
  <c r="DB89" i="11"/>
  <c r="DB240" i="11"/>
  <c r="BE112" i="11"/>
  <c r="BE230" i="11"/>
  <c r="AS245" i="11"/>
  <c r="AS94" i="11"/>
  <c r="AS100" i="11"/>
  <c r="AS217" i="11"/>
  <c r="AU109" i="11" l="1"/>
  <c r="AU107" i="11"/>
  <c r="AU105" i="11"/>
  <c r="H278" i="1"/>
  <c r="AL19" i="11"/>
  <c r="AL26" i="11"/>
  <c r="I277" i="1"/>
  <c r="D33" i="24"/>
  <c r="AW243" i="11"/>
  <c r="AW92" i="11"/>
  <c r="AS235" i="11"/>
  <c r="AS117" i="11"/>
  <c r="AQ118" i="11"/>
  <c r="AQ236" i="11"/>
  <c r="I37" i="14"/>
  <c r="I38" i="14" s="1"/>
  <c r="BF112" i="11"/>
  <c r="BF230" i="11"/>
  <c r="L33" i="14"/>
  <c r="L35" i="14" s="1"/>
  <c r="L30" i="14"/>
  <c r="AS127" i="11"/>
  <c r="AS254" i="11"/>
  <c r="M29" i="14"/>
  <c r="M97" i="11"/>
  <c r="M98" i="11"/>
  <c r="AB101" i="4"/>
  <c r="N216" i="11"/>
  <c r="N218" i="11" s="1"/>
  <c r="N27" i="11" s="1"/>
  <c r="N39" i="11" s="1"/>
  <c r="DX128" i="11"/>
  <c r="DX255" i="11"/>
  <c r="M82" i="11"/>
  <c r="M83" i="11" s="1"/>
  <c r="M80" i="11"/>
  <c r="M81" i="11" s="1"/>
  <c r="N9" i="11" s="1"/>
  <c r="N29" i="14"/>
  <c r="AR104" i="11"/>
  <c r="AR222" i="11"/>
  <c r="AS256" i="11"/>
  <c r="AS129" i="11"/>
  <c r="AS233" i="11"/>
  <c r="AS115" i="11"/>
  <c r="AW120" i="11"/>
  <c r="AW247" i="11"/>
  <c r="AS253" i="11"/>
  <c r="AS126" i="11"/>
  <c r="AS241" i="11"/>
  <c r="AS90" i="11"/>
  <c r="AW229" i="11"/>
  <c r="AW111" i="11"/>
  <c r="AT252" i="11"/>
  <c r="AT125" i="11"/>
  <c r="CO106" i="11"/>
  <c r="CO224" i="11"/>
  <c r="AS110" i="11"/>
  <c r="AS228" i="11"/>
  <c r="AT113" i="11"/>
  <c r="AT231" i="11"/>
  <c r="AV251" i="11"/>
  <c r="AV124" i="11"/>
  <c r="AS227" i="11"/>
  <c r="AS109" i="11"/>
  <c r="AT100" i="11"/>
  <c r="AT217" i="11"/>
  <c r="CV108" i="11"/>
  <c r="CV226" i="11"/>
  <c r="AV121" i="11"/>
  <c r="AV248" i="11"/>
  <c r="AV223" i="11"/>
  <c r="AV105" i="11"/>
  <c r="AZ116" i="11"/>
  <c r="AZ234" i="11"/>
  <c r="AS95" i="11"/>
  <c r="AS246" i="11"/>
  <c r="DC89" i="11"/>
  <c r="DC240" i="11"/>
  <c r="AT103" i="11"/>
  <c r="AT221" i="11"/>
  <c r="AT245" i="11"/>
  <c r="AT94" i="11"/>
  <c r="AW86" i="11"/>
  <c r="AW237" i="11"/>
  <c r="K36" i="14"/>
  <c r="AX225" i="11"/>
  <c r="AX107" i="11"/>
  <c r="BS114" i="11"/>
  <c r="BS232" i="11"/>
  <c r="CE87" i="11"/>
  <c r="CE238" i="11"/>
  <c r="AS123" i="11"/>
  <c r="AS250" i="11"/>
  <c r="AR119" i="11"/>
  <c r="G28" i="7"/>
  <c r="D29" i="7" s="1"/>
  <c r="F29" i="7" s="1"/>
  <c r="AG224" i="11" s="1"/>
  <c r="AF257" i="11"/>
  <c r="AF28" i="11" s="1"/>
  <c r="AS244" i="11"/>
  <c r="AS93" i="11"/>
  <c r="AT88" i="11"/>
  <c r="AT239" i="11"/>
  <c r="AM19" i="11" l="1"/>
  <c r="AM26" i="11"/>
  <c r="AT235" i="11"/>
  <c r="AT117" i="11"/>
  <c r="AX92" i="11"/>
  <c r="AX243" i="11"/>
  <c r="AR118" i="11"/>
  <c r="AR236" i="11"/>
  <c r="AY225" i="11"/>
  <c r="AY107" i="11"/>
  <c r="AW124" i="11"/>
  <c r="AW251" i="11"/>
  <c r="AV252" i="11"/>
  <c r="AV125" i="11"/>
  <c r="AS104" i="11"/>
  <c r="AS222" i="11"/>
  <c r="CW108" i="11"/>
  <c r="CW226" i="11"/>
  <c r="M33" i="14"/>
  <c r="M35" i="14" s="1"/>
  <c r="N30" i="14"/>
  <c r="M30" i="14"/>
  <c r="BA116" i="11"/>
  <c r="BA234" i="11"/>
  <c r="AT123" i="11"/>
  <c r="AT250" i="11"/>
  <c r="AS119" i="11"/>
  <c r="AW223" i="11"/>
  <c r="AW105" i="11"/>
  <c r="AV231" i="11"/>
  <c r="AV113" i="11"/>
  <c r="N207" i="11"/>
  <c r="AT115" i="11"/>
  <c r="AT233" i="11"/>
  <c r="AC101" i="4"/>
  <c r="BG112" i="11"/>
  <c r="BG230" i="11"/>
  <c r="L36" i="14"/>
  <c r="K37" i="14" s="1"/>
  <c r="K38" i="14" s="1"/>
  <c r="AX247" i="11"/>
  <c r="AX120" i="11"/>
  <c r="AV88" i="11"/>
  <c r="AV239" i="11"/>
  <c r="AT241" i="11"/>
  <c r="AT90" i="11"/>
  <c r="AT127" i="11"/>
  <c r="AT254" i="11"/>
  <c r="G29" i="7"/>
  <c r="D30" i="7" s="1"/>
  <c r="AG257" i="11"/>
  <c r="AG28" i="11" s="1"/>
  <c r="AH28" i="11" s="1"/>
  <c r="AT95" i="11"/>
  <c r="AT246" i="11"/>
  <c r="AV221" i="11"/>
  <c r="AV103" i="11"/>
  <c r="AX229" i="11"/>
  <c r="AX111" i="11"/>
  <c r="P29" i="13"/>
  <c r="H276" i="1" s="1"/>
  <c r="AV217" i="11"/>
  <c r="AV100" i="11"/>
  <c r="AT244" i="11"/>
  <c r="AT93" i="11"/>
  <c r="CF87" i="11"/>
  <c r="CF238" i="11"/>
  <c r="AT110" i="11"/>
  <c r="AT228" i="11"/>
  <c r="AX237" i="11"/>
  <c r="AX86" i="11"/>
  <c r="DD89" i="11"/>
  <c r="DD240" i="11"/>
  <c r="AW248" i="11"/>
  <c r="AW121" i="11"/>
  <c r="AT227" i="11"/>
  <c r="AT109" i="11"/>
  <c r="AT256" i="11"/>
  <c r="AT129" i="11"/>
  <c r="BT114" i="11"/>
  <c r="BT232" i="11"/>
  <c r="AV94" i="11"/>
  <c r="AV245" i="11"/>
  <c r="CP106" i="11"/>
  <c r="CP224" i="11"/>
  <c r="AT253" i="11"/>
  <c r="AT126" i="11"/>
  <c r="DY128" i="11"/>
  <c r="DY255" i="11"/>
  <c r="J37" i="14"/>
  <c r="J38" i="14" s="1"/>
  <c r="AN19" i="11" l="1"/>
  <c r="AN26" i="11"/>
  <c r="N32" i="14"/>
  <c r="N33" i="14" s="1"/>
  <c r="AY243" i="11"/>
  <c r="AY92" i="11"/>
  <c r="AV235" i="11"/>
  <c r="AV117" i="11"/>
  <c r="AS236" i="11"/>
  <c r="AS118" i="11"/>
  <c r="M36" i="14"/>
  <c r="L37" i="14" s="1"/>
  <c r="L38" i="14" s="1"/>
  <c r="N35" i="14"/>
  <c r="N36" i="14" s="1"/>
  <c r="D40" i="14" a="1"/>
  <c r="D40" i="14" s="1"/>
  <c r="D41" i="14"/>
  <c r="AW239" i="11"/>
  <c r="AW88" i="11"/>
  <c r="N75" i="11"/>
  <c r="N79" i="11" s="1"/>
  <c r="N58" i="11"/>
  <c r="AX248" i="11"/>
  <c r="AX121" i="11"/>
  <c r="AW231" i="11"/>
  <c r="AW113" i="11"/>
  <c r="AV253" i="11"/>
  <c r="AV126" i="11"/>
  <c r="AY120" i="11"/>
  <c r="AY247" i="11"/>
  <c r="AW252" i="11"/>
  <c r="AW125" i="11"/>
  <c r="BV114" i="11"/>
  <c r="BV232" i="11"/>
  <c r="AY229" i="11"/>
  <c r="AY111" i="11"/>
  <c r="BB116" i="11"/>
  <c r="BB234" i="11"/>
  <c r="AX223" i="11"/>
  <c r="AX105" i="11"/>
  <c r="AV110" i="11"/>
  <c r="AV228" i="11"/>
  <c r="DZ128" i="11"/>
  <c r="DZ255" i="11"/>
  <c r="BI112" i="11"/>
  <c r="BI230" i="11"/>
  <c r="AT104" i="11"/>
  <c r="P44" i="13" s="1"/>
  <c r="H323" i="1" s="1"/>
  <c r="AT222" i="11"/>
  <c r="CG87" i="11"/>
  <c r="CG238" i="11"/>
  <c r="AV244" i="11"/>
  <c r="AV93" i="11"/>
  <c r="AW103" i="11"/>
  <c r="AW221" i="11"/>
  <c r="AV254" i="11"/>
  <c r="AV127" i="11"/>
  <c r="AX124" i="11"/>
  <c r="AX251" i="11"/>
  <c r="AI257" i="11"/>
  <c r="AI28" i="11" s="1"/>
  <c r="G30" i="7"/>
  <c r="D31" i="7" s="1"/>
  <c r="DE89" i="11"/>
  <c r="DE240" i="11"/>
  <c r="CQ106" i="11"/>
  <c r="CQ224" i="11"/>
  <c r="AV256" i="11"/>
  <c r="AV129" i="11"/>
  <c r="AY237" i="11"/>
  <c r="AY86" i="11"/>
  <c r="AW100" i="11"/>
  <c r="AW217" i="11"/>
  <c r="AV90" i="11"/>
  <c r="AV241" i="11"/>
  <c r="AV115" i="11"/>
  <c r="AV233" i="11"/>
  <c r="AZ107" i="11"/>
  <c r="AZ225" i="11"/>
  <c r="AW245" i="11"/>
  <c r="AW94" i="11"/>
  <c r="AV109" i="11"/>
  <c r="AV227" i="11"/>
  <c r="AV246" i="11"/>
  <c r="AV95" i="11"/>
  <c r="AV250" i="11"/>
  <c r="AV123" i="11"/>
  <c r="AT119" i="11"/>
  <c r="CX108" i="11"/>
  <c r="CX226" i="11"/>
  <c r="AO19" i="11" l="1"/>
  <c r="AO26" i="11"/>
  <c r="P47" i="13"/>
  <c r="H325" i="1" s="1"/>
  <c r="AW235" i="11"/>
  <c r="AW117" i="11"/>
  <c r="AZ92" i="11"/>
  <c r="AZ243" i="11"/>
  <c r="AT236" i="11"/>
  <c r="AT118" i="11"/>
  <c r="P45" i="13" s="1"/>
  <c r="H324" i="1" s="1"/>
  <c r="DF89" i="11"/>
  <c r="DF240" i="11"/>
  <c r="CI87" i="11"/>
  <c r="CI238" i="11"/>
  <c r="CY108" i="11"/>
  <c r="CY226" i="11"/>
  <c r="AW109" i="11"/>
  <c r="AW227" i="11"/>
  <c r="AW233" i="11"/>
  <c r="AW115" i="11"/>
  <c r="AV104" i="11"/>
  <c r="AV222" i="11"/>
  <c r="AW110" i="11"/>
  <c r="AW228" i="11"/>
  <c r="BW114" i="11"/>
  <c r="BW232" i="11"/>
  <c r="AW126" i="11"/>
  <c r="AW253" i="11"/>
  <c r="N59" i="11"/>
  <c r="N96" i="11"/>
  <c r="G31" i="7"/>
  <c r="D32" i="7" s="1"/>
  <c r="F32" i="7" s="1"/>
  <c r="AK224" i="11" s="1"/>
  <c r="AJ257" i="11"/>
  <c r="AJ28" i="11" s="1"/>
  <c r="AX103" i="11"/>
  <c r="AX221" i="11"/>
  <c r="BJ112" i="11"/>
  <c r="BJ230" i="11"/>
  <c r="AX231" i="11"/>
  <c r="AX113" i="11"/>
  <c r="AX239" i="11"/>
  <c r="AX88" i="11"/>
  <c r="AY105" i="11"/>
  <c r="AY223" i="11"/>
  <c r="AW123" i="11"/>
  <c r="AW250" i="11"/>
  <c r="AV119" i="11"/>
  <c r="AX245" i="11"/>
  <c r="AX94" i="11"/>
  <c r="AW241" i="11"/>
  <c r="AW90" i="11"/>
  <c r="CR106" i="11"/>
  <c r="CR224" i="11"/>
  <c r="AW244" i="11"/>
  <c r="AW93" i="11"/>
  <c r="AX252" i="11"/>
  <c r="AX125" i="11"/>
  <c r="AX100" i="11"/>
  <c r="AX217" i="11"/>
  <c r="AY124" i="11"/>
  <c r="AY251" i="11"/>
  <c r="EA128" i="11"/>
  <c r="EA255" i="11"/>
  <c r="BC234" i="11"/>
  <c r="BC116" i="11"/>
  <c r="AW95" i="11"/>
  <c r="AW246" i="11"/>
  <c r="BA107" i="11"/>
  <c r="BA225" i="11"/>
  <c r="AZ237" i="11"/>
  <c r="AZ86" i="11"/>
  <c r="AZ111" i="11"/>
  <c r="AZ229" i="11"/>
  <c r="AY121" i="11"/>
  <c r="AY248" i="11"/>
  <c r="N37" i="14"/>
  <c r="N38" i="14" s="1"/>
  <c r="D42" i="14"/>
  <c r="AW256" i="11"/>
  <c r="AW129" i="11"/>
  <c r="AW127" i="11"/>
  <c r="AW254" i="11"/>
  <c r="AZ120" i="11"/>
  <c r="AZ247" i="11"/>
  <c r="M37" i="14"/>
  <c r="M38" i="14" s="1"/>
  <c r="AP19" i="11" l="1"/>
  <c r="AP26" i="11"/>
  <c r="BA92" i="11"/>
  <c r="BA243" i="11"/>
  <c r="AX235" i="11"/>
  <c r="AX117" i="11"/>
  <c r="AV236" i="11"/>
  <c r="AV118" i="11"/>
  <c r="AX250" i="11"/>
  <c r="AX123" i="11"/>
  <c r="AW119" i="11"/>
  <c r="AX227" i="11"/>
  <c r="AX109" i="11"/>
  <c r="AY217" i="11"/>
  <c r="AY100" i="11"/>
  <c r="BD116" i="11"/>
  <c r="BD234" i="11"/>
  <c r="AY125" i="11"/>
  <c r="AY252" i="11"/>
  <c r="AX241" i="11"/>
  <c r="AX90" i="11"/>
  <c r="N82" i="11"/>
  <c r="N83" i="11" s="1"/>
  <c r="N80" i="11"/>
  <c r="N81" i="11" s="1"/>
  <c r="O9" i="11" s="1"/>
  <c r="AX110" i="11"/>
  <c r="AX228" i="11"/>
  <c r="AX246" i="11"/>
  <c r="AX95" i="11"/>
  <c r="BK112" i="11"/>
  <c r="BK230" i="11"/>
  <c r="AW104" i="11"/>
  <c r="AW222" i="11"/>
  <c r="CZ108" i="11"/>
  <c r="CZ226" i="11"/>
  <c r="AK257" i="11"/>
  <c r="G32" i="7"/>
  <c r="D33" i="7" s="1"/>
  <c r="D43" i="14"/>
  <c r="AX93" i="11"/>
  <c r="AX244" i="11"/>
  <c r="AX253" i="11"/>
  <c r="AX126" i="11"/>
  <c r="CS224" i="11"/>
  <c r="CS106" i="11"/>
  <c r="AY94" i="11"/>
  <c r="AY245" i="11"/>
  <c r="AY103" i="11"/>
  <c r="AY221" i="11"/>
  <c r="CJ87" i="11"/>
  <c r="CJ238" i="11"/>
  <c r="BA120" i="11"/>
  <c r="BA247" i="11"/>
  <c r="BA86" i="11"/>
  <c r="BA237" i="11"/>
  <c r="AZ105" i="11"/>
  <c r="AZ223" i="11"/>
  <c r="AZ248" i="11"/>
  <c r="AZ121" i="11"/>
  <c r="EB128" i="11"/>
  <c r="EB255" i="11"/>
  <c r="AX254" i="11"/>
  <c r="AX127" i="11"/>
  <c r="AY239" i="11"/>
  <c r="AY88" i="11"/>
  <c r="BX114" i="11"/>
  <c r="BX232" i="11"/>
  <c r="AX233" i="11"/>
  <c r="AX115" i="11"/>
  <c r="AY113" i="11"/>
  <c r="AY231" i="11"/>
  <c r="N98" i="11"/>
  <c r="AB102" i="4"/>
  <c r="N97" i="11"/>
  <c r="O216" i="11"/>
  <c r="O218" i="11" s="1"/>
  <c r="O27" i="11" s="1"/>
  <c r="O39" i="11" s="1"/>
  <c r="AX256" i="11"/>
  <c r="AX129" i="11"/>
  <c r="BA111" i="11"/>
  <c r="BA229" i="11"/>
  <c r="BB107" i="11"/>
  <c r="BB225" i="11"/>
  <c r="AZ124" i="11"/>
  <c r="AZ251" i="11"/>
  <c r="DG89" i="11"/>
  <c r="DG240" i="11"/>
  <c r="AQ19" i="11" l="1"/>
  <c r="AQ26" i="11"/>
  <c r="AY117" i="11"/>
  <c r="AY235" i="11"/>
  <c r="BB243" i="11"/>
  <c r="BB92" i="11"/>
  <c r="P52" i="13"/>
  <c r="AW118" i="11"/>
  <c r="AW236" i="11"/>
  <c r="DA108" i="11"/>
  <c r="DA226" i="11"/>
  <c r="AZ245" i="11"/>
  <c r="AZ94" i="11"/>
  <c r="AY110" i="11"/>
  <c r="AY228" i="11"/>
  <c r="AC102" i="4"/>
  <c r="AX104" i="11"/>
  <c r="AX222" i="11"/>
  <c r="AZ252" i="11"/>
  <c r="AZ125" i="11"/>
  <c r="BB120" i="11"/>
  <c r="BB247" i="11"/>
  <c r="CT106" i="11"/>
  <c r="CT224" i="11"/>
  <c r="AY93" i="11"/>
  <c r="AY244" i="11"/>
  <c r="BL112" i="11"/>
  <c r="BL230" i="11"/>
  <c r="BE234" i="11"/>
  <c r="BE116" i="11"/>
  <c r="AY250" i="11"/>
  <c r="AY123" i="11"/>
  <c r="AX119" i="11"/>
  <c r="EC128" i="11"/>
  <c r="EC255" i="11"/>
  <c r="BY114" i="11"/>
  <c r="BY232" i="11"/>
  <c r="AZ88" i="11"/>
  <c r="AZ239" i="11"/>
  <c r="BA105" i="11"/>
  <c r="BA223" i="11"/>
  <c r="AY254" i="11"/>
  <c r="AY127" i="11"/>
  <c r="CK87" i="11"/>
  <c r="CK238" i="11"/>
  <c r="AL257" i="11"/>
  <c r="AL28" i="11" s="1"/>
  <c r="G33" i="7"/>
  <c r="D34" i="7" s="1"/>
  <c r="AZ217" i="11"/>
  <c r="AZ100" i="11"/>
  <c r="BA248" i="11"/>
  <c r="BA121" i="11"/>
  <c r="BC107" i="11"/>
  <c r="BC225" i="11"/>
  <c r="DI89" i="11"/>
  <c r="DI240" i="11"/>
  <c r="AY129" i="11"/>
  <c r="AY256" i="11"/>
  <c r="BB86" i="11"/>
  <c r="BB237" i="11"/>
  <c r="AY95" i="11"/>
  <c r="AY246" i="11"/>
  <c r="O207" i="11"/>
  <c r="BA124" i="11"/>
  <c r="BA251" i="11"/>
  <c r="BB111" i="11"/>
  <c r="BB229" i="11"/>
  <c r="AZ231" i="11"/>
  <c r="AZ113" i="11"/>
  <c r="AY233" i="11"/>
  <c r="AY115" i="11"/>
  <c r="AZ103" i="11"/>
  <c r="AZ221" i="11"/>
  <c r="AY126" i="11"/>
  <c r="AY253" i="11"/>
  <c r="AY90" i="11"/>
  <c r="AY241" i="11"/>
  <c r="AY109" i="11"/>
  <c r="AY227" i="11"/>
  <c r="AR19" i="11" l="1"/>
  <c r="AR26" i="11"/>
  <c r="BC92" i="11"/>
  <c r="BC243" i="11"/>
  <c r="AZ235" i="11"/>
  <c r="AZ117" i="11"/>
  <c r="AX236" i="11"/>
  <c r="AX118" i="11"/>
  <c r="G34" i="7"/>
  <c r="D35" i="7" s="1"/>
  <c r="F35" i="7" s="1"/>
  <c r="AN224" i="11" s="1"/>
  <c r="AM257" i="11"/>
  <c r="AM28" i="11" s="1"/>
  <c r="BA239" i="11"/>
  <c r="BA88" i="11"/>
  <c r="BF234" i="11"/>
  <c r="BF116" i="11"/>
  <c r="CV106" i="11"/>
  <c r="CV224" i="11"/>
  <c r="AY104" i="11"/>
  <c r="AY222" i="11"/>
  <c r="AZ227" i="11"/>
  <c r="AZ109" i="11"/>
  <c r="BB124" i="11"/>
  <c r="BB251" i="11"/>
  <c r="BB121" i="11"/>
  <c r="BB248" i="11"/>
  <c r="BA245" i="11"/>
  <c r="BA94" i="11"/>
  <c r="BC86" i="11"/>
  <c r="BC237" i="11"/>
  <c r="BA103" i="11"/>
  <c r="BA221" i="11"/>
  <c r="BA231" i="11"/>
  <c r="BA113" i="11"/>
  <c r="CL87" i="11"/>
  <c r="CL238" i="11"/>
  <c r="AZ254" i="11"/>
  <c r="AZ127" i="11"/>
  <c r="BM112" i="11"/>
  <c r="BM230" i="11"/>
  <c r="BC111" i="11"/>
  <c r="BC229" i="11"/>
  <c r="BD107" i="11"/>
  <c r="BD225" i="11"/>
  <c r="O58" i="11"/>
  <c r="O75" i="11"/>
  <c r="O79" i="11" s="1"/>
  <c r="ED128" i="11"/>
  <c r="ED255" i="11"/>
  <c r="BA125" i="11"/>
  <c r="BA252" i="11"/>
  <c r="DB108" i="11"/>
  <c r="DB226" i="11"/>
  <c r="AZ228" i="11"/>
  <c r="AZ110" i="11"/>
  <c r="BZ114" i="11"/>
  <c r="BZ232" i="11"/>
  <c r="BC120" i="11"/>
  <c r="BC247" i="11"/>
  <c r="AZ241" i="11"/>
  <c r="AZ90" i="11"/>
  <c r="AZ256" i="11"/>
  <c r="AZ129" i="11"/>
  <c r="AZ253" i="11"/>
  <c r="AZ126" i="11"/>
  <c r="AZ95" i="11"/>
  <c r="AZ246" i="11"/>
  <c r="AZ233" i="11"/>
  <c r="AZ115" i="11"/>
  <c r="BA217" i="11"/>
  <c r="BA100" i="11"/>
  <c r="DJ89" i="11"/>
  <c r="DJ240" i="11"/>
  <c r="BB223" i="11"/>
  <c r="BB105" i="11"/>
  <c r="AZ123" i="11"/>
  <c r="AZ250" i="11"/>
  <c r="AY119" i="11"/>
  <c r="AZ244" i="11"/>
  <c r="AZ93" i="11"/>
  <c r="AS19" i="11" l="1"/>
  <c r="AS26" i="11"/>
  <c r="BA235" i="11"/>
  <c r="BA117" i="11"/>
  <c r="BD243" i="11"/>
  <c r="BD92" i="11"/>
  <c r="AY118" i="11"/>
  <c r="AY236" i="11"/>
  <c r="BC121" i="11"/>
  <c r="BC248" i="11"/>
  <c r="BA127" i="11"/>
  <c r="BA254" i="11"/>
  <c r="BC124" i="11"/>
  <c r="BC251" i="11"/>
  <c r="BG234" i="11"/>
  <c r="BG116" i="11"/>
  <c r="O59" i="11"/>
  <c r="O96" i="11"/>
  <c r="BA123" i="11"/>
  <c r="BA250" i="11"/>
  <c r="AZ119" i="11"/>
  <c r="BA253" i="11"/>
  <c r="BA126" i="11"/>
  <c r="DC108" i="11"/>
  <c r="DC226" i="11"/>
  <c r="BE225" i="11"/>
  <c r="BE107" i="11"/>
  <c r="BD86" i="11"/>
  <c r="BD237" i="11"/>
  <c r="BA227" i="11"/>
  <c r="BA109" i="11"/>
  <c r="BD120" i="11"/>
  <c r="BD247" i="11"/>
  <c r="BB245" i="11"/>
  <c r="BB94" i="11"/>
  <c r="BB88" i="11"/>
  <c r="BB239" i="11"/>
  <c r="BA241" i="11"/>
  <c r="BA90" i="11"/>
  <c r="BB103" i="11"/>
  <c r="BB221" i="11"/>
  <c r="BA95" i="11"/>
  <c r="BA246" i="11"/>
  <c r="BA233" i="11"/>
  <c r="BA115" i="11"/>
  <c r="BA129" i="11"/>
  <c r="BA256" i="11"/>
  <c r="BB252" i="11"/>
  <c r="BB125" i="11"/>
  <c r="BD111" i="11"/>
  <c r="BD229" i="11"/>
  <c r="CM87" i="11"/>
  <c r="CM238" i="11"/>
  <c r="CW106" i="11"/>
  <c r="CW224" i="11"/>
  <c r="BB217" i="11"/>
  <c r="BB100" i="11"/>
  <c r="BB231" i="11"/>
  <c r="BB113" i="11"/>
  <c r="AZ104" i="11"/>
  <c r="AZ222" i="11"/>
  <c r="BA228" i="11"/>
  <c r="BA110" i="11"/>
  <c r="BN112" i="11"/>
  <c r="BN230" i="11"/>
  <c r="BC223" i="11"/>
  <c r="BC105" i="11"/>
  <c r="BA93" i="11"/>
  <c r="BA244" i="11"/>
  <c r="DK89" i="11"/>
  <c r="DK240" i="11"/>
  <c r="CA114" i="11"/>
  <c r="CA232" i="11"/>
  <c r="EE128" i="11"/>
  <c r="EE255" i="11"/>
  <c r="G35" i="7"/>
  <c r="D36" i="7" s="1"/>
  <c r="AN257" i="11"/>
  <c r="AN28" i="11" s="1"/>
  <c r="AT19" i="11" l="1"/>
  <c r="AU19" i="11" s="1"/>
  <c r="AT26" i="11"/>
  <c r="AU26" i="11" s="1"/>
  <c r="BE243" i="11"/>
  <c r="BE92" i="11"/>
  <c r="BB235" i="11"/>
  <c r="BB117" i="11"/>
  <c r="AZ236" i="11"/>
  <c r="AZ118" i="11"/>
  <c r="BB95" i="11"/>
  <c r="BB246" i="11"/>
  <c r="BC245" i="11"/>
  <c r="BC94" i="11"/>
  <c r="BE86" i="11"/>
  <c r="BE237" i="11"/>
  <c r="BD124" i="11"/>
  <c r="BD251" i="11"/>
  <c r="CX106" i="11"/>
  <c r="CX224" i="11"/>
  <c r="BC103" i="11"/>
  <c r="BC221" i="11"/>
  <c r="BF225" i="11"/>
  <c r="BF107" i="11"/>
  <c r="BB250" i="11"/>
  <c r="BB123" i="11"/>
  <c r="BA119" i="11"/>
  <c r="BB254" i="11"/>
  <c r="BB127" i="11"/>
  <c r="BB241" i="11"/>
  <c r="BB90" i="11"/>
  <c r="O98" i="11"/>
  <c r="O97" i="11"/>
  <c r="AB103" i="4"/>
  <c r="P216" i="11"/>
  <c r="P218" i="11" s="1"/>
  <c r="P27" i="11" s="1"/>
  <c r="P39" i="11" s="1"/>
  <c r="BO112" i="11"/>
  <c r="BO230" i="11"/>
  <c r="BC88" i="11"/>
  <c r="BC239" i="11"/>
  <c r="BB228" i="11"/>
  <c r="BB110" i="11"/>
  <c r="O82" i="11"/>
  <c r="O83" i="11" s="1"/>
  <c r="O80" i="11"/>
  <c r="O81" i="11" s="1"/>
  <c r="P9" i="11" s="1"/>
  <c r="BC252" i="11"/>
  <c r="BC125" i="11"/>
  <c r="DL89" i="11"/>
  <c r="DL240" i="11"/>
  <c r="BA104" i="11"/>
  <c r="BA222" i="11"/>
  <c r="BB256" i="11"/>
  <c r="BB129" i="11"/>
  <c r="BD223" i="11"/>
  <c r="BD105" i="11"/>
  <c r="CN87" i="11"/>
  <c r="CN238" i="11"/>
  <c r="BE120" i="11"/>
  <c r="BE247" i="11"/>
  <c r="DD108" i="11"/>
  <c r="DD226" i="11"/>
  <c r="BI116" i="11"/>
  <c r="BI234" i="11"/>
  <c r="BB244" i="11"/>
  <c r="BB93" i="11"/>
  <c r="BC231" i="11"/>
  <c r="BC113" i="11"/>
  <c r="BB233" i="11"/>
  <c r="BB115" i="11"/>
  <c r="CB114" i="11"/>
  <c r="CB232" i="11"/>
  <c r="BB227" i="11"/>
  <c r="BB109" i="11"/>
  <c r="BB126" i="11"/>
  <c r="BB253" i="11"/>
  <c r="BD248" i="11"/>
  <c r="BD121" i="11"/>
  <c r="AO257" i="11"/>
  <c r="AO28" i="11" s="1"/>
  <c r="G36" i="7"/>
  <c r="D37" i="7" s="1"/>
  <c r="EF128" i="11"/>
  <c r="EF255" i="11"/>
  <c r="BC217" i="11"/>
  <c r="BC100" i="11"/>
  <c r="BE229" i="11"/>
  <c r="BE111" i="11"/>
  <c r="AV26" i="11" l="1"/>
  <c r="AY21" i="11"/>
  <c r="AZ21" i="11"/>
  <c r="AX21" i="11"/>
  <c r="AW21" i="11"/>
  <c r="AV21" i="11"/>
  <c r="AV19" i="11" s="1"/>
  <c r="BC235" i="11"/>
  <c r="BC117" i="11"/>
  <c r="BF243" i="11"/>
  <c r="BF92" i="11"/>
  <c r="BA118" i="11"/>
  <c r="BA236" i="11"/>
  <c r="CC114" i="11"/>
  <c r="CC232" i="11"/>
  <c r="BD239" i="11"/>
  <c r="BD88" i="11"/>
  <c r="BC115" i="11"/>
  <c r="BC233" i="11"/>
  <c r="BJ116" i="11"/>
  <c r="BJ234" i="11"/>
  <c r="BE105" i="11"/>
  <c r="BE223" i="11"/>
  <c r="BD252" i="11"/>
  <c r="BD125" i="11"/>
  <c r="BG225" i="11"/>
  <c r="BG107" i="11"/>
  <c r="BE251" i="11"/>
  <c r="BE124" i="11"/>
  <c r="BC126" i="11"/>
  <c r="BC253" i="11"/>
  <c r="BP112" i="11"/>
  <c r="BP230" i="11"/>
  <c r="BC241" i="11"/>
  <c r="BC90" i="11"/>
  <c r="BF237" i="11"/>
  <c r="BF86" i="11"/>
  <c r="DM89" i="11"/>
  <c r="DM240" i="11"/>
  <c r="BC227" i="11"/>
  <c r="BC109" i="11"/>
  <c r="BD231" i="11"/>
  <c r="BD113" i="11"/>
  <c r="DE108" i="11"/>
  <c r="DE226" i="11"/>
  <c r="BC256" i="11"/>
  <c r="BC129" i="11"/>
  <c r="BD94" i="11"/>
  <c r="BD245" i="11"/>
  <c r="CO87" i="11"/>
  <c r="CO238" i="11"/>
  <c r="EG128" i="11"/>
  <c r="EG255" i="11"/>
  <c r="BC127" i="11"/>
  <c r="BC254" i="11"/>
  <c r="BD103" i="11"/>
  <c r="BD221" i="11"/>
  <c r="G37" i="7"/>
  <c r="D38" i="7" s="1"/>
  <c r="F38" i="7" s="1"/>
  <c r="AQ224" i="11" s="1"/>
  <c r="AP257" i="11"/>
  <c r="AP28" i="11" s="1"/>
  <c r="BC244" i="11"/>
  <c r="BC93" i="11"/>
  <c r="BC110" i="11"/>
  <c r="BC228" i="11"/>
  <c r="P207" i="11"/>
  <c r="BF111" i="11"/>
  <c r="BF229" i="11"/>
  <c r="BF120" i="11"/>
  <c r="BF247" i="11"/>
  <c r="AC103" i="4"/>
  <c r="CY106" i="11"/>
  <c r="CY224" i="11"/>
  <c r="BB104" i="11"/>
  <c r="BB222" i="11"/>
  <c r="BD100" i="11"/>
  <c r="BD217" i="11"/>
  <c r="BE121" i="11"/>
  <c r="BE248" i="11"/>
  <c r="BC123" i="11"/>
  <c r="BC250" i="11"/>
  <c r="BB119" i="11"/>
  <c r="BC95" i="11"/>
  <c r="BC246" i="11"/>
  <c r="AW19" i="11" l="1"/>
  <c r="AW26" i="11"/>
  <c r="BH21" i="11"/>
  <c r="AV99" i="11"/>
  <c r="BG243" i="11"/>
  <c r="BG92" i="11"/>
  <c r="BD235" i="11"/>
  <c r="BD117" i="11"/>
  <c r="BB236" i="11"/>
  <c r="BB118" i="11"/>
  <c r="BC104" i="11"/>
  <c r="BC222" i="11"/>
  <c r="BD254" i="11"/>
  <c r="BD127" i="11"/>
  <c r="BE231" i="11"/>
  <c r="BE113" i="11"/>
  <c r="BD90" i="11"/>
  <c r="BD241" i="11"/>
  <c r="BI225" i="11"/>
  <c r="BI107" i="11"/>
  <c r="BD250" i="11"/>
  <c r="BD123" i="11"/>
  <c r="BC119" i="11"/>
  <c r="BD227" i="11"/>
  <c r="BD109" i="11"/>
  <c r="BE252" i="11"/>
  <c r="BE125" i="11"/>
  <c r="BQ112" i="11"/>
  <c r="BQ230" i="11"/>
  <c r="BD233" i="11"/>
  <c r="BD115" i="11"/>
  <c r="CZ106" i="11"/>
  <c r="CZ224" i="11"/>
  <c r="BF248" i="11"/>
  <c r="BF121" i="11"/>
  <c r="BD256" i="11"/>
  <c r="BD129" i="11"/>
  <c r="BE239" i="11"/>
  <c r="BE88" i="11"/>
  <c r="CP87" i="11"/>
  <c r="CP238" i="11"/>
  <c r="DN89" i="11"/>
  <c r="DN240" i="11"/>
  <c r="BD126" i="11"/>
  <c r="BD253" i="11"/>
  <c r="BF223" i="11"/>
  <c r="BF105" i="11"/>
  <c r="BD244" i="11"/>
  <c r="BD93" i="11"/>
  <c r="G38" i="7"/>
  <c r="D39" i="7" s="1"/>
  <c r="AQ257" i="11"/>
  <c r="AQ28" i="11" s="1"/>
  <c r="BE103" i="11"/>
  <c r="BE221" i="11"/>
  <c r="BG237" i="11"/>
  <c r="BG86" i="11"/>
  <c r="BF251" i="11"/>
  <c r="BF124" i="11"/>
  <c r="BG229" i="11"/>
  <c r="BG111" i="11"/>
  <c r="P58" i="11"/>
  <c r="P75" i="11"/>
  <c r="P79" i="11" s="1"/>
  <c r="BE100" i="11"/>
  <c r="BE217" i="11"/>
  <c r="BD95" i="11"/>
  <c r="BD246" i="11"/>
  <c r="BG120" i="11"/>
  <c r="BG247" i="11"/>
  <c r="BD110" i="11"/>
  <c r="BD228" i="11"/>
  <c r="BE245" i="11"/>
  <c r="BE94" i="11"/>
  <c r="DF108" i="11"/>
  <c r="DF226" i="11"/>
  <c r="BK116" i="11"/>
  <c r="BK234" i="11"/>
  <c r="CD114" i="11"/>
  <c r="CD232" i="11"/>
  <c r="AX19" i="11" l="1"/>
  <c r="AX26" i="11"/>
  <c r="AW99" i="11"/>
  <c r="AX99" i="11" s="1"/>
  <c r="AY99" i="11" s="1"/>
  <c r="AZ99" i="11" s="1"/>
  <c r="BA99" i="11" s="1"/>
  <c r="BB99" i="11" s="1"/>
  <c r="BC99" i="11" s="1"/>
  <c r="BD99" i="11" s="1"/>
  <c r="BE99" i="11" s="1"/>
  <c r="BF99" i="11" s="1"/>
  <c r="BG99" i="11" s="1"/>
  <c r="R30" i="13" s="1"/>
  <c r="BE235" i="11"/>
  <c r="BE117" i="11"/>
  <c r="BI92" i="11"/>
  <c r="BI243" i="11"/>
  <c r="BC236" i="11"/>
  <c r="BC118" i="11"/>
  <c r="AR257" i="11"/>
  <c r="AR28" i="11" s="1"/>
  <c r="G39" i="7"/>
  <c r="D40" i="7" s="1"/>
  <c r="DO89" i="11"/>
  <c r="DO240" i="11"/>
  <c r="BG121" i="11"/>
  <c r="BG248" i="11"/>
  <c r="BE241" i="11"/>
  <c r="BE90" i="11"/>
  <c r="DG108" i="11"/>
  <c r="DG226" i="11"/>
  <c r="BE95" i="11"/>
  <c r="BE246" i="11"/>
  <c r="BE244" i="11"/>
  <c r="BE93" i="11"/>
  <c r="BR112" i="11"/>
  <c r="BR230" i="11"/>
  <c r="BF231" i="11"/>
  <c r="BF113" i="11"/>
  <c r="BI237" i="11"/>
  <c r="BI86" i="11"/>
  <c r="CQ87" i="11"/>
  <c r="CQ238" i="11"/>
  <c r="BF245" i="11"/>
  <c r="BF94" i="11"/>
  <c r="DA106" i="11"/>
  <c r="DA224" i="11"/>
  <c r="BE123" i="11"/>
  <c r="BE250" i="11"/>
  <c r="BD119" i="11"/>
  <c r="BE127" i="11"/>
  <c r="BE254" i="11"/>
  <c r="BF217" i="11"/>
  <c r="BF100" i="11"/>
  <c r="BF239" i="11"/>
  <c r="BF88" i="11"/>
  <c r="BE115" i="11"/>
  <c r="BE233" i="11"/>
  <c r="BF252" i="11"/>
  <c r="BF125" i="11"/>
  <c r="CE114" i="11"/>
  <c r="CE232" i="11"/>
  <c r="BL116" i="11"/>
  <c r="BL234" i="11"/>
  <c r="P59" i="11"/>
  <c r="P96" i="11"/>
  <c r="BF103" i="11"/>
  <c r="BF221" i="11"/>
  <c r="BJ225" i="11"/>
  <c r="BJ107" i="11"/>
  <c r="BG124" i="11"/>
  <c r="BG251" i="11"/>
  <c r="BE110" i="11"/>
  <c r="BE228" i="11"/>
  <c r="BG105" i="11"/>
  <c r="BG223" i="11"/>
  <c r="BI120" i="11"/>
  <c r="BI247" i="11"/>
  <c r="BI111" i="11"/>
  <c r="BI229" i="11"/>
  <c r="BE126" i="11"/>
  <c r="BE253" i="11"/>
  <c r="BE256" i="11"/>
  <c r="BE129" i="11"/>
  <c r="BE109" i="11"/>
  <c r="BE227" i="11"/>
  <c r="BD104" i="11"/>
  <c r="BD222" i="11"/>
  <c r="BH105" i="11" l="1"/>
  <c r="BH109" i="11"/>
  <c r="BH107" i="11"/>
  <c r="I278" i="1"/>
  <c r="AY19" i="11"/>
  <c r="AY26" i="11"/>
  <c r="J277" i="1"/>
  <c r="BJ92" i="11"/>
  <c r="BJ243" i="11"/>
  <c r="BF117" i="11"/>
  <c r="BF235" i="11"/>
  <c r="BD118" i="11"/>
  <c r="BD236" i="11"/>
  <c r="BG239" i="11"/>
  <c r="BG88" i="11"/>
  <c r="BF241" i="11"/>
  <c r="BF90" i="11"/>
  <c r="BJ120" i="11"/>
  <c r="BJ247" i="11"/>
  <c r="BF123" i="11"/>
  <c r="BF250" i="11"/>
  <c r="BE119" i="11"/>
  <c r="BJ237" i="11"/>
  <c r="BJ86" i="11"/>
  <c r="BF93" i="11"/>
  <c r="BF244" i="11"/>
  <c r="BF256" i="11"/>
  <c r="BF129" i="11"/>
  <c r="BM234" i="11"/>
  <c r="BM116" i="11"/>
  <c r="CF114" i="11"/>
  <c r="CF232" i="11"/>
  <c r="BG100" i="11"/>
  <c r="BG217" i="11"/>
  <c r="BI248" i="11"/>
  <c r="BI121" i="11"/>
  <c r="BF253" i="11"/>
  <c r="BF126" i="11"/>
  <c r="BG113" i="11"/>
  <c r="BG231" i="11"/>
  <c r="CR87" i="11"/>
  <c r="CR238" i="11"/>
  <c r="BG125" i="11"/>
  <c r="BG252" i="11"/>
  <c r="BF110" i="11"/>
  <c r="BF228" i="11"/>
  <c r="P98" i="11"/>
  <c r="AB104" i="4"/>
  <c r="P97" i="11"/>
  <c r="Q216" i="11"/>
  <c r="Q218" i="11" s="1"/>
  <c r="Q27" i="11" s="1"/>
  <c r="Q39" i="11" s="1"/>
  <c r="DB106" i="11"/>
  <c r="DB224" i="11"/>
  <c r="BF95" i="11"/>
  <c r="BF246" i="11"/>
  <c r="DP89" i="11"/>
  <c r="DP240" i="11"/>
  <c r="BS112" i="11"/>
  <c r="BS230" i="11"/>
  <c r="BE104" i="11"/>
  <c r="BE222" i="11"/>
  <c r="BG221" i="11"/>
  <c r="BG103" i="11"/>
  <c r="BF227" i="11"/>
  <c r="BF109" i="11"/>
  <c r="P82" i="11"/>
  <c r="P83" i="11" s="1"/>
  <c r="P80" i="11"/>
  <c r="P81" i="11" s="1"/>
  <c r="Q9" i="11" s="1"/>
  <c r="BF127" i="11"/>
  <c r="BF254" i="11"/>
  <c r="BG94" i="11"/>
  <c r="BG245" i="11"/>
  <c r="G40" i="7"/>
  <c r="D41" i="7" s="1"/>
  <c r="F41" i="7" s="1"/>
  <c r="AT224" i="11" s="1"/>
  <c r="AS257" i="11"/>
  <c r="AS28" i="11" s="1"/>
  <c r="BK107" i="11"/>
  <c r="BK225" i="11"/>
  <c r="BI105" i="11"/>
  <c r="BI223" i="11"/>
  <c r="BJ111" i="11"/>
  <c r="BJ229" i="11"/>
  <c r="BI124" i="11"/>
  <c r="BI251" i="11"/>
  <c r="BF233" i="11"/>
  <c r="BF115" i="11"/>
  <c r="DI108" i="11"/>
  <c r="DI226" i="11"/>
  <c r="AZ19" i="11" l="1"/>
  <c r="AZ26" i="11"/>
  <c r="BG117" i="11"/>
  <c r="BG235" i="11"/>
  <c r="BK243" i="11"/>
  <c r="BK92" i="11"/>
  <c r="BE118" i="11"/>
  <c r="BE236" i="11"/>
  <c r="DJ108" i="11"/>
  <c r="DJ226" i="11"/>
  <c r="BJ223" i="11"/>
  <c r="BJ105" i="11"/>
  <c r="BI245" i="11"/>
  <c r="BI94" i="11"/>
  <c r="BI231" i="11"/>
  <c r="BI113" i="11"/>
  <c r="R29" i="13"/>
  <c r="I276" i="1" s="1"/>
  <c r="BI100" i="11"/>
  <c r="BI217" i="11"/>
  <c r="BK120" i="11"/>
  <c r="BK247" i="11"/>
  <c r="BG246" i="11"/>
  <c r="BG95" i="11"/>
  <c r="BF104" i="11"/>
  <c r="BF222" i="11"/>
  <c r="BG110" i="11"/>
  <c r="BG228" i="11"/>
  <c r="CG114" i="11"/>
  <c r="CG232" i="11"/>
  <c r="BK237" i="11"/>
  <c r="BK86" i="11"/>
  <c r="BG90" i="11"/>
  <c r="BG241" i="11"/>
  <c r="BG126" i="11"/>
  <c r="BG253" i="11"/>
  <c r="DC224" i="11"/>
  <c r="DC106" i="11"/>
  <c r="BJ248" i="11"/>
  <c r="BJ121" i="11"/>
  <c r="BG115" i="11"/>
  <c r="BG233" i="11"/>
  <c r="BG93" i="11"/>
  <c r="BG244" i="11"/>
  <c r="BL107" i="11"/>
  <c r="BL225" i="11"/>
  <c r="BJ124" i="11"/>
  <c r="BJ251" i="11"/>
  <c r="BN234" i="11"/>
  <c r="BN116" i="11"/>
  <c r="BI88" i="11"/>
  <c r="BI239" i="11"/>
  <c r="G41" i="7"/>
  <c r="D42" i="7" s="1"/>
  <c r="AT257" i="11"/>
  <c r="AT28" i="11" s="1"/>
  <c r="AU28" i="11" s="1"/>
  <c r="BI252" i="11"/>
  <c r="BI125" i="11"/>
  <c r="BT112" i="11"/>
  <c r="BT230" i="11"/>
  <c r="AC104" i="4"/>
  <c r="CS87" i="11"/>
  <c r="CS238" i="11"/>
  <c r="BG129" i="11"/>
  <c r="BG256" i="11"/>
  <c r="BG250" i="11"/>
  <c r="BG123" i="11"/>
  <c r="BF119" i="11"/>
  <c r="BG254" i="11"/>
  <c r="BG127" i="11"/>
  <c r="Q207" i="11"/>
  <c r="BG109" i="11"/>
  <c r="BG227" i="11"/>
  <c r="BK111" i="11"/>
  <c r="BK229" i="11"/>
  <c r="BI103" i="11"/>
  <c r="BI221" i="11"/>
  <c r="DQ89" i="11"/>
  <c r="DQ240" i="11"/>
  <c r="BA19" i="11" l="1"/>
  <c r="BA26" i="11"/>
  <c r="BL92" i="11"/>
  <c r="BL243" i="11"/>
  <c r="BI235" i="11"/>
  <c r="BI117" i="11"/>
  <c r="BF236" i="11"/>
  <c r="BF118" i="11"/>
  <c r="DD106" i="11"/>
  <c r="DD224" i="11"/>
  <c r="CI114" i="11"/>
  <c r="CI232" i="11"/>
  <c r="BL120" i="11"/>
  <c r="BL247" i="11"/>
  <c r="BJ245" i="11"/>
  <c r="BJ94" i="11"/>
  <c r="AV257" i="11"/>
  <c r="AV28" i="11" s="1"/>
  <c r="G42" i="7"/>
  <c r="D43" i="7" s="1"/>
  <c r="BI254" i="11"/>
  <c r="BI127" i="11"/>
  <c r="BJ239" i="11"/>
  <c r="BJ88" i="11"/>
  <c r="BI244" i="11"/>
  <c r="BI93" i="11"/>
  <c r="BI227" i="11"/>
  <c r="BI109" i="11"/>
  <c r="BI256" i="11"/>
  <c r="BI129" i="11"/>
  <c r="BO116" i="11"/>
  <c r="BO234" i="11"/>
  <c r="BI253" i="11"/>
  <c r="BI126" i="11"/>
  <c r="BI110" i="11"/>
  <c r="BI228" i="11"/>
  <c r="BK223" i="11"/>
  <c r="BK105" i="11"/>
  <c r="BI250" i="11"/>
  <c r="BI123" i="11"/>
  <c r="BG119" i="11"/>
  <c r="BV112" i="11"/>
  <c r="BV230" i="11"/>
  <c r="BI233" i="11"/>
  <c r="BI115" i="11"/>
  <c r="BJ100" i="11"/>
  <c r="BJ217" i="11"/>
  <c r="BM107" i="11"/>
  <c r="BM225" i="11"/>
  <c r="BL111" i="11"/>
  <c r="BL229" i="11"/>
  <c r="CT87" i="11"/>
  <c r="CT238" i="11"/>
  <c r="BI241" i="11"/>
  <c r="BI90" i="11"/>
  <c r="BG104" i="11"/>
  <c r="R44" i="13" s="1"/>
  <c r="I323" i="1" s="1"/>
  <c r="BG222" i="11"/>
  <c r="BJ103" i="11"/>
  <c r="BJ221" i="11"/>
  <c r="Q58" i="11"/>
  <c r="Q75" i="11"/>
  <c r="Q79" i="11" s="1"/>
  <c r="BJ125" i="11"/>
  <c r="BJ252" i="11"/>
  <c r="BK248" i="11"/>
  <c r="BK121" i="11"/>
  <c r="DR89" i="11"/>
  <c r="DR240" i="11"/>
  <c r="BK124" i="11"/>
  <c r="BK251" i="11"/>
  <c r="BL86" i="11"/>
  <c r="BL237" i="11"/>
  <c r="BI95" i="11"/>
  <c r="BI246" i="11"/>
  <c r="BJ231" i="11"/>
  <c r="BJ113" i="11"/>
  <c r="DK108" i="11"/>
  <c r="DK226" i="11"/>
  <c r="BB19" i="11" l="1"/>
  <c r="BB26" i="11"/>
  <c r="R47" i="13"/>
  <c r="I325" i="1" s="1"/>
  <c r="BJ235" i="11"/>
  <c r="BJ117" i="11"/>
  <c r="BM92" i="11"/>
  <c r="BM243" i="11"/>
  <c r="BG118" i="11"/>
  <c r="R45" i="13" s="1"/>
  <c r="I324" i="1" s="1"/>
  <c r="BG236" i="11"/>
  <c r="BK252" i="11"/>
  <c r="BK125" i="11"/>
  <c r="BJ227" i="11"/>
  <c r="BJ109" i="11"/>
  <c r="BI104" i="11"/>
  <c r="BI222" i="11"/>
  <c r="BJ110" i="11"/>
  <c r="BJ228" i="11"/>
  <c r="BM111" i="11"/>
  <c r="BM229" i="11"/>
  <c r="BJ254" i="11"/>
  <c r="BJ127" i="11"/>
  <c r="BW112" i="11"/>
  <c r="BW230" i="11"/>
  <c r="G43" i="7"/>
  <c r="D44" i="7" s="1"/>
  <c r="F44" i="7" s="1"/>
  <c r="AX224" i="11" s="1"/>
  <c r="AW257" i="11"/>
  <c r="AW28" i="11" s="1"/>
  <c r="CJ114" i="11"/>
  <c r="CJ232" i="11"/>
  <c r="BN107" i="11"/>
  <c r="BN225" i="11"/>
  <c r="DL108" i="11"/>
  <c r="DL226" i="11"/>
  <c r="BJ253" i="11"/>
  <c r="BJ126" i="11"/>
  <c r="BJ93" i="11"/>
  <c r="BJ244" i="11"/>
  <c r="BK245" i="11"/>
  <c r="BK94" i="11"/>
  <c r="BK231" i="11"/>
  <c r="BK113" i="11"/>
  <c r="BK100" i="11"/>
  <c r="BK217" i="11"/>
  <c r="Q59" i="11"/>
  <c r="Q96" i="11"/>
  <c r="BJ250" i="11"/>
  <c r="BJ123" i="11"/>
  <c r="BI119" i="11"/>
  <c r="BL121" i="11"/>
  <c r="BL248" i="11"/>
  <c r="CV87" i="11"/>
  <c r="CV238" i="11"/>
  <c r="BP234" i="11"/>
  <c r="BP116" i="11"/>
  <c r="BK239" i="11"/>
  <c r="BK88" i="11"/>
  <c r="DE106" i="11"/>
  <c r="DE224" i="11"/>
  <c r="BM86" i="11"/>
  <c r="BM237" i="11"/>
  <c r="BL124" i="11"/>
  <c r="BL251" i="11"/>
  <c r="BJ241" i="11"/>
  <c r="BJ90" i="11"/>
  <c r="DS89" i="11"/>
  <c r="DS240" i="11"/>
  <c r="BJ233" i="11"/>
  <c r="BJ115" i="11"/>
  <c r="BJ95" i="11"/>
  <c r="BJ246" i="11"/>
  <c r="BK103" i="11"/>
  <c r="BK221" i="11"/>
  <c r="BL223" i="11"/>
  <c r="BL105" i="11"/>
  <c r="BJ129" i="11"/>
  <c r="BJ256" i="11"/>
  <c r="BM247" i="11"/>
  <c r="BM120" i="11"/>
  <c r="BC19" i="11" l="1"/>
  <c r="BC26" i="11"/>
  <c r="BN243" i="11"/>
  <c r="BN92" i="11"/>
  <c r="BK235" i="11"/>
  <c r="BK117" i="11"/>
  <c r="BI236" i="11"/>
  <c r="BI257" i="11" s="1"/>
  <c r="BI28" i="11" s="1"/>
  <c r="BI118" i="11"/>
  <c r="DT89" i="11"/>
  <c r="DT240" i="11"/>
  <c r="Q98" i="11"/>
  <c r="Q97" i="11"/>
  <c r="AB105" i="4"/>
  <c r="R216" i="11"/>
  <c r="R218" i="11" s="1"/>
  <c r="R27" i="11" s="1"/>
  <c r="R39" i="11" s="1"/>
  <c r="BL103" i="11"/>
  <c r="BL221" i="11"/>
  <c r="Q82" i="11"/>
  <c r="Q83" i="11" s="1"/>
  <c r="Q80" i="11"/>
  <c r="Q81" i="11" s="1"/>
  <c r="R9" i="11" s="1"/>
  <c r="BK244" i="11"/>
  <c r="BK93" i="11"/>
  <c r="BX112" i="11"/>
  <c r="BX230" i="11"/>
  <c r="BN86" i="11"/>
  <c r="BN237" i="11"/>
  <c r="CW87" i="11"/>
  <c r="CW238" i="11"/>
  <c r="BK253" i="11"/>
  <c r="BK126" i="11"/>
  <c r="BK127" i="11"/>
  <c r="BK254" i="11"/>
  <c r="BJ104" i="11"/>
  <c r="BJ222" i="11"/>
  <c r="BK241" i="11"/>
  <c r="BK90" i="11"/>
  <c r="BN247" i="11"/>
  <c r="BN120" i="11"/>
  <c r="BK95" i="11"/>
  <c r="BK246" i="11"/>
  <c r="BL217" i="11"/>
  <c r="BL100" i="11"/>
  <c r="BK227" i="11"/>
  <c r="BK109" i="11"/>
  <c r="BL231" i="11"/>
  <c r="BL113" i="11"/>
  <c r="BK233" i="11"/>
  <c r="BK115" i="11"/>
  <c r="BM121" i="11"/>
  <c r="BM248" i="11"/>
  <c r="BK256" i="11"/>
  <c r="BK129" i="11"/>
  <c r="BL88" i="11"/>
  <c r="BL239" i="11"/>
  <c r="DM108" i="11"/>
  <c r="DM226" i="11"/>
  <c r="CK114" i="11"/>
  <c r="CK232" i="11"/>
  <c r="BN111" i="11"/>
  <c r="BN229" i="11"/>
  <c r="BL252" i="11"/>
  <c r="BL125" i="11"/>
  <c r="R52" i="13"/>
  <c r="DF224" i="11"/>
  <c r="DF106" i="11"/>
  <c r="BK250" i="11"/>
  <c r="BK123" i="11"/>
  <c r="BJ119" i="11"/>
  <c r="BL94" i="11"/>
  <c r="BL245" i="11"/>
  <c r="BM124" i="11"/>
  <c r="BM251" i="11"/>
  <c r="BM223" i="11"/>
  <c r="BM105" i="11"/>
  <c r="BQ116" i="11"/>
  <c r="BQ234" i="11"/>
  <c r="BO107" i="11"/>
  <c r="BO225" i="11"/>
  <c r="AX257" i="11"/>
  <c r="AX28" i="11" s="1"/>
  <c r="G44" i="7"/>
  <c r="D45" i="7" s="1"/>
  <c r="BK110" i="11"/>
  <c r="BK228" i="11"/>
  <c r="BD19" i="11" l="1"/>
  <c r="BD26" i="11"/>
  <c r="BL235" i="11"/>
  <c r="BL117" i="11"/>
  <c r="BO243" i="11"/>
  <c r="BO92" i="11"/>
  <c r="BJ236" i="11"/>
  <c r="BJ257" i="11" s="1"/>
  <c r="BJ28" i="11" s="1"/>
  <c r="BJ118" i="11"/>
  <c r="BM103" i="11"/>
  <c r="BM221" i="11"/>
  <c r="CL114" i="11"/>
  <c r="CL232" i="11"/>
  <c r="BL241" i="11"/>
  <c r="BL90" i="11"/>
  <c r="R207" i="11"/>
  <c r="DG224" i="11"/>
  <c r="DG106" i="11"/>
  <c r="BP225" i="11"/>
  <c r="BP107" i="11"/>
  <c r="BM100" i="11"/>
  <c r="BM217" i="11"/>
  <c r="AC105" i="4"/>
  <c r="DN108" i="11"/>
  <c r="DN226" i="11"/>
  <c r="BN248" i="11"/>
  <c r="BN121" i="11"/>
  <c r="CX87" i="11"/>
  <c r="CX238" i="11"/>
  <c r="BL244" i="11"/>
  <c r="BL93" i="11"/>
  <c r="BY112" i="11"/>
  <c r="BY230" i="11"/>
  <c r="BM94" i="11"/>
  <c r="BM245" i="11"/>
  <c r="BL253" i="11"/>
  <c r="BL126" i="11"/>
  <c r="BR116" i="11"/>
  <c r="BR234" i="11"/>
  <c r="BL95" i="11"/>
  <c r="BL246" i="11"/>
  <c r="BK104" i="11"/>
  <c r="BK222" i="11"/>
  <c r="BO86" i="11"/>
  <c r="BO237" i="11"/>
  <c r="BL256" i="11"/>
  <c r="BL129" i="11"/>
  <c r="BL227" i="11"/>
  <c r="BL109" i="11"/>
  <c r="BM252" i="11"/>
  <c r="BM125" i="11"/>
  <c r="BM239" i="11"/>
  <c r="BM88" i="11"/>
  <c r="BL110" i="11"/>
  <c r="BL228" i="11"/>
  <c r="BL123" i="11"/>
  <c r="BL250" i="11"/>
  <c r="BK119" i="11"/>
  <c r="BM231" i="11"/>
  <c r="BM113" i="11"/>
  <c r="BN251" i="11"/>
  <c r="BN124" i="11"/>
  <c r="BL115" i="11"/>
  <c r="BL233" i="11"/>
  <c r="AY257" i="11"/>
  <c r="AY28" i="11" s="1"/>
  <c r="G45" i="7"/>
  <c r="D46" i="7" s="1"/>
  <c r="BN223" i="11"/>
  <c r="BN105" i="11"/>
  <c r="BO111" i="11"/>
  <c r="BO229" i="11"/>
  <c r="BO247" i="11"/>
  <c r="BO120" i="11"/>
  <c r="BL127" i="11"/>
  <c r="BL254" i="11"/>
  <c r="DV89" i="11"/>
  <c r="DV240" i="11"/>
  <c r="BE19" i="11" l="1"/>
  <c r="BE26" i="11"/>
  <c r="BP243" i="11"/>
  <c r="BP92" i="11"/>
  <c r="BM235" i="11"/>
  <c r="BM117" i="11"/>
  <c r="BK236" i="11"/>
  <c r="BK118" i="11"/>
  <c r="BK257" i="11"/>
  <c r="BK28" i="11" s="1"/>
  <c r="BN245" i="11"/>
  <c r="BN94" i="11"/>
  <c r="BO223" i="11"/>
  <c r="BO105" i="11"/>
  <c r="BM123" i="11"/>
  <c r="BM250" i="11"/>
  <c r="BL119" i="11"/>
  <c r="BO121" i="11"/>
  <c r="BO248" i="11"/>
  <c r="BQ225" i="11"/>
  <c r="BQ107" i="11"/>
  <c r="BM90" i="11"/>
  <c r="BM241" i="11"/>
  <c r="BN231" i="11"/>
  <c r="BN113" i="11"/>
  <c r="BM110" i="11"/>
  <c r="BM228" i="11"/>
  <c r="DI106" i="11"/>
  <c r="DI224" i="11"/>
  <c r="BN88" i="11"/>
  <c r="BN239" i="11"/>
  <c r="BZ112" i="11"/>
  <c r="BZ230" i="11"/>
  <c r="DO108" i="11"/>
  <c r="DO226" i="11"/>
  <c r="CM114" i="11"/>
  <c r="CM232" i="11"/>
  <c r="BM95" i="11"/>
  <c r="BM246" i="11"/>
  <c r="G46" i="7"/>
  <c r="D47" i="7" s="1"/>
  <c r="F47" i="7" s="1"/>
  <c r="BA224" i="11" s="1"/>
  <c r="AZ257" i="11"/>
  <c r="AZ28" i="11" s="1"/>
  <c r="BP247" i="11"/>
  <c r="BP120" i="11"/>
  <c r="BN252" i="11"/>
  <c r="BN125" i="11"/>
  <c r="R58" i="11"/>
  <c r="R75" i="11"/>
  <c r="R79" i="11" s="1"/>
  <c r="BN103" i="11"/>
  <c r="BN221" i="11"/>
  <c r="BM244" i="11"/>
  <c r="BM93" i="11"/>
  <c r="BS116" i="11"/>
  <c r="BS234" i="11"/>
  <c r="BM253" i="11"/>
  <c r="BM126" i="11"/>
  <c r="BM256" i="11"/>
  <c r="BM129" i="11"/>
  <c r="BM127" i="11"/>
  <c r="BM254" i="11"/>
  <c r="BM115" i="11"/>
  <c r="BM233" i="11"/>
  <c r="BP86" i="11"/>
  <c r="BP237" i="11"/>
  <c r="BO251" i="11"/>
  <c r="BO124" i="11"/>
  <c r="DW89" i="11"/>
  <c r="DW240" i="11"/>
  <c r="BP229" i="11"/>
  <c r="BP111" i="11"/>
  <c r="BM227" i="11"/>
  <c r="BM109" i="11"/>
  <c r="BL104" i="11"/>
  <c r="BL222" i="11"/>
  <c r="CY87" i="11"/>
  <c r="CY238" i="11"/>
  <c r="BN100" i="11"/>
  <c r="BN217" i="11"/>
  <c r="BF19" i="11" l="1"/>
  <c r="BF26" i="11"/>
  <c r="BN235" i="11"/>
  <c r="BN117" i="11"/>
  <c r="BQ92" i="11"/>
  <c r="BQ243" i="11"/>
  <c r="BL236" i="11"/>
  <c r="BL257" i="11" s="1"/>
  <c r="BL28" i="11" s="1"/>
  <c r="BL118" i="11"/>
  <c r="BN227" i="11"/>
  <c r="BN109" i="11"/>
  <c r="BN244" i="11"/>
  <c r="BN93" i="11"/>
  <c r="BN123" i="11"/>
  <c r="BN250" i="11"/>
  <c r="BM119" i="11"/>
  <c r="BQ237" i="11"/>
  <c r="BQ86" i="11"/>
  <c r="BQ120" i="11"/>
  <c r="BQ247" i="11"/>
  <c r="CN114" i="11"/>
  <c r="CN232" i="11"/>
  <c r="BO239" i="11"/>
  <c r="BO88" i="11"/>
  <c r="BN241" i="11"/>
  <c r="BN90" i="11"/>
  <c r="BP105" i="11"/>
  <c r="BP223" i="11"/>
  <c r="BN126" i="11"/>
  <c r="BN253" i="11"/>
  <c r="BR107" i="11"/>
  <c r="BR225" i="11"/>
  <c r="BN233" i="11"/>
  <c r="BN115" i="11"/>
  <c r="BO103" i="11"/>
  <c r="BO221" i="11"/>
  <c r="DP108" i="11"/>
  <c r="DP226" i="11"/>
  <c r="DJ106" i="11"/>
  <c r="DJ224" i="11"/>
  <c r="BO245" i="11"/>
  <c r="BO94" i="11"/>
  <c r="BO100" i="11"/>
  <c r="BO217" i="11"/>
  <c r="G47" i="7"/>
  <c r="D48" i="7" s="1"/>
  <c r="BA257" i="11"/>
  <c r="BA28" i="11" s="1"/>
  <c r="CZ87" i="11"/>
  <c r="CZ238" i="11"/>
  <c r="DX89" i="11"/>
  <c r="DX240" i="11"/>
  <c r="BN127" i="11"/>
  <c r="BN254" i="11"/>
  <c r="BT116" i="11"/>
  <c r="BT234" i="11"/>
  <c r="R59" i="11"/>
  <c r="R96" i="11"/>
  <c r="CA112" i="11"/>
  <c r="CA230" i="11"/>
  <c r="BN110" i="11"/>
  <c r="BN228" i="11"/>
  <c r="BP121" i="11"/>
  <c r="BP248" i="11"/>
  <c r="BM104" i="11"/>
  <c r="BM222" i="11"/>
  <c r="BQ111" i="11"/>
  <c r="BQ229" i="11"/>
  <c r="BP251" i="11"/>
  <c r="BP124" i="11"/>
  <c r="BN256" i="11"/>
  <c r="BN129" i="11"/>
  <c r="BO252" i="11"/>
  <c r="BO125" i="11"/>
  <c r="BN95" i="11"/>
  <c r="BN246" i="11"/>
  <c r="BO231" i="11"/>
  <c r="BO113" i="11"/>
  <c r="BG19" i="11" l="1"/>
  <c r="BH19" i="11" s="1"/>
  <c r="BG26" i="11"/>
  <c r="BH26" i="11" s="1"/>
  <c r="BR92" i="11"/>
  <c r="BR243" i="11"/>
  <c r="BO235" i="11"/>
  <c r="BO117" i="11"/>
  <c r="BM236" i="11"/>
  <c r="BM257" i="11" s="1"/>
  <c r="BM28" i="11" s="1"/>
  <c r="BM118" i="11"/>
  <c r="BQ223" i="11"/>
  <c r="BQ105" i="11"/>
  <c r="BO228" i="11"/>
  <c r="BO110" i="11"/>
  <c r="BO254" i="11"/>
  <c r="BO127" i="11"/>
  <c r="BP217" i="11"/>
  <c r="BP100" i="11"/>
  <c r="BP103" i="11"/>
  <c r="BP221" i="11"/>
  <c r="BO246" i="11"/>
  <c r="BO95" i="11"/>
  <c r="DY89" i="11"/>
  <c r="DY240" i="11"/>
  <c r="BO241" i="11"/>
  <c r="BO90" i="11"/>
  <c r="BO93" i="11"/>
  <c r="BO244" i="11"/>
  <c r="BO115" i="11"/>
  <c r="BO233" i="11"/>
  <c r="CB112" i="11"/>
  <c r="CB230" i="11"/>
  <c r="R97" i="11"/>
  <c r="R98" i="11"/>
  <c r="AB106" i="4"/>
  <c r="S216" i="11"/>
  <c r="S218" i="11" s="1"/>
  <c r="S27" i="11" s="1"/>
  <c r="S39" i="11" s="1"/>
  <c r="BR237" i="11"/>
  <c r="BR86" i="11"/>
  <c r="BP94" i="11"/>
  <c r="BP245" i="11"/>
  <c r="BR111" i="11"/>
  <c r="BR229" i="11"/>
  <c r="DA87" i="11"/>
  <c r="DA238" i="11"/>
  <c r="BP239" i="11"/>
  <c r="BP88" i="11"/>
  <c r="BR120" i="11"/>
  <c r="BR247" i="11"/>
  <c r="BO250" i="11"/>
  <c r="BO123" i="11"/>
  <c r="BN119" i="11"/>
  <c r="BP125" i="11"/>
  <c r="BP252" i="11"/>
  <c r="R82" i="11"/>
  <c r="R83" i="11" s="1"/>
  <c r="R80" i="11"/>
  <c r="R81" i="11" s="1"/>
  <c r="S9" i="11" s="1"/>
  <c r="BS107" i="11"/>
  <c r="BS225" i="11"/>
  <c r="BB257" i="11"/>
  <c r="BB28" i="11" s="1"/>
  <c r="G48" i="7"/>
  <c r="D49" i="7" s="1"/>
  <c r="DQ108" i="11"/>
  <c r="DQ226" i="11"/>
  <c r="BO227" i="11"/>
  <c r="BO109" i="11"/>
  <c r="BN104" i="11"/>
  <c r="BN222" i="11"/>
  <c r="DK106" i="11"/>
  <c r="DK224" i="11"/>
  <c r="BP113" i="11"/>
  <c r="BP231" i="11"/>
  <c r="BO129" i="11"/>
  <c r="BO256" i="11"/>
  <c r="BQ248" i="11"/>
  <c r="BQ121" i="11"/>
  <c r="BV116" i="11"/>
  <c r="BV234" i="11"/>
  <c r="BQ251" i="11"/>
  <c r="BQ124" i="11"/>
  <c r="BO253" i="11"/>
  <c r="BO126" i="11"/>
  <c r="CO114" i="11"/>
  <c r="CO232" i="11"/>
  <c r="BI26" i="11" l="1"/>
  <c r="BL21" i="11"/>
  <c r="BM21" i="11"/>
  <c r="BK21" i="11"/>
  <c r="BJ21" i="11"/>
  <c r="BI21" i="11"/>
  <c r="BI19" i="11" s="1"/>
  <c r="BP117" i="11"/>
  <c r="BP235" i="11"/>
  <c r="BS243" i="11"/>
  <c r="BS92" i="11"/>
  <c r="BN236" i="11"/>
  <c r="BN118" i="11"/>
  <c r="BN257" i="11"/>
  <c r="BN28" i="11" s="1"/>
  <c r="BQ245" i="11"/>
  <c r="BQ94" i="11"/>
  <c r="BP254" i="11"/>
  <c r="BP127" i="11"/>
  <c r="DZ89" i="11"/>
  <c r="DZ240" i="11"/>
  <c r="BT107" i="11"/>
  <c r="BT225" i="11"/>
  <c r="BP95" i="11"/>
  <c r="BP246" i="11"/>
  <c r="BP228" i="11"/>
  <c r="BP110" i="11"/>
  <c r="DL106" i="11"/>
  <c r="DL224" i="11"/>
  <c r="CP114" i="11"/>
  <c r="CP232" i="11"/>
  <c r="BQ88" i="11"/>
  <c r="BQ239" i="11"/>
  <c r="BP109" i="11"/>
  <c r="BP227" i="11"/>
  <c r="S207" i="11"/>
  <c r="BP233" i="11"/>
  <c r="BP115" i="11"/>
  <c r="BP250" i="11"/>
  <c r="BP123" i="11"/>
  <c r="BO119" i="11"/>
  <c r="CC112" i="11"/>
  <c r="CC230" i="11"/>
  <c r="BO104" i="11"/>
  <c r="BO222" i="11"/>
  <c r="BP129" i="11"/>
  <c r="BP256" i="11"/>
  <c r="DB87" i="11"/>
  <c r="DB238" i="11"/>
  <c r="BS237" i="11"/>
  <c r="BS86" i="11"/>
  <c r="BP126" i="11"/>
  <c r="BP253" i="11"/>
  <c r="BR124" i="11"/>
  <c r="BR251" i="11"/>
  <c r="BP93" i="11"/>
  <c r="BP244" i="11"/>
  <c r="BQ103" i="11"/>
  <c r="BQ221" i="11"/>
  <c r="AC106" i="4"/>
  <c r="BQ231" i="11"/>
  <c r="BQ113" i="11"/>
  <c r="DR108" i="11"/>
  <c r="DR226" i="11"/>
  <c r="BQ252" i="11"/>
  <c r="BQ125" i="11"/>
  <c r="BS111" i="11"/>
  <c r="BS229" i="11"/>
  <c r="BP90" i="11"/>
  <c r="BP241" i="11"/>
  <c r="BQ100" i="11"/>
  <c r="BQ217" i="11"/>
  <c r="BR105" i="11"/>
  <c r="BR223" i="11"/>
  <c r="BW116" i="11"/>
  <c r="BW234" i="11"/>
  <c r="BR248" i="11"/>
  <c r="BR121" i="11"/>
  <c r="G49" i="7"/>
  <c r="D50" i="7" s="1"/>
  <c r="F50" i="7" s="1"/>
  <c r="BD224" i="11" s="1"/>
  <c r="BC257" i="11"/>
  <c r="BC28" i="11" s="1"/>
  <c r="BS120" i="11"/>
  <c r="BS247" i="11"/>
  <c r="BJ19" i="11" l="1"/>
  <c r="BJ26" i="11"/>
  <c r="BU21" i="11"/>
  <c r="BI99" i="11"/>
  <c r="BT92" i="11"/>
  <c r="BT243" i="11"/>
  <c r="BQ235" i="11"/>
  <c r="BQ117" i="11"/>
  <c r="BO118" i="11"/>
  <c r="BO236" i="11"/>
  <c r="BO257" i="11" s="1"/>
  <c r="BO28" i="11" s="1"/>
  <c r="BQ241" i="11"/>
  <c r="BQ90" i="11"/>
  <c r="BP104" i="11"/>
  <c r="BP222" i="11"/>
  <c r="BX234" i="11"/>
  <c r="BX116" i="11"/>
  <c r="CD112" i="11"/>
  <c r="CD230" i="11"/>
  <c r="BQ110" i="11"/>
  <c r="BQ228" i="11"/>
  <c r="BV225" i="11"/>
  <c r="BV107" i="11"/>
  <c r="BT111" i="11"/>
  <c r="BT229" i="11"/>
  <c r="BR125" i="11"/>
  <c r="BR252" i="11"/>
  <c r="BQ109" i="11"/>
  <c r="BQ227" i="11"/>
  <c r="EA89" i="11"/>
  <c r="EA240" i="11"/>
  <c r="S75" i="11"/>
  <c r="S79" i="11" s="1"/>
  <c r="S58" i="11"/>
  <c r="BT120" i="11"/>
  <c r="BT247" i="11"/>
  <c r="BS124" i="11"/>
  <c r="BS251" i="11"/>
  <c r="DC87" i="11"/>
  <c r="DC238" i="11"/>
  <c r="BQ127" i="11"/>
  <c r="BQ254" i="11"/>
  <c r="BS223" i="11"/>
  <c r="BS105" i="11"/>
  <c r="BR103" i="11"/>
  <c r="BR221" i="11"/>
  <c r="BQ123" i="11"/>
  <c r="BQ250" i="11"/>
  <c r="BP119" i="11"/>
  <c r="BQ253" i="11"/>
  <c r="BQ126" i="11"/>
  <c r="BR239" i="11"/>
  <c r="BR88" i="11"/>
  <c r="BQ95" i="11"/>
  <c r="BQ246" i="11"/>
  <c r="DS108" i="11"/>
  <c r="DS226" i="11"/>
  <c r="BQ244" i="11"/>
  <c r="BQ93" i="11"/>
  <c r="BT86" i="11"/>
  <c r="BT237" i="11"/>
  <c r="BQ256" i="11"/>
  <c r="BQ129" i="11"/>
  <c r="BQ233" i="11"/>
  <c r="BQ115" i="11"/>
  <c r="BR245" i="11"/>
  <c r="BR94" i="11"/>
  <c r="DM106" i="11"/>
  <c r="DM224" i="11"/>
  <c r="G50" i="7"/>
  <c r="D51" i="7" s="1"/>
  <c r="BD257" i="11"/>
  <c r="BD28" i="11" s="1"/>
  <c r="BR217" i="11"/>
  <c r="BR100" i="11"/>
  <c r="BS248" i="11"/>
  <c r="BS121" i="11"/>
  <c r="BR231" i="11"/>
  <c r="BR113" i="11"/>
  <c r="CQ114" i="11"/>
  <c r="CQ232" i="11"/>
  <c r="BK19" i="11" l="1"/>
  <c r="BK26" i="11"/>
  <c r="BJ99" i="11"/>
  <c r="BK99" i="11" s="1"/>
  <c r="BL99" i="11" s="1"/>
  <c r="BM99" i="11" s="1"/>
  <c r="BN99" i="11" s="1"/>
  <c r="BO99" i="11" s="1"/>
  <c r="BP99" i="11" s="1"/>
  <c r="BQ99" i="11" s="1"/>
  <c r="BR99" i="11" s="1"/>
  <c r="BS99" i="11" s="1"/>
  <c r="BT99" i="11" s="1"/>
  <c r="T30" i="13" s="1"/>
  <c r="BR235" i="11"/>
  <c r="BR117" i="11"/>
  <c r="BV243" i="11"/>
  <c r="BV92" i="11"/>
  <c r="BP236" i="11"/>
  <c r="BP257" i="11" s="1"/>
  <c r="BP28" i="11" s="1"/>
  <c r="BP118" i="11"/>
  <c r="BR115" i="11"/>
  <c r="BR233" i="11"/>
  <c r="BS231" i="11"/>
  <c r="BS113" i="11"/>
  <c r="DT108" i="11"/>
  <c r="DT226" i="11"/>
  <c r="BV229" i="11"/>
  <c r="BV111" i="11"/>
  <c r="S59" i="11"/>
  <c r="S96" i="11"/>
  <c r="BR250" i="11"/>
  <c r="BR123" i="11"/>
  <c r="BQ119" i="11"/>
  <c r="DD87" i="11"/>
  <c r="DD238" i="11"/>
  <c r="BW225" i="11"/>
  <c r="BW107" i="11"/>
  <c r="BT248" i="11"/>
  <c r="BT121" i="11"/>
  <c r="BR246" i="11"/>
  <c r="BR95" i="11"/>
  <c r="EB89" i="11"/>
  <c r="EB240" i="11"/>
  <c r="BQ104" i="11"/>
  <c r="BQ222" i="11"/>
  <c r="BY234" i="11"/>
  <c r="BY116" i="11"/>
  <c r="BT124" i="11"/>
  <c r="BT251" i="11"/>
  <c r="BT223" i="11"/>
  <c r="BT105" i="11"/>
  <c r="BR109" i="11"/>
  <c r="BR227" i="11"/>
  <c r="BR110" i="11"/>
  <c r="BR228" i="11"/>
  <c r="BE257" i="11"/>
  <c r="BE28" i="11" s="1"/>
  <c r="G51" i="7"/>
  <c r="D52" i="7" s="1"/>
  <c r="BR127" i="11"/>
  <c r="BR254" i="11"/>
  <c r="BR129" i="11"/>
  <c r="BR256" i="11"/>
  <c r="DN106" i="11"/>
  <c r="DN224" i="11"/>
  <c r="BS245" i="11"/>
  <c r="BS94" i="11"/>
  <c r="BS239" i="11"/>
  <c r="BS88" i="11"/>
  <c r="BS103" i="11"/>
  <c r="BS221" i="11"/>
  <c r="BS217" i="11"/>
  <c r="BS100" i="11"/>
  <c r="BV237" i="11"/>
  <c r="BV86" i="11"/>
  <c r="CR114" i="11"/>
  <c r="CR232" i="11"/>
  <c r="BR93" i="11"/>
  <c r="BR244" i="11"/>
  <c r="BR253" i="11"/>
  <c r="BR126" i="11"/>
  <c r="BV120" i="11"/>
  <c r="BV247" i="11"/>
  <c r="BR241" i="11"/>
  <c r="BR90" i="11"/>
  <c r="BS252" i="11"/>
  <c r="BS125" i="11"/>
  <c r="CE112" i="11"/>
  <c r="CE230" i="11"/>
  <c r="BU105" i="11" l="1"/>
  <c r="BU107" i="11"/>
  <c r="K278" i="1"/>
  <c r="J278" i="1"/>
  <c r="BU109" i="11"/>
  <c r="BL19" i="11"/>
  <c r="BL26" i="11"/>
  <c r="BW243" i="11"/>
  <c r="BW92" i="11"/>
  <c r="BS235" i="11"/>
  <c r="BS117" i="11"/>
  <c r="BQ236" i="11"/>
  <c r="BQ118" i="11"/>
  <c r="BQ257" i="11"/>
  <c r="BQ28" i="11" s="1"/>
  <c r="BW86" i="11"/>
  <c r="BW237" i="11"/>
  <c r="EC89" i="11"/>
  <c r="EC240" i="11"/>
  <c r="BS253" i="11"/>
  <c r="BS126" i="11"/>
  <c r="DE87" i="11"/>
  <c r="DE238" i="11"/>
  <c r="G52" i="7"/>
  <c r="D53" i="7" s="1"/>
  <c r="F53" i="7" s="1"/>
  <c r="BG224" i="11" s="1"/>
  <c r="BF257" i="11"/>
  <c r="BF28" i="11" s="1"/>
  <c r="DO106" i="11"/>
  <c r="DO224" i="11"/>
  <c r="BS110" i="11"/>
  <c r="BS228" i="11"/>
  <c r="BV124" i="11"/>
  <c r="BV251" i="11"/>
  <c r="BS95" i="11"/>
  <c r="BS246" i="11"/>
  <c r="DV108" i="11"/>
  <c r="DV226" i="11"/>
  <c r="BT245" i="11"/>
  <c r="BT94" i="11"/>
  <c r="BZ234" i="11"/>
  <c r="BZ116" i="11"/>
  <c r="BS250" i="11"/>
  <c r="BS123" i="11"/>
  <c r="BR119" i="11"/>
  <c r="BT231" i="11"/>
  <c r="BT113" i="11"/>
  <c r="BS241" i="11"/>
  <c r="BS90" i="11"/>
  <c r="BT103" i="11"/>
  <c r="BT221" i="11"/>
  <c r="BS256" i="11"/>
  <c r="BS129" i="11"/>
  <c r="BS109" i="11"/>
  <c r="BS227" i="11"/>
  <c r="BV121" i="11"/>
  <c r="BV248" i="11"/>
  <c r="BS244" i="11"/>
  <c r="BS93" i="11"/>
  <c r="CF112" i="11"/>
  <c r="CF230" i="11"/>
  <c r="BT252" i="11"/>
  <c r="BT125" i="11"/>
  <c r="BW120" i="11"/>
  <c r="BW247" i="11"/>
  <c r="BT88" i="11"/>
  <c r="BT239" i="11"/>
  <c r="BV223" i="11"/>
  <c r="BV105" i="11"/>
  <c r="S97" i="11"/>
  <c r="S98" i="11"/>
  <c r="AB107" i="4"/>
  <c r="T216" i="11"/>
  <c r="T218" i="11" s="1"/>
  <c r="T27" i="11" s="1"/>
  <c r="BW111" i="11"/>
  <c r="BW229" i="11"/>
  <c r="BT217" i="11"/>
  <c r="BT100" i="11"/>
  <c r="CS114" i="11"/>
  <c r="CS232" i="11"/>
  <c r="BS254" i="11"/>
  <c r="BS127" i="11"/>
  <c r="BR104" i="11"/>
  <c r="BR222" i="11"/>
  <c r="BX107" i="11"/>
  <c r="BX225" i="11"/>
  <c r="S82" i="11"/>
  <c r="S83" i="11" s="1"/>
  <c r="S80" i="11"/>
  <c r="S81" i="11" s="1"/>
  <c r="T9" i="11" s="1"/>
  <c r="BS233" i="11"/>
  <c r="BS115" i="11"/>
  <c r="BM19" i="11" l="1"/>
  <c r="BM26" i="11"/>
  <c r="BT235" i="11"/>
  <c r="BT117" i="11"/>
  <c r="BX243" i="11"/>
  <c r="BX92" i="11"/>
  <c r="BR236" i="11"/>
  <c r="BR257" i="11" s="1"/>
  <c r="BR28" i="11" s="1"/>
  <c r="BR118" i="11"/>
  <c r="BT115" i="11"/>
  <c r="BT233" i="11"/>
  <c r="BT127" i="11"/>
  <c r="BT254" i="11"/>
  <c r="T39" i="11"/>
  <c r="U27" i="11"/>
  <c r="U39" i="11" s="1"/>
  <c r="BV239" i="11"/>
  <c r="BV88" i="11"/>
  <c r="BT227" i="11"/>
  <c r="BT109" i="11"/>
  <c r="BT256" i="11"/>
  <c r="BT129" i="11"/>
  <c r="BT123" i="11"/>
  <c r="BT250" i="11"/>
  <c r="BS119" i="11"/>
  <c r="BV94" i="11"/>
  <c r="BV245" i="11"/>
  <c r="BT253" i="11"/>
  <c r="BT126" i="11"/>
  <c r="DF87" i="11"/>
  <c r="DF238" i="11"/>
  <c r="BT110" i="11"/>
  <c r="BT228" i="11"/>
  <c r="BW124" i="11"/>
  <c r="BW251" i="11"/>
  <c r="CA116" i="11"/>
  <c r="CA234" i="11"/>
  <c r="BV103" i="11"/>
  <c r="BV221" i="11"/>
  <c r="BW223" i="11"/>
  <c r="BW105" i="11"/>
  <c r="BT241" i="11"/>
  <c r="BT90" i="11"/>
  <c r="DW108" i="11"/>
  <c r="DW226" i="11"/>
  <c r="DP106" i="11"/>
  <c r="DP224" i="11"/>
  <c r="ED89" i="11"/>
  <c r="ED240" i="11"/>
  <c r="AC107" i="4"/>
  <c r="BX120" i="11"/>
  <c r="BX247" i="11"/>
  <c r="BV217" i="11"/>
  <c r="T29" i="13"/>
  <c r="J276" i="1" s="1"/>
  <c r="BV100" i="11"/>
  <c r="BV252" i="11"/>
  <c r="BV125" i="11"/>
  <c r="BY107" i="11"/>
  <c r="BY225" i="11"/>
  <c r="BW121" i="11"/>
  <c r="BW248" i="11"/>
  <c r="BT244" i="11"/>
  <c r="BT93" i="11"/>
  <c r="CT114" i="11"/>
  <c r="CT232" i="11"/>
  <c r="BS104" i="11"/>
  <c r="BS222" i="11"/>
  <c r="BX111" i="11"/>
  <c r="BX229" i="11"/>
  <c r="CG112" i="11"/>
  <c r="CG230" i="11"/>
  <c r="BV231" i="11"/>
  <c r="BV113" i="11"/>
  <c r="BT95" i="11"/>
  <c r="BT246" i="11"/>
  <c r="G53" i="7"/>
  <c r="BG257" i="11"/>
  <c r="BG28" i="11" s="1"/>
  <c r="BH28" i="11" s="1"/>
  <c r="BX237" i="11"/>
  <c r="BX86" i="11"/>
  <c r="BN19" i="11" l="1"/>
  <c r="BN26" i="11"/>
  <c r="BY92" i="11"/>
  <c r="BY243" i="11"/>
  <c r="BV235" i="11"/>
  <c r="BV117" i="11"/>
  <c r="J87" i="13"/>
  <c r="L87" i="13" s="1"/>
  <c r="BS236" i="11"/>
  <c r="BS118" i="11"/>
  <c r="BS257" i="11"/>
  <c r="BS28" i="11" s="1"/>
  <c r="BW100" i="11"/>
  <c r="BW217" i="11"/>
  <c r="BV110" i="11"/>
  <c r="BV228" i="11"/>
  <c r="BW239" i="11"/>
  <c r="BW88" i="11"/>
  <c r="BX223" i="11"/>
  <c r="BX105" i="11"/>
  <c r="BV90" i="11"/>
  <c r="BV241" i="11"/>
  <c r="EE89" i="11"/>
  <c r="EE240" i="11"/>
  <c r="CB116" i="11"/>
  <c r="CB234" i="11"/>
  <c r="BV250" i="11"/>
  <c r="BV123" i="11"/>
  <c r="BT119" i="11"/>
  <c r="T207" i="11"/>
  <c r="CI112" i="11"/>
  <c r="CI230" i="11"/>
  <c r="DG87" i="11"/>
  <c r="DG238" i="11"/>
  <c r="BV256" i="11"/>
  <c r="BV129" i="11"/>
  <c r="BW94" i="11"/>
  <c r="BW245" i="11"/>
  <c r="BY111" i="11"/>
  <c r="BY229" i="11"/>
  <c r="BT104" i="11"/>
  <c r="T44" i="13" s="1"/>
  <c r="J323" i="1" s="1"/>
  <c r="BT222" i="11"/>
  <c r="BW113" i="11"/>
  <c r="BW231" i="11"/>
  <c r="DQ106" i="11"/>
  <c r="DQ224" i="11"/>
  <c r="BW103" i="11"/>
  <c r="BW221" i="11"/>
  <c r="BV253" i="11"/>
  <c r="BV126" i="11"/>
  <c r="BV254" i="11"/>
  <c r="BV127" i="11"/>
  <c r="BV246" i="11"/>
  <c r="BV95" i="11"/>
  <c r="BX248" i="11"/>
  <c r="BX121" i="11"/>
  <c r="CV114" i="11"/>
  <c r="CV232" i="11"/>
  <c r="BZ107" i="11"/>
  <c r="BZ225" i="11"/>
  <c r="BY120" i="11"/>
  <c r="BY247" i="11"/>
  <c r="BV227" i="11"/>
  <c r="BV109" i="11"/>
  <c r="BY86" i="11"/>
  <c r="BY237" i="11"/>
  <c r="BV244" i="11"/>
  <c r="BV93" i="11"/>
  <c r="BW125" i="11"/>
  <c r="BW252" i="11"/>
  <c r="DX108" i="11"/>
  <c r="DX226" i="11"/>
  <c r="BX124" i="11"/>
  <c r="BX251" i="11"/>
  <c r="BV233" i="11"/>
  <c r="BV115" i="11"/>
  <c r="L88" i="13" l="1"/>
  <c r="F70" i="1"/>
  <c r="BO19" i="11"/>
  <c r="BO26" i="11"/>
  <c r="L112" i="13"/>
  <c r="L105" i="13"/>
  <c r="T47" i="13"/>
  <c r="J325" i="1" s="1"/>
  <c r="BW235" i="11"/>
  <c r="BW117" i="11"/>
  <c r="BZ92" i="11"/>
  <c r="BZ243" i="11"/>
  <c r="BT236" i="11"/>
  <c r="BT257" i="11" s="1"/>
  <c r="BT28" i="11" s="1"/>
  <c r="BU28" i="11" s="1"/>
  <c r="BT118" i="11"/>
  <c r="T45" i="13" s="1"/>
  <c r="J324" i="1" s="1"/>
  <c r="T75" i="11"/>
  <c r="T58" i="11"/>
  <c r="DY108" i="11"/>
  <c r="DY226" i="11"/>
  <c r="CW114" i="11"/>
  <c r="CW232" i="11"/>
  <c r="BX113" i="11"/>
  <c r="BX231" i="11"/>
  <c r="EF89" i="11"/>
  <c r="EF240" i="11"/>
  <c r="BW241" i="11"/>
  <c r="BW90" i="11"/>
  <c r="BW110" i="11"/>
  <c r="BW228" i="11"/>
  <c r="BW233" i="11"/>
  <c r="BW115" i="11"/>
  <c r="BW123" i="11"/>
  <c r="BW250" i="11"/>
  <c r="BV119" i="11"/>
  <c r="J88" i="13"/>
  <c r="BW127" i="11"/>
  <c r="BW254" i="11"/>
  <c r="BY105" i="11"/>
  <c r="BY223" i="11"/>
  <c r="BY121" i="11"/>
  <c r="BY248" i="11"/>
  <c r="BV104" i="11"/>
  <c r="BV222" i="11"/>
  <c r="BW244" i="11"/>
  <c r="BW93" i="11"/>
  <c r="BX221" i="11"/>
  <c r="BX103" i="11"/>
  <c r="BZ111" i="11"/>
  <c r="BZ229" i="11"/>
  <c r="BZ86" i="11"/>
  <c r="BZ237" i="11"/>
  <c r="CA225" i="11"/>
  <c r="CA107" i="11"/>
  <c r="DR106" i="11"/>
  <c r="DR224" i="11"/>
  <c r="BX245" i="11"/>
  <c r="BX94" i="11"/>
  <c r="CC116" i="11"/>
  <c r="CC234" i="11"/>
  <c r="BX217" i="11"/>
  <c r="BX100" i="11"/>
  <c r="BX252" i="11"/>
  <c r="BX125" i="11"/>
  <c r="DI87" i="11"/>
  <c r="DI238" i="11"/>
  <c r="BW95" i="11"/>
  <c r="BW246" i="11"/>
  <c r="BZ120" i="11"/>
  <c r="BZ247" i="11"/>
  <c r="BY251" i="11"/>
  <c r="BY124" i="11"/>
  <c r="BW227" i="11"/>
  <c r="BW109" i="11"/>
  <c r="BW126" i="11"/>
  <c r="BW253" i="11"/>
  <c r="BW256" i="11"/>
  <c r="BW129" i="11"/>
  <c r="CJ112" i="11"/>
  <c r="CJ230" i="11"/>
  <c r="BX239" i="11"/>
  <c r="BX88" i="11"/>
  <c r="BP19" i="11" l="1"/>
  <c r="BP26" i="11"/>
  <c r="CA92" i="11"/>
  <c r="CA243" i="11"/>
  <c r="BX235" i="11"/>
  <c r="BX117" i="11"/>
  <c r="J89" i="13"/>
  <c r="L89" i="13" s="1"/>
  <c r="L91" i="13" s="1"/>
  <c r="BV118" i="11"/>
  <c r="BV236" i="11"/>
  <c r="BV257" i="11" s="1"/>
  <c r="BV28" i="11" s="1"/>
  <c r="BY125" i="11"/>
  <c r="BY252" i="11"/>
  <c r="BY113" i="11"/>
  <c r="BY231" i="11"/>
  <c r="DS224" i="11"/>
  <c r="DS106" i="11"/>
  <c r="BX241" i="11"/>
  <c r="BX90" i="11"/>
  <c r="CB107" i="11"/>
  <c r="CB225" i="11"/>
  <c r="BZ223" i="11"/>
  <c r="BZ105" i="11"/>
  <c r="CX114" i="11"/>
  <c r="CX232" i="11"/>
  <c r="BY103" i="11"/>
  <c r="BY221" i="11"/>
  <c r="BX253" i="11"/>
  <c r="BX126" i="11"/>
  <c r="BY88" i="11"/>
  <c r="BY239" i="11"/>
  <c r="CA120" i="11"/>
  <c r="CA247" i="11"/>
  <c r="BX250" i="11"/>
  <c r="BX123" i="11"/>
  <c r="BW119" i="11"/>
  <c r="T52" i="13"/>
  <c r="BX254" i="11"/>
  <c r="BX127" i="11"/>
  <c r="DZ108" i="11"/>
  <c r="DZ226" i="11"/>
  <c r="BX228" i="11"/>
  <c r="BX110" i="11"/>
  <c r="BX227" i="11"/>
  <c r="BX109" i="11"/>
  <c r="BZ251" i="11"/>
  <c r="BZ124" i="11"/>
  <c r="BX95" i="11"/>
  <c r="BX246" i="11"/>
  <c r="CD116" i="11"/>
  <c r="CD234" i="11"/>
  <c r="CA86" i="11"/>
  <c r="CA237" i="11"/>
  <c r="BX233" i="11"/>
  <c r="BX115" i="11"/>
  <c r="T59" i="11"/>
  <c r="U58" i="11"/>
  <c r="U59" i="11" s="1"/>
  <c r="T96" i="11"/>
  <c r="V216" i="11" s="1"/>
  <c r="D10" i="15"/>
  <c r="E14" i="14"/>
  <c r="E16" i="14" s="1"/>
  <c r="M87" i="13"/>
  <c r="BY100" i="11"/>
  <c r="BY217" i="11"/>
  <c r="CK112" i="11"/>
  <c r="CK230" i="11"/>
  <c r="BY94" i="11"/>
  <c r="BY245" i="11"/>
  <c r="BW104" i="11"/>
  <c r="BW222" i="11"/>
  <c r="EG89" i="11"/>
  <c r="EG240" i="11"/>
  <c r="T79" i="11"/>
  <c r="U75" i="11"/>
  <c r="U79" i="11" s="1"/>
  <c r="BZ121" i="11"/>
  <c r="BZ248" i="11"/>
  <c r="BX93" i="11"/>
  <c r="BX244" i="11"/>
  <c r="BX256" i="11"/>
  <c r="BX129" i="11"/>
  <c r="DJ87" i="11"/>
  <c r="DJ238" i="11"/>
  <c r="CA111" i="11"/>
  <c r="CA229" i="11"/>
  <c r="F87" i="1" l="1"/>
  <c r="BQ19" i="11"/>
  <c r="BQ26" i="11"/>
  <c r="BY117" i="11"/>
  <c r="BY235" i="11"/>
  <c r="CB243" i="11"/>
  <c r="CB92" i="11"/>
  <c r="J91" i="13"/>
  <c r="J130" i="13"/>
  <c r="J33" i="13" s="1"/>
  <c r="L33" i="13" s="1"/>
  <c r="F303" i="1" s="1"/>
  <c r="J28" i="13"/>
  <c r="L28" i="13" s="1"/>
  <c r="F275" i="1" s="1"/>
  <c r="BW118" i="11"/>
  <c r="BW236" i="11"/>
  <c r="BW257" i="11" s="1"/>
  <c r="BW28" i="11" s="1"/>
  <c r="J94" i="13"/>
  <c r="J63" i="13" s="1"/>
  <c r="J65" i="13" s="1"/>
  <c r="M88" i="13"/>
  <c r="T82" i="11"/>
  <c r="T83" i="11" s="1"/>
  <c r="T80" i="11"/>
  <c r="T81" i="11" s="1"/>
  <c r="CE116" i="11"/>
  <c r="CE234" i="11"/>
  <c r="BZ88" i="11"/>
  <c r="BZ239" i="11"/>
  <c r="CY114" i="11"/>
  <c r="CY232" i="11"/>
  <c r="DT106" i="11"/>
  <c r="DT224" i="11"/>
  <c r="CA248" i="11"/>
  <c r="CA121" i="11"/>
  <c r="BZ245" i="11"/>
  <c r="BZ94" i="11"/>
  <c r="BY115" i="11"/>
  <c r="BY233" i="11"/>
  <c r="BY126" i="11"/>
  <c r="BY253" i="11"/>
  <c r="CA223" i="11"/>
  <c r="CA105" i="11"/>
  <c r="BY95" i="11"/>
  <c r="BY246" i="11"/>
  <c r="EA108" i="11"/>
  <c r="EA226" i="11"/>
  <c r="BY123" i="11"/>
  <c r="BY250" i="11"/>
  <c r="BX119" i="11"/>
  <c r="CA124" i="11"/>
  <c r="CA251" i="11"/>
  <c r="BZ231" i="11"/>
  <c r="BZ113" i="11"/>
  <c r="BY93" i="11"/>
  <c r="BY244" i="11"/>
  <c r="CB111" i="11"/>
  <c r="CB229" i="11"/>
  <c r="BZ103" i="11"/>
  <c r="BZ221" i="11"/>
  <c r="CC107" i="11"/>
  <c r="CC225" i="11"/>
  <c r="DK87" i="11"/>
  <c r="DK238" i="11"/>
  <c r="CL112" i="11"/>
  <c r="CL230" i="11"/>
  <c r="BY109" i="11"/>
  <c r="BY227" i="11"/>
  <c r="BY127" i="11"/>
  <c r="BY254" i="11"/>
  <c r="CB247" i="11"/>
  <c r="CB120" i="11"/>
  <c r="BY90" i="11"/>
  <c r="BY241" i="11"/>
  <c r="BZ252" i="11"/>
  <c r="BZ125" i="11"/>
  <c r="BX104" i="11"/>
  <c r="BX222" i="11"/>
  <c r="BY228" i="11"/>
  <c r="BY110" i="11"/>
  <c r="BY129" i="11"/>
  <c r="BY256" i="11"/>
  <c r="BZ217" i="11"/>
  <c r="BZ100" i="11"/>
  <c r="T97" i="11"/>
  <c r="EI97" i="11" s="1"/>
  <c r="EJ97" i="11" s="1"/>
  <c r="T98" i="11"/>
  <c r="AB108" i="4"/>
  <c r="V218" i="11"/>
  <c r="V27" i="11" s="1"/>
  <c r="U100" i="11"/>
  <c r="U98" i="11"/>
  <c r="U96" i="11"/>
  <c r="CB237" i="11"/>
  <c r="CB86" i="11"/>
  <c r="BR19" i="11" l="1"/>
  <c r="BR26" i="11"/>
  <c r="L43" i="13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CC92" i="11"/>
  <c r="CC243" i="11"/>
  <c r="BZ235" i="11"/>
  <c r="BZ117" i="11"/>
  <c r="J14" i="13"/>
  <c r="L14" i="13" s="1"/>
  <c r="F203" i="1" s="1"/>
  <c r="J9" i="13"/>
  <c r="BX118" i="11"/>
  <c r="BX236" i="11"/>
  <c r="BX257" i="11" s="1"/>
  <c r="BX28" i="11" s="1"/>
  <c r="BZ254" i="11"/>
  <c r="BZ127" i="11"/>
  <c r="DL87" i="11"/>
  <c r="DL238" i="11"/>
  <c r="CC111" i="11"/>
  <c r="CC229" i="11"/>
  <c r="BZ95" i="11"/>
  <c r="BZ246" i="11"/>
  <c r="CA88" i="11"/>
  <c r="CA239" i="11"/>
  <c r="CA245" i="11"/>
  <c r="CA94" i="11"/>
  <c r="AC108" i="4"/>
  <c r="BZ256" i="11"/>
  <c r="BZ129" i="11"/>
  <c r="BZ241" i="11"/>
  <c r="BZ90" i="11"/>
  <c r="CB124" i="11"/>
  <c r="CB251" i="11"/>
  <c r="CB223" i="11"/>
  <c r="CB105" i="11"/>
  <c r="CB121" i="11"/>
  <c r="CB248" i="11"/>
  <c r="CD225" i="11"/>
  <c r="CD107" i="11"/>
  <c r="BZ244" i="11"/>
  <c r="BZ93" i="11"/>
  <c r="CF116" i="11"/>
  <c r="CF234" i="11"/>
  <c r="CA231" i="11"/>
  <c r="CA113" i="11"/>
  <c r="V9" i="11"/>
  <c r="BZ227" i="11"/>
  <c r="BZ109" i="11"/>
  <c r="M89" i="13"/>
  <c r="CA103" i="11"/>
  <c r="CA221" i="11"/>
  <c r="BZ250" i="11"/>
  <c r="BZ123" i="11"/>
  <c r="BY119" i="11"/>
  <c r="BZ253" i="11"/>
  <c r="BZ126" i="11"/>
  <c r="DV106" i="11"/>
  <c r="DV224" i="11"/>
  <c r="CC86" i="11"/>
  <c r="CC237" i="11"/>
  <c r="CC120" i="11"/>
  <c r="CC247" i="11"/>
  <c r="BY104" i="11"/>
  <c r="BY222" i="11"/>
  <c r="BZ110" i="11"/>
  <c r="BZ228" i="11"/>
  <c r="CA100" i="11"/>
  <c r="CA217" i="11"/>
  <c r="CA125" i="11"/>
  <c r="CA252" i="11"/>
  <c r="CM112" i="11"/>
  <c r="CM230" i="11"/>
  <c r="EB108" i="11"/>
  <c r="EB226" i="11"/>
  <c r="BZ233" i="11"/>
  <c r="BZ115" i="11"/>
  <c r="CZ114" i="11"/>
  <c r="CZ232" i="11"/>
  <c r="L63" i="13"/>
  <c r="J18" i="13" l="1"/>
  <c r="L9" i="13"/>
  <c r="L99" i="13"/>
  <c r="L108" i="13"/>
  <c r="F154" i="1"/>
  <c r="BS19" i="11"/>
  <c r="BS26" i="11"/>
  <c r="L18" i="13"/>
  <c r="CA235" i="11"/>
  <c r="CA117" i="11"/>
  <c r="CD243" i="11"/>
  <c r="CD92" i="11"/>
  <c r="BY118" i="11"/>
  <c r="BY236" i="11"/>
  <c r="BY257" i="11" s="1"/>
  <c r="BY28" i="11" s="1"/>
  <c r="J43" i="13"/>
  <c r="J53" i="13" s="1"/>
  <c r="J66" i="13" s="1"/>
  <c r="EC108" i="11"/>
  <c r="EC226" i="11"/>
  <c r="CD86" i="11"/>
  <c r="CD237" i="11"/>
  <c r="CD229" i="11"/>
  <c r="CD111" i="11"/>
  <c r="BZ104" i="11"/>
  <c r="BZ222" i="11"/>
  <c r="L94" i="13"/>
  <c r="D9" i="15"/>
  <c r="D12" i="15" s="1"/>
  <c r="D14" i="15" s="1"/>
  <c r="M91" i="13"/>
  <c r="J27" i="13"/>
  <c r="CE225" i="11"/>
  <c r="CE107" i="11"/>
  <c r="CB94" i="11"/>
  <c r="CB245" i="11"/>
  <c r="CA110" i="11"/>
  <c r="CA228" i="11"/>
  <c r="CB103" i="11"/>
  <c r="CB221" i="11"/>
  <c r="CB231" i="11"/>
  <c r="CB113" i="11"/>
  <c r="CC124" i="11"/>
  <c r="CC251" i="11"/>
  <c r="DM87" i="11"/>
  <c r="DM238" i="11"/>
  <c r="CA93" i="11"/>
  <c r="CA244" i="11"/>
  <c r="CA241" i="11"/>
  <c r="CA90" i="11"/>
  <c r="CA254" i="11"/>
  <c r="CA127" i="11"/>
  <c r="CA253" i="11"/>
  <c r="CA126" i="11"/>
  <c r="CB239" i="11"/>
  <c r="CB88" i="11"/>
  <c r="CC223" i="11"/>
  <c r="CC105" i="11"/>
  <c r="DA114" i="11"/>
  <c r="DA232" i="11"/>
  <c r="DW106" i="11"/>
  <c r="DW224" i="11"/>
  <c r="CA129" i="11"/>
  <c r="CA256" i="11"/>
  <c r="V39" i="11"/>
  <c r="V207" i="11" s="1"/>
  <c r="CB217" i="11"/>
  <c r="CB100" i="11"/>
  <c r="CA250" i="11"/>
  <c r="CA123" i="11"/>
  <c r="BZ119" i="11"/>
  <c r="CN112" i="11"/>
  <c r="CN230" i="11"/>
  <c r="CD120" i="11"/>
  <c r="CD247" i="11"/>
  <c r="CA233" i="11"/>
  <c r="CA115" i="11"/>
  <c r="CB252" i="11"/>
  <c r="CB125" i="11"/>
  <c r="CA109" i="11"/>
  <c r="CA227" i="11"/>
  <c r="CG234" i="11"/>
  <c r="CG116" i="11"/>
  <c r="CC248" i="11"/>
  <c r="CC121" i="11"/>
  <c r="CA246" i="11"/>
  <c r="CA95" i="11"/>
  <c r="BT19" i="11" l="1"/>
  <c r="BU19" i="11" s="1"/>
  <c r="BT26" i="11"/>
  <c r="BU26" i="11" s="1"/>
  <c r="J67" i="13"/>
  <c r="L100" i="13"/>
  <c r="L101" i="13"/>
  <c r="L119" i="13"/>
  <c r="CE243" i="11"/>
  <c r="CE92" i="11"/>
  <c r="CB235" i="11"/>
  <c r="CB117" i="11"/>
  <c r="BZ236" i="11"/>
  <c r="BZ257" i="11" s="1"/>
  <c r="BZ28" i="11" s="1"/>
  <c r="BZ118" i="11"/>
  <c r="AH30" i="11"/>
  <c r="CB253" i="11"/>
  <c r="CB126" i="11"/>
  <c r="CC113" i="11"/>
  <c r="CC231" i="11"/>
  <c r="CC245" i="11"/>
  <c r="CC94" i="11"/>
  <c r="D24" i="15"/>
  <c r="CE86" i="11"/>
  <c r="CE237" i="11"/>
  <c r="CI116" i="11"/>
  <c r="CI234" i="11"/>
  <c r="CF225" i="11"/>
  <c r="CF107" i="11"/>
  <c r="B6" i="19"/>
  <c r="M94" i="13"/>
  <c r="CB123" i="11"/>
  <c r="CB250" i="11"/>
  <c r="CA119" i="11"/>
  <c r="CD251" i="11"/>
  <c r="CD124" i="11"/>
  <c r="DX106" i="11"/>
  <c r="DX224" i="11"/>
  <c r="CB227" i="11"/>
  <c r="CB109" i="11"/>
  <c r="CB127" i="11"/>
  <c r="CB254" i="11"/>
  <c r="L53" i="13"/>
  <c r="L106" i="13" s="1"/>
  <c r="CC217" i="11"/>
  <c r="CC100" i="11"/>
  <c r="CB244" i="11"/>
  <c r="CB93" i="11"/>
  <c r="CA104" i="11"/>
  <c r="CA222" i="11"/>
  <c r="CB95" i="11"/>
  <c r="CB246" i="11"/>
  <c r="CE247" i="11"/>
  <c r="CE120" i="11"/>
  <c r="DB114" i="11"/>
  <c r="DB232" i="11"/>
  <c r="CC103" i="11"/>
  <c r="CC221" i="11"/>
  <c r="L27" i="13"/>
  <c r="L113" i="13" s="1"/>
  <c r="CE229" i="11"/>
  <c r="CE111" i="11"/>
  <c r="CD223" i="11"/>
  <c r="CD105" i="11"/>
  <c r="CB241" i="11"/>
  <c r="CB90" i="11"/>
  <c r="CD121" i="11"/>
  <c r="CD248" i="11"/>
  <c r="CC252" i="11"/>
  <c r="CC125" i="11"/>
  <c r="CO112" i="11"/>
  <c r="CO230" i="11"/>
  <c r="CB256" i="11"/>
  <c r="CB129" i="11"/>
  <c r="DN87" i="11"/>
  <c r="DN238" i="11"/>
  <c r="CB110" i="11"/>
  <c r="CB228" i="11"/>
  <c r="CB233" i="11"/>
  <c r="CB115" i="11"/>
  <c r="V58" i="11"/>
  <c r="V75" i="11"/>
  <c r="CC88" i="11"/>
  <c r="CC239" i="11"/>
  <c r="ED108" i="11"/>
  <c r="ED226" i="11"/>
  <c r="BY21" i="11" l="1"/>
  <c r="BX21" i="11"/>
  <c r="BZ21" i="11"/>
  <c r="BW21" i="11"/>
  <c r="BV21" i="11"/>
  <c r="BV19" i="11" s="1"/>
  <c r="L110" i="13"/>
  <c r="L107" i="13"/>
  <c r="CC235" i="11"/>
  <c r="CC117" i="11"/>
  <c r="CF243" i="11"/>
  <c r="CF92" i="11"/>
  <c r="CA236" i="11"/>
  <c r="CA257" i="11" s="1"/>
  <c r="CA28" i="11" s="1"/>
  <c r="CA118" i="11"/>
  <c r="CF111" i="11"/>
  <c r="CF229" i="11"/>
  <c r="CC110" i="11"/>
  <c r="CC228" i="11"/>
  <c r="CF120" i="11"/>
  <c r="CF247" i="11"/>
  <c r="CC244" i="11"/>
  <c r="CC93" i="11"/>
  <c r="CC127" i="11"/>
  <c r="CC254" i="11"/>
  <c r="CJ116" i="11"/>
  <c r="CJ234" i="11"/>
  <c r="CD231" i="11"/>
  <c r="CD113" i="11"/>
  <c r="CD252" i="11"/>
  <c r="CD125" i="11"/>
  <c r="CB104" i="11"/>
  <c r="CB222" i="11"/>
  <c r="CD239" i="11"/>
  <c r="CD88" i="11"/>
  <c r="DO87" i="11"/>
  <c r="DO238" i="11"/>
  <c r="CE121" i="11"/>
  <c r="CE248" i="11"/>
  <c r="CD217" i="11"/>
  <c r="CD100" i="11"/>
  <c r="CC227" i="11"/>
  <c r="CC109" i="11"/>
  <c r="CC123" i="11"/>
  <c r="CC250" i="11"/>
  <c r="CB119" i="11"/>
  <c r="V79" i="11"/>
  <c r="CC241" i="11"/>
  <c r="CC90" i="11"/>
  <c r="CC95" i="11"/>
  <c r="CC246" i="11"/>
  <c r="CF237" i="11"/>
  <c r="CF86" i="11"/>
  <c r="CD103" i="11"/>
  <c r="CD221" i="11"/>
  <c r="B29" i="19"/>
  <c r="E6" i="19"/>
  <c r="F6" i="19" s="1"/>
  <c r="CC253" i="11"/>
  <c r="CC126" i="11"/>
  <c r="V59" i="11"/>
  <c r="V96" i="11"/>
  <c r="DY106" i="11"/>
  <c r="DY224" i="11"/>
  <c r="N62" i="13"/>
  <c r="L65" i="13"/>
  <c r="D28" i="15"/>
  <c r="D25" i="15"/>
  <c r="CC256" i="11"/>
  <c r="CC129" i="11"/>
  <c r="CC115" i="11"/>
  <c r="CC233" i="11"/>
  <c r="CE223" i="11"/>
  <c r="CE105" i="11"/>
  <c r="EE108" i="11"/>
  <c r="EE226" i="11"/>
  <c r="CP112" i="11"/>
  <c r="CP230" i="11"/>
  <c r="DC114" i="11"/>
  <c r="DC232" i="11"/>
  <c r="CE124" i="11"/>
  <c r="CE251" i="11"/>
  <c r="CG107" i="11"/>
  <c r="CG225" i="11"/>
  <c r="CD94" i="11"/>
  <c r="CD245" i="11"/>
  <c r="BW19" i="11" l="1"/>
  <c r="BX19" i="11" s="1"/>
  <c r="BY19" i="11" s="1"/>
  <c r="BZ19" i="11" s="1"/>
  <c r="CA19" i="11" s="1"/>
  <c r="CB19" i="11" s="1"/>
  <c r="CC19" i="11" s="1"/>
  <c r="CD19" i="11" s="1"/>
  <c r="CE19" i="11" s="1"/>
  <c r="CF19" i="11" s="1"/>
  <c r="CG19" i="11" s="1"/>
  <c r="CH19" i="11" s="1"/>
  <c r="CL21" i="11" s="1"/>
  <c r="CM21" i="11"/>
  <c r="CI21" i="11"/>
  <c r="CI19" i="11" s="1"/>
  <c r="CJ21" i="11"/>
  <c r="CH21" i="11"/>
  <c r="BV99" i="11"/>
  <c r="L109" i="13"/>
  <c r="L114" i="13"/>
  <c r="L111" i="13"/>
  <c r="CG243" i="11"/>
  <c r="CG92" i="11"/>
  <c r="CD235" i="11"/>
  <c r="CD117" i="11"/>
  <c r="L102" i="13"/>
  <c r="CB236" i="11"/>
  <c r="CB118" i="11"/>
  <c r="CB257" i="11"/>
  <c r="CB28" i="11" s="1"/>
  <c r="L66" i="13"/>
  <c r="V82" i="11"/>
  <c r="V83" i="11" s="1"/>
  <c r="V80" i="11"/>
  <c r="V81" i="11" s="1"/>
  <c r="W9" i="11" s="1"/>
  <c r="CD227" i="11"/>
  <c r="CD109" i="11"/>
  <c r="CI107" i="11"/>
  <c r="CI225" i="11"/>
  <c r="EF108" i="11"/>
  <c r="EF226" i="11"/>
  <c r="V97" i="11"/>
  <c r="V98" i="11"/>
  <c r="W216" i="11"/>
  <c r="W218" i="11" s="1"/>
  <c r="W27" i="11" s="1"/>
  <c r="CD90" i="11"/>
  <c r="CD241" i="11"/>
  <c r="CD123" i="11"/>
  <c r="CD250" i="11"/>
  <c r="CC119" i="11"/>
  <c r="DP87" i="11"/>
  <c r="DP238" i="11"/>
  <c r="D29" i="15"/>
  <c r="CE103" i="11"/>
  <c r="CE221" i="11"/>
  <c r="CK116" i="11"/>
  <c r="CK234" i="11"/>
  <c r="CD253" i="11"/>
  <c r="CD126" i="11"/>
  <c r="CE100" i="11"/>
  <c r="CE217" i="11"/>
  <c r="CG120" i="11"/>
  <c r="CG247" i="11"/>
  <c r="CG237" i="11"/>
  <c r="CG86" i="11"/>
  <c r="CC104" i="11"/>
  <c r="CC222" i="11"/>
  <c r="CD254" i="11"/>
  <c r="CD127" i="11"/>
  <c r="CF223" i="11"/>
  <c r="CF105" i="11"/>
  <c r="CE252" i="11"/>
  <c r="CE125" i="11"/>
  <c r="CD110" i="11"/>
  <c r="CD228" i="11"/>
  <c r="CF124" i="11"/>
  <c r="CF251" i="11"/>
  <c r="CQ112" i="11"/>
  <c r="CQ230" i="11"/>
  <c r="DZ106" i="11"/>
  <c r="DZ224" i="11"/>
  <c r="B53" i="19"/>
  <c r="F29" i="19"/>
  <c r="CF121" i="11"/>
  <c r="CF248" i="11"/>
  <c r="CE239" i="11"/>
  <c r="CE88" i="11"/>
  <c r="DD114" i="11"/>
  <c r="DD232" i="11"/>
  <c r="CD115" i="11"/>
  <c r="CD233" i="11"/>
  <c r="CE94" i="11"/>
  <c r="CE245" i="11"/>
  <c r="CD129" i="11"/>
  <c r="CD256" i="11"/>
  <c r="AB113" i="4"/>
  <c r="CD95" i="11"/>
  <c r="CD246" i="11"/>
  <c r="CE231" i="11"/>
  <c r="CE113" i="11"/>
  <c r="CD93" i="11"/>
  <c r="CD244" i="11"/>
  <c r="CG229" i="11"/>
  <c r="CG111" i="11"/>
  <c r="CK21" i="11" l="1"/>
  <c r="CU21" i="11" s="1"/>
  <c r="CJ19" i="11"/>
  <c r="CK19" i="11" s="1"/>
  <c r="CL19" i="11" s="1"/>
  <c r="CM19" i="11" s="1"/>
  <c r="CN19" i="11" s="1"/>
  <c r="CO19" i="11" s="1"/>
  <c r="CP19" i="11" s="1"/>
  <c r="CQ19" i="11" s="1"/>
  <c r="CR19" i="11" s="1"/>
  <c r="CS19" i="11" s="1"/>
  <c r="CT19" i="11" s="1"/>
  <c r="CU19" i="11" s="1"/>
  <c r="CY21" i="11" s="1"/>
  <c r="CZ21" i="11"/>
  <c r="BW99" i="11"/>
  <c r="BX99" i="11" s="1"/>
  <c r="BY99" i="11" s="1"/>
  <c r="BZ99" i="11" s="1"/>
  <c r="CA99" i="11" s="1"/>
  <c r="CB99" i="11" s="1"/>
  <c r="CC99" i="11" s="1"/>
  <c r="CD99" i="11" s="1"/>
  <c r="CE99" i="11" s="1"/>
  <c r="CF99" i="11" s="1"/>
  <c r="CG99" i="11" s="1"/>
  <c r="CW21" i="11"/>
  <c r="M21" i="13"/>
  <c r="CE117" i="11"/>
  <c r="CE235" i="11"/>
  <c r="CI92" i="11"/>
  <c r="CI243" i="11"/>
  <c r="M22" i="13"/>
  <c r="M40" i="13"/>
  <c r="M41" i="13"/>
  <c r="M49" i="13"/>
  <c r="M10" i="13"/>
  <c r="CC236" i="11"/>
  <c r="CC257" i="11" s="1"/>
  <c r="CC28" i="11" s="1"/>
  <c r="CC118" i="11"/>
  <c r="M14" i="13"/>
  <c r="M48" i="13"/>
  <c r="M36" i="13"/>
  <c r="M9" i="13"/>
  <c r="M15" i="13"/>
  <c r="M43" i="13"/>
  <c r="M45" i="13"/>
  <c r="M11" i="13"/>
  <c r="M37" i="13"/>
  <c r="M25" i="13"/>
  <c r="M18" i="13"/>
  <c r="M51" i="13"/>
  <c r="M63" i="13"/>
  <c r="M31" i="13"/>
  <c r="M19" i="13"/>
  <c r="M24" i="13"/>
  <c r="M26" i="13"/>
  <c r="M34" i="13"/>
  <c r="M66" i="13"/>
  <c r="M57" i="13"/>
  <c r="M20" i="13"/>
  <c r="M23" i="13"/>
  <c r="M27" i="13"/>
  <c r="M17" i="13"/>
  <c r="M42" i="13"/>
  <c r="M35" i="13"/>
  <c r="M50" i="13"/>
  <c r="M47" i="13"/>
  <c r="M44" i="13"/>
  <c r="M16" i="13"/>
  <c r="M55" i="13"/>
  <c r="M33" i="13"/>
  <c r="M58" i="13"/>
  <c r="M52" i="13"/>
  <c r="M53" i="13"/>
  <c r="M54" i="13"/>
  <c r="M59" i="13"/>
  <c r="M29" i="13"/>
  <c r="M39" i="13"/>
  <c r="M46" i="13"/>
  <c r="M12" i="13"/>
  <c r="M56" i="13"/>
  <c r="M65" i="13"/>
  <c r="M60" i="13"/>
  <c r="M62" i="13"/>
  <c r="M61" i="13"/>
  <c r="M38" i="13"/>
  <c r="M30" i="13"/>
  <c r="M28" i="13"/>
  <c r="M13" i="13"/>
  <c r="L67" i="13"/>
  <c r="M64" i="13"/>
  <c r="M32" i="13"/>
  <c r="CE126" i="11"/>
  <c r="CE253" i="11"/>
  <c r="DQ87" i="11"/>
  <c r="DQ238" i="11"/>
  <c r="EG108" i="11"/>
  <c r="EG226" i="11"/>
  <c r="EA106" i="11"/>
  <c r="EA224" i="11"/>
  <c r="CI237" i="11"/>
  <c r="CI86" i="11"/>
  <c r="CR112" i="11"/>
  <c r="CR230" i="11"/>
  <c r="CG251" i="11"/>
  <c r="CG124" i="11"/>
  <c r="CG105" i="11"/>
  <c r="CG223" i="11"/>
  <c r="W39" i="11"/>
  <c r="W207" i="11" s="1"/>
  <c r="CF245" i="11"/>
  <c r="CF94" i="11"/>
  <c r="CJ107" i="11"/>
  <c r="CJ225" i="11"/>
  <c r="CE110" i="11"/>
  <c r="CE228" i="11"/>
  <c r="CE127" i="11"/>
  <c r="CE254" i="11"/>
  <c r="CL116" i="11"/>
  <c r="CL234" i="11"/>
  <c r="CE123" i="11"/>
  <c r="CE250" i="11"/>
  <c r="CD119" i="11"/>
  <c r="CE109" i="11"/>
  <c r="CE227" i="11"/>
  <c r="CF217" i="11"/>
  <c r="CF100" i="11"/>
  <c r="CE95" i="11"/>
  <c r="CE246" i="11"/>
  <c r="CE115" i="11"/>
  <c r="CE233" i="11"/>
  <c r="CI111" i="11"/>
  <c r="CI229" i="11"/>
  <c r="DE114" i="11"/>
  <c r="DE232" i="11"/>
  <c r="CF252" i="11"/>
  <c r="CF125" i="11"/>
  <c r="CF239" i="11"/>
  <c r="CF88" i="11"/>
  <c r="CE244" i="11"/>
  <c r="CE93" i="11"/>
  <c r="F53" i="19"/>
  <c r="H53" i="19"/>
  <c r="CI120" i="11"/>
  <c r="CI247" i="11"/>
  <c r="CF103" i="11"/>
  <c r="CF221" i="11"/>
  <c r="CE241" i="11"/>
  <c r="CE90" i="11"/>
  <c r="CG121" i="11"/>
  <c r="CG248" i="11"/>
  <c r="CE256" i="11"/>
  <c r="CE129" i="11"/>
  <c r="CF113" i="11"/>
  <c r="CF231" i="11"/>
  <c r="CD104" i="11"/>
  <c r="CD222" i="11"/>
  <c r="CV21" i="11" l="1"/>
  <c r="CV19" i="11" s="1"/>
  <c r="CW19" i="11" s="1"/>
  <c r="CH105" i="11"/>
  <c r="CH109" i="11"/>
  <c r="CX21" i="11"/>
  <c r="CX19" i="11" s="1"/>
  <c r="CY19" i="11" s="1"/>
  <c r="CZ19" i="11" s="1"/>
  <c r="DA19" i="11" s="1"/>
  <c r="DB19" i="11" s="1"/>
  <c r="DC19" i="11" s="1"/>
  <c r="DD19" i="11" s="1"/>
  <c r="DE19" i="11" s="1"/>
  <c r="DF19" i="11" s="1"/>
  <c r="DG19" i="11" s="1"/>
  <c r="DH19" i="11" s="1"/>
  <c r="CH107" i="11"/>
  <c r="DM21" i="11"/>
  <c r="Z31" i="13"/>
  <c r="CI99" i="11"/>
  <c r="CJ92" i="11"/>
  <c r="CJ243" i="11"/>
  <c r="CF235" i="11"/>
  <c r="CF117" i="11"/>
  <c r="CD236" i="11"/>
  <c r="CD118" i="11"/>
  <c r="CD257" i="11"/>
  <c r="CD28" i="11" s="1"/>
  <c r="CG113" i="11"/>
  <c r="CG231" i="11"/>
  <c r="CF95" i="11"/>
  <c r="CF246" i="11"/>
  <c r="CG94" i="11"/>
  <c r="CG245" i="11"/>
  <c r="CF93" i="11"/>
  <c r="CF244" i="11"/>
  <c r="CG100" i="11"/>
  <c r="CG217" i="11"/>
  <c r="CM116" i="11"/>
  <c r="CM234" i="11"/>
  <c r="CS112" i="11"/>
  <c r="CS230" i="11"/>
  <c r="DR87" i="11"/>
  <c r="DR238" i="11"/>
  <c r="CF241" i="11"/>
  <c r="CF90" i="11"/>
  <c r="DF114" i="11"/>
  <c r="DF232" i="11"/>
  <c r="CJ86" i="11"/>
  <c r="CJ237" i="11"/>
  <c r="CK107" i="11"/>
  <c r="CK225" i="11"/>
  <c r="CG103" i="11"/>
  <c r="CG221" i="11"/>
  <c r="CF254" i="11"/>
  <c r="CF127" i="11"/>
  <c r="CF253" i="11"/>
  <c r="CF126" i="11"/>
  <c r="CF250" i="11"/>
  <c r="CF123" i="11"/>
  <c r="CE119" i="11"/>
  <c r="CF256" i="11"/>
  <c r="CF129" i="11"/>
  <c r="CG239" i="11"/>
  <c r="CG88" i="11"/>
  <c r="CJ111" i="11"/>
  <c r="CJ229" i="11"/>
  <c r="CF227" i="11"/>
  <c r="CF109" i="11"/>
  <c r="W58" i="11"/>
  <c r="W75" i="11"/>
  <c r="CI248" i="11"/>
  <c r="CI121" i="11"/>
  <c r="CF110" i="11"/>
  <c r="CF228" i="11"/>
  <c r="CI105" i="11"/>
  <c r="CI223" i="11"/>
  <c r="EB224" i="11"/>
  <c r="EB106" i="11"/>
  <c r="CE104" i="11"/>
  <c r="CE222" i="11"/>
  <c r="CJ120" i="11"/>
  <c r="CJ247" i="11"/>
  <c r="CG125" i="11"/>
  <c r="CG252" i="11"/>
  <c r="CF115" i="11"/>
  <c r="CF233" i="11"/>
  <c r="CI124" i="11"/>
  <c r="CI251" i="11"/>
  <c r="DH21" i="11" l="1"/>
  <c r="DJ21" i="11"/>
  <c r="DL21" i="11"/>
  <c r="DK21" i="11"/>
  <c r="DI21" i="11"/>
  <c r="DI19" i="11" s="1"/>
  <c r="DJ19" i="11" s="1"/>
  <c r="K277" i="1"/>
  <c r="DZ21" i="11"/>
  <c r="CJ99" i="11"/>
  <c r="CK99" i="11" s="1"/>
  <c r="CL99" i="11" s="1"/>
  <c r="CM99" i="11" s="1"/>
  <c r="CN99" i="11" s="1"/>
  <c r="CO99" i="11" s="1"/>
  <c r="CP99" i="11" s="1"/>
  <c r="CQ99" i="11" s="1"/>
  <c r="CR99" i="11" s="1"/>
  <c r="CS99" i="11" s="1"/>
  <c r="CT99" i="11" s="1"/>
  <c r="CU107" i="11" s="1"/>
  <c r="CG117" i="11"/>
  <c r="CG235" i="11"/>
  <c r="CK92" i="11"/>
  <c r="CK243" i="11"/>
  <c r="CE118" i="11"/>
  <c r="CE236" i="11"/>
  <c r="CE257" i="11" s="1"/>
  <c r="CE28" i="11" s="1"/>
  <c r="W79" i="11"/>
  <c r="CK86" i="11"/>
  <c r="CK237" i="11"/>
  <c r="CJ105" i="11"/>
  <c r="CJ223" i="11"/>
  <c r="DG114" i="11"/>
  <c r="DG232" i="11"/>
  <c r="CI245" i="11"/>
  <c r="CI94" i="11"/>
  <c r="W59" i="11"/>
  <c r="W96" i="11"/>
  <c r="CN116" i="11"/>
  <c r="CN234" i="11"/>
  <c r="CG109" i="11"/>
  <c r="CG227" i="11"/>
  <c r="CI103" i="11"/>
  <c r="CI221" i="11"/>
  <c r="CG246" i="11"/>
  <c r="CG95" i="11"/>
  <c r="CT112" i="11"/>
  <c r="CT230" i="11"/>
  <c r="CG233" i="11"/>
  <c r="CG115" i="11"/>
  <c r="CJ124" i="11"/>
  <c r="CJ251" i="11"/>
  <c r="CG129" i="11"/>
  <c r="CG256" i="11"/>
  <c r="CG228" i="11"/>
  <c r="CG110" i="11"/>
  <c r="CI252" i="11"/>
  <c r="CI125" i="11"/>
  <c r="CK111" i="11"/>
  <c r="CK229" i="11"/>
  <c r="CJ121" i="11"/>
  <c r="CJ248" i="11"/>
  <c r="CL107" i="11"/>
  <c r="CL225" i="11"/>
  <c r="CG254" i="11"/>
  <c r="CG127" i="11"/>
  <c r="CF104" i="11"/>
  <c r="CF222" i="11"/>
  <c r="CG90" i="11"/>
  <c r="CG241" i="11"/>
  <c r="CG250" i="11"/>
  <c r="CG123" i="11"/>
  <c r="CF119" i="11"/>
  <c r="Z29" i="13"/>
  <c r="K276" i="1" s="1"/>
  <c r="CI100" i="11"/>
  <c r="CI217" i="11"/>
  <c r="CI88" i="11"/>
  <c r="CI239" i="11"/>
  <c r="CK120" i="11"/>
  <c r="CK247" i="11"/>
  <c r="EC224" i="11"/>
  <c r="EC106" i="11"/>
  <c r="CG126" i="11"/>
  <c r="CG253" i="11"/>
  <c r="DS87" i="11"/>
  <c r="DS238" i="11"/>
  <c r="CG93" i="11"/>
  <c r="CG244" i="11"/>
  <c r="CI113" i="11"/>
  <c r="CI231" i="11"/>
  <c r="DU21" i="11" l="1"/>
  <c r="DK19" i="11"/>
  <c r="DL19" i="11" s="1"/>
  <c r="DM19" i="11" s="1"/>
  <c r="DN19" i="11" s="1"/>
  <c r="DO19" i="11" s="1"/>
  <c r="DP19" i="11" s="1"/>
  <c r="DQ19" i="11" s="1"/>
  <c r="DR19" i="11" s="1"/>
  <c r="DS19" i="11" s="1"/>
  <c r="DT19" i="11" s="1"/>
  <c r="DU19" i="11" s="1"/>
  <c r="DV21" i="11" s="1"/>
  <c r="DV19" i="11" s="1"/>
  <c r="CU109" i="11"/>
  <c r="CU105" i="11"/>
  <c r="DX21" i="11"/>
  <c r="DY21" i="11"/>
  <c r="AB31" i="13"/>
  <c r="CV99" i="11"/>
  <c r="CL92" i="11"/>
  <c r="CL243" i="11"/>
  <c r="CI235" i="11"/>
  <c r="CI117" i="11"/>
  <c r="CF236" i="11"/>
  <c r="CF257" i="11" s="1"/>
  <c r="CF28" i="11" s="1"/>
  <c r="CF118" i="11"/>
  <c r="CI244" i="11"/>
  <c r="CI93" i="11"/>
  <c r="CM107" i="11"/>
  <c r="CM225" i="11"/>
  <c r="CJ103" i="11"/>
  <c r="CJ221" i="11"/>
  <c r="CI250" i="11"/>
  <c r="CI123" i="11"/>
  <c r="CG119" i="11"/>
  <c r="Z47" i="13" s="1"/>
  <c r="K325" i="1" s="1"/>
  <c r="CI115" i="11"/>
  <c r="CI233" i="11"/>
  <c r="W82" i="11"/>
  <c r="W83" i="11" s="1"/>
  <c r="W80" i="11"/>
  <c r="W81" i="11" s="1"/>
  <c r="X9" i="11" s="1"/>
  <c r="CL86" i="11"/>
  <c r="CL237" i="11"/>
  <c r="CI228" i="11"/>
  <c r="CI110" i="11"/>
  <c r="CJ239" i="11"/>
  <c r="CJ88" i="11"/>
  <c r="CI256" i="11"/>
  <c r="CI129" i="11"/>
  <c r="CJ245" i="11"/>
  <c r="CJ94" i="11"/>
  <c r="CL120" i="11"/>
  <c r="CL247" i="11"/>
  <c r="W98" i="11"/>
  <c r="W97" i="11"/>
  <c r="X216" i="11"/>
  <c r="X218" i="11" s="1"/>
  <c r="X27" i="11" s="1"/>
  <c r="DT87" i="11"/>
  <c r="DT238" i="11"/>
  <c r="CK248" i="11"/>
  <c r="CK121" i="11"/>
  <c r="CI227" i="11"/>
  <c r="CI109" i="11"/>
  <c r="CK223" i="11"/>
  <c r="CK105" i="11"/>
  <c r="CI241" i="11"/>
  <c r="CI90" i="11"/>
  <c r="CI253" i="11"/>
  <c r="CI126" i="11"/>
  <c r="ED106" i="11"/>
  <c r="ED224" i="11"/>
  <c r="CJ100" i="11"/>
  <c r="CJ217" i="11"/>
  <c r="CG104" i="11"/>
  <c r="CG222" i="11"/>
  <c r="CL111" i="11"/>
  <c r="CL229" i="11"/>
  <c r="CK124" i="11"/>
  <c r="CK251" i="11"/>
  <c r="CV112" i="11"/>
  <c r="CV230" i="11"/>
  <c r="CJ231" i="11"/>
  <c r="CJ113" i="11"/>
  <c r="CI254" i="11"/>
  <c r="CI127" i="11"/>
  <c r="CJ125" i="11"/>
  <c r="CJ252" i="11"/>
  <c r="CI246" i="11"/>
  <c r="CI95" i="11"/>
  <c r="CO116" i="11"/>
  <c r="CO234" i="11"/>
  <c r="DI114" i="11"/>
  <c r="DI232" i="11"/>
  <c r="DW21" i="11" l="1"/>
  <c r="DW19" i="11" s="1"/>
  <c r="DX19" i="11" s="1"/>
  <c r="DY19" i="11" s="1"/>
  <c r="DZ19" i="11" s="1"/>
  <c r="EA19" i="11" s="1"/>
  <c r="EB19" i="11" s="1"/>
  <c r="EC19" i="11" s="1"/>
  <c r="ED19" i="11" s="1"/>
  <c r="EE19" i="11" s="1"/>
  <c r="EF19" i="11" s="1"/>
  <c r="EG19" i="11" s="1"/>
  <c r="EH19" i="11" s="1"/>
  <c r="L277" i="1"/>
  <c r="CW99" i="11"/>
  <c r="CX99" i="11" s="1"/>
  <c r="CY99" i="11" s="1"/>
  <c r="CZ99" i="11" s="1"/>
  <c r="DA99" i="11" s="1"/>
  <c r="DB99" i="11" s="1"/>
  <c r="DC99" i="11" s="1"/>
  <c r="DD99" i="11" s="1"/>
  <c r="DE99" i="11" s="1"/>
  <c r="DF99" i="11" s="1"/>
  <c r="DG99" i="11" s="1"/>
  <c r="DH107" i="11" s="1"/>
  <c r="CJ235" i="11"/>
  <c r="CJ117" i="11"/>
  <c r="CM243" i="11"/>
  <c r="CM92" i="11"/>
  <c r="CG118" i="11"/>
  <c r="CG236" i="11"/>
  <c r="CG257" i="11" s="1"/>
  <c r="CG28" i="11" s="1"/>
  <c r="CH28" i="11" s="1"/>
  <c r="CI104" i="11"/>
  <c r="CI222" i="11"/>
  <c r="Z44" i="13"/>
  <c r="K323" i="1" s="1"/>
  <c r="CJ129" i="11"/>
  <c r="CJ256" i="11"/>
  <c r="CL223" i="11"/>
  <c r="CL105" i="11"/>
  <c r="DV87" i="11"/>
  <c r="DV238" i="11"/>
  <c r="CW112" i="11"/>
  <c r="CW230" i="11"/>
  <c r="CK100" i="11"/>
  <c r="CK217" i="11"/>
  <c r="CM120" i="11"/>
  <c r="CM247" i="11"/>
  <c r="CK88" i="11"/>
  <c r="CK239" i="11"/>
  <c r="CK221" i="11"/>
  <c r="CK103" i="11"/>
  <c r="CJ241" i="11"/>
  <c r="CJ90" i="11"/>
  <c r="DJ114" i="11"/>
  <c r="DJ232" i="11"/>
  <c r="CK252" i="11"/>
  <c r="CK125" i="11"/>
  <c r="CJ227" i="11"/>
  <c r="CJ109" i="11"/>
  <c r="CJ127" i="11"/>
  <c r="CJ254" i="11"/>
  <c r="CL124" i="11"/>
  <c r="CL251" i="11"/>
  <c r="EE106" i="11"/>
  <c r="EE224" i="11"/>
  <c r="CJ228" i="11"/>
  <c r="CJ110" i="11"/>
  <c r="CN225" i="11"/>
  <c r="CN107" i="11"/>
  <c r="CM86" i="11"/>
  <c r="CM237" i="11"/>
  <c r="CP116" i="11"/>
  <c r="CP234" i="11"/>
  <c r="CJ253" i="11"/>
  <c r="CJ126" i="11"/>
  <c r="X39" i="11"/>
  <c r="X207" i="11" s="1"/>
  <c r="CJ233" i="11"/>
  <c r="CJ115" i="11"/>
  <c r="CJ93" i="11"/>
  <c r="CJ244" i="11"/>
  <c r="CJ123" i="11"/>
  <c r="CJ250" i="11"/>
  <c r="CI119" i="11"/>
  <c r="CJ246" i="11"/>
  <c r="CJ95" i="11"/>
  <c r="CK231" i="11"/>
  <c r="CK113" i="11"/>
  <c r="CM111" i="11"/>
  <c r="CM229" i="11"/>
  <c r="CL121" i="11"/>
  <c r="CL248" i="11"/>
  <c r="CK245" i="11"/>
  <c r="CK94" i="11"/>
  <c r="EH21" i="11" l="1"/>
  <c r="DH105" i="11"/>
  <c r="DH109" i="11"/>
  <c r="AD31" i="13"/>
  <c r="DI99" i="11"/>
  <c r="CN92" i="11"/>
  <c r="CN243" i="11"/>
  <c r="CK235" i="11"/>
  <c r="CK117" i="11"/>
  <c r="CI118" i="11"/>
  <c r="CI236" i="11"/>
  <c r="CI257" i="11" s="1"/>
  <c r="CI28" i="11" s="1"/>
  <c r="Z45" i="13"/>
  <c r="K324" i="1" s="1"/>
  <c r="DK114" i="11"/>
  <c r="DK232" i="11"/>
  <c r="CM121" i="11"/>
  <c r="CM248" i="11"/>
  <c r="CX112" i="11"/>
  <c r="CX230" i="11"/>
  <c r="CM251" i="11"/>
  <c r="CM124" i="11"/>
  <c r="CO225" i="11"/>
  <c r="CO107" i="11"/>
  <c r="CK241" i="11"/>
  <c r="CK90" i="11"/>
  <c r="X58" i="11"/>
  <c r="X75" i="11"/>
  <c r="CK254" i="11"/>
  <c r="CK127" i="11"/>
  <c r="CN247" i="11"/>
  <c r="CN120" i="11"/>
  <c r="CK129" i="11"/>
  <c r="CK256" i="11"/>
  <c r="CK123" i="11"/>
  <c r="CK250" i="11"/>
  <c r="CJ119" i="11"/>
  <c r="CK228" i="11"/>
  <c r="CK110" i="11"/>
  <c r="CK93" i="11"/>
  <c r="CK244" i="11"/>
  <c r="CL88" i="11"/>
  <c r="CL239" i="11"/>
  <c r="CN229" i="11"/>
  <c r="CN111" i="11"/>
  <c r="CK253" i="11"/>
  <c r="CK126" i="11"/>
  <c r="CL231" i="11"/>
  <c r="CL113" i="11"/>
  <c r="CL252" i="11"/>
  <c r="CL125" i="11"/>
  <c r="CL103" i="11"/>
  <c r="CL221" i="11"/>
  <c r="CL217" i="11"/>
  <c r="CL100" i="11"/>
  <c r="DW87" i="11"/>
  <c r="DW238" i="11"/>
  <c r="CJ104" i="11"/>
  <c r="CJ222" i="11"/>
  <c r="CN86" i="11"/>
  <c r="CN237" i="11"/>
  <c r="CK227" i="11"/>
  <c r="CK109" i="11"/>
  <c r="CK233" i="11"/>
  <c r="CK115" i="11"/>
  <c r="CL245" i="11"/>
  <c r="CL94" i="11"/>
  <c r="CK95" i="11"/>
  <c r="CK246" i="11"/>
  <c r="CQ234" i="11"/>
  <c r="CQ116" i="11"/>
  <c r="EF106" i="11"/>
  <c r="EF224" i="11"/>
  <c r="CM223" i="11"/>
  <c r="CM105" i="11"/>
  <c r="M277" i="1" l="1"/>
  <c r="DJ99" i="11"/>
  <c r="DK99" i="11" s="1"/>
  <c r="DL99" i="11" s="1"/>
  <c r="DM99" i="11" s="1"/>
  <c r="DN99" i="11" s="1"/>
  <c r="DO99" i="11" s="1"/>
  <c r="DP99" i="11" s="1"/>
  <c r="DQ99" i="11" s="1"/>
  <c r="DR99" i="11" s="1"/>
  <c r="DS99" i="11" s="1"/>
  <c r="DT99" i="11" s="1"/>
  <c r="CL235" i="11"/>
  <c r="CL117" i="11"/>
  <c r="CO92" i="11"/>
  <c r="CO243" i="11"/>
  <c r="Z52" i="13"/>
  <c r="CJ236" i="11"/>
  <c r="CJ257" i="11" s="1"/>
  <c r="CJ28" i="11" s="1"/>
  <c r="CJ118" i="11"/>
  <c r="X79" i="11"/>
  <c r="CM221" i="11"/>
  <c r="CM103" i="11"/>
  <c r="CM252" i="11"/>
  <c r="CM125" i="11"/>
  <c r="CL244" i="11"/>
  <c r="CL93" i="11"/>
  <c r="X59" i="11"/>
  <c r="X96" i="11"/>
  <c r="CY112" i="11"/>
  <c r="CY230" i="11"/>
  <c r="CO237" i="11"/>
  <c r="CO86" i="11"/>
  <c r="CL123" i="11"/>
  <c r="CL250" i="11"/>
  <c r="CK119" i="11"/>
  <c r="CK104" i="11"/>
  <c r="CK222" i="11"/>
  <c r="CR116" i="11"/>
  <c r="CR234" i="11"/>
  <c r="CL110" i="11"/>
  <c r="CL228" i="11"/>
  <c r="DX87" i="11"/>
  <c r="DX238" i="11"/>
  <c r="CN248" i="11"/>
  <c r="CN121" i="11"/>
  <c r="CM94" i="11"/>
  <c r="CM245" i="11"/>
  <c r="CN124" i="11"/>
  <c r="CN251" i="11"/>
  <c r="CO229" i="11"/>
  <c r="CO111" i="11"/>
  <c r="CL109" i="11"/>
  <c r="CL227" i="11"/>
  <c r="CL256" i="11"/>
  <c r="CL129" i="11"/>
  <c r="CM217" i="11"/>
  <c r="CM100" i="11"/>
  <c r="CM231" i="11"/>
  <c r="CM113" i="11"/>
  <c r="CM239" i="11"/>
  <c r="CM88" i="11"/>
  <c r="CO247" i="11"/>
  <c r="CO120" i="11"/>
  <c r="CP225" i="11"/>
  <c r="CP107" i="11"/>
  <c r="CL127" i="11"/>
  <c r="CL254" i="11"/>
  <c r="CL253" i="11"/>
  <c r="CL126" i="11"/>
  <c r="CL115" i="11"/>
  <c r="CL233" i="11"/>
  <c r="EG106" i="11"/>
  <c r="EG224" i="11"/>
  <c r="CL241" i="11"/>
  <c r="CL90" i="11"/>
  <c r="CN105" i="11"/>
  <c r="CN223" i="11"/>
  <c r="CL95" i="11"/>
  <c r="CL246" i="11"/>
  <c r="DL114" i="11"/>
  <c r="DL232" i="11"/>
  <c r="DU107" i="11" l="1"/>
  <c r="DU109" i="11"/>
  <c r="DU105" i="11"/>
  <c r="AF31" i="13"/>
  <c r="DV99" i="11"/>
  <c r="CP243" i="11"/>
  <c r="CP92" i="11"/>
  <c r="CM235" i="11"/>
  <c r="CM117" i="11"/>
  <c r="CK118" i="11"/>
  <c r="CK236" i="11"/>
  <c r="CK257" i="11"/>
  <c r="CK28" i="11" s="1"/>
  <c r="CO121" i="11"/>
  <c r="CO248" i="11"/>
  <c r="CQ225" i="11"/>
  <c r="CQ107" i="11"/>
  <c r="CM227" i="11"/>
  <c r="CM109" i="11"/>
  <c r="CL104" i="11"/>
  <c r="CL222" i="11"/>
  <c r="CM254" i="11"/>
  <c r="CM127" i="11"/>
  <c r="CZ112" i="11"/>
  <c r="CZ230" i="11"/>
  <c r="CN103" i="11"/>
  <c r="CN221" i="11"/>
  <c r="X98" i="11"/>
  <c r="X97" i="11"/>
  <c r="Y216" i="11"/>
  <c r="Y218" i="11" s="1"/>
  <c r="Y27" i="11" s="1"/>
  <c r="CN231" i="11"/>
  <c r="CN113" i="11"/>
  <c r="CP120" i="11"/>
  <c r="CP247" i="11"/>
  <c r="CN100" i="11"/>
  <c r="CN217" i="11"/>
  <c r="CO223" i="11"/>
  <c r="CO105" i="11"/>
  <c r="CO251" i="11"/>
  <c r="CO124" i="11"/>
  <c r="CM110" i="11"/>
  <c r="CM228" i="11"/>
  <c r="CP86" i="11"/>
  <c r="CP237" i="11"/>
  <c r="X82" i="11"/>
  <c r="X83" i="11" s="1"/>
  <c r="X80" i="11"/>
  <c r="X81" i="11" s="1"/>
  <c r="Y9" i="11" s="1"/>
  <c r="DM114" i="11"/>
  <c r="DM232" i="11"/>
  <c r="CN252" i="11"/>
  <c r="CN125" i="11"/>
  <c r="CM246" i="11"/>
  <c r="CM95" i="11"/>
  <c r="DY87" i="11"/>
  <c r="DY238" i="11"/>
  <c r="CM250" i="11"/>
  <c r="CM123" i="11"/>
  <c r="CL119" i="11"/>
  <c r="CM90" i="11"/>
  <c r="CM241" i="11"/>
  <c r="CM253" i="11"/>
  <c r="CM126" i="11"/>
  <c r="CN239" i="11"/>
  <c r="CN88" i="11"/>
  <c r="CM256" i="11"/>
  <c r="CM129" i="11"/>
  <c r="CM244" i="11"/>
  <c r="CM93" i="11"/>
  <c r="CP111" i="11"/>
  <c r="CP229" i="11"/>
  <c r="CM233" i="11"/>
  <c r="CM115" i="11"/>
  <c r="CN94" i="11"/>
  <c r="CN245" i="11"/>
  <c r="CS116" i="11"/>
  <c r="CS234" i="11"/>
  <c r="N277" i="1" l="1"/>
  <c r="DW99" i="11"/>
  <c r="DX99" i="11" s="1"/>
  <c r="DY99" i="11" s="1"/>
  <c r="DZ99" i="11" s="1"/>
  <c r="EA99" i="11" s="1"/>
  <c r="EB99" i="11" s="1"/>
  <c r="EC99" i="11" s="1"/>
  <c r="ED99" i="11" s="1"/>
  <c r="EE99" i="11" s="1"/>
  <c r="EF99" i="11" s="1"/>
  <c r="EG99" i="11" s="1"/>
  <c r="AH31" i="13" s="1"/>
  <c r="O277" i="1" s="1"/>
  <c r="CN235" i="11"/>
  <c r="CN117" i="11"/>
  <c r="CQ92" i="11"/>
  <c r="CQ243" i="11"/>
  <c r="CL236" i="11"/>
  <c r="CL257" i="11" s="1"/>
  <c r="CL28" i="11" s="1"/>
  <c r="CL118" i="11"/>
  <c r="CN110" i="11"/>
  <c r="CN228" i="11"/>
  <c r="CN109" i="11"/>
  <c r="CN227" i="11"/>
  <c r="CP124" i="11"/>
  <c r="CP251" i="11"/>
  <c r="CO103" i="11"/>
  <c r="CO221" i="11"/>
  <c r="CN115" i="11"/>
  <c r="CN233" i="11"/>
  <c r="DN114" i="11"/>
  <c r="DN232" i="11"/>
  <c r="Y39" i="11"/>
  <c r="Y207" i="11" s="1"/>
  <c r="CR107" i="11"/>
  <c r="CR225" i="11"/>
  <c r="DA112" i="11"/>
  <c r="DA230" i="11"/>
  <c r="CN123" i="11"/>
  <c r="CN250" i="11"/>
  <c r="CM119" i="11"/>
  <c r="CQ111" i="11"/>
  <c r="CQ229" i="11"/>
  <c r="CP105" i="11"/>
  <c r="CP223" i="11"/>
  <c r="CN244" i="11"/>
  <c r="CN93" i="11"/>
  <c r="CO231" i="11"/>
  <c r="CO113" i="11"/>
  <c r="CN127" i="11"/>
  <c r="CN254" i="11"/>
  <c r="CM104" i="11"/>
  <c r="CM222" i="11"/>
  <c r="CQ120" i="11"/>
  <c r="CQ247" i="11"/>
  <c r="CT116" i="11"/>
  <c r="CT234" i="11"/>
  <c r="DZ87" i="11"/>
  <c r="DZ238" i="11"/>
  <c r="CN241" i="11"/>
  <c r="CN90" i="11"/>
  <c r="CN95" i="11"/>
  <c r="CN246" i="11"/>
  <c r="CP121" i="11"/>
  <c r="CP248" i="11"/>
  <c r="CO252" i="11"/>
  <c r="CO125" i="11"/>
  <c r="CO239" i="11"/>
  <c r="CO88" i="11"/>
  <c r="CN126" i="11"/>
  <c r="CN253" i="11"/>
  <c r="CO245" i="11"/>
  <c r="CO94" i="11"/>
  <c r="CN256" i="11"/>
  <c r="CN129" i="11"/>
  <c r="CQ86" i="11"/>
  <c r="CQ237" i="11"/>
  <c r="CO217" i="11"/>
  <c r="CO100" i="11"/>
  <c r="EH109" i="11" l="1"/>
  <c r="EH107" i="11"/>
  <c r="EH105" i="11"/>
  <c r="CR92" i="11"/>
  <c r="CR243" i="11"/>
  <c r="CO117" i="11"/>
  <c r="CO235" i="11"/>
  <c r="CM118" i="11"/>
  <c r="CM236" i="11"/>
  <c r="CM257" i="11" s="1"/>
  <c r="CM28" i="11" s="1"/>
  <c r="EA87" i="11"/>
  <c r="EA238" i="11"/>
  <c r="CN104" i="11"/>
  <c r="CN222" i="11"/>
  <c r="DB112" i="11"/>
  <c r="DB230" i="11"/>
  <c r="DO114" i="11"/>
  <c r="DO232" i="11"/>
  <c r="CQ124" i="11"/>
  <c r="CQ251" i="11"/>
  <c r="CO127" i="11"/>
  <c r="CO254" i="11"/>
  <c r="CO227" i="11"/>
  <c r="CO109" i="11"/>
  <c r="CP113" i="11"/>
  <c r="CP231" i="11"/>
  <c r="CR111" i="11"/>
  <c r="CR229" i="11"/>
  <c r="CR120" i="11"/>
  <c r="CR247" i="11"/>
  <c r="CO233" i="11"/>
  <c r="CO115" i="11"/>
  <c r="CV234" i="11"/>
  <c r="CV116" i="11"/>
  <c r="CO95" i="11"/>
  <c r="CO246" i="11"/>
  <c r="CO241" i="11"/>
  <c r="CO90" i="11"/>
  <c r="CO110" i="11"/>
  <c r="CO228" i="11"/>
  <c r="CQ105" i="11"/>
  <c r="CQ223" i="11"/>
  <c r="CP217" i="11"/>
  <c r="CP100" i="11"/>
  <c r="CR86" i="11"/>
  <c r="CR237" i="11"/>
  <c r="Y58" i="11"/>
  <c r="Y75" i="11"/>
  <c r="CP103" i="11"/>
  <c r="CP221" i="11"/>
  <c r="CP94" i="11"/>
  <c r="CP245" i="11"/>
  <c r="CQ121" i="11"/>
  <c r="CQ248" i="11"/>
  <c r="CO253" i="11"/>
  <c r="CO126" i="11"/>
  <c r="CS107" i="11"/>
  <c r="CS225" i="11"/>
  <c r="CP239" i="11"/>
  <c r="CP88" i="11"/>
  <c r="CO93" i="11"/>
  <c r="CO244" i="11"/>
  <c r="CO123" i="11"/>
  <c r="CO250" i="11"/>
  <c r="CN119" i="11"/>
  <c r="CO256" i="11"/>
  <c r="CO129" i="11"/>
  <c r="CP125" i="11"/>
  <c r="CP252" i="11"/>
  <c r="CP117" i="11" l="1"/>
  <c r="CP235" i="11"/>
  <c r="CS243" i="11"/>
  <c r="CS92" i="11"/>
  <c r="CN236" i="11"/>
  <c r="CN257" i="11" s="1"/>
  <c r="CN28" i="11" s="1"/>
  <c r="CN118" i="11"/>
  <c r="CP129" i="11"/>
  <c r="CP256" i="11"/>
  <c r="CQ245" i="11"/>
  <c r="CQ94" i="11"/>
  <c r="DP114" i="11"/>
  <c r="DP232" i="11"/>
  <c r="CW116" i="11"/>
  <c r="CW234" i="11"/>
  <c r="DC112" i="11"/>
  <c r="DC230" i="11"/>
  <c r="Y79" i="11"/>
  <c r="CO104" i="11"/>
  <c r="CO222" i="11"/>
  <c r="CP246" i="11"/>
  <c r="CP95" i="11"/>
  <c r="CQ103" i="11"/>
  <c r="CQ221" i="11"/>
  <c r="Y59" i="11"/>
  <c r="Y96" i="11"/>
  <c r="CS111" i="11"/>
  <c r="CS229" i="11"/>
  <c r="CS120" i="11"/>
  <c r="CS247" i="11"/>
  <c r="CR223" i="11"/>
  <c r="CR105" i="11"/>
  <c r="CP126" i="11"/>
  <c r="CP253" i="11"/>
  <c r="CP110" i="11"/>
  <c r="CP228" i="11"/>
  <c r="CP254" i="11"/>
  <c r="CP127" i="11"/>
  <c r="CP93" i="11"/>
  <c r="CP244" i="11"/>
  <c r="CS237" i="11"/>
  <c r="CS86" i="11"/>
  <c r="CP90" i="11"/>
  <c r="CP241" i="11"/>
  <c r="CP233" i="11"/>
  <c r="CP115" i="11"/>
  <c r="CQ231" i="11"/>
  <c r="CQ113" i="11"/>
  <c r="CR124" i="11"/>
  <c r="CR251" i="11"/>
  <c r="EB87" i="11"/>
  <c r="EB238" i="11"/>
  <c r="CT107" i="11"/>
  <c r="CT225" i="11"/>
  <c r="CP250" i="11"/>
  <c r="CP123" i="11"/>
  <c r="CO119" i="11"/>
  <c r="CR248" i="11"/>
  <c r="CR121" i="11"/>
  <c r="CQ125" i="11"/>
  <c r="CQ252" i="11"/>
  <c r="CQ88" i="11"/>
  <c r="CQ239" i="11"/>
  <c r="CQ217" i="11"/>
  <c r="CQ100" i="11"/>
  <c r="CP109" i="11"/>
  <c r="CP227" i="11"/>
  <c r="CT92" i="11" l="1"/>
  <c r="CT243" i="11"/>
  <c r="CQ117" i="11"/>
  <c r="CQ235" i="11"/>
  <c r="CO118" i="11"/>
  <c r="CO236" i="11"/>
  <c r="CO257" i="11" s="1"/>
  <c r="CO28" i="11" s="1"/>
  <c r="CQ233" i="11"/>
  <c r="CQ115" i="11"/>
  <c r="Y98" i="11"/>
  <c r="Y97" i="11"/>
  <c r="Z216" i="11"/>
  <c r="Z218" i="11" s="1"/>
  <c r="Z27" i="11" s="1"/>
  <c r="CP104" i="11"/>
  <c r="CP222" i="11"/>
  <c r="CX116" i="11"/>
  <c r="CX234" i="11"/>
  <c r="CQ254" i="11"/>
  <c r="CQ127" i="11"/>
  <c r="CS223" i="11"/>
  <c r="CS105" i="11"/>
  <c r="EC87" i="11"/>
  <c r="EC238" i="11"/>
  <c r="CT120" i="11"/>
  <c r="CT247" i="11"/>
  <c r="Y82" i="11"/>
  <c r="Y83" i="11" s="1"/>
  <c r="Y80" i="11"/>
  <c r="Y81" i="11" s="1"/>
  <c r="Z9" i="11" s="1"/>
  <c r="DQ114" i="11"/>
  <c r="DQ232" i="11"/>
  <c r="CR245" i="11"/>
  <c r="CR94" i="11"/>
  <c r="CS121" i="11"/>
  <c r="CS248" i="11"/>
  <c r="CQ109" i="11"/>
  <c r="CQ227" i="11"/>
  <c r="CQ241" i="11"/>
  <c r="CQ90" i="11"/>
  <c r="CR100" i="11"/>
  <c r="CR217" i="11"/>
  <c r="CT86" i="11"/>
  <c r="CT237" i="11"/>
  <c r="CS251" i="11"/>
  <c r="CS124" i="11"/>
  <c r="CR103" i="11"/>
  <c r="CR221" i="11"/>
  <c r="DD112" i="11"/>
  <c r="DD230" i="11"/>
  <c r="CV107" i="11"/>
  <c r="CV225" i="11"/>
  <c r="CR125" i="11"/>
  <c r="CR252" i="11"/>
  <c r="CQ250" i="11"/>
  <c r="CQ123" i="11"/>
  <c r="CP119" i="11"/>
  <c r="CR231" i="11"/>
  <c r="CR113" i="11"/>
  <c r="CQ95" i="11"/>
  <c r="CQ246" i="11"/>
  <c r="CT111" i="11"/>
  <c r="CT229" i="11"/>
  <c r="CQ110" i="11"/>
  <c r="CQ228" i="11"/>
  <c r="CR239" i="11"/>
  <c r="CR88" i="11"/>
  <c r="CQ244" i="11"/>
  <c r="CQ93" i="11"/>
  <c r="CQ253" i="11"/>
  <c r="CQ126" i="11"/>
  <c r="CQ256" i="11"/>
  <c r="CQ129" i="11"/>
  <c r="CR235" i="11" l="1"/>
  <c r="CR117" i="11"/>
  <c r="CV243" i="11"/>
  <c r="CV92" i="11"/>
  <c r="CP236" i="11"/>
  <c r="CP118" i="11"/>
  <c r="CP257" i="11"/>
  <c r="CP28" i="11" s="1"/>
  <c r="CR254" i="11"/>
  <c r="CR127" i="11"/>
  <c r="CT248" i="11"/>
  <c r="CT121" i="11"/>
  <c r="Z39" i="11"/>
  <c r="Z207" i="11" s="1"/>
  <c r="CS239" i="11"/>
  <c r="CS88" i="11"/>
  <c r="CS245" i="11"/>
  <c r="CS94" i="11"/>
  <c r="CV120" i="11"/>
  <c r="CV247" i="11"/>
  <c r="DE112" i="11"/>
  <c r="DE230" i="11"/>
  <c r="CR250" i="11"/>
  <c r="CR123" i="11"/>
  <c r="CQ119" i="11"/>
  <c r="CS252" i="11"/>
  <c r="CS125" i="11"/>
  <c r="CY116" i="11"/>
  <c r="CY234" i="11"/>
  <c r="CV111" i="11"/>
  <c r="CV229" i="11"/>
  <c r="CV86" i="11"/>
  <c r="CV237" i="11"/>
  <c r="CS217" i="11"/>
  <c r="CS100" i="11"/>
  <c r="CT124" i="11"/>
  <c r="CT251" i="11"/>
  <c r="CR241" i="11"/>
  <c r="CR90" i="11"/>
  <c r="CR93" i="11"/>
  <c r="CR244" i="11"/>
  <c r="CS103" i="11"/>
  <c r="CS221" i="11"/>
  <c r="CR129" i="11"/>
  <c r="CR256" i="11"/>
  <c r="CR95" i="11"/>
  <c r="CR246" i="11"/>
  <c r="CS113" i="11"/>
  <c r="CS231" i="11"/>
  <c r="CW107" i="11"/>
  <c r="CW225" i="11"/>
  <c r="ED87" i="11"/>
  <c r="ED238" i="11"/>
  <c r="CQ104" i="11"/>
  <c r="CQ222" i="11"/>
  <c r="CR115" i="11"/>
  <c r="CR233" i="11"/>
  <c r="CR227" i="11"/>
  <c r="CR109" i="11"/>
  <c r="CR253" i="11"/>
  <c r="CR126" i="11"/>
  <c r="CR228" i="11"/>
  <c r="CR110" i="11"/>
  <c r="DR114" i="11"/>
  <c r="DR232" i="11"/>
  <c r="CT223" i="11"/>
  <c r="CT105" i="11"/>
  <c r="CW243" i="11" l="1"/>
  <c r="CW92" i="11"/>
  <c r="CS117" i="11"/>
  <c r="CS235" i="11"/>
  <c r="CQ236" i="11"/>
  <c r="CQ257" i="11" s="1"/>
  <c r="CQ28" i="11" s="1"/>
  <c r="CQ118" i="11"/>
  <c r="Z58" i="11"/>
  <c r="Z75" i="11"/>
  <c r="CS110" i="11"/>
  <c r="CS228" i="11"/>
  <c r="CT103" i="11"/>
  <c r="CT221" i="11"/>
  <c r="CT113" i="11"/>
  <c r="CT231" i="11"/>
  <c r="CW247" i="11"/>
  <c r="CW120" i="11"/>
  <c r="CT100" i="11"/>
  <c r="CT217" i="11"/>
  <c r="CS233" i="11"/>
  <c r="CS115" i="11"/>
  <c r="CV223" i="11"/>
  <c r="CV105" i="11"/>
  <c r="CT252" i="11"/>
  <c r="CT125" i="11"/>
  <c r="CS95" i="11"/>
  <c r="CS246" i="11"/>
  <c r="EE238" i="11"/>
  <c r="EE87" i="11"/>
  <c r="CS244" i="11"/>
  <c r="CS93" i="11"/>
  <c r="CT245" i="11"/>
  <c r="CT94" i="11"/>
  <c r="CW86" i="11"/>
  <c r="CW237" i="11"/>
  <c r="CS241" i="11"/>
  <c r="CS90" i="11"/>
  <c r="CS256" i="11"/>
  <c r="CS129" i="11"/>
  <c r="CS227" i="11"/>
  <c r="CS109" i="11"/>
  <c r="DF112" i="11"/>
  <c r="DF230" i="11"/>
  <c r="CT88" i="11"/>
  <c r="CT239" i="11"/>
  <c r="CS253" i="11"/>
  <c r="CS126" i="11"/>
  <c r="CV248" i="11"/>
  <c r="CV121" i="11"/>
  <c r="CR104" i="11"/>
  <c r="CR222" i="11"/>
  <c r="CS250" i="11"/>
  <c r="CS123" i="11"/>
  <c r="CR119" i="11"/>
  <c r="CS254" i="11"/>
  <c r="CS127" i="11"/>
  <c r="DS114" i="11"/>
  <c r="DS232" i="11"/>
  <c r="CW111" i="11"/>
  <c r="CW229" i="11"/>
  <c r="CX107" i="11"/>
  <c r="CX225" i="11"/>
  <c r="CV124" i="11"/>
  <c r="CV251" i="11"/>
  <c r="CZ116" i="11"/>
  <c r="CZ234" i="11"/>
  <c r="CT117" i="11" l="1"/>
  <c r="CT235" i="11"/>
  <c r="CX243" i="11"/>
  <c r="CX92" i="11"/>
  <c r="CR236" i="11"/>
  <c r="CR118" i="11"/>
  <c r="CR257" i="11"/>
  <c r="CR28" i="11" s="1"/>
  <c r="CS104" i="11"/>
  <c r="CS222" i="11"/>
  <c r="DT114" i="11"/>
  <c r="DT232" i="11"/>
  <c r="CW248" i="11"/>
  <c r="CW121" i="11"/>
  <c r="CT227" i="11"/>
  <c r="CT109" i="11"/>
  <c r="CT241" i="11"/>
  <c r="CT90" i="11"/>
  <c r="EF87" i="11"/>
  <c r="EF238" i="11"/>
  <c r="CT115" i="11"/>
  <c r="CT233" i="11"/>
  <c r="CV231" i="11"/>
  <c r="CV113" i="11"/>
  <c r="DG230" i="11"/>
  <c r="DG112" i="11"/>
  <c r="CT256" i="11"/>
  <c r="CT129" i="11"/>
  <c r="CV103" i="11"/>
  <c r="CV221" i="11"/>
  <c r="AB29" i="13"/>
  <c r="L276" i="1" s="1"/>
  <c r="CV217" i="11"/>
  <c r="CV100" i="11"/>
  <c r="CY107" i="11"/>
  <c r="CY225" i="11"/>
  <c r="CX86" i="11"/>
  <c r="CX237" i="11"/>
  <c r="CT123" i="11"/>
  <c r="CT250" i="11"/>
  <c r="CS119" i="11"/>
  <c r="CV94" i="11"/>
  <c r="CV245" i="11"/>
  <c r="CV252" i="11"/>
  <c r="CV125" i="11"/>
  <c r="CT110" i="11"/>
  <c r="CT228" i="11"/>
  <c r="CW124" i="11"/>
  <c r="CW251" i="11"/>
  <c r="CT127" i="11"/>
  <c r="CT254" i="11"/>
  <c r="CT253" i="11"/>
  <c r="CT126" i="11"/>
  <c r="CT95" i="11"/>
  <c r="CT246" i="11"/>
  <c r="DA116" i="11"/>
  <c r="DA234" i="11"/>
  <c r="CV239" i="11"/>
  <c r="CV88" i="11"/>
  <c r="CX120" i="11"/>
  <c r="CX247" i="11"/>
  <c r="Z79" i="11"/>
  <c r="CX111" i="11"/>
  <c r="CX229" i="11"/>
  <c r="CT244" i="11"/>
  <c r="CT93" i="11"/>
  <c r="CW223" i="11"/>
  <c r="CW105" i="11"/>
  <c r="Z59" i="11"/>
  <c r="Z96" i="11"/>
  <c r="CY243" i="11" l="1"/>
  <c r="CY92" i="11"/>
  <c r="CV235" i="11"/>
  <c r="CV117" i="11"/>
  <c r="CS118" i="11"/>
  <c r="CS236" i="11"/>
  <c r="CS257" i="11" s="1"/>
  <c r="CS28" i="11" s="1"/>
  <c r="Z82" i="11"/>
  <c r="Z83" i="11" s="1"/>
  <c r="Z80" i="11"/>
  <c r="Z81" i="11" s="1"/>
  <c r="AA9" i="11" s="1"/>
  <c r="CY229" i="11"/>
  <c r="CY111" i="11"/>
  <c r="CW88" i="11"/>
  <c r="CW239" i="11"/>
  <c r="CW103" i="11"/>
  <c r="CW221" i="11"/>
  <c r="CY120" i="11"/>
  <c r="CY247" i="11"/>
  <c r="CX248" i="11"/>
  <c r="CX121" i="11"/>
  <c r="CV227" i="11"/>
  <c r="CV109" i="11"/>
  <c r="CW94" i="11"/>
  <c r="CW245" i="11"/>
  <c r="CV256" i="11"/>
  <c r="CV129" i="11"/>
  <c r="CV233" i="11"/>
  <c r="CV115" i="11"/>
  <c r="CV123" i="11"/>
  <c r="CV250" i="11"/>
  <c r="CT119" i="11"/>
  <c r="AB47" i="13" s="1"/>
  <c r="L325" i="1" s="1"/>
  <c r="CV127" i="11"/>
  <c r="CV254" i="11"/>
  <c r="DB116" i="11"/>
  <c r="DB234" i="11"/>
  <c r="CZ107" i="11"/>
  <c r="CZ225" i="11"/>
  <c r="CX223" i="11"/>
  <c r="CX105" i="11"/>
  <c r="CW100" i="11"/>
  <c r="CW217" i="11"/>
  <c r="EG87" i="11"/>
  <c r="EG238" i="11"/>
  <c r="DV114" i="11"/>
  <c r="DV232" i="11"/>
  <c r="CW252" i="11"/>
  <c r="CW125" i="11"/>
  <c r="CY86" i="11"/>
  <c r="CY237" i="11"/>
  <c r="CV244" i="11"/>
  <c r="CV93" i="11"/>
  <c r="CX251" i="11"/>
  <c r="CX124" i="11"/>
  <c r="CV95" i="11"/>
  <c r="CV246" i="11"/>
  <c r="CV110" i="11"/>
  <c r="CV228" i="11"/>
  <c r="DI112" i="11"/>
  <c r="DI230" i="11"/>
  <c r="CV90" i="11"/>
  <c r="CV241" i="11"/>
  <c r="CW113" i="11"/>
  <c r="CW231" i="11"/>
  <c r="Z98" i="11"/>
  <c r="Z97" i="11"/>
  <c r="AA216" i="11"/>
  <c r="AA218" i="11" s="1"/>
  <c r="AA27" i="11" s="1"/>
  <c r="AA39" i="11" s="1"/>
  <c r="AA207" i="11" s="1"/>
  <c r="CV253" i="11"/>
  <c r="CV126" i="11"/>
  <c r="CT104" i="11"/>
  <c r="CT222" i="11"/>
  <c r="CW235" i="11" l="1"/>
  <c r="CW117" i="11"/>
  <c r="CZ92" i="11"/>
  <c r="CZ243" i="11"/>
  <c r="CT118" i="11"/>
  <c r="CT236" i="11"/>
  <c r="CT257" i="11" s="1"/>
  <c r="CT28" i="11" s="1"/>
  <c r="CU28" i="11" s="1"/>
  <c r="CW233" i="11"/>
  <c r="CW115" i="11"/>
  <c r="CY121" i="11"/>
  <c r="CY248" i="11"/>
  <c r="CX239" i="11"/>
  <c r="CX88" i="11"/>
  <c r="CX231" i="11"/>
  <c r="CX113" i="11"/>
  <c r="CW95" i="11"/>
  <c r="CW246" i="11"/>
  <c r="CZ237" i="11"/>
  <c r="CZ86" i="11"/>
  <c r="CX100" i="11"/>
  <c r="CX217" i="11"/>
  <c r="DC234" i="11"/>
  <c r="DC116" i="11"/>
  <c r="CW256" i="11"/>
  <c r="CW129" i="11"/>
  <c r="CZ111" i="11"/>
  <c r="CZ229" i="11"/>
  <c r="CW123" i="11"/>
  <c r="CW250" i="11"/>
  <c r="CV119" i="11"/>
  <c r="DA107" i="11"/>
  <c r="DA225" i="11"/>
  <c r="CY251" i="11"/>
  <c r="CY124" i="11"/>
  <c r="CX252" i="11"/>
  <c r="CX125" i="11"/>
  <c r="CW241" i="11"/>
  <c r="CW90" i="11"/>
  <c r="CW127" i="11"/>
  <c r="CW254" i="11"/>
  <c r="AA75" i="11"/>
  <c r="AA79" i="11" s="1"/>
  <c r="AA58" i="11"/>
  <c r="CX245" i="11"/>
  <c r="CX94" i="11"/>
  <c r="CZ120" i="11"/>
  <c r="CZ247" i="11"/>
  <c r="CX103" i="11"/>
  <c r="CX221" i="11"/>
  <c r="CW110" i="11"/>
  <c r="CW228" i="11"/>
  <c r="CV104" i="11"/>
  <c r="CV222" i="11"/>
  <c r="AB44" i="13"/>
  <c r="L323" i="1" s="1"/>
  <c r="CW244" i="11"/>
  <c r="CW93" i="11"/>
  <c r="CY105" i="11"/>
  <c r="CY223" i="11"/>
  <c r="CW126" i="11"/>
  <c r="CW253" i="11"/>
  <c r="DJ112" i="11"/>
  <c r="DJ230" i="11"/>
  <c r="DW114" i="11"/>
  <c r="DW232" i="11"/>
  <c r="CW227" i="11"/>
  <c r="CW109" i="11"/>
  <c r="DA92" i="11" l="1"/>
  <c r="DA243" i="11"/>
  <c r="CX235" i="11"/>
  <c r="CX117" i="11"/>
  <c r="CV118" i="11"/>
  <c r="CV236" i="11"/>
  <c r="CV257" i="11" s="1"/>
  <c r="CV28" i="11" s="1"/>
  <c r="AB45" i="13"/>
  <c r="L324" i="1" s="1"/>
  <c r="DA120" i="11"/>
  <c r="DA247" i="11"/>
  <c r="CZ251" i="11"/>
  <c r="CZ124" i="11"/>
  <c r="DA111" i="11"/>
  <c r="DA229" i="11"/>
  <c r="DA237" i="11"/>
  <c r="DA86" i="11"/>
  <c r="CX127" i="11"/>
  <c r="CX254" i="11"/>
  <c r="CX256" i="11"/>
  <c r="CX129" i="11"/>
  <c r="CY239" i="11"/>
  <c r="CY88" i="11"/>
  <c r="DK112" i="11"/>
  <c r="DK230" i="11"/>
  <c r="CW104" i="11"/>
  <c r="CW222" i="11"/>
  <c r="CX253" i="11"/>
  <c r="CX126" i="11"/>
  <c r="CY94" i="11"/>
  <c r="CY245" i="11"/>
  <c r="CX241" i="11"/>
  <c r="CX90" i="11"/>
  <c r="CX95" i="11"/>
  <c r="CX246" i="11"/>
  <c r="DB107" i="11"/>
  <c r="DB225" i="11"/>
  <c r="CX228" i="11"/>
  <c r="CX110" i="11"/>
  <c r="DD234" i="11"/>
  <c r="DD116" i="11"/>
  <c r="CZ223" i="11"/>
  <c r="CZ105" i="11"/>
  <c r="AA59" i="11"/>
  <c r="AA96" i="11"/>
  <c r="CZ121" i="11"/>
  <c r="CZ248" i="11"/>
  <c r="CX227" i="11"/>
  <c r="CX109" i="11"/>
  <c r="CX93" i="11"/>
  <c r="CX244" i="11"/>
  <c r="CY103" i="11"/>
  <c r="CY221" i="11"/>
  <c r="CX233" i="11"/>
  <c r="CX115" i="11"/>
  <c r="CY113" i="11"/>
  <c r="CY231" i="11"/>
  <c r="DX114" i="11"/>
  <c r="DX232" i="11"/>
  <c r="CY125" i="11"/>
  <c r="CY252" i="11"/>
  <c r="CX123" i="11"/>
  <c r="CX250" i="11"/>
  <c r="CW119" i="11"/>
  <c r="CY100" i="11"/>
  <c r="CY217" i="11"/>
  <c r="CY117" i="11" l="1"/>
  <c r="CY235" i="11"/>
  <c r="DB92" i="11"/>
  <c r="DB243" i="11"/>
  <c r="AB52" i="13"/>
  <c r="CW118" i="11"/>
  <c r="CW236" i="11"/>
  <c r="CW257" i="11" s="1"/>
  <c r="CW28" i="11" s="1"/>
  <c r="CZ245" i="11"/>
  <c r="CZ94" i="11"/>
  <c r="CY93" i="11"/>
  <c r="CY244" i="11"/>
  <c r="DA223" i="11"/>
  <c r="DA105" i="11"/>
  <c r="CY126" i="11"/>
  <c r="CY253" i="11"/>
  <c r="CY129" i="11"/>
  <c r="CY256" i="11"/>
  <c r="CZ231" i="11"/>
  <c r="CZ113" i="11"/>
  <c r="CY233" i="11"/>
  <c r="CY115" i="11"/>
  <c r="DC107" i="11"/>
  <c r="DC225" i="11"/>
  <c r="DB111" i="11"/>
  <c r="DB229" i="11"/>
  <c r="CY109" i="11"/>
  <c r="CY227" i="11"/>
  <c r="DA124" i="11"/>
  <c r="DA251" i="11"/>
  <c r="CY254" i="11"/>
  <c r="CY127" i="11"/>
  <c r="AA82" i="11"/>
  <c r="AA83" i="11" s="1"/>
  <c r="AA80" i="11"/>
  <c r="AA81" i="11" s="1"/>
  <c r="AB9" i="11" s="1"/>
  <c r="CY250" i="11"/>
  <c r="CY123" i="11"/>
  <c r="CX119" i="11"/>
  <c r="DE234" i="11"/>
  <c r="DE116" i="11"/>
  <c r="CY246" i="11"/>
  <c r="CY95" i="11"/>
  <c r="CY110" i="11"/>
  <c r="CY228" i="11"/>
  <c r="CY90" i="11"/>
  <c r="CY241" i="11"/>
  <c r="DB237" i="11"/>
  <c r="DB86" i="11"/>
  <c r="CZ252" i="11"/>
  <c r="CZ125" i="11"/>
  <c r="CX104" i="11"/>
  <c r="CX222" i="11"/>
  <c r="DY114" i="11"/>
  <c r="DY232" i="11"/>
  <c r="DA121" i="11"/>
  <c r="DA248" i="11"/>
  <c r="DL112" i="11"/>
  <c r="DL230" i="11"/>
  <c r="DB247" i="11"/>
  <c r="DB120" i="11"/>
  <c r="CZ217" i="11"/>
  <c r="CZ100" i="11"/>
  <c r="CZ103" i="11"/>
  <c r="CZ221" i="11"/>
  <c r="AA97" i="11"/>
  <c r="AA98" i="11"/>
  <c r="AB216" i="11"/>
  <c r="AB218" i="11" s="1"/>
  <c r="AB27" i="11" s="1"/>
  <c r="AB39" i="11" s="1"/>
  <c r="AB207" i="11" s="1"/>
  <c r="CZ88" i="11"/>
  <c r="CZ239" i="11"/>
  <c r="DC92" i="11" l="1"/>
  <c r="DC243" i="11"/>
  <c r="CZ235" i="11"/>
  <c r="CZ117" i="11"/>
  <c r="CX236" i="11"/>
  <c r="CX118" i="11"/>
  <c r="CX257" i="11"/>
  <c r="CX28" i="11" s="1"/>
  <c r="CZ127" i="11"/>
  <c r="CZ254" i="11"/>
  <c r="DF116" i="11"/>
  <c r="DF234" i="11"/>
  <c r="DD107" i="11"/>
  <c r="DD225" i="11"/>
  <c r="CZ253" i="11"/>
  <c r="CZ126" i="11"/>
  <c r="DZ114" i="11"/>
  <c r="DZ232" i="11"/>
  <c r="CZ241" i="11"/>
  <c r="CZ90" i="11"/>
  <c r="CZ233" i="11"/>
  <c r="CZ115" i="11"/>
  <c r="DB223" i="11"/>
  <c r="DB105" i="11"/>
  <c r="DB124" i="11"/>
  <c r="DB251" i="11"/>
  <c r="CZ123" i="11"/>
  <c r="CZ250" i="11"/>
  <c r="CY119" i="11"/>
  <c r="DM112" i="11"/>
  <c r="DM230" i="11"/>
  <c r="DA103" i="11"/>
  <c r="DA221" i="11"/>
  <c r="CY104" i="11"/>
  <c r="CY222" i="11"/>
  <c r="DA100" i="11"/>
  <c r="DA217" i="11"/>
  <c r="DB248" i="11"/>
  <c r="DB121" i="11"/>
  <c r="DA125" i="11"/>
  <c r="DA252" i="11"/>
  <c r="CZ246" i="11"/>
  <c r="CZ95" i="11"/>
  <c r="CZ227" i="11"/>
  <c r="CZ109" i="11"/>
  <c r="CZ244" i="11"/>
  <c r="CZ93" i="11"/>
  <c r="CZ110" i="11"/>
  <c r="CZ228" i="11"/>
  <c r="DA231" i="11"/>
  <c r="DA113" i="11"/>
  <c r="DA239" i="11"/>
  <c r="DA88" i="11"/>
  <c r="DA245" i="11"/>
  <c r="DA94" i="11"/>
  <c r="AB75" i="11"/>
  <c r="AB79" i="11" s="1"/>
  <c r="AB58" i="11"/>
  <c r="DC120" i="11"/>
  <c r="DC247" i="11"/>
  <c r="DC86" i="11"/>
  <c r="DC237" i="11"/>
  <c r="DC111" i="11"/>
  <c r="DC229" i="11"/>
  <c r="CZ256" i="11"/>
  <c r="CZ129" i="11"/>
  <c r="DA235" i="11" l="1"/>
  <c r="DA117" i="11"/>
  <c r="DD243" i="11"/>
  <c r="DD92" i="11"/>
  <c r="CY236" i="11"/>
  <c r="CY257" i="11" s="1"/>
  <c r="CY28" i="11" s="1"/>
  <c r="CY118" i="11"/>
  <c r="DA95" i="11"/>
  <c r="DA246" i="11"/>
  <c r="CZ104" i="11"/>
  <c r="CZ222" i="11"/>
  <c r="DE225" i="11"/>
  <c r="DE107" i="11"/>
  <c r="AB59" i="11"/>
  <c r="AB96" i="11"/>
  <c r="DA250" i="11"/>
  <c r="DA123" i="11"/>
  <c r="CZ119" i="11"/>
  <c r="DA90" i="11"/>
  <c r="DA241" i="11"/>
  <c r="DB252" i="11"/>
  <c r="DB125" i="11"/>
  <c r="DB103" i="11"/>
  <c r="DB221" i="11"/>
  <c r="DG116" i="11"/>
  <c r="DG234" i="11"/>
  <c r="DD237" i="11"/>
  <c r="DD86" i="11"/>
  <c r="DC124" i="11"/>
  <c r="DC251" i="11"/>
  <c r="DB245" i="11"/>
  <c r="DB94" i="11"/>
  <c r="DN112" i="11"/>
  <c r="DN230" i="11"/>
  <c r="EA114" i="11"/>
  <c r="EA232" i="11"/>
  <c r="DA110" i="11"/>
  <c r="DA228" i="11"/>
  <c r="DA93" i="11"/>
  <c r="DA244" i="11"/>
  <c r="DB239" i="11"/>
  <c r="DB88" i="11"/>
  <c r="DD247" i="11"/>
  <c r="DD120" i="11"/>
  <c r="DA109" i="11"/>
  <c r="DA227" i="11"/>
  <c r="DC223" i="11"/>
  <c r="DC105" i="11"/>
  <c r="DA253" i="11"/>
  <c r="DA126" i="11"/>
  <c r="DA233" i="11"/>
  <c r="DA115" i="11"/>
  <c r="DA129" i="11"/>
  <c r="DA256" i="11"/>
  <c r="DC121" i="11"/>
  <c r="DC248" i="11"/>
  <c r="DD229" i="11"/>
  <c r="DD111" i="11"/>
  <c r="DB231" i="11"/>
  <c r="DB113" i="11"/>
  <c r="DB100" i="11"/>
  <c r="DB217" i="11"/>
  <c r="DA254" i="11"/>
  <c r="DA127" i="11"/>
  <c r="DE243" i="11" l="1"/>
  <c r="DE92" i="11"/>
  <c r="DB235" i="11"/>
  <c r="DB117" i="11"/>
  <c r="CZ236" i="11"/>
  <c r="CZ118" i="11"/>
  <c r="CZ257" i="11"/>
  <c r="CZ28" i="11" s="1"/>
  <c r="DC88" i="11"/>
  <c r="DC239" i="11"/>
  <c r="DC252" i="11"/>
  <c r="DC125" i="11"/>
  <c r="AB82" i="11"/>
  <c r="AB83" i="11" s="1"/>
  <c r="AB80" i="11"/>
  <c r="AB81" i="11" s="1"/>
  <c r="AC9" i="11" s="1"/>
  <c r="DC217" i="11"/>
  <c r="DC100" i="11"/>
  <c r="DE86" i="11"/>
  <c r="DE237" i="11"/>
  <c r="EB114" i="11"/>
  <c r="EB232" i="11"/>
  <c r="DO112" i="11"/>
  <c r="DO230" i="11"/>
  <c r="DB241" i="11"/>
  <c r="DB90" i="11"/>
  <c r="DF107" i="11"/>
  <c r="DF225" i="11"/>
  <c r="DA104" i="11"/>
  <c r="DA222" i="11"/>
  <c r="DB256" i="11"/>
  <c r="DB129" i="11"/>
  <c r="DB244" i="11"/>
  <c r="DB93" i="11"/>
  <c r="DB109" i="11"/>
  <c r="DB227" i="11"/>
  <c r="DB253" i="11"/>
  <c r="DB126" i="11"/>
  <c r="DB110" i="11"/>
  <c r="DB228" i="11"/>
  <c r="DI116" i="11"/>
  <c r="DI234" i="11"/>
  <c r="DB250" i="11"/>
  <c r="DB123" i="11"/>
  <c r="DA119" i="11"/>
  <c r="DD124" i="11"/>
  <c r="DD251" i="11"/>
  <c r="DE247" i="11"/>
  <c r="DE120" i="11"/>
  <c r="DB95" i="11"/>
  <c r="DB246" i="11"/>
  <c r="DC231" i="11"/>
  <c r="DC113" i="11"/>
  <c r="DB115" i="11"/>
  <c r="DB233" i="11"/>
  <c r="DE229" i="11"/>
  <c r="DE111" i="11"/>
  <c r="DC245" i="11"/>
  <c r="DC94" i="11"/>
  <c r="DB127" i="11"/>
  <c r="DB254" i="11"/>
  <c r="DD248" i="11"/>
  <c r="DD121" i="11"/>
  <c r="DD105" i="11"/>
  <c r="DD223" i="11"/>
  <c r="DC103" i="11"/>
  <c r="DC221" i="11"/>
  <c r="AB97" i="11"/>
  <c r="AB98" i="11"/>
  <c r="AC216" i="11"/>
  <c r="AC218" i="11" s="1"/>
  <c r="AC27" i="11" s="1"/>
  <c r="AC39" i="11" s="1"/>
  <c r="AC207" i="11" s="1"/>
  <c r="DC235" i="11" l="1"/>
  <c r="DC117" i="11"/>
  <c r="DF243" i="11"/>
  <c r="DF92" i="11"/>
  <c r="DA236" i="11"/>
  <c r="DA257" i="11" s="1"/>
  <c r="DA28" i="11" s="1"/>
  <c r="DA118" i="11"/>
  <c r="DD103" i="11"/>
  <c r="DD221" i="11"/>
  <c r="DC95" i="11"/>
  <c r="DC246" i="11"/>
  <c r="DC256" i="11"/>
  <c r="DC129" i="11"/>
  <c r="DD100" i="11"/>
  <c r="DD217" i="11"/>
  <c r="DP112" i="11"/>
  <c r="DP230" i="11"/>
  <c r="DB104" i="11"/>
  <c r="DB222" i="11"/>
  <c r="EC114" i="11"/>
  <c r="EC232" i="11"/>
  <c r="DE251" i="11"/>
  <c r="DE124" i="11"/>
  <c r="DC115" i="11"/>
  <c r="DC233" i="11"/>
  <c r="DD252" i="11"/>
  <c r="DD125" i="11"/>
  <c r="AC75" i="11"/>
  <c r="AC79" i="11" s="1"/>
  <c r="AC58" i="11"/>
  <c r="DD113" i="11"/>
  <c r="DD231" i="11"/>
  <c r="DC227" i="11"/>
  <c r="DC109" i="11"/>
  <c r="DG107" i="11"/>
  <c r="DG225" i="11"/>
  <c r="DF237" i="11"/>
  <c r="DF86" i="11"/>
  <c r="DE105" i="11"/>
  <c r="DE223" i="11"/>
  <c r="DC253" i="11"/>
  <c r="DC126" i="11"/>
  <c r="DE248" i="11"/>
  <c r="DE121" i="11"/>
  <c r="DC123" i="11"/>
  <c r="DC250" i="11"/>
  <c r="DB119" i="11"/>
  <c r="DC127" i="11"/>
  <c r="DC254" i="11"/>
  <c r="DC244" i="11"/>
  <c r="DC93" i="11"/>
  <c r="DC241" i="11"/>
  <c r="DC90" i="11"/>
  <c r="DF111" i="11"/>
  <c r="DF229" i="11"/>
  <c r="DC110" i="11"/>
  <c r="DC228" i="11"/>
  <c r="DD94" i="11"/>
  <c r="DD245" i="11"/>
  <c r="DF247" i="11"/>
  <c r="DF120" i="11"/>
  <c r="DJ116" i="11"/>
  <c r="DJ234" i="11"/>
  <c r="DD88" i="11"/>
  <c r="DD239" i="11"/>
  <c r="DG243" i="11" l="1"/>
  <c r="DG92" i="11"/>
  <c r="DD235" i="11"/>
  <c r="DD117" i="11"/>
  <c r="DB236" i="11"/>
  <c r="DB118" i="11"/>
  <c r="DB257" i="11"/>
  <c r="DB28" i="11" s="1"/>
  <c r="DD227" i="11"/>
  <c r="DD109" i="11"/>
  <c r="DE100" i="11"/>
  <c r="DE217" i="11"/>
  <c r="DE252" i="11"/>
  <c r="DE125" i="11"/>
  <c r="DC104" i="11"/>
  <c r="DC222" i="11"/>
  <c r="DD256" i="11"/>
  <c r="DD129" i="11"/>
  <c r="DK116" i="11"/>
  <c r="DK234" i="11"/>
  <c r="DF223" i="11"/>
  <c r="DF105" i="11"/>
  <c r="DE231" i="11"/>
  <c r="DE113" i="11"/>
  <c r="DD115" i="11"/>
  <c r="DD233" i="11"/>
  <c r="DD253" i="11"/>
  <c r="DD126" i="11"/>
  <c r="DD90" i="11"/>
  <c r="DD241" i="11"/>
  <c r="DF124" i="11"/>
  <c r="DF251" i="11"/>
  <c r="ED114" i="11"/>
  <c r="ED232" i="11"/>
  <c r="DG120" i="11"/>
  <c r="DG247" i="11"/>
  <c r="DE239" i="11"/>
  <c r="DE88" i="11"/>
  <c r="DD250" i="11"/>
  <c r="DD123" i="11"/>
  <c r="DC119" i="11"/>
  <c r="DD95" i="11"/>
  <c r="DD246" i="11"/>
  <c r="DD110" i="11"/>
  <c r="DD228" i="11"/>
  <c r="DE94" i="11"/>
  <c r="DE245" i="11"/>
  <c r="DD244" i="11"/>
  <c r="DD93" i="11"/>
  <c r="DF248" i="11"/>
  <c r="DF121" i="11"/>
  <c r="AC59" i="11"/>
  <c r="AC96" i="11"/>
  <c r="DQ112" i="11"/>
  <c r="DQ230" i="11"/>
  <c r="DD254" i="11"/>
  <c r="DD127" i="11"/>
  <c r="DG111" i="11"/>
  <c r="DG229" i="11"/>
  <c r="DG86" i="11"/>
  <c r="DG237" i="11"/>
  <c r="DI107" i="11"/>
  <c r="DI225" i="11"/>
  <c r="DE103" i="11"/>
  <c r="DE221" i="11"/>
  <c r="DE235" i="11" l="1"/>
  <c r="DE117" i="11"/>
  <c r="DI92" i="11"/>
  <c r="DI243" i="11"/>
  <c r="DC118" i="11"/>
  <c r="DC236" i="11"/>
  <c r="DC257" i="11" s="1"/>
  <c r="DC28" i="11" s="1"/>
  <c r="DE110" i="11"/>
  <c r="DE228" i="11"/>
  <c r="DG124" i="11"/>
  <c r="DG251" i="11"/>
  <c r="DD104" i="11"/>
  <c r="DD222" i="11"/>
  <c r="DG105" i="11"/>
  <c r="DG223" i="11"/>
  <c r="DF252" i="11"/>
  <c r="DF125" i="11"/>
  <c r="DF103" i="11"/>
  <c r="DF221" i="11"/>
  <c r="DJ225" i="11"/>
  <c r="DJ107" i="11"/>
  <c r="DE241" i="11"/>
  <c r="DE90" i="11"/>
  <c r="DI111" i="11"/>
  <c r="DI229" i="11"/>
  <c r="DE127" i="11"/>
  <c r="DE254" i="11"/>
  <c r="DF231" i="11"/>
  <c r="DF113" i="11"/>
  <c r="DE123" i="11"/>
  <c r="DE250" i="11"/>
  <c r="DD119" i="11"/>
  <c r="DI120" i="11"/>
  <c r="DI247" i="11"/>
  <c r="DL116" i="11"/>
  <c r="DL234" i="11"/>
  <c r="DF217" i="11"/>
  <c r="DF100" i="11"/>
  <c r="DG121" i="11"/>
  <c r="DG248" i="11"/>
  <c r="DE95" i="11"/>
  <c r="DE246" i="11"/>
  <c r="DR112" i="11"/>
  <c r="DR230" i="11"/>
  <c r="DF245" i="11"/>
  <c r="DF94" i="11"/>
  <c r="DI86" i="11"/>
  <c r="DI237" i="11"/>
  <c r="AC97" i="11"/>
  <c r="AC98" i="11"/>
  <c r="AD216" i="11"/>
  <c r="AD218" i="11" s="1"/>
  <c r="AD27" i="11" s="1"/>
  <c r="AD39" i="11" s="1"/>
  <c r="AD207" i="11" s="1"/>
  <c r="DE129" i="11"/>
  <c r="DE256" i="11"/>
  <c r="DE227" i="11"/>
  <c r="DE109" i="11"/>
  <c r="DE244" i="11"/>
  <c r="DE93" i="11"/>
  <c r="DE126" i="11"/>
  <c r="DE253" i="11"/>
  <c r="AC82" i="11"/>
  <c r="AC83" i="11" s="1"/>
  <c r="AC80" i="11"/>
  <c r="AC81" i="11" s="1"/>
  <c r="AD9" i="11" s="1"/>
  <c r="DF239" i="11"/>
  <c r="DF88" i="11"/>
  <c r="EE114" i="11"/>
  <c r="EE232" i="11"/>
  <c r="DE115" i="11"/>
  <c r="DE233" i="11"/>
  <c r="DJ92" i="11" l="1"/>
  <c r="DJ243" i="11"/>
  <c r="DF235" i="11"/>
  <c r="DF117" i="11"/>
  <c r="DD236" i="11"/>
  <c r="DD257" i="11" s="1"/>
  <c r="DD28" i="11" s="1"/>
  <c r="DD118" i="11"/>
  <c r="DS112" i="11"/>
  <c r="DS230" i="11"/>
  <c r="DM234" i="11"/>
  <c r="DM116" i="11"/>
  <c r="DE104" i="11"/>
  <c r="DE222" i="11"/>
  <c r="DF93" i="11"/>
  <c r="DF244" i="11"/>
  <c r="DF95" i="11"/>
  <c r="DF246" i="11"/>
  <c r="DF254" i="11"/>
  <c r="DF127" i="11"/>
  <c r="DG103" i="11"/>
  <c r="DG221" i="11"/>
  <c r="DI251" i="11"/>
  <c r="DI124" i="11"/>
  <c r="DF227" i="11"/>
  <c r="DF109" i="11"/>
  <c r="DJ120" i="11"/>
  <c r="DJ247" i="11"/>
  <c r="DG125" i="11"/>
  <c r="DG252" i="11"/>
  <c r="DJ86" i="11"/>
  <c r="DJ237" i="11"/>
  <c r="DJ111" i="11"/>
  <c r="DJ229" i="11"/>
  <c r="DF233" i="11"/>
  <c r="DF115" i="11"/>
  <c r="DI248" i="11"/>
  <c r="DI121" i="11"/>
  <c r="EF114" i="11"/>
  <c r="EF232" i="11"/>
  <c r="DG94" i="11"/>
  <c r="DG245" i="11"/>
  <c r="DG217" i="11"/>
  <c r="DG100" i="11"/>
  <c r="DF241" i="11"/>
  <c r="DF90" i="11"/>
  <c r="DI223" i="11"/>
  <c r="DI105" i="11"/>
  <c r="DF228" i="11"/>
  <c r="DF110" i="11"/>
  <c r="DG88" i="11"/>
  <c r="DG239" i="11"/>
  <c r="DF253" i="11"/>
  <c r="DF126" i="11"/>
  <c r="DF256" i="11"/>
  <c r="DF129" i="11"/>
  <c r="DF123" i="11"/>
  <c r="DF250" i="11"/>
  <c r="DE119" i="11"/>
  <c r="AD58" i="11"/>
  <c r="AD75" i="11"/>
  <c r="AD79" i="11" s="1"/>
  <c r="DG113" i="11"/>
  <c r="DG231" i="11"/>
  <c r="DK107" i="11"/>
  <c r="DK225" i="11"/>
  <c r="DG117" i="11" l="1"/>
  <c r="DG235" i="11"/>
  <c r="DK243" i="11"/>
  <c r="DK92" i="11"/>
  <c r="DE118" i="11"/>
  <c r="DE236" i="11"/>
  <c r="DE257" i="11" s="1"/>
  <c r="DE28" i="11" s="1"/>
  <c r="DJ121" i="11"/>
  <c r="DJ248" i="11"/>
  <c r="DK237" i="11"/>
  <c r="DK86" i="11"/>
  <c r="DG126" i="11"/>
  <c r="DG253" i="11"/>
  <c r="DG109" i="11"/>
  <c r="DG227" i="11"/>
  <c r="DG115" i="11"/>
  <c r="DG233" i="11"/>
  <c r="DG95" i="11"/>
  <c r="DG246" i="11"/>
  <c r="DT112" i="11"/>
  <c r="DT230" i="11"/>
  <c r="DJ124" i="11"/>
  <c r="DJ251" i="11"/>
  <c r="AD59" i="11"/>
  <c r="AD96" i="11"/>
  <c r="DG93" i="11"/>
  <c r="DG244" i="11"/>
  <c r="DG90" i="11"/>
  <c r="DG241" i="11"/>
  <c r="DI231" i="11"/>
  <c r="DI113" i="11"/>
  <c r="AD29" i="13"/>
  <c r="M276" i="1" s="1"/>
  <c r="DI217" i="11"/>
  <c r="DI100" i="11"/>
  <c r="DI252" i="11"/>
  <c r="DI125" i="11"/>
  <c r="DG123" i="11"/>
  <c r="DG250" i="11"/>
  <c r="DF119" i="11"/>
  <c r="DI245" i="11"/>
  <c r="DI94" i="11"/>
  <c r="DL107" i="11"/>
  <c r="DL225" i="11"/>
  <c r="DG129" i="11"/>
  <c r="DG256" i="11"/>
  <c r="DJ223" i="11"/>
  <c r="DJ105" i="11"/>
  <c r="DK247" i="11"/>
  <c r="DK120" i="11"/>
  <c r="DI103" i="11"/>
  <c r="DI221" i="11"/>
  <c r="DF104" i="11"/>
  <c r="DF222" i="11"/>
  <c r="DI88" i="11"/>
  <c r="DI239" i="11"/>
  <c r="DG228" i="11"/>
  <c r="DG110" i="11"/>
  <c r="EG114" i="11"/>
  <c r="EG232" i="11"/>
  <c r="DK111" i="11"/>
  <c r="DK229" i="11"/>
  <c r="DG127" i="11"/>
  <c r="DG254" i="11"/>
  <c r="DN116" i="11"/>
  <c r="DN234" i="11"/>
  <c r="DL92" i="11" l="1"/>
  <c r="DL243" i="11"/>
  <c r="DI235" i="11"/>
  <c r="DI117" i="11"/>
  <c r="DF236" i="11"/>
  <c r="DF118" i="11"/>
  <c r="DF257" i="11"/>
  <c r="DF28" i="11" s="1"/>
  <c r="DJ239" i="11"/>
  <c r="DJ88" i="11"/>
  <c r="DL120" i="11"/>
  <c r="DL247" i="11"/>
  <c r="DM225" i="11"/>
  <c r="DM107" i="11"/>
  <c r="DJ217" i="11"/>
  <c r="DJ100" i="11"/>
  <c r="DJ231" i="11"/>
  <c r="DJ113" i="11"/>
  <c r="DV112" i="11"/>
  <c r="DV230" i="11"/>
  <c r="DI253" i="11"/>
  <c r="DI126" i="11"/>
  <c r="DK251" i="11"/>
  <c r="DK124" i="11"/>
  <c r="DL86" i="11"/>
  <c r="DL237" i="11"/>
  <c r="DJ245" i="11"/>
  <c r="DJ94" i="11"/>
  <c r="DI241" i="11"/>
  <c r="DI90" i="11"/>
  <c r="DL111" i="11"/>
  <c r="DL229" i="11"/>
  <c r="DK223" i="11"/>
  <c r="DK105" i="11"/>
  <c r="DG104" i="11"/>
  <c r="DG222" i="11"/>
  <c r="DI228" i="11"/>
  <c r="DI110" i="11"/>
  <c r="DI123" i="11"/>
  <c r="DI250" i="11"/>
  <c r="DG119" i="11"/>
  <c r="AD47" i="13" s="1"/>
  <c r="M325" i="1" s="1"/>
  <c r="DI244" i="11"/>
  <c r="DI93" i="11"/>
  <c r="DI246" i="11"/>
  <c r="DI95" i="11"/>
  <c r="DI227" i="11"/>
  <c r="DI109" i="11"/>
  <c r="DJ103" i="11"/>
  <c r="DJ221" i="11"/>
  <c r="DI256" i="11"/>
  <c r="DI129" i="11"/>
  <c r="DJ125" i="11"/>
  <c r="DJ252" i="11"/>
  <c r="AD97" i="11"/>
  <c r="AD98" i="11"/>
  <c r="AE216" i="11"/>
  <c r="AE218" i="11" s="1"/>
  <c r="AE27" i="11" s="1"/>
  <c r="AE39" i="11" s="1"/>
  <c r="AE207" i="11" s="1"/>
  <c r="DO116" i="11"/>
  <c r="DO234" i="11"/>
  <c r="DI127" i="11"/>
  <c r="DI254" i="11"/>
  <c r="AD82" i="11"/>
  <c r="AD83" i="11" s="1"/>
  <c r="AD80" i="11"/>
  <c r="AD81" i="11" s="1"/>
  <c r="AE9" i="11" s="1"/>
  <c r="DI233" i="11"/>
  <c r="DI115" i="11"/>
  <c r="DK121" i="11"/>
  <c r="DK248" i="11"/>
  <c r="DJ235" i="11" l="1"/>
  <c r="DJ117" i="11"/>
  <c r="DM243" i="11"/>
  <c r="DM92" i="11"/>
  <c r="DG118" i="11"/>
  <c r="DG236" i="11"/>
  <c r="DG257" i="11" s="1"/>
  <c r="DG28" i="11" s="1"/>
  <c r="DH28" i="11" s="1"/>
  <c r="DI104" i="11"/>
  <c r="DI222" i="11"/>
  <c r="AD44" i="13"/>
  <c r="M323" i="1" s="1"/>
  <c r="DW112" i="11"/>
  <c r="DW230" i="11"/>
  <c r="DM237" i="11"/>
  <c r="DM86" i="11"/>
  <c r="DJ254" i="11"/>
  <c r="DJ127" i="11"/>
  <c r="DJ250" i="11"/>
  <c r="DJ123" i="11"/>
  <c r="DI119" i="11"/>
  <c r="DL124" i="11"/>
  <c r="DL251" i="11"/>
  <c r="DK231" i="11"/>
  <c r="DK113" i="11"/>
  <c r="DM111" i="11"/>
  <c r="DM229" i="11"/>
  <c r="DM120" i="11"/>
  <c r="DM247" i="11"/>
  <c r="DK103" i="11"/>
  <c r="DK221" i="11"/>
  <c r="DL105" i="11"/>
  <c r="DL223" i="11"/>
  <c r="DL248" i="11"/>
  <c r="DL121" i="11"/>
  <c r="DP116" i="11"/>
  <c r="DP234" i="11"/>
  <c r="DK252" i="11"/>
  <c r="DK125" i="11"/>
  <c r="DJ246" i="11"/>
  <c r="DJ95" i="11"/>
  <c r="DJ110" i="11"/>
  <c r="DJ228" i="11"/>
  <c r="DJ241" i="11"/>
  <c r="DJ90" i="11"/>
  <c r="DJ253" i="11"/>
  <c r="DJ126" i="11"/>
  <c r="DJ109" i="11"/>
  <c r="DJ227" i="11"/>
  <c r="AE58" i="11"/>
  <c r="AE75" i="11"/>
  <c r="AE79" i="11" s="1"/>
  <c r="DJ129" i="11"/>
  <c r="DJ256" i="11"/>
  <c r="DK239" i="11"/>
  <c r="DK88" i="11"/>
  <c r="DN107" i="11"/>
  <c r="DN225" i="11"/>
  <c r="DJ233" i="11"/>
  <c r="DJ115" i="11"/>
  <c r="DJ93" i="11"/>
  <c r="DJ244" i="11"/>
  <c r="DK245" i="11"/>
  <c r="DK94" i="11"/>
  <c r="DK217" i="11"/>
  <c r="DK100" i="11"/>
  <c r="DN243" i="11" l="1"/>
  <c r="DN92" i="11"/>
  <c r="DK235" i="11"/>
  <c r="DK117" i="11"/>
  <c r="DI118" i="11"/>
  <c r="DI236" i="11"/>
  <c r="DI257" i="11" s="1"/>
  <c r="DI28" i="11" s="1"/>
  <c r="AD45" i="13"/>
  <c r="M324" i="1" s="1"/>
  <c r="DL88" i="11"/>
  <c r="DL239" i="11"/>
  <c r="DK110" i="11"/>
  <c r="DK228" i="11"/>
  <c r="DL113" i="11"/>
  <c r="DL231" i="11"/>
  <c r="DX112" i="11"/>
  <c r="DX230" i="11"/>
  <c r="DK95" i="11"/>
  <c r="DK246" i="11"/>
  <c r="DK253" i="11"/>
  <c r="DK126" i="11"/>
  <c r="DK233" i="11"/>
  <c r="DK115" i="11"/>
  <c r="DL103" i="11"/>
  <c r="DL221" i="11"/>
  <c r="DK241" i="11"/>
  <c r="DK90" i="11"/>
  <c r="DM124" i="11"/>
  <c r="DM251" i="11"/>
  <c r="DN86" i="11"/>
  <c r="DN237" i="11"/>
  <c r="DJ104" i="11"/>
  <c r="DJ222" i="11"/>
  <c r="DN229" i="11"/>
  <c r="DN111" i="11"/>
  <c r="DK244" i="11"/>
  <c r="DK93" i="11"/>
  <c r="DK256" i="11"/>
  <c r="DK129" i="11"/>
  <c r="DL252" i="11"/>
  <c r="DL125" i="11"/>
  <c r="DL100" i="11"/>
  <c r="DL217" i="11"/>
  <c r="DO107" i="11"/>
  <c r="DO225" i="11"/>
  <c r="DN120" i="11"/>
  <c r="DN247" i="11"/>
  <c r="DK127" i="11"/>
  <c r="DK254" i="11"/>
  <c r="DM105" i="11"/>
  <c r="DM223" i="11"/>
  <c r="AE59" i="11"/>
  <c r="AE96" i="11"/>
  <c r="DQ116" i="11"/>
  <c r="DQ234" i="11"/>
  <c r="DL245" i="11"/>
  <c r="DL94" i="11"/>
  <c r="DK109" i="11"/>
  <c r="DK227" i="11"/>
  <c r="DM121" i="11"/>
  <c r="DM248" i="11"/>
  <c r="DK123" i="11"/>
  <c r="DK250" i="11"/>
  <c r="DJ119" i="11"/>
  <c r="AD52" i="13" l="1"/>
  <c r="DL235" i="11"/>
  <c r="DL117" i="11"/>
  <c r="DO92" i="11"/>
  <c r="DO243" i="11"/>
  <c r="DJ118" i="11"/>
  <c r="DJ236" i="11"/>
  <c r="DJ257" i="11" s="1"/>
  <c r="DJ28" i="11" s="1"/>
  <c r="DL127" i="11"/>
  <c r="DL254" i="11"/>
  <c r="DL244" i="11"/>
  <c r="DL93" i="11"/>
  <c r="DL123" i="11"/>
  <c r="DL250" i="11"/>
  <c r="DK119" i="11"/>
  <c r="DN124" i="11"/>
  <c r="DN251" i="11"/>
  <c r="DM231" i="11"/>
  <c r="DM113" i="11"/>
  <c r="DL90" i="11"/>
  <c r="DL241" i="11"/>
  <c r="DL129" i="11"/>
  <c r="DL256" i="11"/>
  <c r="DY112" i="11"/>
  <c r="DY230" i="11"/>
  <c r="DM252" i="11"/>
  <c r="DM125" i="11"/>
  <c r="DN248" i="11"/>
  <c r="DN121" i="11"/>
  <c r="DP107" i="11"/>
  <c r="DP225" i="11"/>
  <c r="DK104" i="11"/>
  <c r="DK222" i="11"/>
  <c r="DM103" i="11"/>
  <c r="DM221" i="11"/>
  <c r="DL110" i="11"/>
  <c r="DL228" i="11"/>
  <c r="AE98" i="11"/>
  <c r="AE97" i="11"/>
  <c r="AF216" i="11"/>
  <c r="AF218" i="11" s="1"/>
  <c r="AF27" i="11" s="1"/>
  <c r="AF39" i="11" s="1"/>
  <c r="AF207" i="11" s="1"/>
  <c r="DR116" i="11"/>
  <c r="DR234" i="11"/>
  <c r="DO111" i="11"/>
  <c r="DO229" i="11"/>
  <c r="DO120" i="11"/>
  <c r="DO247" i="11"/>
  <c r="AE82" i="11"/>
  <c r="AE83" i="11" s="1"/>
  <c r="AE80" i="11"/>
  <c r="AE81" i="11" s="1"/>
  <c r="AF9" i="11" s="1"/>
  <c r="DL253" i="11"/>
  <c r="DL126" i="11"/>
  <c r="DL227" i="11"/>
  <c r="DL109" i="11"/>
  <c r="DN223" i="11"/>
  <c r="DN105" i="11"/>
  <c r="DM94" i="11"/>
  <c r="DM245" i="11"/>
  <c r="DM217" i="11"/>
  <c r="DM100" i="11"/>
  <c r="DO237" i="11"/>
  <c r="DO86" i="11"/>
  <c r="DL115" i="11"/>
  <c r="DL233" i="11"/>
  <c r="DL95" i="11"/>
  <c r="DL246" i="11"/>
  <c r="DM239" i="11"/>
  <c r="DM88" i="11"/>
  <c r="DP243" i="11" l="1"/>
  <c r="DP92" i="11"/>
  <c r="DM235" i="11"/>
  <c r="DM117" i="11"/>
  <c r="DK236" i="11"/>
  <c r="DK118" i="11"/>
  <c r="DK257" i="11"/>
  <c r="DK28" i="11" s="1"/>
  <c r="DN94" i="11"/>
  <c r="DN245" i="11"/>
  <c r="DM256" i="11"/>
  <c r="DM129" i="11"/>
  <c r="DM90" i="11"/>
  <c r="DM241" i="11"/>
  <c r="DM244" i="11"/>
  <c r="DM93" i="11"/>
  <c r="DO248" i="11"/>
  <c r="DO121" i="11"/>
  <c r="DM227" i="11"/>
  <c r="DM109" i="11"/>
  <c r="DN103" i="11"/>
  <c r="DN221" i="11"/>
  <c r="DN252" i="11"/>
  <c r="DN125" i="11"/>
  <c r="DN231" i="11"/>
  <c r="DN113" i="11"/>
  <c r="DM110" i="11"/>
  <c r="DM228" i="11"/>
  <c r="AF58" i="11"/>
  <c r="AF75" i="11"/>
  <c r="AF79" i="11" s="1"/>
  <c r="DM253" i="11"/>
  <c r="DM126" i="11"/>
  <c r="DP111" i="11"/>
  <c r="DP229" i="11"/>
  <c r="DL104" i="11"/>
  <c r="DL222" i="11"/>
  <c r="DM246" i="11"/>
  <c r="DM95" i="11"/>
  <c r="DM115" i="11"/>
  <c r="DM233" i="11"/>
  <c r="DP237" i="11"/>
  <c r="DP86" i="11"/>
  <c r="DP120" i="11"/>
  <c r="DP247" i="11"/>
  <c r="DN239" i="11"/>
  <c r="DN88" i="11"/>
  <c r="DZ112" i="11"/>
  <c r="DZ230" i="11"/>
  <c r="DO124" i="11"/>
  <c r="DO251" i="11"/>
  <c r="DO223" i="11"/>
  <c r="DO105" i="11"/>
  <c r="DM250" i="11"/>
  <c r="DM123" i="11"/>
  <c r="DL119" i="11"/>
  <c r="DN100" i="11"/>
  <c r="DN217" i="11"/>
  <c r="DS116" i="11"/>
  <c r="DS234" i="11"/>
  <c r="DQ107" i="11"/>
  <c r="DQ225" i="11"/>
  <c r="DM254" i="11"/>
  <c r="DM127" i="11"/>
  <c r="DN117" i="11" l="1"/>
  <c r="DN235" i="11"/>
  <c r="DQ92" i="11"/>
  <c r="DQ243" i="11"/>
  <c r="DL118" i="11"/>
  <c r="DL236" i="11"/>
  <c r="DL257" i="11"/>
  <c r="DL28" i="11" s="1"/>
  <c r="DO239" i="11"/>
  <c r="DO88" i="11"/>
  <c r="DO231" i="11"/>
  <c r="DO113" i="11"/>
  <c r="DN227" i="11"/>
  <c r="DN109" i="11"/>
  <c r="DN241" i="11"/>
  <c r="DN90" i="11"/>
  <c r="DN123" i="11"/>
  <c r="DN250" i="11"/>
  <c r="DM119" i="11"/>
  <c r="DP105" i="11"/>
  <c r="DP223" i="11"/>
  <c r="DQ111" i="11"/>
  <c r="DQ229" i="11"/>
  <c r="DR107" i="11"/>
  <c r="DR225" i="11"/>
  <c r="DN233" i="11"/>
  <c r="DN115" i="11"/>
  <c r="DN95" i="11"/>
  <c r="DN246" i="11"/>
  <c r="DN126" i="11"/>
  <c r="DN253" i="11"/>
  <c r="DO252" i="11"/>
  <c r="DO125" i="11"/>
  <c r="DN256" i="11"/>
  <c r="DN129" i="11"/>
  <c r="DM104" i="11"/>
  <c r="DM222" i="11"/>
  <c r="DP121" i="11"/>
  <c r="DP248" i="11"/>
  <c r="DN110" i="11"/>
  <c r="DN228" i="11"/>
  <c r="DO100" i="11"/>
  <c r="DO217" i="11"/>
  <c r="DN127" i="11"/>
  <c r="DN254" i="11"/>
  <c r="DP251" i="11"/>
  <c r="DP124" i="11"/>
  <c r="DQ237" i="11"/>
  <c r="DQ86" i="11"/>
  <c r="AF59" i="11"/>
  <c r="AF96" i="11"/>
  <c r="DO103" i="11"/>
  <c r="DO221" i="11"/>
  <c r="DN244" i="11"/>
  <c r="DN93" i="11"/>
  <c r="DT116" i="11"/>
  <c r="DT234" i="11"/>
  <c r="DQ120" i="11"/>
  <c r="DQ247" i="11"/>
  <c r="EA112" i="11"/>
  <c r="EA230" i="11"/>
  <c r="DO245" i="11"/>
  <c r="DO94" i="11"/>
  <c r="DR92" i="11" l="1"/>
  <c r="DR243" i="11"/>
  <c r="DO117" i="11"/>
  <c r="DO235" i="11"/>
  <c r="DM118" i="11"/>
  <c r="DM236" i="11"/>
  <c r="DM257" i="11" s="1"/>
  <c r="DM28" i="11" s="1"/>
  <c r="DO93" i="11"/>
  <c r="DO244" i="11"/>
  <c r="DP94" i="11"/>
  <c r="DP245" i="11"/>
  <c r="DV234" i="11"/>
  <c r="DV116" i="11"/>
  <c r="DQ124" i="11"/>
  <c r="DQ251" i="11"/>
  <c r="DO227" i="11"/>
  <c r="DO109" i="11"/>
  <c r="DP217" i="11"/>
  <c r="DP100" i="11"/>
  <c r="DN104" i="11"/>
  <c r="DN222" i="11"/>
  <c r="DO95" i="11"/>
  <c r="DO246" i="11"/>
  <c r="DQ223" i="11"/>
  <c r="DQ105" i="11"/>
  <c r="DP113" i="11"/>
  <c r="DP231" i="11"/>
  <c r="DO253" i="11"/>
  <c r="DO126" i="11"/>
  <c r="DO256" i="11"/>
  <c r="DO129" i="11"/>
  <c r="DQ248" i="11"/>
  <c r="DQ121" i="11"/>
  <c r="DO254" i="11"/>
  <c r="DO127" i="11"/>
  <c r="DO233" i="11"/>
  <c r="DO115" i="11"/>
  <c r="DR120" i="11"/>
  <c r="DR247" i="11"/>
  <c r="AF97" i="11"/>
  <c r="AF98" i="11"/>
  <c r="AG216" i="11"/>
  <c r="AG218" i="11" s="1"/>
  <c r="AG27" i="11" s="1"/>
  <c r="DP239" i="11"/>
  <c r="DP88" i="11"/>
  <c r="DR111" i="11"/>
  <c r="DR229" i="11"/>
  <c r="EB112" i="11"/>
  <c r="EB230" i="11"/>
  <c r="DP221" i="11"/>
  <c r="DP103" i="11"/>
  <c r="AF82" i="11"/>
  <c r="AF83" i="11" s="1"/>
  <c r="AF80" i="11"/>
  <c r="AF81" i="11" s="1"/>
  <c r="AG9" i="11" s="1"/>
  <c r="DP125" i="11"/>
  <c r="DP252" i="11"/>
  <c r="DO250" i="11"/>
  <c r="DO123" i="11"/>
  <c r="DN119" i="11"/>
  <c r="DR86" i="11"/>
  <c r="DR237" i="11"/>
  <c r="DO110" i="11"/>
  <c r="DO228" i="11"/>
  <c r="DS107" i="11"/>
  <c r="DS225" i="11"/>
  <c r="DO241" i="11"/>
  <c r="DO90" i="11"/>
  <c r="DP117" i="11" l="1"/>
  <c r="DP235" i="11"/>
  <c r="DS243" i="11"/>
  <c r="DS92" i="11"/>
  <c r="DN118" i="11"/>
  <c r="DN236" i="11"/>
  <c r="DN257" i="11" s="1"/>
  <c r="DN28" i="11" s="1"/>
  <c r="AG39" i="11"/>
  <c r="AG207" i="11" s="1"/>
  <c r="AH27" i="11"/>
  <c r="DP126" i="11"/>
  <c r="DP253" i="11"/>
  <c r="DQ103" i="11"/>
  <c r="DQ221" i="11"/>
  <c r="DP110" i="11"/>
  <c r="DP228" i="11"/>
  <c r="DQ217" i="11"/>
  <c r="DQ100" i="11"/>
  <c r="DW234" i="11"/>
  <c r="DW116" i="11"/>
  <c r="DQ231" i="11"/>
  <c r="DQ113" i="11"/>
  <c r="DO104" i="11"/>
  <c r="DO222" i="11"/>
  <c r="DP109" i="11"/>
  <c r="DP227" i="11"/>
  <c r="DQ252" i="11"/>
  <c r="DQ125" i="11"/>
  <c r="DS86" i="11"/>
  <c r="DS237" i="11"/>
  <c r="DP90" i="11"/>
  <c r="DP241" i="11"/>
  <c r="DS111" i="11"/>
  <c r="DS229" i="11"/>
  <c r="DS247" i="11"/>
  <c r="DS120" i="11"/>
  <c r="DQ245" i="11"/>
  <c r="DQ94" i="11"/>
  <c r="DP254" i="11"/>
  <c r="DP127" i="11"/>
  <c r="EC112" i="11"/>
  <c r="EC230" i="11"/>
  <c r="DR248" i="11"/>
  <c r="DR121" i="11"/>
  <c r="DP129" i="11"/>
  <c r="DP256" i="11"/>
  <c r="DR105" i="11"/>
  <c r="DR223" i="11"/>
  <c r="DQ88" i="11"/>
  <c r="DQ239" i="11"/>
  <c r="DT107" i="11"/>
  <c r="DT225" i="11"/>
  <c r="DP250" i="11"/>
  <c r="DP123" i="11"/>
  <c r="DO119" i="11"/>
  <c r="DP233" i="11"/>
  <c r="DP115" i="11"/>
  <c r="DP95" i="11"/>
  <c r="DP246" i="11"/>
  <c r="DR124" i="11"/>
  <c r="DR251" i="11"/>
  <c r="DP93" i="11"/>
  <c r="DP244" i="11"/>
  <c r="DT92" i="11" l="1"/>
  <c r="DT243" i="11"/>
  <c r="DQ235" i="11"/>
  <c r="DQ117" i="11"/>
  <c r="DO118" i="11"/>
  <c r="DO236" i="11"/>
  <c r="DO257" i="11"/>
  <c r="DO28" i="11" s="1"/>
  <c r="DS223" i="11"/>
  <c r="DS105" i="11"/>
  <c r="ED112" i="11"/>
  <c r="ED230" i="11"/>
  <c r="DR125" i="11"/>
  <c r="DR252" i="11"/>
  <c r="DV107" i="11"/>
  <c r="DV225" i="11"/>
  <c r="DX234" i="11"/>
  <c r="DX116" i="11"/>
  <c r="DR103" i="11"/>
  <c r="DR221" i="11"/>
  <c r="DQ227" i="11"/>
  <c r="DQ109" i="11"/>
  <c r="DR239" i="11"/>
  <c r="DR88" i="11"/>
  <c r="DR217" i="11"/>
  <c r="DR100" i="11"/>
  <c r="DS251" i="11"/>
  <c r="DS124" i="11"/>
  <c r="DQ254" i="11"/>
  <c r="DQ127" i="11"/>
  <c r="DS121" i="11"/>
  <c r="DS248" i="11"/>
  <c r="DQ241" i="11"/>
  <c r="DQ90" i="11"/>
  <c r="DP104" i="11"/>
  <c r="DP222" i="11"/>
  <c r="DQ253" i="11"/>
  <c r="DQ126" i="11"/>
  <c r="DQ256" i="11"/>
  <c r="DQ129" i="11"/>
  <c r="DQ95" i="11"/>
  <c r="DQ246" i="11"/>
  <c r="DT120" i="11"/>
  <c r="DT247" i="11"/>
  <c r="DR231" i="11"/>
  <c r="DR113" i="11"/>
  <c r="N87" i="13"/>
  <c r="G70" i="1" s="1"/>
  <c r="AH39" i="11"/>
  <c r="DT111" i="11"/>
  <c r="DT229" i="11"/>
  <c r="DQ233" i="11"/>
  <c r="DQ115" i="11"/>
  <c r="DR245" i="11"/>
  <c r="DR94" i="11"/>
  <c r="DQ244" i="11"/>
  <c r="DQ93" i="11"/>
  <c r="DQ250" i="11"/>
  <c r="DQ123" i="11"/>
  <c r="DP119" i="11"/>
  <c r="DT86" i="11"/>
  <c r="DT237" i="11"/>
  <c r="DQ110" i="11"/>
  <c r="DQ228" i="11"/>
  <c r="AG58" i="11"/>
  <c r="AG75" i="11"/>
  <c r="N105" i="13" l="1"/>
  <c r="N112" i="13"/>
  <c r="DR235" i="11"/>
  <c r="DR117" i="11"/>
  <c r="DV92" i="11"/>
  <c r="DV243" i="11"/>
  <c r="DP236" i="11"/>
  <c r="DP257" i="11" s="1"/>
  <c r="DP28" i="11" s="1"/>
  <c r="DP118" i="11"/>
  <c r="DQ104" i="11"/>
  <c r="DQ222" i="11"/>
  <c r="DS103" i="11"/>
  <c r="DS221" i="11"/>
  <c r="E10" i="15"/>
  <c r="F14" i="14"/>
  <c r="F16" i="14" s="1"/>
  <c r="O87" i="13"/>
  <c r="N88" i="13"/>
  <c r="DR95" i="11"/>
  <c r="DR246" i="11"/>
  <c r="DR129" i="11"/>
  <c r="DR256" i="11"/>
  <c r="DS88" i="11"/>
  <c r="DS239" i="11"/>
  <c r="DY116" i="11"/>
  <c r="DY234" i="11"/>
  <c r="DS252" i="11"/>
  <c r="DS125" i="11"/>
  <c r="DR93" i="11"/>
  <c r="DR244" i="11"/>
  <c r="DT121" i="11"/>
  <c r="DT248" i="11"/>
  <c r="DS94" i="11"/>
  <c r="DS245" i="11"/>
  <c r="DV86" i="11"/>
  <c r="DV237" i="11"/>
  <c r="DV247" i="11"/>
  <c r="DV120" i="11"/>
  <c r="DR253" i="11"/>
  <c r="DR126" i="11"/>
  <c r="DR127" i="11"/>
  <c r="DR254" i="11"/>
  <c r="DR227" i="11"/>
  <c r="DR109" i="11"/>
  <c r="EE112" i="11"/>
  <c r="EE230" i="11"/>
  <c r="DR228" i="11"/>
  <c r="DR110" i="11"/>
  <c r="DR241" i="11"/>
  <c r="DR90" i="11"/>
  <c r="DS231" i="11"/>
  <c r="DS113" i="11"/>
  <c r="AG79" i="11"/>
  <c r="AH75" i="11"/>
  <c r="AH79" i="11" s="1"/>
  <c r="DR123" i="11"/>
  <c r="DR250" i="11"/>
  <c r="DQ119" i="11"/>
  <c r="DW107" i="11"/>
  <c r="DW225" i="11"/>
  <c r="DT223" i="11"/>
  <c r="DT105" i="11"/>
  <c r="DS217" i="11"/>
  <c r="DS100" i="11"/>
  <c r="DR115" i="11"/>
  <c r="DR233" i="11"/>
  <c r="AG59" i="11"/>
  <c r="AH58" i="11"/>
  <c r="AH59" i="11" s="1"/>
  <c r="AG96" i="11"/>
  <c r="DV111" i="11"/>
  <c r="DV229" i="11"/>
  <c r="DT124" i="11"/>
  <c r="DT251" i="11"/>
  <c r="DW243" i="11" l="1"/>
  <c r="DW92" i="11"/>
  <c r="DS235" i="11"/>
  <c r="DS117" i="11"/>
  <c r="DQ236" i="11"/>
  <c r="DQ118" i="11"/>
  <c r="DQ257" i="11"/>
  <c r="DQ28" i="11" s="1"/>
  <c r="DV251" i="11"/>
  <c r="DV124" i="11"/>
  <c r="DS256" i="11"/>
  <c r="DS129" i="11"/>
  <c r="DS127" i="11"/>
  <c r="DS254" i="11"/>
  <c r="DS253" i="11"/>
  <c r="DS126" i="11"/>
  <c r="DS95" i="11"/>
  <c r="DS246" i="11"/>
  <c r="DW229" i="11"/>
  <c r="DW111" i="11"/>
  <c r="DZ116" i="11"/>
  <c r="DZ234" i="11"/>
  <c r="N89" i="13"/>
  <c r="G87" i="1" s="1"/>
  <c r="O88" i="13"/>
  <c r="DS241" i="11"/>
  <c r="DS90" i="11"/>
  <c r="DT100" i="11"/>
  <c r="DT217" i="11"/>
  <c r="DT245" i="11"/>
  <c r="DT94" i="11"/>
  <c r="DS123" i="11"/>
  <c r="DS250" i="11"/>
  <c r="DR119" i="11"/>
  <c r="DV223" i="11"/>
  <c r="DV105" i="11"/>
  <c r="N28" i="13"/>
  <c r="G275" i="1" s="1"/>
  <c r="AG98" i="11"/>
  <c r="AG97" i="11"/>
  <c r="AI216" i="11"/>
  <c r="AI218" i="11" s="1"/>
  <c r="AI27" i="11" s="1"/>
  <c r="AH98" i="11"/>
  <c r="AH96" i="11"/>
  <c r="AH100" i="11"/>
  <c r="EF112" i="11"/>
  <c r="EF230" i="11"/>
  <c r="DW120" i="11"/>
  <c r="DW247" i="11"/>
  <c r="DT103" i="11"/>
  <c r="DT221" i="11"/>
  <c r="DW86" i="11"/>
  <c r="DW237" i="11"/>
  <c r="DS115" i="11"/>
  <c r="DS233" i="11"/>
  <c r="DT113" i="11"/>
  <c r="DT231" i="11"/>
  <c r="DS227" i="11"/>
  <c r="DS109" i="11"/>
  <c r="DV248" i="11"/>
  <c r="DV121" i="11"/>
  <c r="DT88" i="11"/>
  <c r="DT239" i="11"/>
  <c r="DS244" i="11"/>
  <c r="DS93" i="11"/>
  <c r="DT252" i="11"/>
  <c r="DT125" i="11"/>
  <c r="DS228" i="11"/>
  <c r="DS110" i="11"/>
  <c r="AG82" i="11"/>
  <c r="AG83" i="11" s="1"/>
  <c r="AG80" i="11"/>
  <c r="AG81" i="11" s="1"/>
  <c r="DX107" i="11"/>
  <c r="DX225" i="11"/>
  <c r="DR104" i="11"/>
  <c r="DR222" i="11"/>
  <c r="AT30" i="11" l="1"/>
  <c r="AS30" i="11"/>
  <c r="AR30" i="11"/>
  <c r="AQ30" i="11"/>
  <c r="AP30" i="11"/>
  <c r="AO30" i="11"/>
  <c r="AN30" i="11"/>
  <c r="AM30" i="11"/>
  <c r="AL30" i="11"/>
  <c r="AK30" i="11"/>
  <c r="AJ30" i="11"/>
  <c r="AI30" i="11"/>
  <c r="N91" i="13"/>
  <c r="N99" i="13" s="1"/>
  <c r="N33" i="13"/>
  <c r="G303" i="1" s="1"/>
  <c r="N130" i="13"/>
  <c r="DT235" i="11"/>
  <c r="DT117" i="11"/>
  <c r="DX243" i="11"/>
  <c r="DX92" i="11"/>
  <c r="DR236" i="11"/>
  <c r="DR118" i="11"/>
  <c r="DR257" i="11"/>
  <c r="DR28" i="11" s="1"/>
  <c r="DT227" i="11"/>
  <c r="DT109" i="11"/>
  <c r="DY225" i="11"/>
  <c r="DY107" i="11"/>
  <c r="DV103" i="11"/>
  <c r="DV221" i="11"/>
  <c r="EA116" i="11"/>
  <c r="EA234" i="11"/>
  <c r="DT127" i="11"/>
  <c r="DT254" i="11"/>
  <c r="DX229" i="11"/>
  <c r="DX111" i="11"/>
  <c r="DT256" i="11"/>
  <c r="DT129" i="11"/>
  <c r="DV252" i="11"/>
  <c r="DV125" i="11"/>
  <c r="DT241" i="11"/>
  <c r="DT90" i="11"/>
  <c r="DV231" i="11"/>
  <c r="DV113" i="11"/>
  <c r="DT123" i="11"/>
  <c r="DT250" i="11"/>
  <c r="DS119" i="11"/>
  <c r="DX120" i="11"/>
  <c r="DX247" i="11"/>
  <c r="DV94" i="11"/>
  <c r="DV245" i="11"/>
  <c r="DW251" i="11"/>
  <c r="DW124" i="11"/>
  <c r="DT244" i="11"/>
  <c r="DT93" i="11"/>
  <c r="DT115" i="11"/>
  <c r="DT233" i="11"/>
  <c r="DT95" i="11"/>
  <c r="DT246" i="11"/>
  <c r="N9" i="13"/>
  <c r="AI9" i="11"/>
  <c r="DV239" i="11"/>
  <c r="DV88" i="11"/>
  <c r="DT110" i="11"/>
  <c r="DT228" i="11"/>
  <c r="DW121" i="11"/>
  <c r="DW248" i="11"/>
  <c r="EG112" i="11"/>
  <c r="EG230" i="11"/>
  <c r="DT253" i="11"/>
  <c r="DT126" i="11"/>
  <c r="DS104" i="11"/>
  <c r="DS222" i="11"/>
  <c r="DX237" i="11"/>
  <c r="DX86" i="11"/>
  <c r="DW105" i="11"/>
  <c r="DW223" i="11"/>
  <c r="AF29" i="13"/>
  <c r="N276" i="1" s="1"/>
  <c r="DV100" i="11"/>
  <c r="DV217" i="11"/>
  <c r="O89" i="13"/>
  <c r="N108" i="13" l="1"/>
  <c r="G154" i="1"/>
  <c r="E9" i="15"/>
  <c r="E12" i="15" s="1"/>
  <c r="E14" i="15" s="1"/>
  <c r="E24" i="15" s="1"/>
  <c r="O91" i="13"/>
  <c r="N94" i="13"/>
  <c r="O94" i="13" s="1"/>
  <c r="N63" i="13"/>
  <c r="DY243" i="11"/>
  <c r="DY92" i="11"/>
  <c r="DV235" i="11"/>
  <c r="DV117" i="11"/>
  <c r="DS118" i="11"/>
  <c r="DS236" i="11"/>
  <c r="DS257" i="11" s="1"/>
  <c r="DS28" i="11" s="1"/>
  <c r="DX124" i="11"/>
  <c r="DX251" i="11"/>
  <c r="DZ225" i="11"/>
  <c r="DZ107" i="11"/>
  <c r="N14" i="13"/>
  <c r="DX223" i="11"/>
  <c r="DX105" i="11"/>
  <c r="DV254" i="11"/>
  <c r="DV127" i="11"/>
  <c r="DV109" i="11"/>
  <c r="DV227" i="11"/>
  <c r="DY237" i="11"/>
  <c r="DY86" i="11"/>
  <c r="DX248" i="11"/>
  <c r="DX121" i="11"/>
  <c r="DV95" i="11"/>
  <c r="DV246" i="11"/>
  <c r="DW94" i="11"/>
  <c r="DW245" i="11"/>
  <c r="DV250" i="11"/>
  <c r="DV123" i="11"/>
  <c r="DT119" i="11"/>
  <c r="AF47" i="13" s="1"/>
  <c r="N325" i="1" s="1"/>
  <c r="DW252" i="11"/>
  <c r="DW125" i="11"/>
  <c r="DW231" i="11"/>
  <c r="DW113" i="11"/>
  <c r="EB116" i="11"/>
  <c r="EB234" i="11"/>
  <c r="DV253" i="11"/>
  <c r="DV126" i="11"/>
  <c r="DV110" i="11"/>
  <c r="DV228" i="11"/>
  <c r="DV233" i="11"/>
  <c r="DV115" i="11"/>
  <c r="DV256" i="11"/>
  <c r="DV129" i="11"/>
  <c r="DT104" i="11"/>
  <c r="DT222" i="11"/>
  <c r="DW239" i="11"/>
  <c r="DW88" i="11"/>
  <c r="DV244" i="11"/>
  <c r="DV93" i="11"/>
  <c r="DY120" i="11"/>
  <c r="DY247" i="11"/>
  <c r="DW103" i="11"/>
  <c r="DW221" i="11"/>
  <c r="DW100" i="11"/>
  <c r="DW217" i="11"/>
  <c r="AI39" i="11"/>
  <c r="AI207" i="11" s="1"/>
  <c r="DV90" i="11"/>
  <c r="DV241" i="11"/>
  <c r="DY229" i="11"/>
  <c r="DY111" i="11"/>
  <c r="B7" i="19" l="1"/>
  <c r="G203" i="1"/>
  <c r="DW235" i="11"/>
  <c r="DW117" i="11"/>
  <c r="DZ92" i="11"/>
  <c r="DZ243" i="11"/>
  <c r="AU30" i="11"/>
  <c r="DT118" i="11"/>
  <c r="DT236" i="11"/>
  <c r="DT257" i="11" s="1"/>
  <c r="DT28" i="11" s="1"/>
  <c r="DU28" i="11" s="1"/>
  <c r="DZ111" i="11"/>
  <c r="DZ229" i="11"/>
  <c r="E7" i="19"/>
  <c r="F7" i="19" s="1"/>
  <c r="B30" i="19"/>
  <c r="DW115" i="11"/>
  <c r="DW233" i="11"/>
  <c r="EA225" i="11"/>
  <c r="EA107" i="11"/>
  <c r="DW123" i="11"/>
  <c r="DW250" i="11"/>
  <c r="DV119" i="11"/>
  <c r="DX231" i="11"/>
  <c r="DX113" i="11"/>
  <c r="DX245" i="11"/>
  <c r="DX94" i="11"/>
  <c r="N18" i="13"/>
  <c r="E28" i="15"/>
  <c r="E25" i="15"/>
  <c r="DX103" i="11"/>
  <c r="DX221" i="11"/>
  <c r="DW110" i="11"/>
  <c r="DW228" i="11"/>
  <c r="DW244" i="11"/>
  <c r="DW93" i="11"/>
  <c r="DZ237" i="11"/>
  <c r="DZ86" i="11"/>
  <c r="DX239" i="11"/>
  <c r="DX88" i="11"/>
  <c r="EC116" i="11"/>
  <c r="EC234" i="11"/>
  <c r="AI75" i="11"/>
  <c r="AI58" i="11"/>
  <c r="DV104" i="11"/>
  <c r="DV222" i="11"/>
  <c r="AF44" i="13"/>
  <c r="N323" i="1" s="1"/>
  <c r="DX252" i="11"/>
  <c r="DX125" i="11"/>
  <c r="DW95" i="11"/>
  <c r="DW246" i="11"/>
  <c r="DW109" i="11"/>
  <c r="DW227" i="11"/>
  <c r="DY105" i="11"/>
  <c r="DY223" i="11"/>
  <c r="P62" i="13"/>
  <c r="N65" i="13"/>
  <c r="DW241" i="11"/>
  <c r="DW90" i="11"/>
  <c r="DY121" i="11"/>
  <c r="DY248" i="11"/>
  <c r="DY124" i="11"/>
  <c r="DY251" i="11"/>
  <c r="DX217" i="11"/>
  <c r="DX100" i="11"/>
  <c r="DZ120" i="11"/>
  <c r="DZ247" i="11"/>
  <c r="DW256" i="11"/>
  <c r="DW129" i="11"/>
  <c r="DW126" i="11"/>
  <c r="DW253" i="11"/>
  <c r="DW127" i="11"/>
  <c r="DW254" i="11"/>
  <c r="N43" i="13"/>
  <c r="N100" i="13" l="1"/>
  <c r="N101" i="13"/>
  <c r="N109" i="13"/>
  <c r="N114" i="13"/>
  <c r="N27" i="13"/>
  <c r="N113" i="13" s="1"/>
  <c r="N119" i="13"/>
  <c r="EA92" i="11"/>
  <c r="EA243" i="11"/>
  <c r="DX235" i="11"/>
  <c r="DX117" i="11"/>
  <c r="DV118" i="11"/>
  <c r="DV236" i="11"/>
  <c r="DV257" i="11" s="1"/>
  <c r="DV28" i="11" s="1"/>
  <c r="AF45" i="13"/>
  <c r="N324" i="1" s="1"/>
  <c r="EB107" i="11"/>
  <c r="EB225" i="11"/>
  <c r="DZ248" i="11"/>
  <c r="DZ121" i="11"/>
  <c r="DX227" i="11"/>
  <c r="DX109" i="11"/>
  <c r="AI59" i="11"/>
  <c r="AI96" i="11"/>
  <c r="DX93" i="11"/>
  <c r="DX244" i="11"/>
  <c r="E29" i="15"/>
  <c r="DY113" i="11"/>
  <c r="DY231" i="11"/>
  <c r="AI79" i="11"/>
  <c r="DX241" i="11"/>
  <c r="DX90" i="11"/>
  <c r="EA120" i="11"/>
  <c r="EA247" i="11"/>
  <c r="DX246" i="11"/>
  <c r="DX95" i="11"/>
  <c r="DX233" i="11"/>
  <c r="DX115" i="11"/>
  <c r="DX110" i="11"/>
  <c r="DX228" i="11"/>
  <c r="B54" i="19"/>
  <c r="F30" i="19"/>
  <c r="C37" i="15"/>
  <c r="DY239" i="11"/>
  <c r="DY88" i="11"/>
  <c r="DX123" i="11"/>
  <c r="DX250" i="11"/>
  <c r="DW119" i="11"/>
  <c r="DX127" i="11"/>
  <c r="DX254" i="11"/>
  <c r="DY125" i="11"/>
  <c r="DY252" i="11"/>
  <c r="DX253" i="11"/>
  <c r="DX126" i="11"/>
  <c r="DY103" i="11"/>
  <c r="DY221" i="11"/>
  <c r="DW104" i="11"/>
  <c r="DW222" i="11"/>
  <c r="DY100" i="11"/>
  <c r="DY217" i="11"/>
  <c r="ED234" i="11"/>
  <c r="ED116" i="11"/>
  <c r="N53" i="13"/>
  <c r="N106" i="13" s="1"/>
  <c r="DX256" i="11"/>
  <c r="DX129" i="11"/>
  <c r="DZ124" i="11"/>
  <c r="DZ251" i="11"/>
  <c r="DZ223" i="11"/>
  <c r="DZ105" i="11"/>
  <c r="EA237" i="11"/>
  <c r="EA86" i="11"/>
  <c r="DY94" i="11"/>
  <c r="DY245" i="11"/>
  <c r="EA111" i="11"/>
  <c r="EA229" i="11"/>
  <c r="N111" i="13" l="1"/>
  <c r="N110" i="13"/>
  <c r="N107" i="13"/>
  <c r="N102" i="13"/>
  <c r="DY117" i="11"/>
  <c r="DY235" i="11"/>
  <c r="EB243" i="11"/>
  <c r="EB92" i="11"/>
  <c r="AF52" i="13"/>
  <c r="DW118" i="11"/>
  <c r="DW236" i="11"/>
  <c r="DW257" i="11" s="1"/>
  <c r="DW28" i="11" s="1"/>
  <c r="AC113" i="4"/>
  <c r="DZ252" i="11"/>
  <c r="DZ125" i="11"/>
  <c r="AI82" i="11"/>
  <c r="AI83" i="11" s="1"/>
  <c r="AI80" i="11"/>
  <c r="AI81" i="11" s="1"/>
  <c r="AJ9" i="11" s="1"/>
  <c r="EA223" i="11"/>
  <c r="EA105" i="11"/>
  <c r="DZ103" i="11"/>
  <c r="DZ221" i="11"/>
  <c r="DY127" i="11"/>
  <c r="DY254" i="11"/>
  <c r="DZ88" i="11"/>
  <c r="DZ239" i="11"/>
  <c r="DY109" i="11"/>
  <c r="DY227" i="11"/>
  <c r="F54" i="19"/>
  <c r="H54" i="19"/>
  <c r="DY246" i="11"/>
  <c r="DY95" i="11"/>
  <c r="EB111" i="11"/>
  <c r="EB229" i="11"/>
  <c r="DY110" i="11"/>
  <c r="DY228" i="11"/>
  <c r="DZ231" i="11"/>
  <c r="DZ113" i="11"/>
  <c r="EB120" i="11"/>
  <c r="EB247" i="11"/>
  <c r="EA121" i="11"/>
  <c r="EA248" i="11"/>
  <c r="DY233" i="11"/>
  <c r="DY115" i="11"/>
  <c r="DZ245" i="11"/>
  <c r="DZ94" i="11"/>
  <c r="DY129" i="11"/>
  <c r="DY256" i="11"/>
  <c r="DY126" i="11"/>
  <c r="DY253" i="11"/>
  <c r="EB237" i="11"/>
  <c r="EB86" i="11"/>
  <c r="DX104" i="11"/>
  <c r="DX222" i="11"/>
  <c r="DY250" i="11"/>
  <c r="DY123" i="11"/>
  <c r="DX119" i="11"/>
  <c r="D37" i="15"/>
  <c r="F37" i="15" s="1"/>
  <c r="DY90" i="11"/>
  <c r="DY241" i="11"/>
  <c r="DY93" i="11"/>
  <c r="DY244" i="11"/>
  <c r="EE116" i="11"/>
  <c r="EE234" i="11"/>
  <c r="EA124" i="11"/>
  <c r="EA251" i="11"/>
  <c r="DZ100" i="11"/>
  <c r="DZ217" i="11"/>
  <c r="N66" i="13"/>
  <c r="AI98" i="11"/>
  <c r="AI97" i="11"/>
  <c r="AJ216" i="11"/>
  <c r="AJ218" i="11" s="1"/>
  <c r="AJ27" i="11" s="1"/>
  <c r="EC107" i="11"/>
  <c r="EC225" i="11"/>
  <c r="O21" i="13" l="1"/>
  <c r="EC92" i="11"/>
  <c r="EC243" i="11"/>
  <c r="DZ117" i="11"/>
  <c r="DZ235" i="11"/>
  <c r="O40" i="13"/>
  <c r="O41" i="13"/>
  <c r="O10" i="13"/>
  <c r="O22" i="13"/>
  <c r="DX236" i="11"/>
  <c r="DX257" i="11" s="1"/>
  <c r="DX28" i="11" s="1"/>
  <c r="DX118" i="11"/>
  <c r="DZ233" i="11"/>
  <c r="DZ115" i="11"/>
  <c r="DZ254" i="11"/>
  <c r="DZ127" i="11"/>
  <c r="EB251" i="11"/>
  <c r="EB124" i="11"/>
  <c r="DZ253" i="11"/>
  <c r="DZ126" i="11"/>
  <c r="EA103" i="11"/>
  <c r="EA221" i="11"/>
  <c r="EA125" i="11"/>
  <c r="EA252" i="11"/>
  <c r="ED107" i="11"/>
  <c r="ED225" i="11"/>
  <c r="AJ39" i="11"/>
  <c r="AJ207" i="11" s="1"/>
  <c r="EF116" i="11"/>
  <c r="EF234" i="11"/>
  <c r="DZ250" i="11"/>
  <c r="DZ123" i="11"/>
  <c r="DY119" i="11"/>
  <c r="EB248" i="11"/>
  <c r="EB121" i="11"/>
  <c r="DZ110" i="11"/>
  <c r="DZ228" i="11"/>
  <c r="EB105" i="11"/>
  <c r="EB223" i="11"/>
  <c r="DZ256" i="11"/>
  <c r="DZ129" i="11"/>
  <c r="DZ109" i="11"/>
  <c r="DZ227" i="11"/>
  <c r="EA231" i="11"/>
  <c r="EA113" i="11"/>
  <c r="EA245" i="11"/>
  <c r="EA94" i="11"/>
  <c r="EC111" i="11"/>
  <c r="EC229" i="11"/>
  <c r="O60" i="13"/>
  <c r="O66" i="13"/>
  <c r="O65" i="13"/>
  <c r="O51" i="13"/>
  <c r="O43" i="13"/>
  <c r="O59" i="13"/>
  <c r="O56" i="13"/>
  <c r="O48" i="13"/>
  <c r="O37" i="13"/>
  <c r="O53" i="13"/>
  <c r="O45" i="13"/>
  <c r="O42" i="13"/>
  <c r="O34" i="13"/>
  <c r="O26" i="13"/>
  <c r="O47" i="13"/>
  <c r="O20" i="13"/>
  <c r="O12" i="13"/>
  <c r="O62" i="13"/>
  <c r="O57" i="13"/>
  <c r="O52" i="13"/>
  <c r="O39" i="13"/>
  <c r="O17" i="13"/>
  <c r="O55" i="13"/>
  <c r="O46" i="13"/>
  <c r="O38" i="13"/>
  <c r="O35" i="13"/>
  <c r="O32" i="13"/>
  <c r="O30" i="13"/>
  <c r="O29" i="13"/>
  <c r="O27" i="13"/>
  <c r="O19" i="13"/>
  <c r="O11" i="13"/>
  <c r="N67" i="13"/>
  <c r="O36" i="13"/>
  <c r="O24" i="13"/>
  <c r="O13" i="13"/>
  <c r="O54" i="13"/>
  <c r="O49" i="13"/>
  <c r="O33" i="13"/>
  <c r="O23" i="13"/>
  <c r="O16" i="13"/>
  <c r="O15" i="13"/>
  <c r="O9" i="13"/>
  <c r="O61" i="13"/>
  <c r="O50" i="13"/>
  <c r="O64" i="13"/>
  <c r="O58" i="13"/>
  <c r="O31" i="13"/>
  <c r="O25" i="13"/>
  <c r="O63" i="13"/>
  <c r="O14" i="13"/>
  <c r="O28" i="13"/>
  <c r="O18" i="13"/>
  <c r="O44" i="13"/>
  <c r="DZ244" i="11"/>
  <c r="DZ93" i="11"/>
  <c r="DY104" i="11"/>
  <c r="DY222" i="11"/>
  <c r="EC120" i="11"/>
  <c r="EC247" i="11"/>
  <c r="DZ246" i="11"/>
  <c r="DZ95" i="11"/>
  <c r="EA239" i="11"/>
  <c r="EA88" i="11"/>
  <c r="EA217" i="11"/>
  <c r="EA100" i="11"/>
  <c r="DZ241" i="11"/>
  <c r="DZ90" i="11"/>
  <c r="EC86" i="11"/>
  <c r="EC237" i="11"/>
  <c r="EA235" i="11" l="1"/>
  <c r="EA117" i="11"/>
  <c r="ED92" i="11"/>
  <c r="ED243" i="11"/>
  <c r="DY118" i="11"/>
  <c r="DY236" i="11"/>
  <c r="DY257" i="11" s="1"/>
  <c r="DY28" i="11" s="1"/>
  <c r="EA93" i="11"/>
  <c r="EA244" i="11"/>
  <c r="ED86" i="11"/>
  <c r="ED237" i="11"/>
  <c r="EA246" i="11"/>
  <c r="EA95" i="11"/>
  <c r="EC105" i="11"/>
  <c r="EC223" i="11"/>
  <c r="EB252" i="11"/>
  <c r="EB125" i="11"/>
  <c r="EB231" i="11"/>
  <c r="EB113" i="11"/>
  <c r="EG116" i="11"/>
  <c r="EG234" i="11"/>
  <c r="EC124" i="11"/>
  <c r="EC251" i="11"/>
  <c r="EA228" i="11"/>
  <c r="EA110" i="11"/>
  <c r="EB103" i="11"/>
  <c r="EB221" i="11"/>
  <c r="EA241" i="11"/>
  <c r="EA90" i="11"/>
  <c r="ED111" i="11"/>
  <c r="ED229" i="11"/>
  <c r="EC121" i="11"/>
  <c r="EC248" i="11"/>
  <c r="AJ75" i="11"/>
  <c r="AJ58" i="11"/>
  <c r="EA253" i="11"/>
  <c r="EA126" i="11"/>
  <c r="EA254" i="11"/>
  <c r="EA127" i="11"/>
  <c r="EB100" i="11"/>
  <c r="EB217" i="11"/>
  <c r="EB245" i="11"/>
  <c r="EB94" i="11"/>
  <c r="EA109" i="11"/>
  <c r="EA227" i="11"/>
  <c r="EA129" i="11"/>
  <c r="EA256" i="11"/>
  <c r="EE107" i="11"/>
  <c r="EE225" i="11"/>
  <c r="EA233" i="11"/>
  <c r="EA115" i="11"/>
  <c r="ED247" i="11"/>
  <c r="ED120" i="11"/>
  <c r="EB239" i="11"/>
  <c r="EB88" i="11"/>
  <c r="DZ104" i="11"/>
  <c r="DZ222" i="11"/>
  <c r="EA250" i="11"/>
  <c r="EA123" i="11"/>
  <c r="DZ119" i="11"/>
  <c r="EE243" i="11" l="1"/>
  <c r="EE92" i="11"/>
  <c r="EB235" i="11"/>
  <c r="EB117" i="11"/>
  <c r="DZ236" i="11"/>
  <c r="DZ257" i="11" s="1"/>
  <c r="DZ28" i="11" s="1"/>
  <c r="DZ118" i="11"/>
  <c r="EB233" i="11"/>
  <c r="EB115" i="11"/>
  <c r="EC88" i="11"/>
  <c r="EC239" i="11"/>
  <c r="AJ79" i="11"/>
  <c r="EC103" i="11"/>
  <c r="EC221" i="11"/>
  <c r="EC231" i="11"/>
  <c r="EC113" i="11"/>
  <c r="EA104" i="11"/>
  <c r="EA222" i="11"/>
  <c r="EB228" i="11"/>
  <c r="EB110" i="11"/>
  <c r="EE86" i="11"/>
  <c r="EE237" i="11"/>
  <c r="EC217" i="11"/>
  <c r="EC100" i="11"/>
  <c r="EC252" i="11"/>
  <c r="EC125" i="11"/>
  <c r="EC245" i="11"/>
  <c r="EC94" i="11"/>
  <c r="EE247" i="11"/>
  <c r="EE120" i="11"/>
  <c r="EB254" i="11"/>
  <c r="EB127" i="11"/>
  <c r="EE111" i="11"/>
  <c r="EE229" i="11"/>
  <c r="ED124" i="11"/>
  <c r="ED251" i="11"/>
  <c r="AJ59" i="11"/>
  <c r="AJ96" i="11"/>
  <c r="EF107" i="11"/>
  <c r="EF225" i="11"/>
  <c r="EB250" i="11"/>
  <c r="EB123" i="11"/>
  <c r="EA119" i="11"/>
  <c r="EB256" i="11"/>
  <c r="EB129" i="11"/>
  <c r="EB253" i="11"/>
  <c r="EB126" i="11"/>
  <c r="EB241" i="11"/>
  <c r="EB90" i="11"/>
  <c r="ED223" i="11"/>
  <c r="ED105" i="11"/>
  <c r="EB244" i="11"/>
  <c r="EB93" i="11"/>
  <c r="ED121" i="11"/>
  <c r="ED248" i="11"/>
  <c r="EB227" i="11"/>
  <c r="EB109" i="11"/>
  <c r="EB95" i="11"/>
  <c r="EB246" i="11"/>
  <c r="EC235" i="11" l="1"/>
  <c r="EC117" i="11"/>
  <c r="EF243" i="11"/>
  <c r="EF92" i="11"/>
  <c r="EA236" i="11"/>
  <c r="EA257" i="11" s="1"/>
  <c r="EA28" i="11" s="1"/>
  <c r="EA118" i="11"/>
  <c r="EE251" i="11"/>
  <c r="EE124" i="11"/>
  <c r="ED94" i="11"/>
  <c r="ED245" i="11"/>
  <c r="EC244" i="11"/>
  <c r="EC93" i="11"/>
  <c r="EC110" i="11"/>
  <c r="EC228" i="11"/>
  <c r="ED103" i="11"/>
  <c r="ED221" i="11"/>
  <c r="EC95" i="11"/>
  <c r="EC246" i="11"/>
  <c r="EC127" i="11"/>
  <c r="EC254" i="11"/>
  <c r="EG225" i="11"/>
  <c r="EG107" i="11"/>
  <c r="ED252" i="11"/>
  <c r="ED125" i="11"/>
  <c r="EF111" i="11"/>
  <c r="EF229" i="11"/>
  <c r="EE223" i="11"/>
  <c r="EE105" i="11"/>
  <c r="EB104" i="11"/>
  <c r="EB222" i="11"/>
  <c r="ED239" i="11"/>
  <c r="ED88" i="11"/>
  <c r="EF86" i="11"/>
  <c r="EF237" i="11"/>
  <c r="EC256" i="11"/>
  <c r="EC129" i="11"/>
  <c r="AJ98" i="11"/>
  <c r="AJ97" i="11"/>
  <c r="AK216" i="11"/>
  <c r="AK218" i="11" s="1"/>
  <c r="AK27" i="11" s="1"/>
  <c r="EC241" i="11"/>
  <c r="EC90" i="11"/>
  <c r="AJ82" i="11"/>
  <c r="AJ83" i="11" s="1"/>
  <c r="AJ80" i="11"/>
  <c r="AJ81" i="11" s="1"/>
  <c r="AK9" i="11" s="1"/>
  <c r="ED217" i="11"/>
  <c r="ED100" i="11"/>
  <c r="ED231" i="11"/>
  <c r="ED113" i="11"/>
  <c r="EC115" i="11"/>
  <c r="EC233" i="11"/>
  <c r="EC227" i="11"/>
  <c r="EC109" i="11"/>
  <c r="EC123" i="11"/>
  <c r="EC250" i="11"/>
  <c r="EB119" i="11"/>
  <c r="EF247" i="11"/>
  <c r="EF120" i="11"/>
  <c r="EE248" i="11"/>
  <c r="EE121" i="11"/>
  <c r="EC126" i="11"/>
  <c r="EC253" i="11"/>
  <c r="EG92" i="11" l="1"/>
  <c r="EG243" i="11"/>
  <c r="ED235" i="11"/>
  <c r="ED117" i="11"/>
  <c r="EB236" i="11"/>
  <c r="EB118" i="11"/>
  <c r="EB257" i="11"/>
  <c r="EB28" i="11" s="1"/>
  <c r="EE231" i="11"/>
  <c r="EE113" i="11"/>
  <c r="EC104" i="11"/>
  <c r="EC222" i="11"/>
  <c r="ED110" i="11"/>
  <c r="ED228" i="11"/>
  <c r="EE100" i="11"/>
  <c r="EE217" i="11"/>
  <c r="ED127" i="11"/>
  <c r="ED254" i="11"/>
  <c r="AK39" i="11"/>
  <c r="AK207" i="11" s="1"/>
  <c r="EG229" i="11"/>
  <c r="EG111" i="11"/>
  <c r="ED95" i="11"/>
  <c r="ED246" i="11"/>
  <c r="ED123" i="11"/>
  <c r="ED250" i="11"/>
  <c r="EC119" i="11"/>
  <c r="ED244" i="11"/>
  <c r="ED93" i="11"/>
  <c r="EE88" i="11"/>
  <c r="EE239" i="11"/>
  <c r="EE252" i="11"/>
  <c r="EE125" i="11"/>
  <c r="EE94" i="11"/>
  <c r="EE245" i="11"/>
  <c r="ED253" i="11"/>
  <c r="ED126" i="11"/>
  <c r="EF223" i="11"/>
  <c r="EF105" i="11"/>
  <c r="EF121" i="11"/>
  <c r="EF248" i="11"/>
  <c r="EG86" i="11"/>
  <c r="EG237" i="11"/>
  <c r="ED90" i="11"/>
  <c r="ED241" i="11"/>
  <c r="EE103" i="11"/>
  <c r="EE221" i="11"/>
  <c r="EF124" i="11"/>
  <c r="EF251" i="11"/>
  <c r="ED227" i="11"/>
  <c r="ED109" i="11"/>
  <c r="EG120" i="11"/>
  <c r="EG247" i="11"/>
  <c r="ED115" i="11"/>
  <c r="ED233" i="11"/>
  <c r="ED256" i="11"/>
  <c r="ED129" i="11"/>
  <c r="EE235" i="11" l="1"/>
  <c r="EE117" i="11"/>
  <c r="EC118" i="11"/>
  <c r="EC236" i="11"/>
  <c r="EC257" i="11" s="1"/>
  <c r="EC28" i="11" s="1"/>
  <c r="EE95" i="11"/>
  <c r="EE246" i="11"/>
  <c r="EE244" i="11"/>
  <c r="EE93" i="11"/>
  <c r="EG251" i="11"/>
  <c r="EG124" i="11"/>
  <c r="EG121" i="11"/>
  <c r="EG248" i="11"/>
  <c r="EF252" i="11"/>
  <c r="EF125" i="11"/>
  <c r="EE110" i="11"/>
  <c r="EE228" i="11"/>
  <c r="EF245" i="11"/>
  <c r="EF94" i="11"/>
  <c r="EE233" i="11"/>
  <c r="EE115" i="11"/>
  <c r="EE227" i="11"/>
  <c r="EE109" i="11"/>
  <c r="AK75" i="11"/>
  <c r="AK58" i="11"/>
  <c r="ED104" i="11"/>
  <c r="ED222" i="11"/>
  <c r="EF100" i="11"/>
  <c r="EF217" i="11"/>
  <c r="EG105" i="11"/>
  <c r="EG223" i="11"/>
  <c r="EE241" i="11"/>
  <c r="EE90" i="11"/>
  <c r="EF239" i="11"/>
  <c r="EF88" i="11"/>
  <c r="EE123" i="11"/>
  <c r="EE250" i="11"/>
  <c r="ED119" i="11"/>
  <c r="EF231" i="11"/>
  <c r="EF113" i="11"/>
  <c r="EF103" i="11"/>
  <c r="EF221" i="11"/>
  <c r="EE256" i="11"/>
  <c r="EE129" i="11"/>
  <c r="EE126" i="11"/>
  <c r="EE253" i="11"/>
  <c r="EE127" i="11"/>
  <c r="EE254" i="11"/>
  <c r="EF235" i="11" l="1"/>
  <c r="EF117" i="11"/>
  <c r="ED236" i="11"/>
  <c r="ED257" i="11" s="1"/>
  <c r="ED28" i="11" s="1"/>
  <c r="ED118" i="11"/>
  <c r="EF127" i="11"/>
  <c r="EF254" i="11"/>
  <c r="EE104" i="11"/>
  <c r="EE222" i="11"/>
  <c r="EG94" i="11"/>
  <c r="EG245" i="11"/>
  <c r="EF241" i="11"/>
  <c r="EF90" i="11"/>
  <c r="EF93" i="11"/>
  <c r="EF244" i="11"/>
  <c r="EG113" i="11"/>
  <c r="EG231" i="11"/>
  <c r="EF227" i="11"/>
  <c r="EF109" i="11"/>
  <c r="EF110" i="11"/>
  <c r="EF228" i="11"/>
  <c r="AK79" i="11"/>
  <c r="EF253" i="11"/>
  <c r="EF126" i="11"/>
  <c r="EF123" i="11"/>
  <c r="EF250" i="11"/>
  <c r="EE119" i="11"/>
  <c r="EF246" i="11"/>
  <c r="EF95" i="11"/>
  <c r="AK59" i="11"/>
  <c r="AK96" i="11"/>
  <c r="EG239" i="11"/>
  <c r="EG88" i="11"/>
  <c r="EG217" i="11"/>
  <c r="EG100" i="11"/>
  <c r="AH29" i="13" s="1"/>
  <c r="O276" i="1" s="1"/>
  <c r="EF115" i="11"/>
  <c r="EF233" i="11"/>
  <c r="EG221" i="11"/>
  <c r="EG103" i="11"/>
  <c r="EG125" i="11"/>
  <c r="EG252" i="11"/>
  <c r="EF256" i="11"/>
  <c r="EF129" i="11"/>
  <c r="EG117" i="11" l="1"/>
  <c r="EG235" i="11"/>
  <c r="EE118" i="11"/>
  <c r="EE236" i="11"/>
  <c r="EE257" i="11" s="1"/>
  <c r="EE28" i="11" s="1"/>
  <c r="EG110" i="11"/>
  <c r="EG228" i="11"/>
  <c r="AK97" i="11"/>
  <c r="AK98" i="11"/>
  <c r="AL216" i="11"/>
  <c r="AL218" i="11" s="1"/>
  <c r="AL27" i="11" s="1"/>
  <c r="EF104" i="11"/>
  <c r="EF222" i="11"/>
  <c r="EG90" i="11"/>
  <c r="EG241" i="11"/>
  <c r="EG109" i="11"/>
  <c r="EG227" i="11"/>
  <c r="EG250" i="11"/>
  <c r="EG123" i="11"/>
  <c r="EF119" i="11"/>
  <c r="EG126" i="11"/>
  <c r="EG253" i="11"/>
  <c r="AK82" i="11"/>
  <c r="AK83" i="11" s="1"/>
  <c r="AK80" i="11"/>
  <c r="AK81" i="11" s="1"/>
  <c r="AL9" i="11" s="1"/>
  <c r="EG129" i="11"/>
  <c r="EG256" i="11"/>
  <c r="EG233" i="11"/>
  <c r="EG115" i="11"/>
  <c r="EG95" i="11"/>
  <c r="EG246" i="11"/>
  <c r="EG93" i="11"/>
  <c r="EG244" i="11"/>
  <c r="EG254" i="11"/>
  <c r="EG127" i="11"/>
  <c r="EF236" i="11" l="1"/>
  <c r="EF118" i="11"/>
  <c r="EF257" i="11"/>
  <c r="EF28" i="11" s="1"/>
  <c r="AL39" i="11"/>
  <c r="AL207" i="11" s="1"/>
  <c r="EG104" i="11"/>
  <c r="AH44" i="13" s="1"/>
  <c r="O323" i="1" s="1"/>
  <c r="EG222" i="11"/>
  <c r="EG119" i="11"/>
  <c r="AH47" i="13" s="1"/>
  <c r="O325" i="1" s="1"/>
  <c r="EG118" i="11" l="1"/>
  <c r="AH45" i="13" s="1"/>
  <c r="EG236" i="11"/>
  <c r="EG257" i="11" s="1"/>
  <c r="EG28" i="11" s="1"/>
  <c r="EH28" i="11" s="1"/>
  <c r="AL58" i="11"/>
  <c r="AL75" i="11"/>
  <c r="AH52" i="13" l="1"/>
  <c r="O324" i="1"/>
  <c r="AL79" i="11"/>
  <c r="AL59" i="11"/>
  <c r="AL96" i="11"/>
  <c r="AL98" i="11" l="1"/>
  <c r="AL97" i="11"/>
  <c r="AM216" i="11"/>
  <c r="AM218" i="11" s="1"/>
  <c r="AM27" i="11" s="1"/>
  <c r="AL82" i="11"/>
  <c r="AL83" i="11" s="1"/>
  <c r="AL80" i="11"/>
  <c r="AL81" i="11" s="1"/>
  <c r="AM9" i="11" s="1"/>
  <c r="AM39" i="11" l="1"/>
  <c r="AM207" i="11" s="1"/>
  <c r="AM58" i="11" l="1"/>
  <c r="AM75" i="11"/>
  <c r="AM79" i="11" l="1"/>
  <c r="AM59" i="11"/>
  <c r="AM96" i="11"/>
  <c r="AM82" i="11" l="1"/>
  <c r="AM83" i="11" s="1"/>
  <c r="AM80" i="11"/>
  <c r="AM81" i="11" s="1"/>
  <c r="AN9" i="11" s="1"/>
  <c r="AM97" i="11"/>
  <c r="AM98" i="11"/>
  <c r="AN216" i="11"/>
  <c r="AN218" i="11" s="1"/>
  <c r="AN27" i="11" s="1"/>
  <c r="AN39" i="11" s="1"/>
  <c r="AN207" i="11" s="1"/>
  <c r="AN75" i="11" l="1"/>
  <c r="AN79" i="11" s="1"/>
  <c r="AN58" i="11"/>
  <c r="AN59" i="11" l="1"/>
  <c r="AN96" i="11"/>
  <c r="AN98" i="11" l="1"/>
  <c r="AN97" i="11"/>
  <c r="AO216" i="11"/>
  <c r="AO218" i="11" s="1"/>
  <c r="AO27" i="11" s="1"/>
  <c r="AO39" i="11" s="1"/>
  <c r="AO207" i="11" s="1"/>
  <c r="AN82" i="11"/>
  <c r="AN83" i="11" s="1"/>
  <c r="AN80" i="11"/>
  <c r="AN81" i="11" s="1"/>
  <c r="AO9" i="11" s="1"/>
  <c r="AO58" i="11" l="1"/>
  <c r="AO75" i="11"/>
  <c r="AO79" i="11" s="1"/>
  <c r="AO59" i="11" l="1"/>
  <c r="AO96" i="11"/>
  <c r="AO98" i="11" l="1"/>
  <c r="AO97" i="11"/>
  <c r="AP216" i="11"/>
  <c r="AP218" i="11" s="1"/>
  <c r="AP27" i="11" s="1"/>
  <c r="AP39" i="11" s="1"/>
  <c r="AP207" i="11" s="1"/>
  <c r="AO82" i="11"/>
  <c r="AO83" i="11" s="1"/>
  <c r="AO80" i="11"/>
  <c r="AO81" i="11" s="1"/>
  <c r="AP9" i="11" s="1"/>
  <c r="AP58" i="11" l="1"/>
  <c r="AP75" i="11"/>
  <c r="AP79" i="11" s="1"/>
  <c r="AP59" i="11" l="1"/>
  <c r="AP96" i="11"/>
  <c r="AP97" i="11" l="1"/>
  <c r="AP98" i="11"/>
  <c r="AQ216" i="11"/>
  <c r="AQ218" i="11" s="1"/>
  <c r="AQ27" i="11" s="1"/>
  <c r="AQ39" i="11" s="1"/>
  <c r="AQ207" i="11" s="1"/>
  <c r="AP82" i="11"/>
  <c r="AP83" i="11" s="1"/>
  <c r="AP80" i="11"/>
  <c r="AP81" i="11" s="1"/>
  <c r="AQ9" i="11" s="1"/>
  <c r="AQ75" i="11" l="1"/>
  <c r="AQ79" i="11" s="1"/>
  <c r="AQ58" i="11"/>
  <c r="AQ59" i="11" l="1"/>
  <c r="AQ96" i="11"/>
  <c r="AQ97" i="11" l="1"/>
  <c r="AQ98" i="11"/>
  <c r="AR216" i="11"/>
  <c r="AR218" i="11" s="1"/>
  <c r="AR27" i="11" s="1"/>
  <c r="AR39" i="11" s="1"/>
  <c r="AR207" i="11" s="1"/>
  <c r="AQ82" i="11"/>
  <c r="AQ83" i="11" s="1"/>
  <c r="AQ80" i="11"/>
  <c r="AQ81" i="11" s="1"/>
  <c r="AR9" i="11" s="1"/>
  <c r="AR75" i="11" l="1"/>
  <c r="AR79" i="11" s="1"/>
  <c r="AR58" i="11"/>
  <c r="AR59" i="11" l="1"/>
  <c r="AR96" i="11"/>
  <c r="AR97" i="11" l="1"/>
  <c r="AR98" i="11"/>
  <c r="AS216" i="11"/>
  <c r="AS218" i="11" s="1"/>
  <c r="AS27" i="11" s="1"/>
  <c r="AS39" i="11" s="1"/>
  <c r="AS207" i="11" s="1"/>
  <c r="AR82" i="11"/>
  <c r="AR83" i="11" s="1"/>
  <c r="AR80" i="11"/>
  <c r="AR81" i="11" s="1"/>
  <c r="AS9" i="11" s="1"/>
  <c r="AS75" i="11" l="1"/>
  <c r="AS79" i="11" s="1"/>
  <c r="AS58" i="11"/>
  <c r="AS59" i="11" l="1"/>
  <c r="AS96" i="11"/>
  <c r="AS97" i="11" l="1"/>
  <c r="AS98" i="11"/>
  <c r="AT216" i="11"/>
  <c r="AT218" i="11" s="1"/>
  <c r="AT27" i="11" s="1"/>
  <c r="AS82" i="11"/>
  <c r="AS83" i="11" s="1"/>
  <c r="AS80" i="11"/>
  <c r="AS81" i="11" s="1"/>
  <c r="AT9" i="11" s="1"/>
  <c r="AT39" i="11" l="1"/>
  <c r="AT207" i="11" s="1"/>
  <c r="AU27" i="11"/>
  <c r="AT58" i="11" l="1"/>
  <c r="AT75" i="11"/>
  <c r="P87" i="13"/>
  <c r="H70" i="1" s="1"/>
  <c r="AU39" i="11"/>
  <c r="P105" i="13" l="1"/>
  <c r="P112" i="13"/>
  <c r="F10" i="15"/>
  <c r="G14" i="14"/>
  <c r="G16" i="14" s="1"/>
  <c r="Q87" i="13"/>
  <c r="P88" i="13"/>
  <c r="AT79" i="11"/>
  <c r="AU75" i="11"/>
  <c r="AU79" i="11" s="1"/>
  <c r="AT59" i="11"/>
  <c r="AU58" i="11"/>
  <c r="AU59" i="11" s="1"/>
  <c r="AT96" i="11"/>
  <c r="P89" i="13" l="1"/>
  <c r="H87" i="1" s="1"/>
  <c r="Q88" i="13"/>
  <c r="P28" i="13"/>
  <c r="H275" i="1" s="1"/>
  <c r="AT98" i="11"/>
  <c r="AT97" i="11"/>
  <c r="AV216" i="11"/>
  <c r="AV218" i="11" s="1"/>
  <c r="AV27" i="11" s="1"/>
  <c r="AU98" i="11"/>
  <c r="AU100" i="11"/>
  <c r="AU96" i="11"/>
  <c r="AT82" i="11"/>
  <c r="AT83" i="11" s="1"/>
  <c r="AT80" i="11"/>
  <c r="AT81" i="11" s="1"/>
  <c r="BF30" i="11" l="1"/>
  <c r="BG30" i="11"/>
  <c r="BE30" i="11"/>
  <c r="BD30" i="11"/>
  <c r="BC30" i="11"/>
  <c r="BB30" i="11"/>
  <c r="BA30" i="11"/>
  <c r="AZ30" i="11"/>
  <c r="AY30" i="11"/>
  <c r="AX30" i="11"/>
  <c r="AW30" i="11"/>
  <c r="AV30" i="11"/>
  <c r="AV39" i="11" s="1"/>
  <c r="AV207" i="11" s="1"/>
  <c r="P91" i="13"/>
  <c r="P99" i="13" s="1"/>
  <c r="P33" i="13"/>
  <c r="H303" i="1" s="1"/>
  <c r="P9" i="13"/>
  <c r="AV9" i="11"/>
  <c r="Q89" i="13"/>
  <c r="P130" i="13"/>
  <c r="P14" i="13" s="1"/>
  <c r="H203" i="1" s="1"/>
  <c r="P108" i="13" l="1"/>
  <c r="H154" i="1"/>
  <c r="F9" i="15"/>
  <c r="F12" i="15" s="1"/>
  <c r="F14" i="15" s="1"/>
  <c r="F24" i="15" s="1"/>
  <c r="F25" i="15" s="1"/>
  <c r="P94" i="13"/>
  <c r="B8" i="19" s="1"/>
  <c r="Q91" i="13"/>
  <c r="P63" i="13"/>
  <c r="P18" i="13"/>
  <c r="AV58" i="11"/>
  <c r="AV75" i="11"/>
  <c r="P43" i="13"/>
  <c r="R14" i="13"/>
  <c r="I203" i="1" s="1"/>
  <c r="Q94" i="13" l="1"/>
  <c r="F28" i="15"/>
  <c r="F29" i="15" s="1"/>
  <c r="P100" i="13"/>
  <c r="P101" i="13"/>
  <c r="P27" i="13"/>
  <c r="P113" i="13" s="1"/>
  <c r="P119" i="13"/>
  <c r="BH30" i="11"/>
  <c r="P65" i="13"/>
  <c r="R62" i="13"/>
  <c r="E8" i="19"/>
  <c r="F8" i="19" s="1"/>
  <c r="B31" i="19"/>
  <c r="AV79" i="11"/>
  <c r="AV59" i="11"/>
  <c r="AV96" i="11"/>
  <c r="T14" i="13"/>
  <c r="J203" i="1" s="1"/>
  <c r="P53" i="13"/>
  <c r="P106" i="13" s="1"/>
  <c r="P109" i="13" l="1"/>
  <c r="P114" i="13"/>
  <c r="P111" i="13"/>
  <c r="P110" i="13"/>
  <c r="P107" i="13"/>
  <c r="P66" i="13"/>
  <c r="B55" i="19"/>
  <c r="F31" i="19"/>
  <c r="AV97" i="11"/>
  <c r="AV98" i="11"/>
  <c r="AW216" i="11"/>
  <c r="AW218" i="11" s="1"/>
  <c r="AW27" i="11" s="1"/>
  <c r="Z14" i="13"/>
  <c r="K203" i="1" s="1"/>
  <c r="AV82" i="11"/>
  <c r="AV83" i="11" s="1"/>
  <c r="AV80" i="11"/>
  <c r="AV81" i="11" s="1"/>
  <c r="AW9" i="11" s="1"/>
  <c r="P102" i="13"/>
  <c r="AD113" i="4"/>
  <c r="Q21" i="13" l="1"/>
  <c r="Q40" i="13"/>
  <c r="Q41" i="13"/>
  <c r="Q10" i="13"/>
  <c r="Q22" i="13"/>
  <c r="AB14" i="13"/>
  <c r="L203" i="1"/>
  <c r="F55" i="19"/>
  <c r="H55" i="19"/>
  <c r="AW39" i="11"/>
  <c r="AW207" i="11" s="1"/>
  <c r="P67" i="13"/>
  <c r="Q62" i="13"/>
  <c r="Q65" i="13"/>
  <c r="Q60" i="13"/>
  <c r="Q53" i="13"/>
  <c r="Q45" i="13"/>
  <c r="Q42" i="13"/>
  <c r="Q66" i="13"/>
  <c r="Q64" i="13"/>
  <c r="Q61" i="13"/>
  <c r="Q58" i="13"/>
  <c r="Q50" i="13"/>
  <c r="Q63" i="13"/>
  <c r="Q55" i="13"/>
  <c r="Q47" i="13"/>
  <c r="Q39" i="13"/>
  <c r="Q36" i="13"/>
  <c r="Q28" i="13"/>
  <c r="Q25" i="13"/>
  <c r="Q14" i="13"/>
  <c r="Q56" i="13"/>
  <c r="Q51" i="13"/>
  <c r="Q46" i="13"/>
  <c r="Q38" i="13"/>
  <c r="Q35" i="13"/>
  <c r="Q32" i="13"/>
  <c r="Q31" i="13"/>
  <c r="Q30" i="13"/>
  <c r="Q29" i="13"/>
  <c r="Q27" i="13"/>
  <c r="Q26" i="13"/>
  <c r="Q24" i="13"/>
  <c r="Q19" i="13"/>
  <c r="Q11" i="13"/>
  <c r="Q37" i="13"/>
  <c r="Q23" i="13"/>
  <c r="Q13" i="13"/>
  <c r="Q9" i="13"/>
  <c r="Q33" i="13"/>
  <c r="Q17" i="13"/>
  <c r="Q16" i="13"/>
  <c r="Q12" i="13"/>
  <c r="Q44" i="13"/>
  <c r="Q54" i="13"/>
  <c r="Q20" i="13"/>
  <c r="Q49" i="13"/>
  <c r="Q57" i="13"/>
  <c r="Q59" i="13"/>
  <c r="Q43" i="13"/>
  <c r="Q18" i="13"/>
  <c r="Q15" i="13"/>
  <c r="Q34" i="13"/>
  <c r="Q48" i="13"/>
  <c r="Q52" i="13"/>
  <c r="AW58" i="11" l="1"/>
  <c r="AW75" i="11"/>
  <c r="AD14" i="13"/>
  <c r="M203" i="1"/>
  <c r="AF14" i="13" l="1"/>
  <c r="N203" i="1"/>
  <c r="AW79" i="11"/>
  <c r="AW59" i="11"/>
  <c r="AW96" i="11"/>
  <c r="AW82" i="11" l="1"/>
  <c r="AW83" i="11" s="1"/>
  <c r="AW80" i="11"/>
  <c r="AW81" i="11" s="1"/>
  <c r="AX9" i="11" s="1"/>
  <c r="AW98" i="11"/>
  <c r="AW97" i="11"/>
  <c r="AX216" i="11"/>
  <c r="AX218" i="11" s="1"/>
  <c r="AX27" i="11" s="1"/>
  <c r="AH14" i="13"/>
  <c r="O203" i="1" s="1"/>
  <c r="AX39" i="11" l="1"/>
  <c r="AX207" i="11" s="1"/>
  <c r="AX58" i="11" l="1"/>
  <c r="AX75" i="11"/>
  <c r="AX79" i="11" l="1"/>
  <c r="AX59" i="11"/>
  <c r="AX96" i="11"/>
  <c r="AX98" i="11" l="1"/>
  <c r="AX97" i="11"/>
  <c r="AY216" i="11"/>
  <c r="AY218" i="11" s="1"/>
  <c r="AY27" i="11" s="1"/>
  <c r="AX82" i="11"/>
  <c r="AX83" i="11" s="1"/>
  <c r="AX80" i="11"/>
  <c r="AX81" i="11" s="1"/>
  <c r="AY9" i="11" s="1"/>
  <c r="AY39" i="11" l="1"/>
  <c r="AY207" i="11" s="1"/>
  <c r="AY75" i="11" l="1"/>
  <c r="AY58" i="11"/>
  <c r="AY59" i="11" l="1"/>
  <c r="AY96" i="11"/>
  <c r="AY79" i="11"/>
  <c r="AY97" i="11" l="1"/>
  <c r="AY98" i="11"/>
  <c r="AZ216" i="11"/>
  <c r="AZ218" i="11" s="1"/>
  <c r="AZ27" i="11" s="1"/>
  <c r="AY82" i="11"/>
  <c r="AY83" i="11" s="1"/>
  <c r="AY80" i="11"/>
  <c r="AY81" i="11" s="1"/>
  <c r="AZ9" i="11" s="1"/>
  <c r="AZ39" i="11" l="1"/>
  <c r="AZ207" i="11" s="1"/>
  <c r="AZ75" i="11" l="1"/>
  <c r="AZ58" i="11"/>
  <c r="AZ59" i="11" l="1"/>
  <c r="AZ96" i="11"/>
  <c r="AZ79" i="11"/>
  <c r="AZ97" i="11" l="1"/>
  <c r="AZ98" i="11"/>
  <c r="BA216" i="11"/>
  <c r="BA218" i="11" s="1"/>
  <c r="BA27" i="11" s="1"/>
  <c r="BA39" i="11" s="1"/>
  <c r="BA207" i="11" s="1"/>
  <c r="AZ82" i="11"/>
  <c r="AZ83" i="11" s="1"/>
  <c r="AZ80" i="11"/>
  <c r="AZ81" i="11" s="1"/>
  <c r="BA9" i="11" s="1"/>
  <c r="BA75" i="11" l="1"/>
  <c r="BA79" i="11" s="1"/>
  <c r="BA58" i="11"/>
  <c r="BA59" i="11" l="1"/>
  <c r="BA96" i="11"/>
  <c r="BA98" i="11" l="1"/>
  <c r="BA97" i="11"/>
  <c r="BB216" i="11"/>
  <c r="BB218" i="11" s="1"/>
  <c r="BB27" i="11" s="1"/>
  <c r="BB39" i="11" s="1"/>
  <c r="BB207" i="11" s="1"/>
  <c r="BA82" i="11"/>
  <c r="BA83" i="11" s="1"/>
  <c r="BA80" i="11"/>
  <c r="BA81" i="11" s="1"/>
  <c r="BB9" i="11" s="1"/>
  <c r="BB75" i="11" l="1"/>
  <c r="BB79" i="11" s="1"/>
  <c r="BB58" i="11"/>
  <c r="BB59" i="11" l="1"/>
  <c r="BB96" i="11"/>
  <c r="BB97" i="11" l="1"/>
  <c r="BB98" i="11"/>
  <c r="BC216" i="11"/>
  <c r="BC218" i="11" s="1"/>
  <c r="BC27" i="11" s="1"/>
  <c r="BC39" i="11" s="1"/>
  <c r="BC207" i="11" s="1"/>
  <c r="BB82" i="11"/>
  <c r="BB83" i="11" s="1"/>
  <c r="BB80" i="11"/>
  <c r="BB81" i="11" s="1"/>
  <c r="BC9" i="11" s="1"/>
  <c r="BC58" i="11" l="1"/>
  <c r="BC75" i="11"/>
  <c r="BC79" i="11" s="1"/>
  <c r="BC59" i="11" l="1"/>
  <c r="BC96" i="11"/>
  <c r="BC98" i="11" l="1"/>
  <c r="BC97" i="11"/>
  <c r="BD216" i="11"/>
  <c r="BD218" i="11" s="1"/>
  <c r="BD27" i="11" s="1"/>
  <c r="BD39" i="11" s="1"/>
  <c r="BD207" i="11" s="1"/>
  <c r="BC82" i="11"/>
  <c r="BC83" i="11" s="1"/>
  <c r="BC80" i="11"/>
  <c r="BC81" i="11" s="1"/>
  <c r="BD9" i="11" s="1"/>
  <c r="BD58" i="11" l="1"/>
  <c r="BD75" i="11"/>
  <c r="BD79" i="11" s="1"/>
  <c r="BD59" i="11" l="1"/>
  <c r="BD96" i="11"/>
  <c r="BD97" i="11" l="1"/>
  <c r="BD98" i="11"/>
  <c r="BE216" i="11"/>
  <c r="BE218" i="11" s="1"/>
  <c r="BE27" i="11" s="1"/>
  <c r="BE39" i="11" s="1"/>
  <c r="BE207" i="11" s="1"/>
  <c r="BD82" i="11"/>
  <c r="BD83" i="11" s="1"/>
  <c r="BD80" i="11"/>
  <c r="BD81" i="11" s="1"/>
  <c r="BE9" i="11" s="1"/>
  <c r="BE58" i="11" l="1"/>
  <c r="BE75" i="11"/>
  <c r="BE79" i="11" s="1"/>
  <c r="BE59" i="11" l="1"/>
  <c r="BE96" i="11"/>
  <c r="BE98" i="11" l="1"/>
  <c r="BE97" i="11"/>
  <c r="BF216" i="11"/>
  <c r="BF218" i="11" s="1"/>
  <c r="BF27" i="11" s="1"/>
  <c r="BF39" i="11" s="1"/>
  <c r="BF207" i="11" s="1"/>
  <c r="BE82" i="11"/>
  <c r="BE83" i="11" s="1"/>
  <c r="BE80" i="11"/>
  <c r="BE81" i="11" s="1"/>
  <c r="BF9" i="11" s="1"/>
  <c r="BF58" i="11" l="1"/>
  <c r="BF75" i="11"/>
  <c r="BF79" i="11" s="1"/>
  <c r="BF59" i="11" l="1"/>
  <c r="BF96" i="11"/>
  <c r="BF98" i="11" l="1"/>
  <c r="BF97" i="11"/>
  <c r="BG216" i="11"/>
  <c r="BG218" i="11" s="1"/>
  <c r="BG27" i="11" s="1"/>
  <c r="BF82" i="11"/>
  <c r="BF83" i="11" s="1"/>
  <c r="BF80" i="11"/>
  <c r="BF81" i="11" s="1"/>
  <c r="BG9" i="11" s="1"/>
  <c r="BG39" i="11" l="1"/>
  <c r="BG207" i="11" s="1"/>
  <c r="BH27" i="11"/>
  <c r="BG75" i="11" l="1"/>
  <c r="BG58" i="11"/>
  <c r="R87" i="13"/>
  <c r="I70" i="1" s="1"/>
  <c r="BH39" i="11"/>
  <c r="R105" i="13" l="1"/>
  <c r="R112" i="13"/>
  <c r="H14" i="14"/>
  <c r="H16" i="14" s="1"/>
  <c r="G10" i="15"/>
  <c r="S87" i="13"/>
  <c r="R88" i="13"/>
  <c r="BG59" i="11"/>
  <c r="BH58" i="11"/>
  <c r="BH59" i="11" s="1"/>
  <c r="BG96" i="11"/>
  <c r="BG79" i="11"/>
  <c r="BH75" i="11"/>
  <c r="BH79" i="11" s="1"/>
  <c r="BG82" i="11" l="1"/>
  <c r="BG83" i="11" s="1"/>
  <c r="BG80" i="11"/>
  <c r="BG81" i="11" s="1"/>
  <c r="R9" i="13" s="1"/>
  <c r="I154" i="1" s="1"/>
  <c r="R89" i="13"/>
  <c r="I87" i="1" s="1"/>
  <c r="S88" i="13"/>
  <c r="R28" i="13"/>
  <c r="I275" i="1" s="1"/>
  <c r="BG97" i="11"/>
  <c r="BG98" i="11"/>
  <c r="BI216" i="11"/>
  <c r="BI218" i="11" s="1"/>
  <c r="BI27" i="11" s="1"/>
  <c r="BH98" i="11"/>
  <c r="BH100" i="11"/>
  <c r="BH96" i="11"/>
  <c r="R91" i="13" l="1"/>
  <c r="R99" i="13" s="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I39" i="11" s="1"/>
  <c r="BI207" i="11" s="1"/>
  <c r="G9" i="15"/>
  <c r="G12" i="15" s="1"/>
  <c r="G14" i="15" s="1"/>
  <c r="G24" i="15" s="1"/>
  <c r="R94" i="13"/>
  <c r="S89" i="13"/>
  <c r="R33" i="13"/>
  <c r="R108" i="13"/>
  <c r="BI9" i="11"/>
  <c r="R43" i="13" l="1"/>
  <c r="I303" i="1"/>
  <c r="S91" i="13"/>
  <c r="R63" i="13"/>
  <c r="R53" i="13"/>
  <c r="R106" i="13" s="1"/>
  <c r="BI58" i="11"/>
  <c r="BI75" i="11"/>
  <c r="R18" i="13"/>
  <c r="B9" i="19"/>
  <c r="S94" i="13"/>
  <c r="G28" i="15"/>
  <c r="G25" i="15"/>
  <c r="R100" i="13" l="1"/>
  <c r="R101" i="13"/>
  <c r="R110" i="13"/>
  <c r="R107" i="13"/>
  <c r="R27" i="13"/>
  <c r="R119" i="13"/>
  <c r="G29" i="15"/>
  <c r="BI79" i="11"/>
  <c r="BI59" i="11"/>
  <c r="BI96" i="11"/>
  <c r="E9" i="19"/>
  <c r="F9" i="19" s="1"/>
  <c r="B32" i="19"/>
  <c r="T62" i="13"/>
  <c r="R65" i="13"/>
  <c r="BU30" i="11"/>
  <c r="R113" i="13" l="1"/>
  <c r="R109" i="13"/>
  <c r="R114" i="13"/>
  <c r="R111" i="13"/>
  <c r="R102" i="13"/>
  <c r="BI97" i="11"/>
  <c r="BI98" i="11"/>
  <c r="BJ216" i="11"/>
  <c r="BJ218" i="11" s="1"/>
  <c r="BJ27" i="11" s="1"/>
  <c r="BI82" i="11"/>
  <c r="BI83" i="11" s="1"/>
  <c r="BI80" i="11"/>
  <c r="BI81" i="11" s="1"/>
  <c r="BJ9" i="11" s="1"/>
  <c r="R66" i="13"/>
  <c r="R67" i="13" s="1"/>
  <c r="B56" i="19"/>
  <c r="F32" i="19"/>
  <c r="AE113" i="4"/>
  <c r="S21" i="13" l="1"/>
  <c r="S40" i="13"/>
  <c r="S41" i="13"/>
  <c r="S10" i="13"/>
  <c r="S22" i="13"/>
  <c r="BJ39" i="11"/>
  <c r="BJ207" i="11" s="1"/>
  <c r="S61" i="13"/>
  <c r="S63" i="13"/>
  <c r="S65" i="13"/>
  <c r="S64" i="13"/>
  <c r="S55" i="13"/>
  <c r="S47" i="13"/>
  <c r="S39" i="13"/>
  <c r="S36" i="13"/>
  <c r="S52" i="13"/>
  <c r="S44" i="13"/>
  <c r="S33" i="13"/>
  <c r="S57" i="13"/>
  <c r="S49" i="13"/>
  <c r="S38" i="13"/>
  <c r="S30" i="13"/>
  <c r="S24" i="13"/>
  <c r="S16" i="13"/>
  <c r="S50" i="13"/>
  <c r="S45" i="13"/>
  <c r="S37" i="13"/>
  <c r="S23" i="13"/>
  <c r="S13" i="13"/>
  <c r="S9" i="13"/>
  <c r="S54" i="13"/>
  <c r="S15" i="13"/>
  <c r="S51" i="13"/>
  <c r="S42" i="13"/>
  <c r="S32" i="13"/>
  <c r="S20" i="13"/>
  <c r="S59" i="13"/>
  <c r="S53" i="13"/>
  <c r="S48" i="13"/>
  <c r="S46" i="13"/>
  <c r="S34" i="13"/>
  <c r="S31" i="13"/>
  <c r="S11" i="13"/>
  <c r="S60" i="13"/>
  <c r="S29" i="13"/>
  <c r="S17" i="13"/>
  <c r="S26" i="13"/>
  <c r="S66" i="13"/>
  <c r="S62" i="13"/>
  <c r="S56" i="13"/>
  <c r="S35" i="13"/>
  <c r="S43" i="13"/>
  <c r="S58" i="13"/>
  <c r="S18" i="13"/>
  <c r="S25" i="13"/>
  <c r="S19" i="13"/>
  <c r="S14" i="13"/>
  <c r="S27" i="13"/>
  <c r="S28" i="13"/>
  <c r="S12" i="13"/>
  <c r="H56" i="19"/>
  <c r="F56" i="19"/>
  <c r="BJ75" i="11" l="1"/>
  <c r="BJ58" i="11"/>
  <c r="BJ59" i="11" l="1"/>
  <c r="BJ96" i="11"/>
  <c r="BJ79" i="11"/>
  <c r="BJ97" i="11" l="1"/>
  <c r="BJ98" i="11"/>
  <c r="BK216" i="11"/>
  <c r="BK218" i="11" s="1"/>
  <c r="BK27" i="11" s="1"/>
  <c r="BJ82" i="11"/>
  <c r="BJ83" i="11" s="1"/>
  <c r="BJ80" i="11"/>
  <c r="BJ81" i="11" s="1"/>
  <c r="BK9" i="11" s="1"/>
  <c r="BK39" i="11" l="1"/>
  <c r="BK207" i="11" s="1"/>
  <c r="BK58" i="11" l="1"/>
  <c r="BK75" i="11"/>
  <c r="BK79" i="11" l="1"/>
  <c r="BK59" i="11"/>
  <c r="BK96" i="11"/>
  <c r="BK98" i="11" l="1"/>
  <c r="BK97" i="11"/>
  <c r="BL216" i="11"/>
  <c r="BL218" i="11" s="1"/>
  <c r="BL27" i="11" s="1"/>
  <c r="BK82" i="11"/>
  <c r="BK83" i="11" s="1"/>
  <c r="BK80" i="11"/>
  <c r="BK81" i="11" s="1"/>
  <c r="BL9" i="11" s="1"/>
  <c r="BL39" i="11" l="1"/>
  <c r="BL207" i="11" s="1"/>
  <c r="BL75" i="11" l="1"/>
  <c r="BL58" i="11"/>
  <c r="BL59" i="11" l="1"/>
  <c r="BL96" i="11"/>
  <c r="BL79" i="11"/>
  <c r="BL98" i="11" l="1"/>
  <c r="BL97" i="11"/>
  <c r="BM216" i="11"/>
  <c r="BM218" i="11" s="1"/>
  <c r="BM27" i="11" s="1"/>
  <c r="BL82" i="11"/>
  <c r="BL83" i="11" s="1"/>
  <c r="BL80" i="11"/>
  <c r="BL81" i="11" s="1"/>
  <c r="BM9" i="11" s="1"/>
  <c r="BM39" i="11" l="1"/>
  <c r="BM207" i="11" s="1"/>
  <c r="BM58" i="11" l="1"/>
  <c r="BM75" i="11"/>
  <c r="BM79" i="11" l="1"/>
  <c r="BM59" i="11"/>
  <c r="BM96" i="11"/>
  <c r="BM82" i="11" l="1"/>
  <c r="BM83" i="11" s="1"/>
  <c r="BM80" i="11"/>
  <c r="BM81" i="11" s="1"/>
  <c r="BN9" i="11" s="1"/>
  <c r="BM98" i="11"/>
  <c r="BM97" i="11"/>
  <c r="BN216" i="11"/>
  <c r="BN218" i="11" s="1"/>
  <c r="BN27" i="11" s="1"/>
  <c r="BN39" i="11" s="1"/>
  <c r="BN207" i="11" s="1"/>
  <c r="BN58" i="11" l="1"/>
  <c r="BN75" i="11"/>
  <c r="BN79" i="11" s="1"/>
  <c r="BN59" i="11" l="1"/>
  <c r="BN96" i="11"/>
  <c r="BN82" i="11" l="1"/>
  <c r="BN83" i="11" s="1"/>
  <c r="BN80" i="11"/>
  <c r="BN81" i="11" s="1"/>
  <c r="BO9" i="11" s="1"/>
  <c r="BN98" i="11"/>
  <c r="BN97" i="11"/>
  <c r="BO216" i="11"/>
  <c r="BO218" i="11" s="1"/>
  <c r="BO27" i="11" s="1"/>
  <c r="BO39" i="11" s="1"/>
  <c r="BO207" i="11" s="1"/>
  <c r="BO75" i="11" l="1"/>
  <c r="BO79" i="11" s="1"/>
  <c r="BO58" i="11"/>
  <c r="BO59" i="11" l="1"/>
  <c r="BO96" i="11"/>
  <c r="BO98" i="11" l="1"/>
  <c r="BO97" i="11"/>
  <c r="BP216" i="11"/>
  <c r="BP218" i="11" s="1"/>
  <c r="BP27" i="11" s="1"/>
  <c r="BP39" i="11" s="1"/>
  <c r="BP207" i="11" s="1"/>
  <c r="BO82" i="11"/>
  <c r="BO83" i="11" s="1"/>
  <c r="BO80" i="11"/>
  <c r="BO81" i="11" s="1"/>
  <c r="BP9" i="11" s="1"/>
  <c r="BP75" i="11" l="1"/>
  <c r="BP79" i="11" s="1"/>
  <c r="BP58" i="11"/>
  <c r="BP59" i="11" l="1"/>
  <c r="BP96" i="11"/>
  <c r="BP98" i="11" l="1"/>
  <c r="BP97" i="11"/>
  <c r="BQ216" i="11"/>
  <c r="BQ218" i="11" s="1"/>
  <c r="BQ27" i="11" s="1"/>
  <c r="BQ39" i="11" s="1"/>
  <c r="BQ207" i="11" s="1"/>
  <c r="BP82" i="11"/>
  <c r="BP83" i="11" s="1"/>
  <c r="BP80" i="11"/>
  <c r="BP81" i="11" s="1"/>
  <c r="BQ9" i="11" s="1"/>
  <c r="BQ58" i="11" l="1"/>
  <c r="BQ75" i="11"/>
  <c r="BQ79" i="11" s="1"/>
  <c r="BQ59" i="11" l="1"/>
  <c r="BQ96" i="11"/>
  <c r="BQ97" i="11" l="1"/>
  <c r="BQ98" i="11"/>
  <c r="BR216" i="11"/>
  <c r="BR218" i="11" s="1"/>
  <c r="BR27" i="11" s="1"/>
  <c r="BR39" i="11" s="1"/>
  <c r="BR207" i="11" s="1"/>
  <c r="BQ82" i="11"/>
  <c r="BQ83" i="11" s="1"/>
  <c r="BQ80" i="11"/>
  <c r="BQ81" i="11" s="1"/>
  <c r="BR9" i="11" s="1"/>
  <c r="BR75" i="11" l="1"/>
  <c r="BR79" i="11" s="1"/>
  <c r="BR58" i="11"/>
  <c r="BR59" i="11" l="1"/>
  <c r="BR96" i="11"/>
  <c r="BR98" i="11" l="1"/>
  <c r="BR97" i="11"/>
  <c r="BS216" i="11"/>
  <c r="BS218" i="11" s="1"/>
  <c r="BS27" i="11" s="1"/>
  <c r="BS39" i="11" s="1"/>
  <c r="BS207" i="11" s="1"/>
  <c r="BR82" i="11"/>
  <c r="BR83" i="11" s="1"/>
  <c r="BR80" i="11"/>
  <c r="BR81" i="11" s="1"/>
  <c r="BS9" i="11" s="1"/>
  <c r="BS58" i="11" l="1"/>
  <c r="BS75" i="11"/>
  <c r="BS79" i="11" s="1"/>
  <c r="BS59" i="11" l="1"/>
  <c r="BS96" i="11"/>
  <c r="BS98" i="11" l="1"/>
  <c r="BS97" i="11"/>
  <c r="BT216" i="11"/>
  <c r="BT218" i="11" s="1"/>
  <c r="BT27" i="11" s="1"/>
  <c r="BS82" i="11"/>
  <c r="BS83" i="11" s="1"/>
  <c r="BS80" i="11"/>
  <c r="BS81" i="11" s="1"/>
  <c r="BT9" i="11" s="1"/>
  <c r="BT39" i="11" l="1"/>
  <c r="BT207" i="11" s="1"/>
  <c r="BU27" i="11"/>
  <c r="BT58" i="11" l="1"/>
  <c r="BT75" i="11"/>
  <c r="T87" i="13"/>
  <c r="J70" i="1" s="1"/>
  <c r="BU39" i="11"/>
  <c r="T105" i="13" l="1"/>
  <c r="T112" i="13"/>
  <c r="I14" i="14"/>
  <c r="I16" i="14" s="1"/>
  <c r="H10" i="15"/>
  <c r="U87" i="13"/>
  <c r="T88" i="13"/>
  <c r="BT79" i="11"/>
  <c r="BU75" i="11"/>
  <c r="BU79" i="11" s="1"/>
  <c r="BT59" i="11"/>
  <c r="BU58" i="11"/>
  <c r="BU59" i="11" s="1"/>
  <c r="BT96" i="11"/>
  <c r="T89" i="13" l="1"/>
  <c r="U88" i="13"/>
  <c r="T28" i="13"/>
  <c r="J275" i="1" s="1"/>
  <c r="BT98" i="11"/>
  <c r="BV216" i="11"/>
  <c r="BV218" i="11" s="1"/>
  <c r="BV27" i="11" s="1"/>
  <c r="BT97" i="11"/>
  <c r="BU98" i="11"/>
  <c r="BU96" i="11"/>
  <c r="BU100" i="11"/>
  <c r="BT82" i="11"/>
  <c r="BT83" i="11" s="1"/>
  <c r="BT80" i="11"/>
  <c r="BT81" i="11" s="1"/>
  <c r="T9" i="13" s="1"/>
  <c r="J154" i="1" s="1"/>
  <c r="T91" i="13" l="1"/>
  <c r="J87" i="1"/>
  <c r="T63" i="13"/>
  <c r="T108" i="13"/>
  <c r="BV9" i="11"/>
  <c r="BV30" i="11"/>
  <c r="BV39" i="11" s="1"/>
  <c r="BV207" i="11" s="1"/>
  <c r="U89" i="13"/>
  <c r="T33" i="13"/>
  <c r="J303" i="1" s="1"/>
  <c r="T94" i="13"/>
  <c r="H9" i="15"/>
  <c r="H12" i="15" s="1"/>
  <c r="T99" i="13"/>
  <c r="U91" i="13"/>
  <c r="BV58" i="11" l="1"/>
  <c r="BV75" i="11"/>
  <c r="H14" i="15"/>
  <c r="C15" i="15"/>
  <c r="B10" i="19"/>
  <c r="U94" i="13"/>
  <c r="T43" i="13"/>
  <c r="BW30" i="11"/>
  <c r="BX30" i="11" s="1"/>
  <c r="BY30" i="11" s="1"/>
  <c r="BZ30" i="11" s="1"/>
  <c r="CA30" i="11" s="1"/>
  <c r="CB30" i="11" s="1"/>
  <c r="CC30" i="11" s="1"/>
  <c r="CD30" i="11" s="1"/>
  <c r="CE30" i="11" s="1"/>
  <c r="CF30" i="11" s="1"/>
  <c r="CG30" i="11" s="1"/>
  <c r="T18" i="13"/>
  <c r="T100" i="13" l="1"/>
  <c r="T101" i="13"/>
  <c r="T27" i="13"/>
  <c r="T113" i="13" s="1"/>
  <c r="T119" i="13"/>
  <c r="Z62" i="13"/>
  <c r="T65" i="13"/>
  <c r="CH30" i="11"/>
  <c r="H24" i="15"/>
  <c r="C35" i="15" s="1"/>
  <c r="J75" i="15" s="1"/>
  <c r="C30" i="15" a="1"/>
  <c r="C30" i="15" s="1"/>
  <c r="C36" i="15" s="1"/>
  <c r="E10" i="19"/>
  <c r="F10" i="19" s="1"/>
  <c r="F11" i="19" s="1"/>
  <c r="F12" i="19" s="1"/>
  <c r="F13" i="19" s="1"/>
  <c r="F14" i="19" s="1"/>
  <c r="F15" i="19" s="1"/>
  <c r="B33" i="19"/>
  <c r="T53" i="13"/>
  <c r="T106" i="13" s="1"/>
  <c r="BV79" i="11"/>
  <c r="BV59" i="11"/>
  <c r="BV96" i="11"/>
  <c r="T109" i="13" l="1"/>
  <c r="T114" i="13"/>
  <c r="T111" i="13"/>
  <c r="T110" i="13"/>
  <c r="T107" i="13"/>
  <c r="T102" i="13"/>
  <c r="BV97" i="11"/>
  <c r="BV98" i="11"/>
  <c r="BW216" i="11"/>
  <c r="BW218" i="11" s="1"/>
  <c r="BW27" i="11" s="1"/>
  <c r="AF113" i="4"/>
  <c r="H28" i="15"/>
  <c r="T25" i="15"/>
  <c r="V25" i="15"/>
  <c r="Z25" i="15"/>
  <c r="Y25" i="15"/>
  <c r="U25" i="15"/>
  <c r="X25" i="15"/>
  <c r="W25" i="15"/>
  <c r="S25" i="15"/>
  <c r="H25" i="15"/>
  <c r="BV82" i="11"/>
  <c r="BV83" i="11" s="1"/>
  <c r="BV80" i="11"/>
  <c r="BV81" i="11" s="1"/>
  <c r="BW9" i="11" s="1"/>
  <c r="B57" i="19"/>
  <c r="F33" i="19"/>
  <c r="F40" i="19" s="1"/>
  <c r="E43" i="19" s="1"/>
  <c r="T66" i="13"/>
  <c r="U21" i="13" l="1"/>
  <c r="U40" i="13"/>
  <c r="U41" i="13"/>
  <c r="U10" i="13"/>
  <c r="U22" i="13"/>
  <c r="BW39" i="11"/>
  <c r="BW207" i="11" s="1"/>
  <c r="H57" i="19"/>
  <c r="H64" i="19" s="1"/>
  <c r="H67" i="19" s="1"/>
  <c r="F57" i="19"/>
  <c r="F64" i="19" s="1"/>
  <c r="F67" i="19" s="1"/>
  <c r="X29" i="15"/>
  <c r="U29" i="15"/>
  <c r="Z29" i="15"/>
  <c r="Y29" i="15"/>
  <c r="T29" i="15"/>
  <c r="S29" i="15"/>
  <c r="V29" i="15"/>
  <c r="W29" i="15"/>
  <c r="H29" i="15"/>
  <c r="C34" i="15" s="1"/>
  <c r="H75" i="15" s="1"/>
  <c r="U64" i="13"/>
  <c r="U63" i="13"/>
  <c r="T67" i="13"/>
  <c r="U66" i="13"/>
  <c r="U57" i="13"/>
  <c r="U49" i="13"/>
  <c r="U38" i="13"/>
  <c r="U62" i="13"/>
  <c r="U54" i="13"/>
  <c r="U46" i="13"/>
  <c r="U35" i="13"/>
  <c r="U51" i="13"/>
  <c r="U43" i="13"/>
  <c r="U32" i="13"/>
  <c r="U55" i="13"/>
  <c r="U33" i="13"/>
  <c r="U18" i="13"/>
  <c r="U15" i="13"/>
  <c r="U53" i="13"/>
  <c r="U44" i="13"/>
  <c r="U42" i="13"/>
  <c r="U17" i="13"/>
  <c r="U37" i="13"/>
  <c r="U31" i="13"/>
  <c r="U20" i="13"/>
  <c r="U11" i="13"/>
  <c r="U59" i="13"/>
  <c r="U48" i="13"/>
  <c r="U34" i="13"/>
  <c r="U19" i="13"/>
  <c r="U14" i="13"/>
  <c r="U50" i="13"/>
  <c r="U30" i="13"/>
  <c r="U29" i="13"/>
  <c r="U61" i="13"/>
  <c r="U23" i="13"/>
  <c r="U13" i="13"/>
  <c r="U25" i="13"/>
  <c r="U28" i="13"/>
  <c r="U9" i="13"/>
  <c r="U58" i="13"/>
  <c r="U36" i="13"/>
  <c r="U45" i="13"/>
  <c r="U16" i="13"/>
  <c r="U24" i="13"/>
  <c r="U27" i="13"/>
  <c r="U47" i="13"/>
  <c r="U39" i="13"/>
  <c r="U60" i="13"/>
  <c r="U56" i="13"/>
  <c r="U52" i="13"/>
  <c r="U12" i="13"/>
  <c r="U65" i="13"/>
  <c r="U26" i="13"/>
  <c r="F69" i="19" l="1"/>
  <c r="BW75" i="11"/>
  <c r="BW58" i="11"/>
  <c r="BW59" i="11" l="1"/>
  <c r="BW96" i="11"/>
  <c r="BW79" i="11"/>
  <c r="BW98" i="11" l="1"/>
  <c r="BW97" i="11"/>
  <c r="BX216" i="11"/>
  <c r="BX218" i="11" s="1"/>
  <c r="BX27" i="11" s="1"/>
  <c r="BW82" i="11"/>
  <c r="BW83" i="11" s="1"/>
  <c r="BW80" i="11"/>
  <c r="BW81" i="11" s="1"/>
  <c r="BX9" i="11" s="1"/>
  <c r="BX39" i="11" l="1"/>
  <c r="BX207" i="11" s="1"/>
  <c r="BX75" i="11" l="1"/>
  <c r="BX58" i="11"/>
  <c r="BX59" i="11" l="1"/>
  <c r="BX96" i="11"/>
  <c r="BX79" i="11"/>
  <c r="BX97" i="11" l="1"/>
  <c r="BX98" i="11"/>
  <c r="BY216" i="11"/>
  <c r="BY218" i="11" s="1"/>
  <c r="BY27" i="11" s="1"/>
  <c r="BX82" i="11"/>
  <c r="BX83" i="11" s="1"/>
  <c r="BX80" i="11"/>
  <c r="BX81" i="11" s="1"/>
  <c r="BY9" i="11" s="1"/>
  <c r="BY39" i="11" l="1"/>
  <c r="BY207" i="11" s="1"/>
  <c r="BY58" i="11" l="1"/>
  <c r="BY75" i="11"/>
  <c r="BY79" i="11" l="1"/>
  <c r="BY59" i="11"/>
  <c r="BY96" i="11"/>
  <c r="BY82" i="11" l="1"/>
  <c r="BY83" i="11" s="1"/>
  <c r="BY80" i="11"/>
  <c r="BY81" i="11" s="1"/>
  <c r="BZ9" i="11" s="1"/>
  <c r="BY98" i="11"/>
  <c r="BY97" i="11"/>
  <c r="BZ216" i="11"/>
  <c r="BZ218" i="11" s="1"/>
  <c r="BZ27" i="11" s="1"/>
  <c r="BZ39" i="11" l="1"/>
  <c r="BZ207" i="11" s="1"/>
  <c r="BZ75" i="11" l="1"/>
  <c r="BZ58" i="11"/>
  <c r="BZ59" i="11" l="1"/>
  <c r="BZ96" i="11"/>
  <c r="BZ79" i="11"/>
  <c r="BZ98" i="11" l="1"/>
  <c r="BZ97" i="11"/>
  <c r="CA216" i="11"/>
  <c r="CA218" i="11" s="1"/>
  <c r="CA27" i="11" s="1"/>
  <c r="CA39" i="11" s="1"/>
  <c r="CA207" i="11" s="1"/>
  <c r="BZ82" i="11"/>
  <c r="BZ83" i="11" s="1"/>
  <c r="BZ80" i="11"/>
  <c r="BZ81" i="11" s="1"/>
  <c r="CA9" i="11" s="1"/>
  <c r="CA58" i="11" l="1"/>
  <c r="CA75" i="11"/>
  <c r="CA79" i="11" s="1"/>
  <c r="CA59" i="11" l="1"/>
  <c r="CA96" i="11"/>
  <c r="CA98" i="11" l="1"/>
  <c r="CA97" i="11"/>
  <c r="CB216" i="11"/>
  <c r="CB218" i="11" s="1"/>
  <c r="CB27" i="11" s="1"/>
  <c r="CB39" i="11" s="1"/>
  <c r="CB207" i="11" s="1"/>
  <c r="CA82" i="11"/>
  <c r="CA83" i="11" s="1"/>
  <c r="CA80" i="11"/>
  <c r="CA81" i="11" s="1"/>
  <c r="CB9" i="11" s="1"/>
  <c r="CB58" i="11" l="1"/>
  <c r="CB75" i="11"/>
  <c r="CB79" i="11" s="1"/>
  <c r="CB59" i="11" l="1"/>
  <c r="CB96" i="11"/>
  <c r="CB97" i="11" l="1"/>
  <c r="CB98" i="11"/>
  <c r="CC216" i="11"/>
  <c r="CC218" i="11" s="1"/>
  <c r="CC27" i="11" s="1"/>
  <c r="CC39" i="11" s="1"/>
  <c r="CC207" i="11" s="1"/>
  <c r="CB82" i="11"/>
  <c r="CB83" i="11" s="1"/>
  <c r="CB80" i="11"/>
  <c r="CB81" i="11" s="1"/>
  <c r="CC9" i="11" s="1"/>
  <c r="CC58" i="11" l="1"/>
  <c r="CC75" i="11"/>
  <c r="CC79" i="11" s="1"/>
  <c r="CC59" i="11" l="1"/>
  <c r="CC96" i="11"/>
  <c r="CC98" i="11" l="1"/>
  <c r="CC97" i="11"/>
  <c r="CD216" i="11"/>
  <c r="CD218" i="11" s="1"/>
  <c r="CD27" i="11" s="1"/>
  <c r="CD39" i="11" s="1"/>
  <c r="CD207" i="11" s="1"/>
  <c r="CC82" i="11"/>
  <c r="CC83" i="11" s="1"/>
  <c r="CC80" i="11"/>
  <c r="CC81" i="11" s="1"/>
  <c r="CD9" i="11" s="1"/>
  <c r="CD58" i="11" l="1"/>
  <c r="CD75" i="11"/>
  <c r="CD79" i="11" s="1"/>
  <c r="CD59" i="11" l="1"/>
  <c r="CD96" i="11"/>
  <c r="CD97" i="11" l="1"/>
  <c r="CD98" i="11"/>
  <c r="CE216" i="11"/>
  <c r="CE218" i="11" s="1"/>
  <c r="CE27" i="11" s="1"/>
  <c r="CE39" i="11" s="1"/>
  <c r="CE207" i="11" s="1"/>
  <c r="CD82" i="11"/>
  <c r="CD83" i="11" s="1"/>
  <c r="CD80" i="11"/>
  <c r="CD81" i="11" s="1"/>
  <c r="CE9" i="11" s="1"/>
  <c r="CE75" i="11" l="1"/>
  <c r="CE79" i="11" s="1"/>
  <c r="CE58" i="11"/>
  <c r="CE59" i="11" l="1"/>
  <c r="CE96" i="11"/>
  <c r="CE97" i="11" l="1"/>
  <c r="CE98" i="11"/>
  <c r="CF216" i="11"/>
  <c r="CF218" i="11" s="1"/>
  <c r="CF27" i="11" s="1"/>
  <c r="CF39" i="11" s="1"/>
  <c r="CF207" i="11" s="1"/>
  <c r="CE82" i="11"/>
  <c r="CE83" i="11" s="1"/>
  <c r="CE80" i="11"/>
  <c r="CE81" i="11" s="1"/>
  <c r="CF9" i="11" s="1"/>
  <c r="CF75" i="11" l="1"/>
  <c r="CF79" i="11" s="1"/>
  <c r="CF58" i="11"/>
  <c r="CF59" i="11" l="1"/>
  <c r="CF96" i="11"/>
  <c r="CF98" i="11" l="1"/>
  <c r="CF97" i="11"/>
  <c r="CG216" i="11"/>
  <c r="CG218" i="11" s="1"/>
  <c r="CG27" i="11" s="1"/>
  <c r="CF82" i="11"/>
  <c r="CF83" i="11" s="1"/>
  <c r="CF80" i="11"/>
  <c r="CF81" i="11" s="1"/>
  <c r="CG9" i="11" s="1"/>
  <c r="CG39" i="11" l="1"/>
  <c r="CG207" i="11" s="1"/>
  <c r="CH27" i="11"/>
  <c r="CG58" i="11" l="1"/>
  <c r="CG75" i="11"/>
  <c r="Z87" i="13"/>
  <c r="CH39" i="11"/>
  <c r="Z112" i="13" l="1"/>
  <c r="K70" i="1"/>
  <c r="J14" i="14"/>
  <c r="J16" i="14" s="1"/>
  <c r="Z105" i="13"/>
  <c r="AA87" i="13"/>
  <c r="Z88" i="13"/>
  <c r="CG79" i="11"/>
  <c r="CH75" i="11"/>
  <c r="CH79" i="11" s="1"/>
  <c r="CG59" i="11"/>
  <c r="CH58" i="11"/>
  <c r="CH59" i="11" s="1"/>
  <c r="CG96" i="11"/>
  <c r="Z89" i="13" l="1"/>
  <c r="AA88" i="13"/>
  <c r="Z28" i="13"/>
  <c r="K275" i="1" s="1"/>
  <c r="CG98" i="11"/>
  <c r="CG97" i="11"/>
  <c r="CI216" i="11"/>
  <c r="CI218" i="11" s="1"/>
  <c r="CI27" i="11" s="1"/>
  <c r="CH96" i="11"/>
  <c r="CH98" i="11"/>
  <c r="CH100" i="11"/>
  <c r="CG82" i="11"/>
  <c r="CG83" i="11" s="1"/>
  <c r="CG80" i="11"/>
  <c r="CG81" i="11" s="1"/>
  <c r="Z91" i="13" l="1"/>
  <c r="Z94" i="13" s="1"/>
  <c r="K87" i="1"/>
  <c r="AA91" i="13"/>
  <c r="Z99" i="13"/>
  <c r="Z9" i="13"/>
  <c r="K154" i="1" s="1"/>
  <c r="CI9" i="11"/>
  <c r="CI30" i="11"/>
  <c r="CI39" i="11" s="1"/>
  <c r="CI207" i="11" s="1"/>
  <c r="AA89" i="13"/>
  <c r="Z33" i="13"/>
  <c r="K303" i="1" s="1"/>
  <c r="Z18" i="13" l="1"/>
  <c r="Z27" i="13" s="1"/>
  <c r="CI58" i="11"/>
  <c r="CI75" i="11"/>
  <c r="CJ30" i="11"/>
  <c r="CK30" i="11" s="1"/>
  <c r="CL30" i="11" s="1"/>
  <c r="CM30" i="11" s="1"/>
  <c r="CN30" i="11" s="1"/>
  <c r="CO30" i="11" s="1"/>
  <c r="CP30" i="11" s="1"/>
  <c r="CQ30" i="11" s="1"/>
  <c r="CR30" i="11" s="1"/>
  <c r="CS30" i="11" s="1"/>
  <c r="CT30" i="11" s="1"/>
  <c r="Z43" i="13"/>
  <c r="Z63" i="13"/>
  <c r="AA94" i="13"/>
  <c r="CU30" i="11" l="1"/>
  <c r="CI79" i="11"/>
  <c r="CI59" i="11"/>
  <c r="CI96" i="11"/>
  <c r="Z100" i="13"/>
  <c r="Z53" i="13"/>
  <c r="AB62" i="13"/>
  <c r="Z65" i="13"/>
  <c r="CI98" i="11" l="1"/>
  <c r="CI97" i="11"/>
  <c r="CJ216" i="11"/>
  <c r="CJ218" i="11" s="1"/>
  <c r="CJ27" i="11" s="1"/>
  <c r="CI82" i="11"/>
  <c r="CI83" i="11" s="1"/>
  <c r="CI80" i="11"/>
  <c r="CI81" i="11" s="1"/>
  <c r="CJ9" i="11" s="1"/>
  <c r="Z106" i="13"/>
  <c r="Z66" i="13"/>
  <c r="Z102" i="13"/>
  <c r="AA10" i="13" l="1"/>
  <c r="AA22" i="13"/>
  <c r="AA66" i="13"/>
  <c r="AA62" i="13"/>
  <c r="AA65" i="13"/>
  <c r="AA59" i="13"/>
  <c r="AA53" i="13"/>
  <c r="AA45" i="13"/>
  <c r="AA42" i="13"/>
  <c r="AA60" i="13"/>
  <c r="AA58" i="13"/>
  <c r="AA50" i="13"/>
  <c r="AA55" i="13"/>
  <c r="AA47" i="13"/>
  <c r="AA39" i="13"/>
  <c r="AA36" i="13"/>
  <c r="AA28" i="13"/>
  <c r="AA54" i="13"/>
  <c r="AA34" i="13"/>
  <c r="AA14" i="13"/>
  <c r="AA63" i="13"/>
  <c r="AA61" i="13"/>
  <c r="AA48" i="13"/>
  <c r="AA43" i="13"/>
  <c r="AA25" i="13"/>
  <c r="AA19" i="13"/>
  <c r="AA11" i="13"/>
  <c r="Z67" i="13"/>
  <c r="AA35" i="13"/>
  <c r="AA24" i="13"/>
  <c r="AA23" i="13"/>
  <c r="AA13" i="13"/>
  <c r="AA64" i="13"/>
  <c r="AA57" i="13"/>
  <c r="AA44" i="13"/>
  <c r="AA29" i="13"/>
  <c r="AA18" i="13"/>
  <c r="AA9" i="13"/>
  <c r="AA52" i="13"/>
  <c r="AA27" i="13"/>
  <c r="AA26" i="13"/>
  <c r="AA17" i="13"/>
  <c r="AA30" i="13"/>
  <c r="AA16" i="13"/>
  <c r="AA20" i="13"/>
  <c r="AA12" i="13"/>
  <c r="AA38" i="13"/>
  <c r="AA31" i="13"/>
  <c r="AA51" i="13"/>
  <c r="AA37" i="13"/>
  <c r="AA15" i="13"/>
  <c r="AA32" i="13"/>
  <c r="AA33" i="13"/>
  <c r="AA56" i="13"/>
  <c r="AA46" i="13"/>
  <c r="AA49" i="13"/>
  <c r="CJ39" i="11"/>
  <c r="CJ207" i="11" s="1"/>
  <c r="CJ75" i="11" l="1"/>
  <c r="CJ58" i="11"/>
  <c r="CJ59" i="11" l="1"/>
  <c r="CJ96" i="11"/>
  <c r="CJ79" i="11"/>
  <c r="CJ98" i="11" l="1"/>
  <c r="CJ97" i="11"/>
  <c r="CK216" i="11"/>
  <c r="CK218" i="11" s="1"/>
  <c r="CK27" i="11" s="1"/>
  <c r="CJ82" i="11"/>
  <c r="CJ83" i="11" s="1"/>
  <c r="CJ80" i="11"/>
  <c r="CJ81" i="11" s="1"/>
  <c r="CK9" i="11" s="1"/>
  <c r="CK39" i="11" l="1"/>
  <c r="CK207" i="11" s="1"/>
  <c r="CK58" i="11" l="1"/>
  <c r="CK75" i="11"/>
  <c r="CK79" i="11" l="1"/>
  <c r="CK59" i="11"/>
  <c r="CK96" i="11"/>
  <c r="CK82" i="11" l="1"/>
  <c r="CK83" i="11" s="1"/>
  <c r="CK80" i="11"/>
  <c r="CK81" i="11" s="1"/>
  <c r="CL9" i="11" s="1"/>
  <c r="CK98" i="11"/>
  <c r="CK97" i="11"/>
  <c r="CL216" i="11"/>
  <c r="CL218" i="11" s="1"/>
  <c r="CL27" i="11" s="1"/>
  <c r="CL39" i="11" l="1"/>
  <c r="CL207" i="11" s="1"/>
  <c r="CL58" i="11" l="1"/>
  <c r="CL75" i="11"/>
  <c r="CL79" i="11" l="1"/>
  <c r="CL59" i="11"/>
  <c r="CL96" i="11"/>
  <c r="CL82" i="11" l="1"/>
  <c r="CL83" i="11" s="1"/>
  <c r="CL80" i="11"/>
  <c r="CL81" i="11" s="1"/>
  <c r="CM9" i="11" s="1"/>
  <c r="CL98" i="11"/>
  <c r="CL97" i="11"/>
  <c r="CM216" i="11"/>
  <c r="CM218" i="11" s="1"/>
  <c r="CM27" i="11" s="1"/>
  <c r="CM39" i="11" l="1"/>
  <c r="CM207" i="11" s="1"/>
  <c r="CM75" i="11" l="1"/>
  <c r="CM58" i="11"/>
  <c r="CM59" i="11" l="1"/>
  <c r="CM96" i="11"/>
  <c r="CM79" i="11"/>
  <c r="CM97" i="11" l="1"/>
  <c r="CM98" i="11"/>
  <c r="CN216" i="11"/>
  <c r="CN218" i="11" s="1"/>
  <c r="CN27" i="11" s="1"/>
  <c r="CN39" i="11" s="1"/>
  <c r="CN207" i="11" s="1"/>
  <c r="CM82" i="11"/>
  <c r="CM83" i="11" s="1"/>
  <c r="CM80" i="11"/>
  <c r="CM81" i="11" s="1"/>
  <c r="CN9" i="11" s="1"/>
  <c r="CN75" i="11" l="1"/>
  <c r="CN79" i="11" s="1"/>
  <c r="CN58" i="11"/>
  <c r="CN59" i="11" l="1"/>
  <c r="CN96" i="11"/>
  <c r="CN97" i="11" l="1"/>
  <c r="CN98" i="11"/>
  <c r="CO216" i="11"/>
  <c r="CO218" i="11" s="1"/>
  <c r="CO27" i="11" s="1"/>
  <c r="CO39" i="11" s="1"/>
  <c r="CO207" i="11" s="1"/>
  <c r="CN82" i="11"/>
  <c r="CN83" i="11" s="1"/>
  <c r="CN80" i="11"/>
  <c r="CN81" i="11" s="1"/>
  <c r="CO9" i="11" s="1"/>
  <c r="CO75" i="11" l="1"/>
  <c r="CO79" i="11" s="1"/>
  <c r="CO58" i="11"/>
  <c r="CO59" i="11" l="1"/>
  <c r="CO96" i="11"/>
  <c r="CO97" i="11" l="1"/>
  <c r="CO98" i="11"/>
  <c r="CP216" i="11"/>
  <c r="CP218" i="11" s="1"/>
  <c r="CP27" i="11" s="1"/>
  <c r="CP39" i="11" s="1"/>
  <c r="CP207" i="11" s="1"/>
  <c r="CO82" i="11"/>
  <c r="CO83" i="11" s="1"/>
  <c r="CO80" i="11"/>
  <c r="CO81" i="11" s="1"/>
  <c r="CP9" i="11" s="1"/>
  <c r="CP58" i="11" l="1"/>
  <c r="CP75" i="11"/>
  <c r="CP79" i="11" s="1"/>
  <c r="CP59" i="11" l="1"/>
  <c r="CP96" i="11"/>
  <c r="CP97" i="11" l="1"/>
  <c r="CP98" i="11"/>
  <c r="CQ216" i="11"/>
  <c r="CQ218" i="11" s="1"/>
  <c r="CQ27" i="11" s="1"/>
  <c r="CQ39" i="11" s="1"/>
  <c r="CQ207" i="11" s="1"/>
  <c r="CP82" i="11"/>
  <c r="CP83" i="11" s="1"/>
  <c r="CP80" i="11"/>
  <c r="CP81" i="11" s="1"/>
  <c r="CQ9" i="11" s="1"/>
  <c r="CQ58" i="11" l="1"/>
  <c r="CQ75" i="11"/>
  <c r="CQ79" i="11" s="1"/>
  <c r="CQ59" i="11" l="1"/>
  <c r="CQ96" i="11"/>
  <c r="CQ98" i="11" l="1"/>
  <c r="CQ97" i="11"/>
  <c r="CR216" i="11"/>
  <c r="CR218" i="11" s="1"/>
  <c r="CR27" i="11" s="1"/>
  <c r="CR39" i="11" s="1"/>
  <c r="CR207" i="11" s="1"/>
  <c r="CQ82" i="11"/>
  <c r="CQ83" i="11" s="1"/>
  <c r="CQ80" i="11"/>
  <c r="CQ81" i="11" s="1"/>
  <c r="CR9" i="11" s="1"/>
  <c r="CR58" i="11" l="1"/>
  <c r="CR75" i="11"/>
  <c r="CR79" i="11" s="1"/>
  <c r="CR59" i="11" l="1"/>
  <c r="CR96" i="11"/>
  <c r="CR98" i="11" l="1"/>
  <c r="CR97" i="11"/>
  <c r="CS216" i="11"/>
  <c r="CS218" i="11" s="1"/>
  <c r="CS27" i="11" s="1"/>
  <c r="CS39" i="11" s="1"/>
  <c r="CS207" i="11" s="1"/>
  <c r="CR82" i="11"/>
  <c r="CR83" i="11" s="1"/>
  <c r="CR80" i="11"/>
  <c r="CR81" i="11" s="1"/>
  <c r="CS9" i="11" s="1"/>
  <c r="CS58" i="11" l="1"/>
  <c r="CS75" i="11"/>
  <c r="CS79" i="11" s="1"/>
  <c r="CS59" i="11" l="1"/>
  <c r="CS96" i="11"/>
  <c r="CS98" i="11" l="1"/>
  <c r="CS97" i="11"/>
  <c r="CT216" i="11"/>
  <c r="CT218" i="11" s="1"/>
  <c r="CT27" i="11" s="1"/>
  <c r="CS82" i="11"/>
  <c r="CS83" i="11" s="1"/>
  <c r="CS80" i="11"/>
  <c r="CS81" i="11" s="1"/>
  <c r="CT9" i="11" s="1"/>
  <c r="CT39" i="11" l="1"/>
  <c r="CT207" i="11" s="1"/>
  <c r="CU27" i="11"/>
  <c r="AB87" i="13" l="1"/>
  <c r="L70" i="1" s="1"/>
  <c r="CU39" i="11"/>
  <c r="CT58" i="11"/>
  <c r="CT75" i="11"/>
  <c r="CT79" i="11" l="1"/>
  <c r="CU75" i="11"/>
  <c r="CU79" i="11" s="1"/>
  <c r="CT59" i="11"/>
  <c r="CU58" i="11"/>
  <c r="CU59" i="11" s="1"/>
  <c r="CT96" i="11"/>
  <c r="K14" i="14"/>
  <c r="K16" i="14" s="1"/>
  <c r="AB105" i="13"/>
  <c r="AB112" i="13"/>
  <c r="AC87" i="13"/>
  <c r="AB88" i="13"/>
  <c r="CT82" i="11" l="1"/>
  <c r="CT83" i="11" s="1"/>
  <c r="CT80" i="11"/>
  <c r="CT81" i="11" s="1"/>
  <c r="AB28" i="13"/>
  <c r="L275" i="1" s="1"/>
  <c r="CT97" i="11"/>
  <c r="CT98" i="11"/>
  <c r="CV216" i="11"/>
  <c r="CV218" i="11" s="1"/>
  <c r="CV27" i="11" s="1"/>
  <c r="CU100" i="11"/>
  <c r="CU96" i="11"/>
  <c r="CU98" i="11"/>
  <c r="AB89" i="13"/>
  <c r="L87" i="1" s="1"/>
  <c r="AC88" i="13"/>
  <c r="CV30" i="11" l="1"/>
  <c r="CV39" i="11" s="1"/>
  <c r="CV207" i="11" s="1"/>
  <c r="AC89" i="13"/>
  <c r="AB33" i="13"/>
  <c r="AB91" i="13"/>
  <c r="AB9" i="13"/>
  <c r="L154" i="1" s="1"/>
  <c r="CV9" i="11"/>
  <c r="AB43" i="13" l="1"/>
  <c r="L303" i="1"/>
  <c r="AB18" i="13"/>
  <c r="AB27" i="13" s="1"/>
  <c r="CV75" i="11"/>
  <c r="CV58" i="11"/>
  <c r="AB53" i="13"/>
  <c r="AB94" i="13"/>
  <c r="AB99" i="13"/>
  <c r="AC91" i="13"/>
  <c r="CW30" i="11"/>
  <c r="CX30" i="11" s="1"/>
  <c r="CY30" i="11" s="1"/>
  <c r="CZ30" i="11" s="1"/>
  <c r="DA30" i="11" s="1"/>
  <c r="DB30" i="11" s="1"/>
  <c r="DC30" i="11" s="1"/>
  <c r="DD30" i="11" s="1"/>
  <c r="DE30" i="11" s="1"/>
  <c r="DF30" i="11" s="1"/>
  <c r="DG30" i="11" s="1"/>
  <c r="AB100" i="13" l="1"/>
  <c r="CV59" i="11"/>
  <c r="CV96" i="11"/>
  <c r="DH30" i="11"/>
  <c r="AB106" i="13"/>
  <c r="CV79" i="11"/>
  <c r="AB63" i="13"/>
  <c r="AC94" i="13"/>
  <c r="CV97" i="11" l="1"/>
  <c r="CV98" i="11"/>
  <c r="CW216" i="11"/>
  <c r="CW218" i="11" s="1"/>
  <c r="CW27" i="11" s="1"/>
  <c r="CV82" i="11"/>
  <c r="CV83" i="11" s="1"/>
  <c r="CV80" i="11"/>
  <c r="CV81" i="11" s="1"/>
  <c r="CW9" i="11" s="1"/>
  <c r="AD62" i="13"/>
  <c r="AB65" i="13"/>
  <c r="CW39" i="11" l="1"/>
  <c r="CW207" i="11" s="1"/>
  <c r="AB102" i="13"/>
  <c r="AB66" i="13"/>
  <c r="AC10" i="13" l="1"/>
  <c r="AC22" i="13"/>
  <c r="AB67" i="13"/>
  <c r="AC61" i="13"/>
  <c r="AC63" i="13"/>
  <c r="AC55" i="13"/>
  <c r="AC47" i="13"/>
  <c r="AC39" i="13"/>
  <c r="AC36" i="13"/>
  <c r="AC52" i="13"/>
  <c r="AC44" i="13"/>
  <c r="AC33" i="13"/>
  <c r="AC57" i="13"/>
  <c r="AC49" i="13"/>
  <c r="AC38" i="13"/>
  <c r="AC30" i="13"/>
  <c r="AC66" i="13"/>
  <c r="AC60" i="13"/>
  <c r="AC59" i="13"/>
  <c r="AC53" i="13"/>
  <c r="AC42" i="13"/>
  <c r="AC32" i="13"/>
  <c r="AC31" i="13"/>
  <c r="AC29" i="13"/>
  <c r="AC28" i="13"/>
  <c r="AC27" i="13"/>
  <c r="AC26" i="13"/>
  <c r="AC25" i="13"/>
  <c r="AC16" i="13"/>
  <c r="AC35" i="13"/>
  <c r="AC24" i="13"/>
  <c r="AC23" i="13"/>
  <c r="AC13" i="13"/>
  <c r="AC15" i="13"/>
  <c r="AC48" i="13"/>
  <c r="AC17" i="13"/>
  <c r="AC65" i="13"/>
  <c r="AC62" i="13"/>
  <c r="AC45" i="13"/>
  <c r="AC56" i="13"/>
  <c r="AC12" i="13"/>
  <c r="AC14" i="13"/>
  <c r="AC37" i="13"/>
  <c r="AC18" i="13"/>
  <c r="AC51" i="13"/>
  <c r="AC19" i="13"/>
  <c r="AC46" i="13"/>
  <c r="AC58" i="13"/>
  <c r="AC50" i="13"/>
  <c r="AC34" i="13"/>
  <c r="AC64" i="13"/>
  <c r="AC43" i="13"/>
  <c r="AC20" i="13"/>
  <c r="AC54" i="13"/>
  <c r="AC11" i="13"/>
  <c r="AC9" i="13"/>
  <c r="CW75" i="11"/>
  <c r="CW58" i="11"/>
  <c r="CW59" i="11" l="1"/>
  <c r="CW96" i="11"/>
  <c r="CW79" i="11"/>
  <c r="CW97" i="11" l="1"/>
  <c r="CW98" i="11"/>
  <c r="CX216" i="11"/>
  <c r="CX218" i="11" s="1"/>
  <c r="CX27" i="11" s="1"/>
  <c r="CW82" i="11"/>
  <c r="CW83" i="11" s="1"/>
  <c r="CW80" i="11"/>
  <c r="CW81" i="11" s="1"/>
  <c r="CX9" i="11" s="1"/>
  <c r="CX39" i="11" l="1"/>
  <c r="CX207" i="11" s="1"/>
  <c r="CX58" i="11" l="1"/>
  <c r="CX75" i="11"/>
  <c r="CX79" i="11" l="1"/>
  <c r="CX59" i="11"/>
  <c r="CX96" i="11"/>
  <c r="CX82" i="11" l="1"/>
  <c r="CX83" i="11" s="1"/>
  <c r="CX80" i="11"/>
  <c r="CX81" i="11" s="1"/>
  <c r="CY9" i="11" s="1"/>
  <c r="CX97" i="11"/>
  <c r="CX98" i="11"/>
  <c r="CY216" i="11"/>
  <c r="CY218" i="11" s="1"/>
  <c r="CY27" i="11" s="1"/>
  <c r="CY39" i="11" l="1"/>
  <c r="CY207" i="11" s="1"/>
  <c r="CY58" i="11" l="1"/>
  <c r="CY75" i="11"/>
  <c r="CY79" i="11" l="1"/>
  <c r="CY59" i="11"/>
  <c r="CY96" i="11"/>
  <c r="CY82" i="11" l="1"/>
  <c r="CY83" i="11" s="1"/>
  <c r="CY80" i="11"/>
  <c r="CY81" i="11" s="1"/>
  <c r="CZ9" i="11" s="1"/>
  <c r="CY98" i="11"/>
  <c r="CY97" i="11"/>
  <c r="CZ216" i="11"/>
  <c r="CZ218" i="11" s="1"/>
  <c r="CZ27" i="11" s="1"/>
  <c r="CZ39" i="11" l="1"/>
  <c r="CZ207" i="11" s="1"/>
  <c r="CZ75" i="11" l="1"/>
  <c r="CZ58" i="11"/>
  <c r="CZ59" i="11" l="1"/>
  <c r="CZ96" i="11"/>
  <c r="CZ79" i="11"/>
  <c r="CZ98" i="11" l="1"/>
  <c r="CZ97" i="11"/>
  <c r="DA216" i="11"/>
  <c r="DA218" i="11" s="1"/>
  <c r="DA27" i="11" s="1"/>
  <c r="DA39" i="11" s="1"/>
  <c r="DA207" i="11" s="1"/>
  <c r="CZ82" i="11"/>
  <c r="CZ83" i="11" s="1"/>
  <c r="CZ80" i="11"/>
  <c r="CZ81" i="11" s="1"/>
  <c r="DA9" i="11" s="1"/>
  <c r="DA58" i="11" l="1"/>
  <c r="DA75" i="11"/>
  <c r="DA79" i="11" s="1"/>
  <c r="DA59" i="11" l="1"/>
  <c r="DA96" i="11"/>
  <c r="DA98" i="11" l="1"/>
  <c r="DA97" i="11"/>
  <c r="DB216" i="11"/>
  <c r="DB218" i="11" s="1"/>
  <c r="DB27" i="11" s="1"/>
  <c r="DB39" i="11" s="1"/>
  <c r="DB207" i="11" s="1"/>
  <c r="DA82" i="11"/>
  <c r="DA83" i="11" s="1"/>
  <c r="DA80" i="11"/>
  <c r="DA81" i="11" s="1"/>
  <c r="DB9" i="11" s="1"/>
  <c r="DB58" i="11" l="1"/>
  <c r="DB75" i="11"/>
  <c r="DB79" i="11" s="1"/>
  <c r="DB59" i="11" l="1"/>
  <c r="DB96" i="11"/>
  <c r="DB97" i="11" l="1"/>
  <c r="DB98" i="11"/>
  <c r="DC216" i="11"/>
  <c r="DC218" i="11" s="1"/>
  <c r="DC27" i="11" s="1"/>
  <c r="DC39" i="11" s="1"/>
  <c r="DC207" i="11" s="1"/>
  <c r="DB82" i="11"/>
  <c r="DB83" i="11" s="1"/>
  <c r="DB80" i="11"/>
  <c r="DB81" i="11" s="1"/>
  <c r="DC9" i="11" s="1"/>
  <c r="DC75" i="11" l="1"/>
  <c r="DC79" i="11" s="1"/>
  <c r="DC58" i="11"/>
  <c r="DC59" i="11" l="1"/>
  <c r="DC96" i="11"/>
  <c r="DC98" i="11" l="1"/>
  <c r="DC97" i="11"/>
  <c r="DD216" i="11"/>
  <c r="DD218" i="11" s="1"/>
  <c r="DD27" i="11" s="1"/>
  <c r="DD39" i="11" s="1"/>
  <c r="DD207" i="11" s="1"/>
  <c r="DC82" i="11"/>
  <c r="DC83" i="11" s="1"/>
  <c r="DC80" i="11"/>
  <c r="DC81" i="11" s="1"/>
  <c r="DD9" i="11" s="1"/>
  <c r="DD75" i="11" l="1"/>
  <c r="DD79" i="11" s="1"/>
  <c r="DD58" i="11"/>
  <c r="DD59" i="11" l="1"/>
  <c r="DD96" i="11"/>
  <c r="DD97" i="11" l="1"/>
  <c r="DD98" i="11"/>
  <c r="DE216" i="11"/>
  <c r="DE218" i="11" s="1"/>
  <c r="DE27" i="11" s="1"/>
  <c r="DE39" i="11" s="1"/>
  <c r="DE207" i="11" s="1"/>
  <c r="DD82" i="11"/>
  <c r="DD83" i="11" s="1"/>
  <c r="DD80" i="11"/>
  <c r="DD81" i="11" s="1"/>
  <c r="DE9" i="11" s="1"/>
  <c r="DE75" i="11" l="1"/>
  <c r="DE79" i="11" s="1"/>
  <c r="DE58" i="11"/>
  <c r="DE59" i="11" l="1"/>
  <c r="DE96" i="11"/>
  <c r="DE98" i="11" l="1"/>
  <c r="DE97" i="11"/>
  <c r="DF216" i="11"/>
  <c r="DF218" i="11" s="1"/>
  <c r="DF27" i="11" s="1"/>
  <c r="DF39" i="11" s="1"/>
  <c r="DF207" i="11" s="1"/>
  <c r="DE82" i="11"/>
  <c r="DE83" i="11" s="1"/>
  <c r="DE80" i="11"/>
  <c r="DE81" i="11" s="1"/>
  <c r="DF9" i="11" s="1"/>
  <c r="DF58" i="11" l="1"/>
  <c r="DF75" i="11"/>
  <c r="DF79" i="11" s="1"/>
  <c r="DF59" i="11" l="1"/>
  <c r="DF96" i="11"/>
  <c r="DF98" i="11" l="1"/>
  <c r="DF97" i="11"/>
  <c r="DG216" i="11"/>
  <c r="DG218" i="11" s="1"/>
  <c r="DG27" i="11" s="1"/>
  <c r="DF82" i="11"/>
  <c r="DF83" i="11" s="1"/>
  <c r="DF80" i="11"/>
  <c r="DF81" i="11" s="1"/>
  <c r="DG9" i="11" s="1"/>
  <c r="DG39" i="11" l="1"/>
  <c r="DG207" i="11" s="1"/>
  <c r="DH27" i="11"/>
  <c r="AD87" i="13" l="1"/>
  <c r="M70" i="1" s="1"/>
  <c r="DH39" i="11"/>
  <c r="DG58" i="11"/>
  <c r="DG75" i="11"/>
  <c r="DG79" i="11" l="1"/>
  <c r="DH75" i="11"/>
  <c r="DH79" i="11" s="1"/>
  <c r="DG59" i="11"/>
  <c r="DH58" i="11"/>
  <c r="DH59" i="11" s="1"/>
  <c r="DG96" i="11"/>
  <c r="L14" i="14"/>
  <c r="L16" i="14" s="1"/>
  <c r="AD105" i="13"/>
  <c r="AD112" i="13"/>
  <c r="AE87" i="13"/>
  <c r="AD88" i="13"/>
  <c r="AD28" i="13" l="1"/>
  <c r="M275" i="1" s="1"/>
  <c r="DG98" i="11"/>
  <c r="DG97" i="11"/>
  <c r="DI216" i="11"/>
  <c r="DI218" i="11" s="1"/>
  <c r="DI27" i="11" s="1"/>
  <c r="DH98" i="11"/>
  <c r="DH96" i="11"/>
  <c r="DH100" i="11"/>
  <c r="AD89" i="13"/>
  <c r="M87" i="1" s="1"/>
  <c r="AE88" i="13"/>
  <c r="DG82" i="11"/>
  <c r="DG83" i="11" s="1"/>
  <c r="DG80" i="11"/>
  <c r="DG81" i="11" s="1"/>
  <c r="DI30" i="11" l="1"/>
  <c r="DI39" i="11" s="1"/>
  <c r="DI207" i="11" s="1"/>
  <c r="AE89" i="13"/>
  <c r="AD33" i="13"/>
  <c r="M303" i="1" s="1"/>
  <c r="AD9" i="13"/>
  <c r="M154" i="1" s="1"/>
  <c r="DI9" i="11"/>
  <c r="AD91" i="13"/>
  <c r="DI58" i="11" l="1"/>
  <c r="DI75" i="11"/>
  <c r="AD18" i="13"/>
  <c r="AD27" i="13" s="1"/>
  <c r="AD43" i="13"/>
  <c r="AD94" i="13"/>
  <c r="AD99" i="13"/>
  <c r="AE91" i="13"/>
  <c r="DJ30" i="11"/>
  <c r="DK30" i="11" s="1"/>
  <c r="DL30" i="11" s="1"/>
  <c r="DM30" i="11" s="1"/>
  <c r="DN30" i="11" s="1"/>
  <c r="DO30" i="11" s="1"/>
  <c r="DP30" i="11" s="1"/>
  <c r="DQ30" i="11" s="1"/>
  <c r="DR30" i="11" s="1"/>
  <c r="DS30" i="11" s="1"/>
  <c r="DT30" i="11" s="1"/>
  <c r="AD63" i="13" l="1"/>
  <c r="AE94" i="13"/>
  <c r="DI79" i="11"/>
  <c r="AD100" i="13"/>
  <c r="AD53" i="13"/>
  <c r="DU30" i="11"/>
  <c r="DI59" i="11"/>
  <c r="DI96" i="11"/>
  <c r="DI98" i="11" l="1"/>
  <c r="DI97" i="11"/>
  <c r="DJ216" i="11"/>
  <c r="DJ218" i="11" s="1"/>
  <c r="DJ27" i="11" s="1"/>
  <c r="AD106" i="13"/>
  <c r="DI82" i="11"/>
  <c r="DI83" i="11" s="1"/>
  <c r="DI80" i="11"/>
  <c r="DI81" i="11" s="1"/>
  <c r="DJ9" i="11" s="1"/>
  <c r="AD65" i="13"/>
  <c r="AD102" i="13" s="1"/>
  <c r="AF62" i="13"/>
  <c r="DJ39" i="11" l="1"/>
  <c r="DJ207" i="11" s="1"/>
  <c r="AD66" i="13"/>
  <c r="AE10" i="13" l="1"/>
  <c r="AE22" i="13"/>
  <c r="DJ58" i="11"/>
  <c r="DJ75" i="11"/>
  <c r="AD67" i="13"/>
  <c r="AE64" i="13"/>
  <c r="AE63" i="13"/>
  <c r="AE57" i="13"/>
  <c r="AE49" i="13"/>
  <c r="AE38" i="13"/>
  <c r="AE66" i="13"/>
  <c r="AE65" i="13"/>
  <c r="AE61" i="13"/>
  <c r="AE54" i="13"/>
  <c r="AE46" i="13"/>
  <c r="AE35" i="13"/>
  <c r="AE51" i="13"/>
  <c r="AE43" i="13"/>
  <c r="AE32" i="13"/>
  <c r="AE56" i="13"/>
  <c r="AE47" i="13"/>
  <c r="AE18" i="13"/>
  <c r="AE9" i="13"/>
  <c r="AE52" i="13"/>
  <c r="AE39" i="13"/>
  <c r="AE15" i="13"/>
  <c r="AE55" i="13"/>
  <c r="AE17" i="13"/>
  <c r="AE62" i="13"/>
  <c r="AE45" i="13"/>
  <c r="AE26" i="13"/>
  <c r="AE25" i="13"/>
  <c r="AE13" i="13"/>
  <c r="AE58" i="13"/>
  <c r="AE27" i="13"/>
  <c r="AE12" i="13"/>
  <c r="AE36" i="13"/>
  <c r="AE24" i="13"/>
  <c r="AE23" i="13"/>
  <c r="AE16" i="13"/>
  <c r="AE31" i="13"/>
  <c r="AE37" i="13"/>
  <c r="AE28" i="13"/>
  <c r="AE50" i="13"/>
  <c r="AE42" i="13"/>
  <c r="AE14" i="13"/>
  <c r="AE59" i="13"/>
  <c r="AE44" i="13"/>
  <c r="AE33" i="13"/>
  <c r="AE60" i="13"/>
  <c r="AE34" i="13"/>
  <c r="AE30" i="13"/>
  <c r="AE19" i="13"/>
  <c r="AE48" i="13"/>
  <c r="AE29" i="13"/>
  <c r="AE20" i="13"/>
  <c r="AE53" i="13"/>
  <c r="AE11" i="13"/>
  <c r="DJ79" i="11" l="1"/>
  <c r="DJ59" i="11"/>
  <c r="DJ96" i="11"/>
  <c r="DJ97" i="11" l="1"/>
  <c r="DJ98" i="11"/>
  <c r="DK216" i="11"/>
  <c r="DK218" i="11" s="1"/>
  <c r="DK27" i="11" s="1"/>
  <c r="DJ82" i="11"/>
  <c r="DJ83" i="11" s="1"/>
  <c r="DJ80" i="11"/>
  <c r="DJ81" i="11" s="1"/>
  <c r="DK9" i="11" s="1"/>
  <c r="DK39" i="11" l="1"/>
  <c r="DK207" i="11" s="1"/>
  <c r="DK75" i="11" l="1"/>
  <c r="DK58" i="11"/>
  <c r="DK59" i="11" l="1"/>
  <c r="DK96" i="11"/>
  <c r="DK79" i="11"/>
  <c r="DK97" i="11" l="1"/>
  <c r="DK98" i="11"/>
  <c r="DL216" i="11"/>
  <c r="DL218" i="11" s="1"/>
  <c r="DL27" i="11" s="1"/>
  <c r="DK82" i="11"/>
  <c r="DK83" i="11" s="1"/>
  <c r="DK80" i="11"/>
  <c r="DK81" i="11" s="1"/>
  <c r="DL9" i="11" s="1"/>
  <c r="DL39" i="11" l="1"/>
  <c r="DL207" i="11" s="1"/>
  <c r="DL75" i="11" l="1"/>
  <c r="DL58" i="11"/>
  <c r="DL79" i="11" l="1"/>
  <c r="DL59" i="11"/>
  <c r="DL96" i="11"/>
  <c r="DL98" i="11" l="1"/>
  <c r="DL97" i="11"/>
  <c r="DM216" i="11"/>
  <c r="DM218" i="11" s="1"/>
  <c r="DM27" i="11" s="1"/>
  <c r="DL82" i="11"/>
  <c r="DL83" i="11" s="1"/>
  <c r="DL80" i="11"/>
  <c r="DL81" i="11" s="1"/>
  <c r="DM9" i="11" s="1"/>
  <c r="DM39" i="11" l="1"/>
  <c r="DM207" i="11" s="1"/>
  <c r="DM75" i="11" l="1"/>
  <c r="DM58" i="11"/>
  <c r="DM59" i="11" l="1"/>
  <c r="DM96" i="11"/>
  <c r="DM79" i="11"/>
  <c r="DM97" i="11" l="1"/>
  <c r="DM98" i="11"/>
  <c r="DN216" i="11"/>
  <c r="DN218" i="11" s="1"/>
  <c r="DN27" i="11" s="1"/>
  <c r="DN39" i="11" s="1"/>
  <c r="DN207" i="11" s="1"/>
  <c r="DM82" i="11"/>
  <c r="DM83" i="11" s="1"/>
  <c r="DM80" i="11"/>
  <c r="DM81" i="11" s="1"/>
  <c r="DN9" i="11" s="1"/>
  <c r="DN75" i="11" l="1"/>
  <c r="DN79" i="11" s="1"/>
  <c r="DN58" i="11"/>
  <c r="DN59" i="11" l="1"/>
  <c r="DN96" i="11"/>
  <c r="DN97" i="11" l="1"/>
  <c r="DN98" i="11"/>
  <c r="DO216" i="11"/>
  <c r="DO218" i="11" s="1"/>
  <c r="DO27" i="11" s="1"/>
  <c r="DO39" i="11" s="1"/>
  <c r="DO207" i="11" s="1"/>
  <c r="DN82" i="11"/>
  <c r="DN83" i="11" s="1"/>
  <c r="DN80" i="11"/>
  <c r="DN81" i="11" s="1"/>
  <c r="DO9" i="11" s="1"/>
  <c r="DO58" i="11" l="1"/>
  <c r="DO75" i="11"/>
  <c r="DO79" i="11" s="1"/>
  <c r="DO59" i="11" l="1"/>
  <c r="DO96" i="11"/>
  <c r="DO98" i="11" l="1"/>
  <c r="DO97" i="11"/>
  <c r="DP216" i="11"/>
  <c r="DP218" i="11" s="1"/>
  <c r="DP27" i="11" s="1"/>
  <c r="DP39" i="11" s="1"/>
  <c r="DP207" i="11" s="1"/>
  <c r="DO82" i="11"/>
  <c r="DO83" i="11" s="1"/>
  <c r="DO80" i="11"/>
  <c r="DO81" i="11" s="1"/>
  <c r="DP9" i="11" s="1"/>
  <c r="DP58" i="11" l="1"/>
  <c r="DP75" i="11"/>
  <c r="DP79" i="11" s="1"/>
  <c r="DP59" i="11" l="1"/>
  <c r="DP96" i="11"/>
  <c r="DP98" i="11" l="1"/>
  <c r="DP97" i="11"/>
  <c r="DQ216" i="11"/>
  <c r="DQ218" i="11" s="1"/>
  <c r="DQ27" i="11" s="1"/>
  <c r="DQ39" i="11" s="1"/>
  <c r="DQ207" i="11" s="1"/>
  <c r="DP82" i="11"/>
  <c r="DP83" i="11" s="1"/>
  <c r="DP80" i="11"/>
  <c r="DP81" i="11" s="1"/>
  <c r="DQ9" i="11" s="1"/>
  <c r="DQ58" i="11" l="1"/>
  <c r="DQ75" i="11"/>
  <c r="DQ79" i="11" s="1"/>
  <c r="DQ59" i="11" l="1"/>
  <c r="DQ96" i="11"/>
  <c r="DQ98" i="11" l="1"/>
  <c r="DQ97" i="11"/>
  <c r="DR216" i="11"/>
  <c r="DR218" i="11" s="1"/>
  <c r="DR27" i="11" s="1"/>
  <c r="DR39" i="11" s="1"/>
  <c r="DR207" i="11" s="1"/>
  <c r="DQ82" i="11"/>
  <c r="DQ83" i="11" s="1"/>
  <c r="DQ80" i="11"/>
  <c r="DQ81" i="11" s="1"/>
  <c r="DR9" i="11" s="1"/>
  <c r="DR58" i="11" l="1"/>
  <c r="DR75" i="11"/>
  <c r="DR79" i="11" s="1"/>
  <c r="DR59" i="11" l="1"/>
  <c r="DR96" i="11"/>
  <c r="DR98" i="11" l="1"/>
  <c r="DR97" i="11"/>
  <c r="DS216" i="11"/>
  <c r="DS218" i="11" s="1"/>
  <c r="DS27" i="11" s="1"/>
  <c r="DS39" i="11" s="1"/>
  <c r="DS207" i="11" s="1"/>
  <c r="DR82" i="11"/>
  <c r="DR83" i="11" s="1"/>
  <c r="DR80" i="11"/>
  <c r="DR81" i="11" s="1"/>
  <c r="DS9" i="11" s="1"/>
  <c r="DS75" i="11" l="1"/>
  <c r="DS79" i="11" s="1"/>
  <c r="DS58" i="11"/>
  <c r="DS59" i="11" l="1"/>
  <c r="DS96" i="11"/>
  <c r="DS82" i="11" l="1"/>
  <c r="DS83" i="11" s="1"/>
  <c r="DS80" i="11"/>
  <c r="DS81" i="11" s="1"/>
  <c r="DT9" i="11" s="1"/>
  <c r="DS97" i="11"/>
  <c r="DS98" i="11"/>
  <c r="DT216" i="11"/>
  <c r="DT218" i="11" s="1"/>
  <c r="DT27" i="11" s="1"/>
  <c r="DT39" i="11" l="1"/>
  <c r="DT207" i="11" s="1"/>
  <c r="DU27" i="11"/>
  <c r="DT75" i="11" l="1"/>
  <c r="DT58" i="11"/>
  <c r="AF87" i="13"/>
  <c r="N70" i="1" s="1"/>
  <c r="DU39" i="11"/>
  <c r="M14" i="14" l="1"/>
  <c r="M16" i="14" s="1"/>
  <c r="AF105" i="13"/>
  <c r="AF112" i="13"/>
  <c r="AG87" i="13"/>
  <c r="AF88" i="13"/>
  <c r="DT59" i="11"/>
  <c r="DU58" i="11"/>
  <c r="DU59" i="11" s="1"/>
  <c r="DT96" i="11"/>
  <c r="DT79" i="11"/>
  <c r="DU75" i="11"/>
  <c r="DU79" i="11" s="1"/>
  <c r="DT82" i="11" l="1"/>
  <c r="DT83" i="11" s="1"/>
  <c r="DT80" i="11"/>
  <c r="DT81" i="11" s="1"/>
  <c r="AF89" i="13"/>
  <c r="AG88" i="13"/>
  <c r="AF28" i="13"/>
  <c r="N275" i="1" s="1"/>
  <c r="DT97" i="11"/>
  <c r="DT98" i="11"/>
  <c r="DV216" i="11"/>
  <c r="DV218" i="11" s="1"/>
  <c r="DV27" i="11" s="1"/>
  <c r="DU100" i="11"/>
  <c r="DU98" i="11"/>
  <c r="DU96" i="11"/>
  <c r="AF91" i="13" l="1"/>
  <c r="N87" i="1"/>
  <c r="DV30" i="11"/>
  <c r="DV39" i="11" s="1"/>
  <c r="DV207" i="11" s="1"/>
  <c r="AG89" i="13"/>
  <c r="AF33" i="13"/>
  <c r="N303" i="1" s="1"/>
  <c r="AF94" i="13"/>
  <c r="AG91" i="13"/>
  <c r="AF99" i="13"/>
  <c r="AF9" i="13"/>
  <c r="N154" i="1" s="1"/>
  <c r="DV9" i="11"/>
  <c r="AF18" i="13" l="1"/>
  <c r="AF27" i="13" s="1"/>
  <c r="DV75" i="11"/>
  <c r="DV58" i="11"/>
  <c r="DW30" i="11"/>
  <c r="DX30" i="11" s="1"/>
  <c r="DY30" i="11" s="1"/>
  <c r="DZ30" i="11" s="1"/>
  <c r="EA30" i="11" s="1"/>
  <c r="EB30" i="11" s="1"/>
  <c r="EC30" i="11" s="1"/>
  <c r="ED30" i="11" s="1"/>
  <c r="EE30" i="11" s="1"/>
  <c r="EF30" i="11" s="1"/>
  <c r="EG30" i="11" s="1"/>
  <c r="AF63" i="13"/>
  <c r="AG94" i="13"/>
  <c r="AF43" i="13"/>
  <c r="DV79" i="11" l="1"/>
  <c r="EH30" i="11"/>
  <c r="AH62" i="13"/>
  <c r="AF65" i="13"/>
  <c r="DV59" i="11"/>
  <c r="DV96" i="11"/>
  <c r="AF100" i="13"/>
  <c r="AF53" i="13"/>
  <c r="AF102" i="13" l="1"/>
  <c r="DV97" i="11"/>
  <c r="DV98" i="11"/>
  <c r="DW216" i="11"/>
  <c r="DW218" i="11" s="1"/>
  <c r="DW27" i="11" s="1"/>
  <c r="AF66" i="13"/>
  <c r="AF106" i="13"/>
  <c r="DV82" i="11"/>
  <c r="DV83" i="11" s="1"/>
  <c r="DV80" i="11"/>
  <c r="DV81" i="11" s="1"/>
  <c r="DW9" i="11" s="1"/>
  <c r="AG10" i="13" l="1"/>
  <c r="AG22" i="13"/>
  <c r="DW39" i="11"/>
  <c r="DW207" i="11" s="1"/>
  <c r="AG60" i="13"/>
  <c r="AG66" i="13"/>
  <c r="AG65" i="13"/>
  <c r="AG51" i="13"/>
  <c r="AG43" i="13"/>
  <c r="AG64" i="13"/>
  <c r="AG56" i="13"/>
  <c r="AG48" i="13"/>
  <c r="AG37" i="13"/>
  <c r="AF67" i="13"/>
  <c r="AG63" i="13"/>
  <c r="AG62" i="13"/>
  <c r="AG53" i="13"/>
  <c r="AG45" i="13"/>
  <c r="AG42" i="13"/>
  <c r="AG34" i="13"/>
  <c r="AG26" i="13"/>
  <c r="AG61" i="13"/>
  <c r="AG50" i="13"/>
  <c r="AG33" i="13"/>
  <c r="AG20" i="13"/>
  <c r="AG12" i="13"/>
  <c r="AG55" i="13"/>
  <c r="AG46" i="13"/>
  <c r="AG38" i="13"/>
  <c r="AG17" i="13"/>
  <c r="AG58" i="13"/>
  <c r="AG36" i="13"/>
  <c r="AG19" i="13"/>
  <c r="AG11" i="13"/>
  <c r="AG35" i="13"/>
  <c r="AG24" i="13"/>
  <c r="AG23" i="13"/>
  <c r="AG16" i="13"/>
  <c r="AG52" i="13"/>
  <c r="AG32" i="13"/>
  <c r="AG31" i="13"/>
  <c r="AG54" i="13"/>
  <c r="AG49" i="13"/>
  <c r="AG47" i="13"/>
  <c r="AG18" i="13"/>
  <c r="AG15" i="13"/>
  <c r="AG39" i="13"/>
  <c r="AG9" i="13"/>
  <c r="AG59" i="13"/>
  <c r="AG57" i="13"/>
  <c r="AG44" i="13"/>
  <c r="AG30" i="13"/>
  <c r="AG25" i="13"/>
  <c r="AG29" i="13"/>
  <c r="AG27" i="13"/>
  <c r="AG13" i="13"/>
  <c r="AG28" i="13"/>
  <c r="AG14" i="13"/>
  <c r="DW58" i="11" l="1"/>
  <c r="DW75" i="11"/>
  <c r="DW79" i="11" l="1"/>
  <c r="DW59" i="11"/>
  <c r="DW96" i="11"/>
  <c r="DW98" i="11" l="1"/>
  <c r="DW97" i="11"/>
  <c r="DX216" i="11"/>
  <c r="DX218" i="11" s="1"/>
  <c r="DX27" i="11" s="1"/>
  <c r="DW82" i="11"/>
  <c r="DW83" i="11" s="1"/>
  <c r="DW80" i="11"/>
  <c r="DW81" i="11" s="1"/>
  <c r="DX9" i="11" s="1"/>
  <c r="DX39" i="11" l="1"/>
  <c r="DX207" i="11" s="1"/>
  <c r="DX75" i="11" l="1"/>
  <c r="DX58" i="11"/>
  <c r="DX79" i="11" l="1"/>
  <c r="DX59" i="11"/>
  <c r="DX96" i="11"/>
  <c r="DX98" i="11" l="1"/>
  <c r="DX97" i="11"/>
  <c r="DY216" i="11"/>
  <c r="DY218" i="11" s="1"/>
  <c r="DY27" i="11" s="1"/>
  <c r="DX82" i="11"/>
  <c r="DX83" i="11" s="1"/>
  <c r="DX80" i="11"/>
  <c r="DX81" i="11" s="1"/>
  <c r="DY9" i="11" s="1"/>
  <c r="DY39" i="11" l="1"/>
  <c r="DY207" i="11" s="1"/>
  <c r="DY58" i="11" l="1"/>
  <c r="DY75" i="11"/>
  <c r="DY79" i="11" l="1"/>
  <c r="DY59" i="11"/>
  <c r="DY96" i="11"/>
  <c r="DY82" i="11" l="1"/>
  <c r="DY83" i="11" s="1"/>
  <c r="DY80" i="11"/>
  <c r="DY81" i="11" s="1"/>
  <c r="DZ9" i="11" s="1"/>
  <c r="DY98" i="11"/>
  <c r="DZ216" i="11"/>
  <c r="DZ218" i="11" s="1"/>
  <c r="DZ27" i="11" s="1"/>
  <c r="DY97" i="11"/>
  <c r="DZ39" i="11" l="1"/>
  <c r="DZ207" i="11" s="1"/>
  <c r="DZ58" i="11" l="1"/>
  <c r="DZ75" i="11"/>
  <c r="DZ79" i="11" l="1"/>
  <c r="DZ59" i="11"/>
  <c r="DZ96" i="11"/>
  <c r="DZ97" i="11" l="1"/>
  <c r="DZ98" i="11"/>
  <c r="EA216" i="11"/>
  <c r="EA218" i="11" s="1"/>
  <c r="EA27" i="11" s="1"/>
  <c r="EA39" i="11" s="1"/>
  <c r="EA207" i="11" s="1"/>
  <c r="DZ82" i="11"/>
  <c r="DZ83" i="11" s="1"/>
  <c r="DZ80" i="11"/>
  <c r="DZ81" i="11" s="1"/>
  <c r="EA9" i="11" s="1"/>
  <c r="EA75" i="11" l="1"/>
  <c r="EA79" i="11" s="1"/>
  <c r="EA58" i="11"/>
  <c r="EA59" i="11" l="1"/>
  <c r="EA96" i="11"/>
  <c r="EA98" i="11" l="1"/>
  <c r="EA97" i="11"/>
  <c r="EB216" i="11"/>
  <c r="EB218" i="11" s="1"/>
  <c r="EB27" i="11" s="1"/>
  <c r="EB39" i="11" s="1"/>
  <c r="EB207" i="11" s="1"/>
  <c r="EA82" i="11"/>
  <c r="EA83" i="11" s="1"/>
  <c r="EA80" i="11"/>
  <c r="EA81" i="11" s="1"/>
  <c r="EB9" i="11" s="1"/>
  <c r="EB75" i="11" l="1"/>
  <c r="EB79" i="11" s="1"/>
  <c r="EB58" i="11"/>
  <c r="EB59" i="11" l="1"/>
  <c r="EB96" i="11"/>
  <c r="EB82" i="11" l="1"/>
  <c r="EB83" i="11" s="1"/>
  <c r="EB80" i="11"/>
  <c r="EB81" i="11" s="1"/>
  <c r="EC9" i="11" s="1"/>
  <c r="EB97" i="11"/>
  <c r="EB98" i="11"/>
  <c r="EC216" i="11"/>
  <c r="EC218" i="11" s="1"/>
  <c r="EC27" i="11" s="1"/>
  <c r="EC39" i="11" s="1"/>
  <c r="EC207" i="11" s="1"/>
  <c r="EC58" i="11" l="1"/>
  <c r="EC75" i="11"/>
  <c r="EC79" i="11" s="1"/>
  <c r="EC59" i="11" l="1"/>
  <c r="EC96" i="11"/>
  <c r="EC97" i="11" l="1"/>
  <c r="EC98" i="11"/>
  <c r="ED216" i="11"/>
  <c r="ED218" i="11" s="1"/>
  <c r="ED27" i="11" s="1"/>
  <c r="ED39" i="11" s="1"/>
  <c r="ED207" i="11" s="1"/>
  <c r="EC82" i="11"/>
  <c r="EC83" i="11" s="1"/>
  <c r="EC80" i="11"/>
  <c r="EC81" i="11" s="1"/>
  <c r="ED9" i="11" s="1"/>
  <c r="ED75" i="11" l="1"/>
  <c r="ED79" i="11" s="1"/>
  <c r="ED58" i="11"/>
  <c r="ED59" i="11" l="1"/>
  <c r="ED96" i="11"/>
  <c r="ED97" i="11" l="1"/>
  <c r="ED98" i="11"/>
  <c r="EE216" i="11"/>
  <c r="EE218" i="11" s="1"/>
  <c r="EE27" i="11" s="1"/>
  <c r="EE39" i="11" s="1"/>
  <c r="EE207" i="11" s="1"/>
  <c r="ED82" i="11"/>
  <c r="ED83" i="11" s="1"/>
  <c r="ED80" i="11"/>
  <c r="ED81" i="11" s="1"/>
  <c r="EE9" i="11" s="1"/>
  <c r="EE58" i="11" l="1"/>
  <c r="EE75" i="11"/>
  <c r="EE79" i="11" s="1"/>
  <c r="EE59" i="11" l="1"/>
  <c r="EE96" i="11"/>
  <c r="EE98" i="11" l="1"/>
  <c r="EE97" i="11"/>
  <c r="EF216" i="11"/>
  <c r="EF218" i="11" s="1"/>
  <c r="EF27" i="11" s="1"/>
  <c r="EF39" i="11" s="1"/>
  <c r="EF207" i="11" s="1"/>
  <c r="EE82" i="11"/>
  <c r="EE83" i="11" s="1"/>
  <c r="EE80" i="11"/>
  <c r="EE81" i="11" s="1"/>
  <c r="EF9" i="11" s="1"/>
  <c r="EF58" i="11" l="1"/>
  <c r="EF75" i="11"/>
  <c r="EF79" i="11" s="1"/>
  <c r="EF59" i="11" l="1"/>
  <c r="EF96" i="11"/>
  <c r="EF97" i="11" l="1"/>
  <c r="EF98" i="11"/>
  <c r="EG216" i="11"/>
  <c r="EG218" i="11" s="1"/>
  <c r="EG27" i="11" s="1"/>
  <c r="EF82" i="11"/>
  <c r="EF83" i="11" s="1"/>
  <c r="EF80" i="11"/>
  <c r="EF81" i="11" s="1"/>
  <c r="EG9" i="11" s="1"/>
  <c r="EG39" i="11" l="1"/>
  <c r="EG207" i="11" s="1"/>
  <c r="EH27" i="11"/>
  <c r="EG58" i="11" l="1"/>
  <c r="EG75" i="11"/>
  <c r="AH87" i="13"/>
  <c r="O70" i="1" s="1"/>
  <c r="EH39" i="11"/>
  <c r="AH105" i="13" l="1"/>
  <c r="N14" i="14"/>
  <c r="N16" i="14" s="1"/>
  <c r="AH112" i="13"/>
  <c r="AI87" i="13"/>
  <c r="AH88" i="13"/>
  <c r="EG79" i="11"/>
  <c r="EH75" i="11"/>
  <c r="EH79" i="11" s="1"/>
  <c r="EG59" i="11"/>
  <c r="EH58" i="11"/>
  <c r="EH59" i="11" s="1"/>
  <c r="EG96" i="11"/>
  <c r="EG82" i="11" l="1"/>
  <c r="EG83" i="11" s="1"/>
  <c r="EG80" i="11"/>
  <c r="EG81" i="11" s="1"/>
  <c r="AH9" i="13" s="1"/>
  <c r="AH89" i="13"/>
  <c r="AI88" i="13"/>
  <c r="AH28" i="13"/>
  <c r="O275" i="1" s="1"/>
  <c r="EG98" i="11"/>
  <c r="EG97" i="11"/>
  <c r="EH98" i="11"/>
  <c r="EH96" i="11"/>
  <c r="EH100" i="11"/>
  <c r="AH91" i="13" l="1"/>
  <c r="O87" i="1"/>
  <c r="AH18" i="13"/>
  <c r="AH27" i="13" s="1"/>
  <c r="O154" i="1"/>
  <c r="AH94" i="13"/>
  <c r="AI91" i="13"/>
  <c r="AH99" i="13"/>
  <c r="AI89" i="13"/>
  <c r="AH33" i="13"/>
  <c r="AH43" i="13" l="1"/>
  <c r="AH100" i="13" s="1"/>
  <c r="O303" i="1"/>
  <c r="AH63" i="13"/>
  <c r="AH65" i="13" s="1"/>
  <c r="AI94" i="13"/>
  <c r="AH53" i="13" l="1"/>
  <c r="AH102" i="13"/>
  <c r="AH106" i="13"/>
  <c r="AH66" i="13"/>
  <c r="AI10" i="13" l="1"/>
  <c r="AI22" i="13"/>
  <c r="AI62" i="13"/>
  <c r="AI66" i="13"/>
  <c r="AI65" i="13"/>
  <c r="AI63" i="13"/>
  <c r="AI53" i="13"/>
  <c r="AI45" i="13"/>
  <c r="AH67" i="13"/>
  <c r="AI59" i="13"/>
  <c r="AI58" i="13"/>
  <c r="AI50" i="13"/>
  <c r="AI42" i="13"/>
  <c r="AI60" i="13"/>
  <c r="AI55" i="13"/>
  <c r="AI47" i="13"/>
  <c r="AI36" i="13"/>
  <c r="AI28" i="13"/>
  <c r="AI38" i="13"/>
  <c r="AI14" i="13"/>
  <c r="AI37" i="13"/>
  <c r="AI19" i="13"/>
  <c r="AI11" i="13"/>
  <c r="AI64" i="13"/>
  <c r="AI54" i="13"/>
  <c r="AI32" i="13"/>
  <c r="AI31" i="13"/>
  <c r="AI30" i="13"/>
  <c r="AI29" i="13"/>
  <c r="AI27" i="13"/>
  <c r="AI26" i="13"/>
  <c r="AI24" i="13"/>
  <c r="AI23" i="13"/>
  <c r="AI13" i="13"/>
  <c r="AI61" i="13"/>
  <c r="AI43" i="13"/>
  <c r="AI56" i="13"/>
  <c r="AI49" i="13"/>
  <c r="AI33" i="13"/>
  <c r="AI20" i="13"/>
  <c r="AI15" i="13"/>
  <c r="AI9" i="13"/>
  <c r="AI39" i="13"/>
  <c r="AI51" i="13"/>
  <c r="AI48" i="13"/>
  <c r="AI44" i="13"/>
  <c r="AI35" i="13"/>
  <c r="AI34" i="13"/>
  <c r="AI17" i="13"/>
  <c r="AI25" i="13"/>
  <c r="AI52" i="13"/>
  <c r="AI46" i="13"/>
  <c r="AI12" i="13"/>
  <c r="AI57" i="13"/>
  <c r="AI16" i="13"/>
  <c r="AI18" i="13"/>
  <c r="BL312" i="3"/>
  <c r="BL313" i="3"/>
  <c r="BL316" i="3"/>
  <c r="BM292" i="3"/>
  <c r="CA39" i="3"/>
  <c r="BM76" i="3"/>
  <c r="BM129" i="3"/>
  <c r="CA49" i="3"/>
  <c r="CA110" i="3"/>
  <c r="BM254" i="3"/>
  <c r="BM163" i="3"/>
  <c r="CA255" i="3"/>
  <c r="BM294" i="3"/>
  <c r="BM199" i="3"/>
  <c r="CA160" i="3"/>
  <c r="CA288" i="3"/>
  <c r="BM263" i="3"/>
  <c r="CA286" i="3"/>
  <c r="BM148" i="3"/>
  <c r="BM149" i="3"/>
  <c r="BM284" i="3"/>
  <c r="BM26" i="3"/>
  <c r="BM62" i="3"/>
  <c r="BM58" i="3"/>
  <c r="CA285" i="3"/>
  <c r="BM33" i="3"/>
  <c r="BM179" i="3"/>
  <c r="BM176" i="3"/>
  <c r="BM216" i="3"/>
  <c r="CA224" i="3"/>
  <c r="CA42" i="3"/>
  <c r="BM124" i="3"/>
  <c r="BM95" i="3"/>
  <c r="BM24" i="3"/>
  <c r="BM57" i="3"/>
  <c r="BM226" i="3"/>
  <c r="BM102" i="3"/>
  <c r="BM270" i="3"/>
  <c r="CA131" i="3"/>
  <c r="BM145" i="3"/>
  <c r="CA223" i="3"/>
  <c r="BM89" i="3"/>
  <c r="CA51" i="3"/>
  <c r="BM299" i="3"/>
  <c r="BM222" i="3"/>
  <c r="BM173" i="3"/>
  <c r="BM277" i="3"/>
  <c r="CA234" i="3"/>
  <c r="BM98" i="3"/>
  <c r="BM106" i="3"/>
  <c r="BM66" i="3"/>
  <c r="BL317" i="3"/>
  <c r="CA201" i="3"/>
  <c r="BM213" i="3"/>
  <c r="BM178" i="3"/>
  <c r="CA46" i="3"/>
  <c r="BM297" i="3"/>
  <c r="BM217" i="3"/>
  <c r="BM174" i="3"/>
  <c r="BM291" i="3"/>
  <c r="CA41" i="3"/>
  <c r="BM206" i="3"/>
  <c r="CA37" i="3"/>
  <c r="BM236" i="3"/>
  <c r="BM168" i="3"/>
  <c r="CA75" i="3"/>
  <c r="BM293" i="3"/>
  <c r="BM170" i="3"/>
  <c r="BM240" i="3"/>
  <c r="CA55" i="3"/>
  <c r="BM87" i="3"/>
  <c r="CA227" i="3"/>
  <c r="CA166" i="3"/>
  <c r="BM155" i="3"/>
  <c r="CA165" i="3"/>
  <c r="BM157" i="3"/>
  <c r="BM107" i="3"/>
  <c r="BM70" i="3"/>
  <c r="BM111" i="3"/>
  <c r="BM185" i="3"/>
  <c r="BM147" i="3"/>
  <c r="BM239" i="3"/>
  <c r="BM117" i="3"/>
  <c r="BM278" i="3"/>
  <c r="CA281" i="3"/>
  <c r="BM198" i="3"/>
  <c r="BM172" i="3"/>
  <c r="BM279" i="3"/>
  <c r="BM152" i="3"/>
  <c r="BM280" i="3"/>
  <c r="BM132" i="3"/>
  <c r="BM31" i="3"/>
  <c r="CA93" i="3"/>
  <c r="BM232" i="3"/>
  <c r="BM108" i="3"/>
  <c r="BM84" i="3"/>
  <c r="BM196" i="3"/>
  <c r="BM135" i="3"/>
  <c r="BM228" i="3"/>
  <c r="BM21" i="3"/>
  <c r="BM105" i="3"/>
  <c r="BM96" i="3"/>
  <c r="BM245" i="3"/>
  <c r="BM194" i="3"/>
  <c r="BM231" i="3"/>
  <c r="BM115" i="3"/>
  <c r="BM73" i="3"/>
  <c r="BM243" i="3"/>
  <c r="BM252" i="3"/>
  <c r="BM221" i="3"/>
  <c r="BM268" i="3"/>
  <c r="CA74" i="3"/>
  <c r="BM273" i="3"/>
  <c r="BM104" i="3"/>
  <c r="CA266" i="3"/>
  <c r="BM274" i="3"/>
  <c r="BM20" i="3"/>
  <c r="BM67" i="3"/>
  <c r="BM101" i="3"/>
  <c r="BM246" i="3"/>
  <c r="BM118" i="3"/>
  <c r="BM69" i="3"/>
  <c r="BM68" i="3"/>
  <c r="CA52" i="3"/>
  <c r="BM16" i="3"/>
  <c r="BM30" i="3"/>
  <c r="CA44" i="3"/>
  <c r="BM27" i="3"/>
  <c r="BM128" i="3"/>
  <c r="BM120" i="3"/>
  <c r="BM290" i="3"/>
  <c r="BM121" i="3"/>
  <c r="BM142" i="3"/>
  <c r="BM241" i="3"/>
  <c r="BM82" i="3"/>
  <c r="CA200" i="3"/>
  <c r="BM249" i="3"/>
  <c r="BM161" i="3"/>
  <c r="BM248" i="3"/>
  <c r="CA40" i="3"/>
  <c r="CA265" i="3"/>
  <c r="BM253" i="3"/>
  <c r="BM146" i="3"/>
  <c r="BM103" i="3"/>
  <c r="CA267" i="3"/>
  <c r="BM126" i="3"/>
  <c r="BM162" i="3"/>
  <c r="BM83" i="3"/>
  <c r="BM181" i="3"/>
  <c r="CA36" i="3"/>
  <c r="BM56" i="3"/>
  <c r="BM188" i="3"/>
  <c r="BM59" i="3"/>
  <c r="BM215" i="3"/>
  <c r="BM78" i="3"/>
  <c r="CA233" i="3"/>
  <c r="BM180" i="3"/>
  <c r="CA80" i="3"/>
  <c r="CA167" i="3"/>
  <c r="BM136" i="3"/>
  <c r="CA295" i="3"/>
  <c r="BM116" i="3"/>
  <c r="BM182" i="3"/>
  <c r="BM289" i="3"/>
  <c r="BM235" i="3"/>
  <c r="BM100" i="3"/>
  <c r="BM272" i="3"/>
  <c r="BM18" i="3"/>
  <c r="BM283" i="3"/>
  <c r="CA296" i="3"/>
  <c r="BM125" i="3"/>
  <c r="BM90" i="3"/>
  <c r="CA159" i="3"/>
  <c r="BM61" i="3"/>
  <c r="BM109" i="3"/>
  <c r="BM25" i="3"/>
  <c r="BM282" i="3"/>
  <c r="BM64" i="3"/>
  <c r="BM225" i="3"/>
  <c r="BM169" i="3"/>
  <c r="CA133" i="3"/>
  <c r="CA164" i="3"/>
  <c r="BM244" i="3"/>
  <c r="BM72" i="3"/>
  <c r="BM298" i="3"/>
  <c r="BM158" i="3"/>
  <c r="BM119" i="3"/>
  <c r="BM81" i="3"/>
  <c r="BM247" i="3"/>
  <c r="BM218" i="3"/>
  <c r="BM195" i="3"/>
  <c r="BM212" i="3"/>
  <c r="CA43" i="3"/>
  <c r="BM60" i="3"/>
  <c r="BM86" i="3"/>
  <c r="BM197" i="3"/>
  <c r="BM287" i="3"/>
  <c r="BM77" i="3"/>
  <c r="BM99" i="3"/>
  <c r="BM211" i="3"/>
  <c r="BM114" i="3"/>
  <c r="BM220" i="3"/>
  <c r="BM85" i="3"/>
  <c r="BM23" i="3"/>
  <c r="BM271" i="3"/>
  <c r="BM88" i="3"/>
  <c r="CA71" i="3"/>
  <c r="CA19" i="3"/>
  <c r="CA50" i="3"/>
  <c r="BM275" i="3"/>
  <c r="BM276" i="3"/>
  <c r="BM186" i="3"/>
  <c r="BM237" i="3"/>
  <c r="BM123" i="3"/>
  <c r="BM171" i="3"/>
  <c r="BM175" i="3"/>
  <c r="BM22" i="3"/>
  <c r="BM151" i="3"/>
  <c r="BM130" i="3"/>
  <c r="BM32" i="3"/>
  <c r="CA214" i="3"/>
  <c r="BM242" i="3"/>
  <c r="BM150" i="3"/>
  <c r="BM79" i="3"/>
  <c r="BL196" i="3"/>
  <c r="BL188" i="3"/>
  <c r="BL299" i="3"/>
  <c r="BM264" i="3"/>
  <c r="BP312" i="3"/>
  <c r="BP313" i="3"/>
  <c r="BP316" i="3"/>
  <c r="BQ60" i="3"/>
  <c r="BQ282" i="3"/>
  <c r="BQ268" i="3"/>
  <c r="BQ298" i="3"/>
  <c r="BQ299" i="3"/>
  <c r="BQ78" i="3"/>
  <c r="BQ86" i="3"/>
  <c r="BQ157" i="3"/>
  <c r="CE164" i="3"/>
  <c r="CE80" i="3"/>
  <c r="CE44" i="3"/>
  <c r="BQ178" i="3"/>
  <c r="BQ198" i="3"/>
  <c r="BQ199" i="3"/>
  <c r="BQ289" i="3"/>
  <c r="BQ253" i="3"/>
  <c r="BQ90" i="3"/>
  <c r="BQ221" i="3"/>
  <c r="BQ89" i="3"/>
  <c r="BQ62" i="3"/>
  <c r="BQ26" i="3"/>
  <c r="BQ237" i="3"/>
  <c r="BQ130" i="3"/>
  <c r="BQ293" i="3"/>
  <c r="BQ236" i="3"/>
  <c r="BQ115" i="3"/>
  <c r="CE167" i="3"/>
  <c r="BQ232" i="3"/>
  <c r="BQ211" i="3"/>
  <c r="BP317" i="3"/>
  <c r="BQ148" i="3"/>
  <c r="BQ116" i="3"/>
  <c r="BQ176" i="3"/>
  <c r="BQ107" i="3"/>
  <c r="BQ246" i="3"/>
  <c r="BQ252" i="3"/>
  <c r="BQ99" i="3"/>
  <c r="BQ132" i="3"/>
  <c r="BQ290" i="3"/>
  <c r="BQ100" i="3"/>
  <c r="BQ158" i="3"/>
  <c r="BQ67" i="3"/>
  <c r="CE50" i="3"/>
  <c r="BQ231" i="3"/>
  <c r="BQ239" i="3"/>
  <c r="BQ226" i="3"/>
  <c r="BQ101" i="3"/>
  <c r="BQ248" i="3"/>
  <c r="BQ241" i="3"/>
  <c r="BQ121" i="3"/>
  <c r="BQ242" i="3"/>
  <c r="BQ149" i="3"/>
  <c r="BQ276" i="3"/>
  <c r="CE110" i="3"/>
  <c r="CE295" i="3"/>
  <c r="CE51" i="3"/>
  <c r="BQ108" i="3"/>
  <c r="BQ171" i="3"/>
  <c r="BQ291" i="3"/>
  <c r="BQ72" i="3"/>
  <c r="BQ120" i="3"/>
  <c r="BQ196" i="3"/>
  <c r="BQ217" i="3"/>
  <c r="BQ279" i="3"/>
  <c r="BQ247" i="3"/>
  <c r="BQ145" i="3"/>
  <c r="BQ213" i="3"/>
  <c r="BQ114" i="3"/>
  <c r="BQ216" i="3"/>
  <c r="CE288" i="3"/>
  <c r="CE55" i="3"/>
  <c r="BQ222" i="3"/>
  <c r="CE281" i="3"/>
  <c r="BQ24" i="3"/>
  <c r="BQ73" i="3"/>
  <c r="BQ155" i="3"/>
  <c r="BQ170" i="3"/>
  <c r="BQ96" i="3"/>
  <c r="BQ168" i="3"/>
  <c r="BQ18" i="3"/>
  <c r="CE160" i="3"/>
  <c r="CE159" i="3"/>
  <c r="BQ175" i="3"/>
  <c r="CE227" i="3"/>
  <c r="BQ20" i="3"/>
  <c r="BQ150" i="3"/>
  <c r="BQ220" i="3"/>
  <c r="BQ271" i="3"/>
  <c r="CE214" i="3"/>
  <c r="BQ146" i="3"/>
  <c r="BQ195" i="3"/>
  <c r="BQ85" i="3"/>
  <c r="BQ297" i="3"/>
  <c r="BQ27" i="3"/>
  <c r="BQ197" i="3"/>
  <c r="BQ188" i="3"/>
  <c r="BQ243" i="3"/>
  <c r="CE233" i="3"/>
  <c r="BQ66" i="3"/>
  <c r="BQ126" i="3"/>
  <c r="CE255" i="3"/>
  <c r="BQ21" i="3"/>
  <c r="BQ283" i="3"/>
  <c r="BQ272" i="3"/>
  <c r="BQ240" i="3"/>
  <c r="BQ23" i="3"/>
  <c r="BQ244" i="3"/>
  <c r="CE234" i="3"/>
  <c r="BQ123" i="3"/>
  <c r="BQ245" i="3"/>
  <c r="BQ228" i="3"/>
  <c r="CE36" i="3"/>
  <c r="CE131" i="3"/>
  <c r="CE40" i="3"/>
  <c r="BQ33" i="3"/>
  <c r="BQ58" i="3"/>
  <c r="BQ280" i="3"/>
  <c r="BQ88" i="3"/>
  <c r="CE43" i="3"/>
  <c r="BQ102" i="3"/>
  <c r="BQ31" i="3"/>
  <c r="CE49" i="3"/>
  <c r="BQ117" i="3"/>
  <c r="BQ124" i="3"/>
  <c r="BQ106" i="3"/>
  <c r="BQ294" i="3"/>
  <c r="CE286" i="3"/>
  <c r="CE224" i="3"/>
  <c r="BQ135" i="3"/>
  <c r="BQ32" i="3"/>
  <c r="BQ161" i="3"/>
  <c r="CE200" i="3"/>
  <c r="BQ274" i="3"/>
  <c r="CE201" i="3"/>
  <c r="BQ81" i="3"/>
  <c r="CE42" i="3"/>
  <c r="CE39" i="3"/>
  <c r="BQ194" i="3"/>
  <c r="BQ22" i="3"/>
  <c r="BQ70" i="3"/>
  <c r="BQ128" i="3"/>
  <c r="BQ275" i="3"/>
  <c r="BQ69" i="3"/>
  <c r="BQ104" i="3"/>
  <c r="BQ136" i="3"/>
  <c r="BQ249" i="3"/>
  <c r="CE285" i="3"/>
  <c r="BQ152" i="3"/>
  <c r="BQ57" i="3"/>
  <c r="CE166" i="3"/>
  <c r="CE46" i="3"/>
  <c r="BQ109" i="3"/>
  <c r="BQ182" i="3"/>
  <c r="CE75" i="3"/>
  <c r="CE296" i="3"/>
  <c r="BQ103" i="3"/>
  <c r="BQ16" i="3"/>
  <c r="BQ77" i="3"/>
  <c r="BQ111" i="3"/>
  <c r="BQ61" i="3"/>
  <c r="BQ129" i="3"/>
  <c r="CE267" i="3"/>
  <c r="CE41" i="3"/>
  <c r="BQ25" i="3"/>
  <c r="CE71" i="3"/>
  <c r="BQ147" i="3"/>
  <c r="BQ172" i="3"/>
  <c r="BQ79" i="3"/>
  <c r="BQ98" i="3"/>
  <c r="BQ59" i="3"/>
  <c r="CE223" i="3"/>
  <c r="BQ118" i="3"/>
  <c r="BQ83" i="3"/>
  <c r="BQ95" i="3"/>
  <c r="CE265" i="3"/>
  <c r="BQ180" i="3"/>
  <c r="BQ142" i="3"/>
  <c r="CE19" i="3"/>
  <c r="BQ151" i="3"/>
  <c r="CE37" i="3"/>
  <c r="BQ215" i="3"/>
  <c r="BQ179" i="3"/>
  <c r="BQ56" i="3"/>
  <c r="BQ270" i="3"/>
  <c r="BQ278" i="3"/>
  <c r="BQ181" i="3"/>
  <c r="BQ218" i="3"/>
  <c r="BQ185" i="3"/>
  <c r="BQ105" i="3"/>
  <c r="BQ163" i="3"/>
  <c r="CE165" i="3"/>
  <c r="BQ284" i="3"/>
  <c r="BQ125" i="3"/>
  <c r="BQ235" i="3"/>
  <c r="BQ212" i="3"/>
  <c r="BQ273" i="3"/>
  <c r="BQ174" i="3"/>
  <c r="BQ292" i="3"/>
  <c r="CE133" i="3"/>
  <c r="BQ64" i="3"/>
  <c r="BQ162" i="3"/>
  <c r="BQ225" i="3"/>
  <c r="BQ173" i="3"/>
  <c r="BQ84" i="3"/>
  <c r="BQ119" i="3"/>
  <c r="CE52" i="3"/>
  <c r="BQ68" i="3"/>
  <c r="CE266" i="3"/>
  <c r="BQ287" i="3"/>
  <c r="BQ263" i="3"/>
  <c r="BQ76" i="3"/>
  <c r="BQ87" i="3"/>
  <c r="BQ186" i="3"/>
  <c r="BQ82" i="3"/>
  <c r="BQ264" i="3"/>
  <c r="BQ169" i="3"/>
  <c r="BQ277" i="3"/>
  <c r="CE93" i="3"/>
  <c r="BQ206" i="3"/>
  <c r="BQ254" i="3"/>
  <c r="BQ30" i="3"/>
  <c r="BP196" i="3"/>
  <c r="BP188" i="3"/>
  <c r="BP299" i="3"/>
  <c r="CE74" i="3"/>
  <c r="BN312" i="3"/>
  <c r="BN313" i="3"/>
  <c r="BN316" i="3"/>
  <c r="CC281" i="3"/>
  <c r="BO172" i="3"/>
  <c r="CC255" i="3"/>
  <c r="BO67" i="3"/>
  <c r="CC223" i="3"/>
  <c r="BO282" i="3"/>
  <c r="CC44" i="3"/>
  <c r="CC265" i="3"/>
  <c r="CC43" i="3"/>
  <c r="CC75" i="3"/>
  <c r="BO221" i="3"/>
  <c r="CC267" i="3"/>
  <c r="BO148" i="3"/>
  <c r="BO73" i="3"/>
  <c r="CC131" i="3"/>
  <c r="BO109" i="3"/>
  <c r="CC285" i="3"/>
  <c r="BO100" i="3"/>
  <c r="BO280" i="3"/>
  <c r="BO70" i="3"/>
  <c r="BO218" i="3"/>
  <c r="BO155" i="3"/>
  <c r="CC74" i="3"/>
  <c r="CC233" i="3"/>
  <c r="BO162" i="3"/>
  <c r="BO33" i="3"/>
  <c r="BO72" i="3"/>
  <c r="BO27" i="3"/>
  <c r="BO151" i="3"/>
  <c r="BO283" i="3"/>
  <c r="BO246" i="3"/>
  <c r="BO123" i="3"/>
  <c r="CC160" i="3"/>
  <c r="BO117" i="3"/>
  <c r="BO273" i="3"/>
  <c r="BO178" i="3"/>
  <c r="BO254" i="3"/>
  <c r="BO99" i="3"/>
  <c r="BO157" i="3"/>
  <c r="CC41" i="3"/>
  <c r="CC164" i="3"/>
  <c r="BO245" i="3"/>
  <c r="CC52" i="3"/>
  <c r="BO136" i="3"/>
  <c r="BO279" i="3"/>
  <c r="BO119" i="3"/>
  <c r="BO83" i="3"/>
  <c r="BO253" i="3"/>
  <c r="BO244" i="3"/>
  <c r="BO18" i="3"/>
  <c r="BO179" i="3"/>
  <c r="CC214" i="3"/>
  <c r="BO274" i="3"/>
  <c r="BO30" i="3"/>
  <c r="CC71" i="3"/>
  <c r="BO102" i="3"/>
  <c r="BO297" i="3"/>
  <c r="BO98" i="3"/>
  <c r="BO171" i="3"/>
  <c r="BO106" i="3"/>
  <c r="BO186" i="3"/>
  <c r="BO225" i="3"/>
  <c r="BO101" i="3"/>
  <c r="BO163" i="3"/>
  <c r="BO90" i="3"/>
  <c r="BO107" i="3"/>
  <c r="BO132" i="3"/>
  <c r="BO142" i="3"/>
  <c r="BO87" i="3"/>
  <c r="BO235" i="3"/>
  <c r="BN317" i="3"/>
  <c r="BO176" i="3"/>
  <c r="BO111" i="3"/>
  <c r="BO198" i="3"/>
  <c r="BO118" i="3"/>
  <c r="BO61" i="3"/>
  <c r="BO158" i="3"/>
  <c r="BO199" i="3"/>
  <c r="BO216" i="3"/>
  <c r="BO293" i="3"/>
  <c r="BO57" i="3"/>
  <c r="CC19" i="3"/>
  <c r="BO175" i="3"/>
  <c r="BO56" i="3"/>
  <c r="CC36" i="3"/>
  <c r="BO135" i="3"/>
  <c r="BO115" i="3"/>
  <c r="BO31" i="3"/>
  <c r="CC93" i="3"/>
  <c r="BO241" i="3"/>
  <c r="BO294" i="3"/>
  <c r="BO88" i="3"/>
  <c r="CC286" i="3"/>
  <c r="BO103" i="3"/>
  <c r="BO284" i="3"/>
  <c r="BO232" i="3"/>
  <c r="BO264" i="3"/>
  <c r="CC234" i="3"/>
  <c r="BO58" i="3"/>
  <c r="BO128" i="3"/>
  <c r="BO77" i="3"/>
  <c r="BO82" i="3"/>
  <c r="BO299" i="3"/>
  <c r="BO59" i="3"/>
  <c r="CC159" i="3"/>
  <c r="BO16" i="3"/>
  <c r="BO76" i="3"/>
  <c r="BO79" i="3"/>
  <c r="BO185" i="3"/>
  <c r="BO89" i="3"/>
  <c r="BO240" i="3"/>
  <c r="BO211" i="3"/>
  <c r="BO292" i="3"/>
  <c r="BO268" i="3"/>
  <c r="CC167" i="3"/>
  <c r="CC288" i="3"/>
  <c r="BO124" i="3"/>
  <c r="CC55" i="3"/>
  <c r="BO84" i="3"/>
  <c r="CC133" i="3"/>
  <c r="CC224" i="3"/>
  <c r="BO21" i="3"/>
  <c r="BO197" i="3"/>
  <c r="BO68" i="3"/>
  <c r="BO220" i="3"/>
  <c r="CC296" i="3"/>
  <c r="BO196" i="3"/>
  <c r="BO231" i="3"/>
  <c r="CC51" i="3"/>
  <c r="CC201" i="3"/>
  <c r="BO222" i="3"/>
  <c r="BO114" i="3"/>
  <c r="BO278" i="3"/>
  <c r="BO25" i="3"/>
  <c r="BO217" i="3"/>
  <c r="BO277" i="3"/>
  <c r="BO120" i="3"/>
  <c r="BO247" i="3"/>
  <c r="BO213" i="3"/>
  <c r="CC37" i="3"/>
  <c r="CC39" i="3"/>
  <c r="BO236" i="3"/>
  <c r="CC165" i="3"/>
  <c r="BO20" i="3"/>
  <c r="BO105" i="3"/>
  <c r="BO104" i="3"/>
  <c r="BO81" i="3"/>
  <c r="BO85" i="3"/>
  <c r="BO152" i="3"/>
  <c r="BO22" i="3"/>
  <c r="BO287" i="3"/>
  <c r="BO116" i="3"/>
  <c r="BO32" i="3"/>
  <c r="BO212" i="3"/>
  <c r="BO263" i="3"/>
  <c r="BO180" i="3"/>
  <c r="CC80" i="3"/>
  <c r="BO69" i="3"/>
  <c r="BO188" i="3"/>
  <c r="BO78" i="3"/>
  <c r="BO126" i="3"/>
  <c r="CC166" i="3"/>
  <c r="BO271" i="3"/>
  <c r="BO248" i="3"/>
  <c r="BO272" i="3"/>
  <c r="BO249" i="3"/>
  <c r="BO206" i="3"/>
  <c r="BO95" i="3"/>
  <c r="BO237" i="3"/>
  <c r="BO108" i="3"/>
  <c r="BO24" i="3"/>
  <c r="BO194" i="3"/>
  <c r="BO195" i="3"/>
  <c r="BO26" i="3"/>
  <c r="CC227" i="3"/>
  <c r="BO242" i="3"/>
  <c r="BO226" i="3"/>
  <c r="CC50" i="3"/>
  <c r="BO60" i="3"/>
  <c r="BO298" i="3"/>
  <c r="BO64" i="3"/>
  <c r="BO161" i="3"/>
  <c r="BO174" i="3"/>
  <c r="BO290" i="3"/>
  <c r="BO146" i="3"/>
  <c r="BO168" i="3"/>
  <c r="BO173" i="3"/>
  <c r="BO169" i="3"/>
  <c r="CC46" i="3"/>
  <c r="BO121" i="3"/>
  <c r="CC40" i="3"/>
  <c r="BO270" i="3"/>
  <c r="BO150" i="3"/>
  <c r="CC110" i="3"/>
  <c r="BO243" i="3"/>
  <c r="BO23" i="3"/>
  <c r="BO239" i="3"/>
  <c r="CC266" i="3"/>
  <c r="BO181" i="3"/>
  <c r="BO125" i="3"/>
  <c r="BO291" i="3"/>
  <c r="CC295" i="3"/>
  <c r="BO252" i="3"/>
  <c r="BO149" i="3"/>
  <c r="BO129" i="3"/>
  <c r="BO228" i="3"/>
  <c r="CC42" i="3"/>
  <c r="BO66" i="3"/>
  <c r="BO147" i="3"/>
  <c r="BO62" i="3"/>
  <c r="BO182" i="3"/>
  <c r="BO275" i="3"/>
  <c r="CC200" i="3"/>
  <c r="BO130" i="3"/>
  <c r="BO96" i="3"/>
  <c r="BO170" i="3"/>
  <c r="BO215" i="3"/>
  <c r="CC49" i="3"/>
  <c r="BO289" i="3"/>
  <c r="BO276" i="3"/>
  <c r="BO86" i="3"/>
  <c r="BN196" i="3"/>
  <c r="BN188" i="3"/>
  <c r="BN299" i="3"/>
  <c r="BO145" i="3"/>
  <c r="BJ312" i="3"/>
  <c r="BJ316" i="3"/>
  <c r="BJ313" i="3"/>
  <c r="BK146" i="3"/>
  <c r="BK57" i="3"/>
  <c r="BK194" i="3"/>
  <c r="BK169" i="3"/>
  <c r="BK298" i="3"/>
  <c r="BY286" i="3"/>
  <c r="BK109" i="3"/>
  <c r="BY214" i="3"/>
  <c r="BK213" i="3"/>
  <c r="BK263" i="3"/>
  <c r="BY281" i="3"/>
  <c r="BK294" i="3"/>
  <c r="BK152" i="3"/>
  <c r="BK276" i="3"/>
  <c r="BK241" i="3"/>
  <c r="BY52" i="3"/>
  <c r="BY167" i="3"/>
  <c r="BK116" i="3"/>
  <c r="BK124" i="3"/>
  <c r="BK85" i="3"/>
  <c r="BK228" i="3"/>
  <c r="BY46" i="3"/>
  <c r="BY37" i="3"/>
  <c r="BK83" i="3"/>
  <c r="BK163" i="3"/>
  <c r="BK31" i="3"/>
  <c r="BY285" i="3"/>
  <c r="BK142" i="3"/>
  <c r="BK221" i="3"/>
  <c r="BK278" i="3"/>
  <c r="BK264" i="3"/>
  <c r="BY224" i="3"/>
  <c r="BK245" i="3"/>
  <c r="BK145" i="3"/>
  <c r="BK23" i="3"/>
  <c r="BK218" i="3"/>
  <c r="BK231" i="3"/>
  <c r="BY166" i="3"/>
  <c r="BK274" i="3"/>
  <c r="BK212" i="3"/>
  <c r="BK199" i="3"/>
  <c r="BK186" i="3"/>
  <c r="BK179" i="3"/>
  <c r="BK135" i="3"/>
  <c r="BK195" i="3"/>
  <c r="BK99" i="3"/>
  <c r="BK158" i="3"/>
  <c r="BK206" i="3"/>
  <c r="BK118" i="3"/>
  <c r="BK270" i="3"/>
  <c r="BY19" i="3"/>
  <c r="BK151" i="3"/>
  <c r="BK273" i="3"/>
  <c r="BK259" i="3"/>
  <c r="BK170" i="3"/>
  <c r="BK292" i="3"/>
  <c r="BK103" i="3"/>
  <c r="BK147" i="3"/>
  <c r="BY40" i="3"/>
  <c r="BK271" i="3"/>
  <c r="BK89" i="3"/>
  <c r="BY296" i="3"/>
  <c r="BY223" i="3"/>
  <c r="BK104" i="3"/>
  <c r="BK62" i="3"/>
  <c r="BK76" i="3"/>
  <c r="BK171" i="3"/>
  <c r="BK98" i="3"/>
  <c r="BK293" i="3"/>
  <c r="BK272" i="3"/>
  <c r="BY55" i="3"/>
  <c r="BK24" i="3"/>
  <c r="BK180" i="3"/>
  <c r="BK72" i="3"/>
  <c r="BY255" i="3"/>
  <c r="BK115" i="3"/>
  <c r="BY80" i="3"/>
  <c r="BK155" i="3"/>
  <c r="BK236" i="3"/>
  <c r="BK253" i="3"/>
  <c r="BK114" i="3"/>
  <c r="BY74" i="3"/>
  <c r="BK108" i="3"/>
  <c r="BK235" i="3"/>
  <c r="BK277" i="3"/>
  <c r="BY267" i="3"/>
  <c r="BK27" i="3"/>
  <c r="BK117" i="3"/>
  <c r="BK198" i="3"/>
  <c r="BK247" i="3"/>
  <c r="BK252" i="3"/>
  <c r="BK162" i="3"/>
  <c r="BK215" i="3"/>
  <c r="BK284" i="3"/>
  <c r="BK174" i="3"/>
  <c r="BK119" i="3"/>
  <c r="BK290" i="3"/>
  <c r="BY201" i="3"/>
  <c r="BK220" i="3"/>
  <c r="BK211" i="3"/>
  <c r="BK188" i="3"/>
  <c r="BK240" i="3"/>
  <c r="BY165" i="3"/>
  <c r="BK87" i="3"/>
  <c r="BY110" i="3"/>
  <c r="BY41" i="3"/>
  <c r="BK136" i="3"/>
  <c r="BK132" i="3"/>
  <c r="BK173" i="3"/>
  <c r="BK197" i="3"/>
  <c r="BY131" i="3"/>
  <c r="BK232" i="3"/>
  <c r="BK88" i="3"/>
  <c r="BK185" i="3"/>
  <c r="BK86" i="3"/>
  <c r="BY160" i="3"/>
  <c r="BK287" i="3"/>
  <c r="BK261" i="3"/>
  <c r="BK182" i="3"/>
  <c r="BK78" i="3"/>
  <c r="BK246" i="3"/>
  <c r="BK21" i="3"/>
  <c r="BK90" i="3"/>
  <c r="BK148" i="3"/>
  <c r="BY75" i="3"/>
  <c r="BK66" i="3"/>
  <c r="BK176" i="3"/>
  <c r="BK291" i="3"/>
  <c r="BK248" i="3"/>
  <c r="BK69" i="3"/>
  <c r="BK297" i="3"/>
  <c r="BK61" i="3"/>
  <c r="BY295" i="3"/>
  <c r="BK121" i="3"/>
  <c r="BK275" i="3"/>
  <c r="BY51" i="3"/>
  <c r="BK128" i="3"/>
  <c r="BK222" i="3"/>
  <c r="BK100" i="3"/>
  <c r="BK239" i="3"/>
  <c r="BK33" i="3"/>
  <c r="BK106" i="3"/>
  <c r="BK70" i="3"/>
  <c r="BK244" i="3"/>
  <c r="BK181" i="3"/>
  <c r="BK56" i="3"/>
  <c r="BY49" i="3"/>
  <c r="BK130" i="3"/>
  <c r="BK225" i="3"/>
  <c r="BK254" i="3"/>
  <c r="BY288" i="3"/>
  <c r="BK68" i="3"/>
  <c r="BK25" i="3"/>
  <c r="BY256" i="3"/>
  <c r="BK58" i="3"/>
  <c r="BK73" i="3"/>
  <c r="BY265" i="3"/>
  <c r="BY233" i="3"/>
  <c r="BY234" i="3"/>
  <c r="BY42" i="3"/>
  <c r="BK279" i="3"/>
  <c r="BK105" i="3"/>
  <c r="BK129" i="3"/>
  <c r="BK107" i="3"/>
  <c r="BK280" i="3"/>
  <c r="BK258" i="3"/>
  <c r="BK282" i="3"/>
  <c r="BK79" i="3"/>
  <c r="BK82" i="3"/>
  <c r="BK237" i="3"/>
  <c r="BK217" i="3"/>
  <c r="BY200" i="3"/>
  <c r="BK172" i="3"/>
  <c r="BK243" i="3"/>
  <c r="BK299" i="3"/>
  <c r="BK260" i="3"/>
  <c r="BK16" i="3"/>
  <c r="BK175" i="3"/>
  <c r="BK81" i="3"/>
  <c r="BK157" i="3"/>
  <c r="BK102" i="3"/>
  <c r="BY43" i="3"/>
  <c r="BK283" i="3"/>
  <c r="BK120" i="3"/>
  <c r="BY44" i="3"/>
  <c r="BK126" i="3"/>
  <c r="BY227" i="3"/>
  <c r="BY93" i="3"/>
  <c r="BK67" i="3"/>
  <c r="BJ317" i="3"/>
  <c r="BK149" i="3"/>
  <c r="BK168" i="3"/>
  <c r="BK18" i="3"/>
  <c r="BK22" i="3"/>
  <c r="BK242" i="3"/>
  <c r="BY159" i="3"/>
  <c r="BK216" i="3"/>
  <c r="BK150" i="3"/>
  <c r="BK226" i="3"/>
  <c r="BK196" i="3"/>
  <c r="BY50" i="3"/>
  <c r="BK20" i="3"/>
  <c r="BK268" i="3"/>
  <c r="BK125" i="3"/>
  <c r="BK249" i="3"/>
  <c r="BY71" i="3"/>
  <c r="BY39" i="3"/>
  <c r="BK111" i="3"/>
  <c r="BY36" i="3"/>
  <c r="BK64" i="3"/>
  <c r="BK26" i="3"/>
  <c r="BK178" i="3"/>
  <c r="BY266" i="3"/>
  <c r="BK60" i="3"/>
  <c r="BK59" i="3"/>
  <c r="BK95" i="3"/>
  <c r="BK77" i="3"/>
  <c r="BK101" i="3"/>
  <c r="BK32" i="3"/>
  <c r="BK161" i="3"/>
  <c r="BK123" i="3"/>
  <c r="BY164" i="3"/>
  <c r="BK30" i="3"/>
  <c r="BK289" i="3"/>
  <c r="BK96" i="3"/>
  <c r="BK84" i="3"/>
  <c r="BJ196" i="3"/>
  <c r="BJ188" i="3"/>
  <c r="BJ299" i="3"/>
  <c r="BY13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C78" authorId="0" shapeId="0" xr:uid="{2D5EF3FD-6EF8-4349-ABA1-B93215C4099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user input</t>
        </r>
      </text>
    </comment>
    <comment ref="C83" authorId="0" shapeId="0" xr:uid="{21B31420-32C1-4CA4-937A-62203EAA65F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user input</t>
        </r>
      </text>
    </comment>
    <comment ref="C88" authorId="0" shapeId="0" xr:uid="{450B522B-9228-4445-99E1-A4CCE995065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user input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<sst xmlns="http://schemas.openxmlformats.org/spreadsheetml/2006/main" count="2565" uniqueCount="918">
  <si>
    <t>Income Statement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</si>
  <si>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</si>
  <si>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</si>
  <si>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</si>
  <si>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</si>
  <si>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</si>
  <si>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</si>
  <si>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</si>
  <si>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</si>
  <si>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</si>
  <si>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</si>
  <si>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</si>
  <si>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</si>
  <si>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Period 13</t>
  </si>
  <si>
    <t>Period 14</t>
  </si>
  <si>
    <t>Period 15</t>
  </si>
  <si>
    <t>Period 16</t>
  </si>
  <si>
    <t>Period 17</t>
  </si>
  <si>
    <t>Period 18</t>
  </si>
  <si>
    <t>Period 19</t>
  </si>
  <si>
    <t>Period 20</t>
  </si>
  <si>
    <t>Period 21</t>
  </si>
  <si>
    <t>Period 22</t>
  </si>
  <si>
    <t>Period 23</t>
  </si>
  <si>
    <t>Period 24</t>
  </si>
  <si>
    <t>Period 25</t>
  </si>
  <si>
    <t>Period 26</t>
  </si>
  <si>
    <t>Period 27</t>
  </si>
  <si>
    <t>Period 28</t>
  </si>
  <si>
    <t>Period 29</t>
  </si>
  <si>
    <t>Period 30</t>
  </si>
  <si>
    <t>Period 31</t>
  </si>
  <si>
    <t>Period 32</t>
  </si>
  <si>
    <t>Period 33</t>
  </si>
  <si>
    <t>Period 34</t>
  </si>
  <si>
    <t>Period 35</t>
  </si>
  <si>
    <t>Period 36</t>
  </si>
  <si>
    <t>Period 37</t>
  </si>
  <si>
    <t>Period 38</t>
  </si>
  <si>
    <t>Period 39</t>
  </si>
  <si>
    <t>Period 40</t>
  </si>
  <si>
    <t>Values</t>
  </si>
  <si>
    <t>Balance Sheet</t>
  </si>
  <si>
    <t>New Company</t>
  </si>
  <si>
    <t>Optimist Data Loader Magic Marker</t>
  </si>
  <si>
    <t xml:space="preserve"> </t>
  </si>
  <si>
    <t>Debtor / Group Name:</t>
  </si>
  <si>
    <t>Date :</t>
  </si>
  <si>
    <t>Proposed Unit :</t>
  </si>
  <si>
    <t>Generic Niaga / Generic Group</t>
  </si>
  <si>
    <t>Divisi Corporate Banking 2</t>
  </si>
  <si>
    <t>Status of Financial Statement</t>
  </si>
  <si>
    <t>Period of Financial Statement</t>
  </si>
  <si>
    <t>Status</t>
  </si>
  <si>
    <t>Public Accountant Firm</t>
  </si>
  <si>
    <t>Classification</t>
  </si>
  <si>
    <t>Opini</t>
  </si>
  <si>
    <t>---</t>
  </si>
  <si>
    <t>Status-Opini</t>
  </si>
  <si>
    <t>Kantor akuntan</t>
  </si>
  <si>
    <t>Audited</t>
  </si>
  <si>
    <t>KAP</t>
  </si>
  <si>
    <t>Unqualified</t>
  </si>
  <si>
    <t>A</t>
  </si>
  <si>
    <t>Wajar tanpa pengecualian</t>
  </si>
  <si>
    <t>Audited - Unqualified</t>
  </si>
  <si>
    <t>Home Statement</t>
  </si>
  <si>
    <t>B</t>
  </si>
  <si>
    <t>Wajar dengan pengecualian</t>
  </si>
  <si>
    <t>C</t>
  </si>
  <si>
    <t>Tidak wajar</t>
  </si>
  <si>
    <t>N / A</t>
  </si>
  <si>
    <t>D</t>
  </si>
  <si>
    <t xml:space="preserve">Tidak memberikan pendapat </t>
  </si>
  <si>
    <t>N/A</t>
  </si>
  <si>
    <t>BALANCE SHEET STATEMENT</t>
  </si>
  <si>
    <t>Non Rekanan</t>
  </si>
  <si>
    <t>Neraca</t>
  </si>
  <si>
    <t>Financial Statement Unit</t>
  </si>
  <si>
    <t>HISTORICAL</t>
  </si>
  <si>
    <t>Satuan laporan keuangan</t>
  </si>
  <si>
    <t>HISTORIS</t>
  </si>
  <si>
    <t>IDR</t>
  </si>
  <si>
    <t>Million</t>
  </si>
  <si>
    <t>Rp. Juta</t>
  </si>
  <si>
    <t>Amount</t>
  </si>
  <si>
    <t>%</t>
  </si>
  <si>
    <t>JUMLAH</t>
  </si>
  <si>
    <t>Cash and Cash Equivalents</t>
  </si>
  <si>
    <t>Kas dan Setara</t>
  </si>
  <si>
    <t>Restricted Cash</t>
  </si>
  <si>
    <t>Short Term Investments</t>
  </si>
  <si>
    <t>Deposit Likuid Jangka Pendek</t>
  </si>
  <si>
    <t>Account Receivables</t>
  </si>
  <si>
    <t>Surat Berharga</t>
  </si>
  <si>
    <t>Inventories</t>
  </si>
  <si>
    <t>Prepaid Taxes</t>
  </si>
  <si>
    <t>Prepaid Expenses</t>
  </si>
  <si>
    <t>Advance Payments</t>
  </si>
  <si>
    <t>Other Current Assets</t>
  </si>
  <si>
    <t>Total Current Assets</t>
  </si>
  <si>
    <t>Fixed Assets</t>
  </si>
  <si>
    <t>Investment in Associates</t>
  </si>
  <si>
    <t>Investment in Joint Venture</t>
  </si>
  <si>
    <t>Intangible Assets</t>
  </si>
  <si>
    <t>Deferred Taxes</t>
  </si>
  <si>
    <t>Other Non-Current Assets</t>
  </si>
  <si>
    <t>Investments</t>
  </si>
  <si>
    <t>Total Non-Current Assets</t>
  </si>
  <si>
    <t>TOTAL ASSETS</t>
  </si>
  <si>
    <t>Short-Term Bank Loan - BNI</t>
  </si>
  <si>
    <t>Piutang Usaha</t>
  </si>
  <si>
    <t>Short-Term Bank Loan - Other Banks</t>
  </si>
  <si>
    <t>Piutang Usaha - Pihak Berelasi</t>
  </si>
  <si>
    <t>LC / TR - BNI</t>
  </si>
  <si>
    <t>Piutang Usaha - Pihak Ketiga</t>
  </si>
  <si>
    <t>LC / TR - Other Banks</t>
  </si>
  <si>
    <t>Account Payables</t>
  </si>
  <si>
    <t>Tax Payables</t>
  </si>
  <si>
    <t>Shareholder &amp; Related Parties Loans- Short Term</t>
  </si>
  <si>
    <t>Accrued Expenses</t>
  </si>
  <si>
    <t>Customer Advances</t>
  </si>
  <si>
    <t>Deferred Liabilities</t>
  </si>
  <si>
    <t>Other Current Liabilities</t>
  </si>
  <si>
    <t>Current Portion of Long - Term Bank Loans - BNI</t>
  </si>
  <si>
    <t>Current Portion of Long - Term Bank Loans - Other Banks</t>
  </si>
  <si>
    <t>Current Portion of Lease Liabilities</t>
  </si>
  <si>
    <t>Current Portion of Long-Term Debts inc. Bonds/MTN/Securities</t>
  </si>
  <si>
    <t>Total Current Liabilities</t>
  </si>
  <si>
    <t>Long-Term Bank Loans - BNI</t>
  </si>
  <si>
    <t>Long-Term Bank Loans  - Other Banks</t>
  </si>
  <si>
    <t>Penyisihan: Piutang Ragu-Ragu (-)</t>
  </si>
  <si>
    <t>Lease Liabilities</t>
  </si>
  <si>
    <t>Long-Term Debts - Bonds/MTN/Securities</t>
  </si>
  <si>
    <t>Employee Benefit Liabilities</t>
  </si>
  <si>
    <t>Persediaan</t>
  </si>
  <si>
    <t>Long Term Tax Payables</t>
  </si>
  <si>
    <t>Bahan Baku</t>
  </si>
  <si>
    <t>Shareholders &amp; Related Parties Loan- Long Term</t>
  </si>
  <si>
    <t>Persediaan Dalam Proses</t>
  </si>
  <si>
    <t>Other Non-Current Liabilities</t>
  </si>
  <si>
    <t>Persediaan Untuk Dijual</t>
  </si>
  <si>
    <t>Total Non-Current Liabilities</t>
  </si>
  <si>
    <t>Barang Dalam Perjalanan</t>
  </si>
  <si>
    <t>Total Liabilities</t>
  </si>
  <si>
    <t>Perlengkapan</t>
  </si>
  <si>
    <t>Preference Shares</t>
  </si>
  <si>
    <t>Common Shares</t>
  </si>
  <si>
    <t>Treasury Shares</t>
  </si>
  <si>
    <t>Share Premium (Agio Share)</t>
  </si>
  <si>
    <t>Additional Paid-In Capital</t>
  </si>
  <si>
    <t>Subordinated Shareholders &amp; Related Parties Loan</t>
  </si>
  <si>
    <t>Difference in Corporate Transactions</t>
  </si>
  <si>
    <t>Other Equity</t>
  </si>
  <si>
    <t>Previous Retained Earnings</t>
  </si>
  <si>
    <t>Penyisihan: Untuk Persediaan Usang/Lambat Bergerak (-)</t>
  </si>
  <si>
    <t>Profit / (Loss) for The Year</t>
  </si>
  <si>
    <t>Aset Lancar Lainnya</t>
  </si>
  <si>
    <t>Profit/(Loss) Adjustments</t>
  </si>
  <si>
    <t>Pajak Dibayar Dimuka</t>
  </si>
  <si>
    <t>Total Equity</t>
  </si>
  <si>
    <t>Tagihan Piutang</t>
  </si>
  <si>
    <t>TOTAL LIABILITIES &amp; EQUITY</t>
  </si>
  <si>
    <t>Piutang Non Usaha</t>
  </si>
  <si>
    <t>Long-Term Debt Details:</t>
  </si>
  <si>
    <t>Biaya Dibayar di Muka</t>
  </si>
  <si>
    <t>Long-Term Bank Loans - BNI + Others Bank</t>
  </si>
  <si>
    <t>Uang Muka Pembelian</t>
  </si>
  <si>
    <t>Beginning balance</t>
  </si>
  <si>
    <t>Piutang pada Pihak Terkait - Bagian Lancar</t>
  </si>
  <si>
    <t>(+) Loan Disbursement</t>
  </si>
  <si>
    <t>Pengembalian Pajak Tangguhan - Bagian Lancar</t>
  </si>
  <si>
    <t>(-) Principal Repayments</t>
  </si>
  <si>
    <t>Pinjaman kepada Pihak Terkait</t>
  </si>
  <si>
    <t>Ending balance</t>
  </si>
  <si>
    <t>Biaya Lebih dari Penagihan</t>
  </si>
  <si>
    <t>Long-Term Debts Incl. Bonds/MTN/Securities</t>
  </si>
  <si>
    <t>Beginning Balance</t>
  </si>
  <si>
    <t>(+) Debt Drawdown</t>
  </si>
  <si>
    <t>Ending Balance</t>
  </si>
  <si>
    <t>Aset Derivaif - Bagian Lancar</t>
  </si>
  <si>
    <t>Aset Lancar Non Operasional</t>
  </si>
  <si>
    <t>Penyisihan untuk Penyesuaian (-)</t>
  </si>
  <si>
    <t>Financial Ratios Related to the Balance Sheet:</t>
  </si>
  <si>
    <t>TOTAL ASSET LANCAR</t>
  </si>
  <si>
    <t>Current Ratio (CR)</t>
  </si>
  <si>
    <t>times</t>
  </si>
  <si>
    <t>Current Ratio (CR) excl CPLTD</t>
  </si>
  <si>
    <t>Debt to Equity Ratio (DER)</t>
  </si>
  <si>
    <t>Aset Tetap</t>
  </si>
  <si>
    <t>Days Account Receivable</t>
  </si>
  <si>
    <t>days</t>
  </si>
  <si>
    <t>Days Inventory</t>
  </si>
  <si>
    <t>Tanah</t>
  </si>
  <si>
    <t>Days Account Payable</t>
  </si>
  <si>
    <t>Bangunan</t>
  </si>
  <si>
    <t>Cash to Cash Cycle</t>
  </si>
  <si>
    <t>Net Working Capital (NWC)</t>
  </si>
  <si>
    <t>IDR Million</t>
  </si>
  <si>
    <t>Perbaikan Prasarana</t>
  </si>
  <si>
    <t>Difference</t>
  </si>
  <si>
    <t>Mesin &amp; Peralatan</t>
  </si>
  <si>
    <t>Kendaraan</t>
  </si>
  <si>
    <t>PROFIT &amp; LOSS STATEMENT</t>
  </si>
  <si>
    <t>Perabot &amp; Inventaris</t>
  </si>
  <si>
    <t>Sewa Guna Usaha</t>
  </si>
  <si>
    <t>Sales</t>
  </si>
  <si>
    <t>Cost of Goods Sold (COGS)</t>
  </si>
  <si>
    <t>Gross Profit</t>
  </si>
  <si>
    <t>Selling, General &amp; Administrative Expenses (SG&amp;A)</t>
  </si>
  <si>
    <t>Bangunan dalam Penyelesaian</t>
  </si>
  <si>
    <t>Operating Profit</t>
  </si>
  <si>
    <t>Akumulasi Depresiasi (-)</t>
  </si>
  <si>
    <t>Depreciation</t>
  </si>
  <si>
    <t>Investasi</t>
  </si>
  <si>
    <t>Amortization</t>
  </si>
  <si>
    <t>Investasi di Anak Perusahaan</t>
  </si>
  <si>
    <t>Share in (Profit) / Loss of Joint Venture</t>
  </si>
  <si>
    <t>Share in (Profit) / Loss of Associates</t>
  </si>
  <si>
    <t>Non-Cash Expenses / Loss on Foreign Exchange</t>
  </si>
  <si>
    <t>Other Expense/(Income)</t>
  </si>
  <si>
    <t>Non-Cash Income (-) / Gain on Foreign Exchange (-)</t>
  </si>
  <si>
    <t>Earnings Before Interest and Taxes (EBIT)</t>
  </si>
  <si>
    <t>Interest Expense</t>
  </si>
  <si>
    <t>Earnings Before Tax (EBT)</t>
  </si>
  <si>
    <t>Taxes</t>
  </si>
  <si>
    <t>Non-Tax (Income) / Expenses</t>
  </si>
  <si>
    <t>Earnings After Tax (EAT)</t>
  </si>
  <si>
    <t>Dividend Payments</t>
  </si>
  <si>
    <t>Adjustments</t>
  </si>
  <si>
    <t>Additional Retained Earnings</t>
  </si>
  <si>
    <t>Financial Ratios Related to the Profit/Loss Statement:</t>
  </si>
  <si>
    <t>Sales Growth</t>
  </si>
  <si>
    <t>Gross Margin</t>
  </si>
  <si>
    <t>Aset Tidak Lancar Lainnya</t>
  </si>
  <si>
    <t>Operating Profit Margin</t>
  </si>
  <si>
    <t>Tak Berwujud</t>
  </si>
  <si>
    <t>Profit After Tax Margin</t>
  </si>
  <si>
    <t>EBITDA</t>
  </si>
  <si>
    <t>Pajak tangguhan</t>
  </si>
  <si>
    <t>EBITDA Growth</t>
  </si>
  <si>
    <t>EBITDA to Interest</t>
  </si>
  <si>
    <t>Pinjaman Tak Lancar pada Pihak Berelasi</t>
  </si>
  <si>
    <t>EBITDA to Debt</t>
  </si>
  <si>
    <t>Biaya yang Ditangguhkan</t>
  </si>
  <si>
    <t>Debt to EBITDA</t>
  </si>
  <si>
    <t>Net Debt to EBITDA</t>
  </si>
  <si>
    <t>Net Debt to Equity</t>
  </si>
  <si>
    <t>Net Interest Bearing Debt to EBITDA</t>
  </si>
  <si>
    <t>Net Interest Bearing Debt to Equity</t>
  </si>
  <si>
    <t>Debt Service Coverage (DSC)</t>
  </si>
  <si>
    <t>Nilai Tunai Asuransi Jiwa</t>
  </si>
  <si>
    <t>Return on Assets (ROA)</t>
  </si>
  <si>
    <t>Return on Equity (ROE)</t>
  </si>
  <si>
    <t>Aset Derivatif - Tak Lancar</t>
  </si>
  <si>
    <t>Capital Reconciliation</t>
  </si>
  <si>
    <t>Non Operasional Tak Lancar</t>
  </si>
  <si>
    <t>Project Under Construction</t>
  </si>
  <si>
    <t>Add: Earnings After Tax (EAT)</t>
  </si>
  <si>
    <t>Add: Share Sales/Other Component of Equity</t>
  </si>
  <si>
    <t>Akumulasi Amortisasi (-)</t>
  </si>
  <si>
    <t>         Last Fiscal Year Profit Correction </t>
  </si>
  <si>
    <t>Total Additions</t>
  </si>
  <si>
    <t>Substract : Dividend</t>
  </si>
  <si>
    <t>TOTAL ASSET TETAP</t>
  </si>
  <si>
    <t xml:space="preserve">                    Last fiscal year profit correction </t>
  </si>
  <si>
    <t>Total Deductions</t>
  </si>
  <si>
    <t>TOTAL ASSET LANCAR DAN NON LANCAR</t>
  </si>
  <si>
    <t>Increase/(Decrease) in Capital</t>
  </si>
  <si>
    <t>Hutang Jangka Pendek</t>
  </si>
  <si>
    <t>Ending Capital Balance</t>
  </si>
  <si>
    <t>Bagian Lancar Hutang Jangka Panjang inc. Obligasi/MTN/Sekurities</t>
  </si>
  <si>
    <t>Bagian Lancar Sewa Guna Usaha</t>
  </si>
  <si>
    <t>Fixed Assets Reconciliation</t>
  </si>
  <si>
    <t>Bagian Lancar Hutang Subordinasi</t>
  </si>
  <si>
    <t>Cerukan - Pembukuan</t>
  </si>
  <si>
    <t>Cerukan - Pembiayaan</t>
  </si>
  <si>
    <t>Hutang Jangka Pendek - BNI</t>
  </si>
  <si>
    <t>Ending Balance - Fixed Asset</t>
  </si>
  <si>
    <t>Hutang Jangka Pendek - Bank Lainnya</t>
  </si>
  <si>
    <t xml:space="preserve">Add: Depreciation </t>
  </si>
  <si>
    <t>Less: Beginning of Fixed Assets Balance</t>
  </si>
  <si>
    <t>LC / TR - Bank Lainnya</t>
  </si>
  <si>
    <t xml:space="preserve">         Purchases of Fixed Assets</t>
  </si>
  <si>
    <t>Add: Sales of Fixed Assets</t>
  </si>
  <si>
    <t>Gross Capital Goods Purchase</t>
  </si>
  <si>
    <t>Cash Flow Statement</t>
  </si>
  <si>
    <t>Utang Usaha</t>
  </si>
  <si>
    <t>Utang Usaha - Pihak Berelasi</t>
  </si>
  <si>
    <t>Utang Usaha - Pihak Ketiga</t>
  </si>
  <si>
    <t>Other Non-Cash Expenses (incl. Amortization)</t>
  </si>
  <si>
    <t>GROSS OPERATING CASH INFLOWS</t>
  </si>
  <si>
    <t xml:space="preserve">TOTAL KEWAJIBAN </t>
  </si>
  <si>
    <t>TOTAL KEWAJIBAN LANCAR</t>
  </si>
  <si>
    <t>TOTAL OPERATING CASH INFLOWS</t>
  </si>
  <si>
    <t>Utang Lancar Lainnya</t>
  </si>
  <si>
    <t>Biaya yang Masih Harus Dibayar</t>
  </si>
  <si>
    <t>Utang Pajak</t>
  </si>
  <si>
    <t>Utang Dividen</t>
  </si>
  <si>
    <t>Utang Bunga</t>
  </si>
  <si>
    <t>Provisi</t>
  </si>
  <si>
    <t>Utang kepada Pemegang Saham dan Afiliasi</t>
  </si>
  <si>
    <t>TOTAL OPERATING CASH OUTFLOWS</t>
  </si>
  <si>
    <t>Utang kepada Pihak Terkait</t>
  </si>
  <si>
    <t>NET OPERATING CASH FLOW</t>
  </si>
  <si>
    <t>Utang Non Usaha</t>
  </si>
  <si>
    <t>Tagihan Kelebihan Biaya</t>
  </si>
  <si>
    <t>Pajak Tangguhan - Bagian Lancar</t>
  </si>
  <si>
    <t>Pinjaman dari Pihak Terkait - Bagian Lancar</t>
  </si>
  <si>
    <t>Utang Derivatif - Bagian Lancar</t>
  </si>
  <si>
    <t>Utang Lancar Non Operasional</t>
  </si>
  <si>
    <t>Pendapatan yang Diterima Dimuka</t>
  </si>
  <si>
    <t>Utang Pemegang Saham</t>
  </si>
  <si>
    <t>Hutang Jangka Panjang</t>
  </si>
  <si>
    <t>Hutang Jangka Panjang Sewa Guna Usaha</t>
  </si>
  <si>
    <t>Hutang Jangka Panjang Subordinasi</t>
  </si>
  <si>
    <t>Pajak yang Tangguhkan</t>
  </si>
  <si>
    <t>Bunga yang Tangguhkan</t>
  </si>
  <si>
    <t>Hutang Jangka Panjang - BNI</t>
  </si>
  <si>
    <t>Hutang Jangka Panjang - Bank Lainnya</t>
  </si>
  <si>
    <t>Hutang Jangka Panjang - Obligasi/MTN/Sekurities</t>
  </si>
  <si>
    <t>CASH INFLOW FROM FINANCING ACTIVITIES</t>
  </si>
  <si>
    <t>Utang Tak Lancar Lainnya</t>
  </si>
  <si>
    <t>Pajak Tangguhan - Tak Lancar</t>
  </si>
  <si>
    <t>Hak Minioritas</t>
  </si>
  <si>
    <t>Pendapatan Tangguhan</t>
  </si>
  <si>
    <t>Pinjaman dari Pihak Berelasi - Tak Lancar</t>
  </si>
  <si>
    <t>Utang Derivatif - Tak Lancar</t>
  </si>
  <si>
    <t>Utang Non Operasi Tak Lancar</t>
  </si>
  <si>
    <t>Kewajiban Imbalan Kerja</t>
  </si>
  <si>
    <t>Hutang Sewa Pemasok</t>
  </si>
  <si>
    <t>CASH OUTFLOW FROM FINANCING ACTIVITIES</t>
  </si>
  <si>
    <t>TOTAL KEWAJIBAN NON LANCAR</t>
  </si>
  <si>
    <t>Modal Saham</t>
  </si>
  <si>
    <t>Saham Biasa</t>
  </si>
  <si>
    <t>CASH INFLOW FROM INVESTING ACTIVITIES</t>
  </si>
  <si>
    <t>Tambahan Setoran Modal</t>
  </si>
  <si>
    <t>Saham Preference</t>
  </si>
  <si>
    <t>Adjustment to Non-Cash Expenses (incl Amortization)</t>
  </si>
  <si>
    <t>CASH OUTFLOW FROM INVESTING ACTIVITIES</t>
  </si>
  <si>
    <t>NET NON OPERATING CASH FLOW</t>
  </si>
  <si>
    <t>Net Increase/(Decrease) in Cash</t>
  </si>
  <si>
    <t>(difference)</t>
  </si>
  <si>
    <t>Ekuitas Lainnya</t>
  </si>
  <si>
    <t>Agio Saham</t>
  </si>
  <si>
    <t>Hak Minoritas</t>
  </si>
  <si>
    <t>Cadangan Modal</t>
  </si>
  <si>
    <t>Modal Saham Diperoleh Kembali (-)</t>
  </si>
  <si>
    <t>Hutang Pemegang Saham yang di-SOL</t>
  </si>
  <si>
    <t>Selisih Nilai Transaksi Perusahaan</t>
  </si>
  <si>
    <t>Laba Anak Perusahaan</t>
  </si>
  <si>
    <t>Dividen - Saham (-)</t>
  </si>
  <si>
    <t>Penyesuaian Mata Uang</t>
  </si>
  <si>
    <t>Tambahan Laba Ditahan</t>
  </si>
  <si>
    <t>Saldo Sebelumnya</t>
  </si>
  <si>
    <t>Koreksi Laba/(Rugi)</t>
  </si>
  <si>
    <t>TOTAL MODAL</t>
  </si>
  <si>
    <t>TOTAL KEWAJIBAN DAN MODAL</t>
  </si>
  <si>
    <t>Rincian hutang jangka panjang</t>
  </si>
  <si>
    <t>Hutang Bank jk panjang</t>
  </si>
  <si>
    <t>Saldo Awal</t>
  </si>
  <si>
    <t>(+) Pencairan Hutang</t>
  </si>
  <si>
    <t>(-) Cicilan Pokok</t>
  </si>
  <si>
    <t>Saldo Akhir</t>
  </si>
  <si>
    <t>Hutang Sewa Guna Usaha</t>
  </si>
  <si>
    <t>Rasio keuangan terkait Neraca</t>
  </si>
  <si>
    <t>Current ratio (CR)</t>
  </si>
  <si>
    <t>kali</t>
  </si>
  <si>
    <t>Debt equity ratio (DER)</t>
  </si>
  <si>
    <t>Days account receivable</t>
  </si>
  <si>
    <t>hari</t>
  </si>
  <si>
    <t>Days inventory</t>
  </si>
  <si>
    <t>Days account payable</t>
  </si>
  <si>
    <t>- LZSP -</t>
  </si>
  <si>
    <t>Laba Rugi</t>
  </si>
  <si>
    <t>Penjualan</t>
  </si>
  <si>
    <t>Penjualan Eceran</t>
  </si>
  <si>
    <t>Retur Penjualan &amp; Diskon (-)</t>
  </si>
  <si>
    <t>Harga Pokok Penjualan</t>
  </si>
  <si>
    <t>Depresiasi</t>
  </si>
  <si>
    <t>Transportasi</t>
  </si>
  <si>
    <t>Listrik</t>
  </si>
  <si>
    <t>Gaji dan Upah</t>
  </si>
  <si>
    <t>Biaya Penelitian dan Pengembangan</t>
  </si>
  <si>
    <t>LABA KOTOR</t>
  </si>
  <si>
    <t>Biaya Penjualan, Umum dan Administrasi</t>
  </si>
  <si>
    <t>Amortisasi</t>
  </si>
  <si>
    <t>Penghapusan Piutang Tak Tertagih</t>
  </si>
  <si>
    <t>Kompensasi Karyawan</t>
  </si>
  <si>
    <t>Biaya Sewa</t>
  </si>
  <si>
    <t>Asuransi</t>
  </si>
  <si>
    <t>LABA OPERASIONAL (EBITDA)</t>
  </si>
  <si>
    <t>Biaya/(Penghasilan) Lainnya</t>
  </si>
  <si>
    <t>Pendapatan Bunga (-)</t>
  </si>
  <si>
    <t>Penjualan: Aset Tetap (Laba)/Rugi</t>
  </si>
  <si>
    <t>Laba Derivatif (-)</t>
  </si>
  <si>
    <t>Rugi Derivatif</t>
  </si>
  <si>
    <t>Pendapatan Cabang (-)</t>
  </si>
  <si>
    <t>Pendapatan Non Kas (-) / Laba Selisih Kurs (-)</t>
  </si>
  <si>
    <t>Biaya Non Kas / Rugi Selisih Kurs</t>
  </si>
  <si>
    <t>Biaya Bank</t>
  </si>
  <si>
    <t>LABA SEBELUM BUNGA &amp; PAJAK (EBIT)</t>
  </si>
  <si>
    <t>Biaya Bunga</t>
  </si>
  <si>
    <t>Bunga Ditangguhkan</t>
  </si>
  <si>
    <t>Bunga Dikapitalisasi (-)</t>
  </si>
  <si>
    <t>Bunga Pihak Ketiga</t>
  </si>
  <si>
    <t>LABA SEBELUM PAJAK PENDAPATAN (EBT)</t>
  </si>
  <si>
    <t>Pajak</t>
  </si>
  <si>
    <t>Pajak Penghasilan Tangguhan</t>
  </si>
  <si>
    <t>Pengembalian Kelebihan Pajak (-)</t>
  </si>
  <si>
    <t>Non-Pajak (Penghasilan)/Biaya</t>
  </si>
  <si>
    <t>Pos Luar Biasa</t>
  </si>
  <si>
    <t>LABA BERSIH SETELAH PAJAK (EAT)</t>
  </si>
  <si>
    <t>Pembayaran Dividen</t>
  </si>
  <si>
    <t>Prive</t>
  </si>
  <si>
    <t>Penyesuaian</t>
  </si>
  <si>
    <t>Retained Earnings</t>
  </si>
  <si>
    <t>ASSUMPTIONS OF FINANCIAL PROJECTIONS</t>
  </si>
  <si>
    <t>Assumptions of Sales</t>
  </si>
  <si>
    <t>Realization:</t>
  </si>
  <si>
    <t>Growth (%)</t>
  </si>
  <si>
    <t>Assumptions of Projections Sales Growth:</t>
  </si>
  <si>
    <t>from</t>
  </si>
  <si>
    <t>Reason of assumptions :</t>
  </si>
  <si>
    <t>Description</t>
  </si>
  <si>
    <t>Volume</t>
  </si>
  <si>
    <t>Price/Unit</t>
  </si>
  <si>
    <t>Product A</t>
  </si>
  <si>
    <t>Product B</t>
  </si>
  <si>
    <t>Product C</t>
  </si>
  <si>
    <t>Product D</t>
  </si>
  <si>
    <t>dari</t>
  </si>
  <si>
    <t>Alasan asumsi :</t>
  </si>
  <si>
    <t>Proyeksi</t>
  </si>
  <si>
    <t>Alasan asumsi proyeksi penjualan untuk periode</t>
  </si>
  <si>
    <t>s. d.</t>
  </si>
  <si>
    <t>:</t>
  </si>
  <si>
    <t>Profile of Other (Income) / Expense compare to Sales :</t>
  </si>
  <si>
    <t>Period (year)</t>
  </si>
  <si>
    <t>Unit</t>
  </si>
  <si>
    <t>assumption taken</t>
  </si>
  <si>
    <t>dlm %-tase</t>
  </si>
  <si>
    <t>Average</t>
  </si>
  <si>
    <t>Kebutuhan KMK</t>
  </si>
  <si>
    <t>Kebutuhan LC</t>
  </si>
  <si>
    <t>Sales Schedule Projection (Monthly) :</t>
  </si>
  <si>
    <t>Januari (%)</t>
  </si>
  <si>
    <t>Februari (%)</t>
  </si>
  <si>
    <t>Maret (%)</t>
  </si>
  <si>
    <t>April (%)</t>
  </si>
  <si>
    <t>Mei (%)</t>
  </si>
  <si>
    <t>Juni (%)</t>
  </si>
  <si>
    <t>Juli (%)</t>
  </si>
  <si>
    <t>Agustus (%)</t>
  </si>
  <si>
    <t>September (%)</t>
  </si>
  <si>
    <t>Oktober (%)</t>
  </si>
  <si>
    <t>Nopember (%)</t>
  </si>
  <si>
    <t>Desember (%)</t>
  </si>
  <si>
    <t>Total</t>
  </si>
  <si>
    <t>Purchase Schedule Projection (Monthly) :</t>
  </si>
  <si>
    <t>CR</t>
  </si>
  <si>
    <t>Cost Structure</t>
  </si>
  <si>
    <t>Periode</t>
  </si>
  <si>
    <t>Cost of Goods Sold (%)</t>
  </si>
  <si>
    <t>Rata2</t>
  </si>
  <si>
    <t>COGS</t>
  </si>
  <si>
    <t>Cost/Unit</t>
  </si>
  <si>
    <t>Period</t>
  </si>
  <si>
    <t>SGA compare to Sales (%)</t>
  </si>
  <si>
    <t>Purchasing Assumption :</t>
  </si>
  <si>
    <t>Through LC :</t>
  </si>
  <si>
    <t>Non LC :</t>
  </si>
  <si>
    <t>Tenor LC + TR :</t>
  </si>
  <si>
    <t>month</t>
  </si>
  <si>
    <t>LC :</t>
  </si>
  <si>
    <t>Provision for issuence LC :</t>
  </si>
  <si>
    <t>TR :</t>
  </si>
  <si>
    <t>TR Interest :</t>
  </si>
  <si>
    <t>Total LC + TR :</t>
  </si>
  <si>
    <t>Remark</t>
  </si>
  <si>
    <t>Raw Materials:</t>
  </si>
  <si>
    <t>o Beginning</t>
  </si>
  <si>
    <t>o Purchase</t>
  </si>
  <si>
    <t>o End</t>
  </si>
  <si>
    <t>Used Raw Materials</t>
  </si>
  <si>
    <t>Labor Cost</t>
  </si>
  <si>
    <t>Overhead Cost</t>
  </si>
  <si>
    <t>Cost of Goods Sold</t>
  </si>
  <si>
    <t>Working Capital Turn Over</t>
  </si>
  <si>
    <t>Investment Budget (if any)</t>
  </si>
  <si>
    <t>Total Investment</t>
  </si>
  <si>
    <t>Long Term Bank Loans - BNI</t>
  </si>
  <si>
    <t>Self Financing</t>
  </si>
  <si>
    <t>Jangka Waktu Kredit Investasi :</t>
  </si>
  <si>
    <t>bulan</t>
  </si>
  <si>
    <t>Self Financing Source</t>
  </si>
  <si>
    <t>Internal Cash</t>
  </si>
  <si>
    <t>Additional Capital</t>
  </si>
  <si>
    <t>Interest Rate of Loans :</t>
  </si>
  <si>
    <t>Short Term Bank Loans :</t>
  </si>
  <si>
    <t>Bank</t>
  </si>
  <si>
    <t>Interest (p.a)</t>
  </si>
  <si>
    <t>BNI 1</t>
  </si>
  <si>
    <t>BNI 2</t>
  </si>
  <si>
    <t>BNI 3</t>
  </si>
  <si>
    <t>BNI 4</t>
  </si>
  <si>
    <t>BNI 5</t>
  </si>
  <si>
    <t>Bank 1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</si>
  <si>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</si>
  <si>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</si>
  <si>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</si>
  <si>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</si>
  <si>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</si>
  <si>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</si>
  <si>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</si>
  <si>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</si>
  <si>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</si>
  <si>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Long Term Bank Loans :</t>
  </si>
  <si>
    <t>==&gt; Suku bunga USD 7.50% pa</t>
  </si>
  <si>
    <t>Leasing :</t>
  </si>
  <si>
    <t>Financial Institution</t>
  </si>
  <si>
    <t>Leasing 1</t>
  </si>
  <si>
    <t>Leasing 2</t>
  </si>
  <si>
    <t>Leasing 3</t>
  </si>
  <si>
    <t>Leasing 4</t>
  </si>
  <si>
    <t>Leasing 5</t>
  </si>
  <si>
    <t>Leasing 6</t>
  </si>
  <si>
    <t>Leasing 7</t>
  </si>
  <si>
    <t>Leasing 8</t>
  </si>
  <si>
    <t>Leasing 9</t>
  </si>
  <si>
    <t>Leasing 10</t>
  </si>
  <si>
    <t>Bonds/MTN/Securities :</t>
  </si>
  <si>
    <t>Bonds/MTN/Securities</t>
  </si>
  <si>
    <t>Bonds/MTN/Securities 1</t>
  </si>
  <si>
    <t>Bonds/MTN/Securities 2</t>
  </si>
  <si>
    <t>Bonds/MTN/Securities 3</t>
  </si>
  <si>
    <t>Bonds/MTN/Securities 4</t>
  </si>
  <si>
    <t>Bonds/MTN/Securities 5</t>
  </si>
  <si>
    <t>Bonds/MTN/Securities 6</t>
  </si>
  <si>
    <t>Bonds/MTN/Securities 7</t>
  </si>
  <si>
    <t>Bonds/MTN/Securities 8</t>
  </si>
  <si>
    <t>Bonds/MTN/Securities 9</t>
  </si>
  <si>
    <t>Bonds/MTN/Securities 10</t>
  </si>
  <si>
    <t>Details of Existing Working Capital Loan (Short Term Bank Loan)</t>
  </si>
  <si>
    <t>Working Capital Loan (Short Term Bank Loan)</t>
  </si>
  <si>
    <t>Type of Short Term Bank Loan - BNI</t>
  </si>
  <si>
    <t>%-tase</t>
  </si>
  <si>
    <t>Short Term Bank Loan - BNI</t>
  </si>
  <si>
    <t xml:space="preserve"> KMK RC Terbatas</t>
  </si>
  <si>
    <t>Short Term Bank Loan - Other Banks</t>
  </si>
  <si>
    <t xml:space="preserve"> KMK By Promes</t>
  </si>
  <si>
    <t>Total Short Term Bank Loan</t>
  </si>
  <si>
    <t>Assumption Cost of Equity (for WACC calculation) :</t>
  </si>
  <si>
    <t>Tax Rate :</t>
  </si>
  <si>
    <t>Minimum Cash Balance :</t>
  </si>
  <si>
    <t>Nopember</t>
  </si>
  <si>
    <t>Desember</t>
  </si>
  <si>
    <t>Other COA in Balance Sheet has not changed.</t>
  </si>
  <si>
    <t>Prepared by :</t>
  </si>
  <si>
    <t>Approved by :</t>
  </si>
  <si>
    <t>BA</t>
  </si>
  <si>
    <t xml:space="preserve">C A S H   F L O W   P R O J E C T I O N  </t>
  </si>
  <si>
    <t xml:space="preserve"> P R O Y E K S I   C A S H   F L O W  </t>
  </si>
  <si>
    <t xml:space="preserve">Date/Month/Year  :  </t>
  </si>
  <si>
    <t>Assumption</t>
  </si>
  <si>
    <t>Current Post</t>
  </si>
  <si>
    <t>TOTAL</t>
  </si>
  <si>
    <t xml:space="preserve"> BEGINNING CASH BALANCE</t>
  </si>
  <si>
    <t xml:space="preserve"> Sales</t>
  </si>
  <si>
    <t xml:space="preserve"> (Account Receivables)</t>
  </si>
  <si>
    <t xml:space="preserve"> Collected Account Receivables</t>
  </si>
  <si>
    <t xml:space="preserve"> Other Income / (Expense) </t>
  </si>
  <si>
    <t xml:space="preserve"> TOTAL OPERATING CASH INFLOWS</t>
  </si>
  <si>
    <t xml:space="preserve"> Purchase</t>
  </si>
  <si>
    <t xml:space="preserve"> Credit Purchase (Non L/C)</t>
  </si>
  <si>
    <t xml:space="preserve"> Purchase by L/C (Open L/C)</t>
  </si>
  <si>
    <t xml:space="preserve"> (Account Payables)</t>
  </si>
  <si>
    <t xml:space="preserve"> (LC + TR)</t>
  </si>
  <si>
    <t xml:space="preserve"> Payments of Account Payables</t>
  </si>
  <si>
    <t xml:space="preserve"> Payments of L/C + TR</t>
  </si>
  <si>
    <t xml:space="preserve"> Payments of Labor Cost</t>
  </si>
  <si>
    <t xml:space="preserve"> Payments of Overhead Cost</t>
  </si>
  <si>
    <t xml:space="preserve"> Payments of Selling, General &amp; Administrative Expenses</t>
  </si>
  <si>
    <t xml:space="preserve"> Payments of Provision for LC</t>
  </si>
  <si>
    <t>Payments of TR Interest</t>
  </si>
  <si>
    <t xml:space="preserve"> Payments of Short Term Bank Loan Interest</t>
  </si>
  <si>
    <t xml:space="preserve"> Payments of Long Term Bank Loan Interest</t>
  </si>
  <si>
    <t xml:space="preserve"> Payments of all in fee (Provision, Commitment Fee, Service Fee)</t>
  </si>
  <si>
    <t xml:space="preserve"> Payments of Tax</t>
  </si>
  <si>
    <t xml:space="preserve"> TOTAL OPERATING CASH OUTFLOWS</t>
  </si>
  <si>
    <t>Arus Kas Masuk Non Operasional</t>
  </si>
  <si>
    <t xml:space="preserve"> Long Term Bank Loan - Other Banks Disbursement</t>
  </si>
  <si>
    <t xml:space="preserve"> Long Term Bank Loan - BNI Disbursement</t>
  </si>
  <si>
    <t xml:space="preserve"> Bonds/MTN/Securities Drawdown</t>
  </si>
  <si>
    <t xml:space="preserve"> Lease Disbursement</t>
  </si>
  <si>
    <t xml:space="preserve"> Short Term Loan - Other Banks Disbursement</t>
  </si>
  <si>
    <t xml:space="preserve"> Short Term Loan - BNI Disbursement</t>
  </si>
  <si>
    <t xml:space="preserve"> TOTAL NON OPERATING CASH INFLOWS</t>
  </si>
  <si>
    <t>Arus Kas Keluar Non-Operasional</t>
  </si>
  <si>
    <t xml:space="preserve"> Purchases of Fixed Assets (BNI Financing)</t>
  </si>
  <si>
    <t xml:space="preserve"> Payments of Leasing</t>
  </si>
  <si>
    <t xml:space="preserve"> Payments of Short Term Bank Loan - Other Banks</t>
  </si>
  <si>
    <t xml:space="preserve"> Payments of Short Term Bank Loan - BNI</t>
  </si>
  <si>
    <t xml:space="preserve"> Payments of Bonds/MTN/Securities</t>
  </si>
  <si>
    <t xml:space="preserve"> Payments of Long Term Bank Loan - BNI</t>
  </si>
  <si>
    <t xml:space="preserve"> Dividend Distribution</t>
  </si>
  <si>
    <t xml:space="preserve"> TOTAL NON OPERATING CASH OUTFLOWS</t>
  </si>
  <si>
    <t xml:space="preserve"> NET CASH IN / (OUT) FLOW</t>
  </si>
  <si>
    <t xml:space="preserve"> ENDING CASH BALANCE</t>
  </si>
  <si>
    <t xml:space="preserve"> INCREASE/DECREASE NON OPERATING CASHFLOW</t>
  </si>
  <si>
    <t xml:space="preserve"> CUMULATIVE CASH</t>
  </si>
  <si>
    <t>Outstanding Debt Reconciliation</t>
  </si>
  <si>
    <t>Total Leasing</t>
  </si>
  <si>
    <t>KMK BNI :</t>
  </si>
  <si>
    <t>Maks :</t>
  </si>
  <si>
    <t>Total Short Term Bank Loan - BNI</t>
  </si>
  <si>
    <t>Min :</t>
  </si>
  <si>
    <t>Kebutuhan LC tertinggi</t>
  </si>
  <si>
    <t>USD</t>
  </si>
  <si>
    <t>LC + TR BNI</t>
  </si>
  <si>
    <t>Rata2 :</t>
  </si>
  <si>
    <t>Short Term Loan Bank Loan - Other Banks</t>
  </si>
  <si>
    <t>LC + TR Other Banks</t>
  </si>
  <si>
    <t>Total Long Term Bank Loan</t>
  </si>
  <si>
    <t>LC+TR BNI :</t>
  </si>
  <si>
    <t>Long Term Bank Loan - BNI #1 (Eksisting)</t>
  </si>
  <si>
    <t>Long Term Bank Loan - BNI #2 (New)</t>
  </si>
  <si>
    <t>Long Term Bank Loan - BNI #3</t>
  </si>
  <si>
    <t>Long Term Bank Loan - BNI #4</t>
  </si>
  <si>
    <t>Long Term Bank Loan - BNI Working Capital Loan Aflopend Existing</t>
  </si>
  <si>
    <t>Long Term Bank Loan - BNI Working Capital Loan Aflopend New</t>
  </si>
  <si>
    <t>Total Bonds/MTN/Securities</t>
  </si>
  <si>
    <t>Additions to Long Term Bank Loan</t>
  </si>
  <si>
    <t>Total Additions to Long Term Bank Loan</t>
  </si>
  <si>
    <t>Payments of Long Term Bank Loan</t>
  </si>
  <si>
    <t>Total Payments of Long Term Bank Loan</t>
  </si>
  <si>
    <t>Additions to Bonds/MTN/Securities</t>
  </si>
  <si>
    <t>Total Additions to Bonds/MTN/Securities</t>
  </si>
  <si>
    <t>Payments of Bonds/MTN/Securities</t>
  </si>
  <si>
    <t>Total Payments of Bonds/MTN/Securities</t>
  </si>
  <si>
    <t>Payments of Leasing</t>
  </si>
  <si>
    <t>Total Payments of Leasing</t>
  </si>
  <si>
    <t>Cash in</t>
  </si>
  <si>
    <t>Minimum Cash Balance</t>
  </si>
  <si>
    <t>Details of Short Term Bank Loan Interest</t>
  </si>
  <si>
    <t>BNI</t>
  </si>
  <si>
    <t>Other Banks</t>
  </si>
  <si>
    <t>Details of Long Term Bank Loan Interest + Leasing Interest + Bonds/MTN/Securities Interest</t>
  </si>
  <si>
    <t>Debitur / group usaha:</t>
  </si>
  <si>
    <t>PROJECTION</t>
  </si>
  <si>
    <t>AMOUNT</t>
  </si>
  <si>
    <t>ROA (Return on Assets)</t>
  </si>
  <si>
    <t>ROE (Return on Equity)</t>
  </si>
  <si>
    <t>Net Working Capital</t>
  </si>
  <si>
    <t>SGA</t>
  </si>
  <si>
    <t>Dep COGS</t>
  </si>
  <si>
    <t>Dep SGA</t>
  </si>
  <si>
    <t>SALES &amp; ACCOUNT RECEIVABLES (SCHEDULE )</t>
  </si>
  <si>
    <t>(IDR Million)</t>
  </si>
  <si>
    <t xml:space="preserve">I. SALES </t>
  </si>
  <si>
    <t>Year</t>
  </si>
  <si>
    <t>Historical</t>
  </si>
  <si>
    <t>Projection</t>
  </si>
  <si>
    <t>II. SALES SCHEDULE</t>
  </si>
  <si>
    <t>Month</t>
  </si>
  <si>
    <t>Jan</t>
  </si>
  <si>
    <t>Feb</t>
  </si>
  <si>
    <t>Mar</t>
  </si>
  <si>
    <t>Apr</t>
  </si>
  <si>
    <t>Mei</t>
  </si>
  <si>
    <t>Jun</t>
  </si>
  <si>
    <t>Jul</t>
  </si>
  <si>
    <t>Agust</t>
  </si>
  <si>
    <t>Sep</t>
  </si>
  <si>
    <t>Okt</t>
  </si>
  <si>
    <t>Nop</t>
  </si>
  <si>
    <t>Des</t>
  </si>
  <si>
    <t>Akum</t>
  </si>
  <si>
    <t>III. ACCOUNT RECEIVABLES SCHEDULE</t>
  </si>
  <si>
    <t>Days Account Receivables</t>
  </si>
  <si>
    <t>May</t>
  </si>
  <si>
    <t>Aug</t>
  </si>
  <si>
    <t>Oct</t>
  </si>
  <si>
    <t>Nov</t>
  </si>
  <si>
    <t>Dec</t>
  </si>
  <si>
    <t>Cumulative Period</t>
  </si>
  <si>
    <t>COGS CALCULATION, PURCHASE SCHEDULE, ACCOUNT PAYABLES, OTHER EXPENSES &amp; DEPRECIATION</t>
  </si>
  <si>
    <t>I. COGS STRUCTURE ASSUMPTION</t>
  </si>
  <si>
    <t>Raw Material :</t>
  </si>
  <si>
    <t>o Beginning Balance</t>
  </si>
  <si>
    <t>o Ending Balance</t>
  </si>
  <si>
    <t>Raw Material Used</t>
  </si>
  <si>
    <t xml:space="preserve">     Cost of  Good Sold</t>
  </si>
  <si>
    <t xml:space="preserve"> Selling, General &amp; Administrative Expenses</t>
  </si>
  <si>
    <t>Days Inventory Assumption</t>
  </si>
  <si>
    <t>II. PURCHASE SCHEDULE</t>
  </si>
  <si>
    <t>III. ACCOUNT PAYABLES SCHEDULE</t>
  </si>
  <si>
    <t>Tahun</t>
  </si>
  <si>
    <t>Days Account Payables Assumption</t>
  </si>
  <si>
    <t>IV. LABOR COST SCHEDULE</t>
  </si>
  <si>
    <t>V. OVERHEAD COST SCHEDULE</t>
  </si>
  <si>
    <t>V. SELLING, GENERAL &amp; ADMINISTRATIVE EXPENSES SCHEDULE</t>
  </si>
  <si>
    <t>Maximum</t>
  </si>
  <si>
    <t>Tenor</t>
  </si>
  <si>
    <t>Interest</t>
  </si>
  <si>
    <t>No</t>
  </si>
  <si>
    <t>Begining Maximum</t>
  </si>
  <si>
    <t>Payment</t>
  </si>
  <si>
    <t>Ending Maximum</t>
  </si>
  <si>
    <t>FEASIBILITY STUDY</t>
  </si>
  <si>
    <t>PERIOD</t>
  </si>
  <si>
    <t>OPERATING CASH FLOW</t>
  </si>
  <si>
    <t>SALES</t>
  </si>
  <si>
    <t>Sales (for sensitivity test)</t>
  </si>
  <si>
    <t>COGS (for sensitivity test)</t>
  </si>
  <si>
    <t>GROSS PROFIT</t>
  </si>
  <si>
    <t>SG &amp; A</t>
  </si>
  <si>
    <t>SG &amp; A (for sensitivity test)</t>
  </si>
  <si>
    <t>OPERATING PROFIT</t>
  </si>
  <si>
    <t>TAX</t>
  </si>
  <si>
    <t>NOPAT</t>
  </si>
  <si>
    <t>DEPRECIATION</t>
  </si>
  <si>
    <t>TOTAL OPERATING CASH FLOW</t>
  </si>
  <si>
    <t>NET ASSET INVESTMENT</t>
  </si>
  <si>
    <t>FREE CASH FLOW TO THE FIRM</t>
  </si>
  <si>
    <t>ACCUMULATED CASH FLOW</t>
  </si>
  <si>
    <t>Payback Calculcation</t>
  </si>
  <si>
    <t>DEBT RATIO</t>
  </si>
  <si>
    <t>EQUITY RATIO</t>
  </si>
  <si>
    <t>COST OF DEBT</t>
  </si>
  <si>
    <t>COST OF EQUITY</t>
  </si>
  <si>
    <t>WACC</t>
  </si>
  <si>
    <t>NET PRESENT VALUE (NPV)</t>
  </si>
  <si>
    <t>(IDR MILLION)</t>
  </si>
  <si>
    <t>PROFITABILITY INDEX (PI)</t>
  </si>
  <si>
    <t>INTERNAL RATE OF RETURN (IRR)</t>
  </si>
  <si>
    <t>PAYBACK PERIOD (PBP)</t>
  </si>
  <si>
    <t> </t>
  </si>
  <si>
    <t>years</t>
  </si>
  <si>
    <t>SENSITIVITY TEST :</t>
  </si>
  <si>
    <t>SALES DECREASE</t>
  </si>
  <si>
    <t>COGS INCREASE</t>
  </si>
  <si>
    <t>SG &amp; A INCREASE</t>
  </si>
  <si>
    <t>USD/IDR =</t>
  </si>
  <si>
    <t>% Purchase in Forex =</t>
  </si>
  <si>
    <t xml:space="preserve">FKK forwad/swap 12 month = </t>
  </si>
  <si>
    <t>Hedging Tenor (days) =</t>
  </si>
  <si>
    <t>Projected Years</t>
  </si>
  <si>
    <t>Purchase</t>
  </si>
  <si>
    <t>% Purchase in Forex</t>
  </si>
  <si>
    <t>Purchase in Forex</t>
  </si>
  <si>
    <t>Forex Need</t>
  </si>
  <si>
    <t>USD Thousand</t>
  </si>
  <si>
    <t>Hedging Tenor</t>
  </si>
  <si>
    <t>Notional Derivatif Line</t>
  </si>
  <si>
    <t>FKK forwad/swap 12 month</t>
  </si>
  <si>
    <t>Potential Treasuri Line</t>
  </si>
  <si>
    <t>% Offshore Sales =</t>
  </si>
  <si>
    <t>NWE Tenor (days) =</t>
  </si>
  <si>
    <t>% Offshore Sales</t>
  </si>
  <si>
    <t>Offshore Sales</t>
  </si>
  <si>
    <t>NWE Tenor</t>
  </si>
  <si>
    <t>Potential NWE Limit</t>
  </si>
  <si>
    <t>Date:</t>
  </si>
  <si>
    <t>Net Cash Flow (EBITDA - Tax)</t>
  </si>
  <si>
    <t>Catatan: Tax bersifat mandatory sehingga dikeluarkan dari perhitungan Kapasitas Hutang</t>
  </si>
  <si>
    <t>Interest Rate</t>
  </si>
  <si>
    <t xml:space="preserve">Catatan: Interest Rate menggunakan weighted average bunga yg dibebankan kepada debitur </t>
  </si>
  <si>
    <t>Maximum Facility</t>
  </si>
  <si>
    <t xml:space="preserve">Catatan: Seluruh plafon hutang yg saat ini ada di Laporan Keuangan </t>
  </si>
  <si>
    <t>Catatan: Tenor yg digunakan dalam memperkirakan Kapasitas Hutang</t>
  </si>
  <si>
    <t>Debt Capacity</t>
  </si>
  <si>
    <t>Excess from Debt Capacity</t>
  </si>
  <si>
    <t xml:space="preserve">Catatan: Negative berarti debitur memiliki kapasitas hutang yg memadai </t>
  </si>
  <si>
    <t>Future Value of Maximum Facility</t>
  </si>
  <si>
    <t>Outstanding Facility</t>
  </si>
  <si>
    <t>Catatan: Bila &gt;0 berarti EBIDA tidak mencukupi utk melunasi Hutang Saat ini</t>
  </si>
  <si>
    <t>Tenor for Loan Repayment</t>
  </si>
  <si>
    <t>(year)</t>
  </si>
  <si>
    <t>Tax Assumption :</t>
  </si>
  <si>
    <t>EBITDA(1 - Tax)</t>
  </si>
  <si>
    <t>NWC(t)</t>
  </si>
  <si>
    <t>NWC(t-1)</t>
  </si>
  <si>
    <t>CAPEX</t>
  </si>
  <si>
    <t>Free Cash Flow (FCF)</t>
  </si>
  <si>
    <t>Growth</t>
  </si>
  <si>
    <t>Investment Feasibility Analysis</t>
  </si>
  <si>
    <t>WACC Calculation</t>
  </si>
  <si>
    <t>Cost of Debt :</t>
  </si>
  <si>
    <t>--------------&gt;</t>
  </si>
  <si>
    <t>New Long Term Bank Loan (Investment Loan Facility) Interest</t>
  </si>
  <si>
    <t>Cost of Equity :</t>
  </si>
  <si>
    <t>Financing Portion :</t>
  </si>
  <si>
    <t>Debt :</t>
  </si>
  <si>
    <t>Equity :</t>
  </si>
  <si>
    <t>WACC =</t>
  </si>
  <si>
    <t>NPV =</t>
  </si>
  <si>
    <t>IRR =</t>
  </si>
  <si>
    <t>Pay Back Period =</t>
  </si>
  <si>
    <t>Bulan</t>
  </si>
  <si>
    <t>Kewajiban Angsuran</t>
  </si>
  <si>
    <t>Kewajiban Bunga</t>
  </si>
  <si>
    <t>FCF Setelah Kewajiban</t>
  </si>
  <si>
    <t>FCF</t>
  </si>
  <si>
    <t>Average Growth (g)</t>
  </si>
  <si>
    <t>Terminal Value (TV)</t>
  </si>
  <si>
    <t>FCF + TV</t>
  </si>
  <si>
    <t xml:space="preserve">PT. </t>
  </si>
  <si>
    <t>INVESTMENT FEASIBILITY ANALYSIS</t>
  </si>
  <si>
    <t>CASH INFLOW</t>
  </si>
  <si>
    <t>EAT</t>
  </si>
  <si>
    <t>Depreciation &amp; Amortization</t>
  </si>
  <si>
    <t>Cash Proceed</t>
  </si>
  <si>
    <t>Terminal Value</t>
  </si>
  <si>
    <t>Total Cash Inflow</t>
  </si>
  <si>
    <t>CAGR Cash Proceed</t>
  </si>
  <si>
    <t>wacc</t>
  </si>
  <si>
    <t>CASH OUTFLOW</t>
  </si>
  <si>
    <t>New Investment</t>
  </si>
  <si>
    <t>Existing Investment</t>
  </si>
  <si>
    <t>IDC</t>
  </si>
  <si>
    <t>Total Cash Outflow</t>
  </si>
  <si>
    <t>NET CASH FLOW</t>
  </si>
  <si>
    <t>CUMMULATIVE CF</t>
  </si>
  <si>
    <t>Discount factor</t>
  </si>
  <si>
    <t>Present Value</t>
  </si>
  <si>
    <t>CUMMULATIVE PV</t>
  </si>
  <si>
    <t>NPV</t>
  </si>
  <si>
    <t>IRR</t>
  </si>
  <si>
    <t>B/C Ratio</t>
  </si>
  <si>
    <t>Payback Period</t>
  </si>
  <si>
    <t>year</t>
  </si>
  <si>
    <t>Discounted Payback Period</t>
  </si>
  <si>
    <t>tahun</t>
  </si>
  <si>
    <t>PERHITUNGAN WACC</t>
  </si>
  <si>
    <t>Capital component</t>
  </si>
  <si>
    <t>Weight</t>
  </si>
  <si>
    <t>Cost (C)</t>
  </si>
  <si>
    <t>(1-Tax)</t>
  </si>
  <si>
    <t>WACC (DF)</t>
  </si>
  <si>
    <t>1</t>
  </si>
  <si>
    <t>5=2x3x4</t>
  </si>
  <si>
    <t>- Debt (d) KI</t>
  </si>
  <si>
    <t>- Equity (e)</t>
  </si>
  <si>
    <t>Component Cost of Equity (Ce)</t>
  </si>
  <si>
    <t xml:space="preserve">Risk Free Rate (Rf) </t>
  </si>
  <si>
    <t>Market Risk (Rm)</t>
  </si>
  <si>
    <t>Beta  (b)</t>
  </si>
  <si>
    <t>Ce = {Rf + [(Rm - Rf) x b]}</t>
  </si>
  <si>
    <t>Beta Perusahaan Perkebunan per tanggal 20 April 2015</t>
  </si>
  <si>
    <t>Astra agro lestari</t>
  </si>
  <si>
    <t>Lonsum</t>
  </si>
  <si>
    <t>Sampoerna agro</t>
  </si>
  <si>
    <t>Smart</t>
  </si>
  <si>
    <t xml:space="preserve">Average Beta </t>
  </si>
  <si>
    <t>Sumber : Reuter October 2013</t>
  </si>
  <si>
    <t>Analisa</t>
  </si>
  <si>
    <t>Normal</t>
  </si>
  <si>
    <t>Skenario 1</t>
  </si>
  <si>
    <t>Skenario 2</t>
  </si>
  <si>
    <t>Skenario 3</t>
  </si>
  <si>
    <t>Skenario 4</t>
  </si>
  <si>
    <t>SENSITIVITY ANALYSIS</t>
  </si>
  <si>
    <t>Harga CPO</t>
  </si>
  <si>
    <t>Tingkat Produksi</t>
  </si>
  <si>
    <t>Biaya</t>
  </si>
  <si>
    <t>Bunga</t>
  </si>
  <si>
    <t>Asumsi Wajar</t>
  </si>
  <si>
    <t>Asumsi BEP</t>
  </si>
  <si>
    <t>Turun 5 %</t>
  </si>
  <si>
    <t>Turun 10 %</t>
  </si>
  <si>
    <t>Naik 5 %</t>
  </si>
  <si>
    <t>Naik 10 %</t>
  </si>
  <si>
    <t>Naik 1 %</t>
  </si>
  <si>
    <t>Naik 2 %</t>
  </si>
  <si>
    <t>Harga jual</t>
  </si>
  <si>
    <t>Kenaikan biaya operasional</t>
  </si>
  <si>
    <t>Payback</t>
  </si>
  <si>
    <t>Kenaikan bunga</t>
  </si>
  <si>
    <t>NPV = 0 jika</t>
  </si>
  <si>
    <t>DSC</t>
  </si>
  <si>
    <t>For Invesment Loan Facility</t>
  </si>
  <si>
    <t>Decrease in Sales</t>
  </si>
  <si>
    <t>Condition</t>
  </si>
  <si>
    <t>Changes</t>
  </si>
  <si>
    <t>Lowest DSC</t>
  </si>
  <si>
    <t>Conclusion</t>
  </si>
  <si>
    <t>Feasible</t>
  </si>
  <si>
    <t>Not Feasible</t>
  </si>
  <si>
    <t>Increase in COGS</t>
  </si>
  <si>
    <t>Increase in SGA</t>
  </si>
  <si>
    <t>Increase in Other Expenses</t>
  </si>
  <si>
    <t>Increase in Interest Rate</t>
  </si>
  <si>
    <t>For Working Capital Loan Facility</t>
  </si>
  <si>
    <t>Penilaian Kelayakan Investasi</t>
  </si>
  <si>
    <t>Pay Back Period (Based On KJPP)</t>
  </si>
  <si>
    <t>Invest</t>
  </si>
  <si>
    <t>Proceed</t>
  </si>
  <si>
    <t>PV</t>
  </si>
  <si>
    <t>Nilai Sisa</t>
  </si>
  <si>
    <t>Pay Back Period:</t>
  </si>
  <si>
    <t>Project Period</t>
  </si>
  <si>
    <t>=</t>
  </si>
  <si>
    <t xml:space="preserve">Kesimpulan: Pay Back Period &lt; Project Period, investasi dinilai layak </t>
  </si>
  <si>
    <t>Net Present Value (Based On KJPP)</t>
  </si>
  <si>
    <t>DF</t>
  </si>
  <si>
    <t>T O T A L</t>
  </si>
  <si>
    <t>Project Cost</t>
  </si>
  <si>
    <t>Net Present Value</t>
  </si>
  <si>
    <t>Kesimpulan: NPV &gt; 0, investasi dinilai layak</t>
  </si>
  <si>
    <t>Internal Rate of Return (Based on KJPP)</t>
  </si>
  <si>
    <t>DF 1</t>
  </si>
  <si>
    <t>DF+1 =</t>
  </si>
  <si>
    <t>DF 2</t>
  </si>
  <si>
    <t>PV1</t>
  </si>
  <si>
    <t>DF2</t>
  </si>
  <si>
    <t>PV2</t>
  </si>
  <si>
    <t>Kesimpulan: investasi layak dilakukan selama suku bunga pinjaman berada di bawah 13,69%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</si>
</sst>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#,##0.00;[Red]\-&quot;$&quot;#,##0.00"/>
    <numFmt numFmtId="167" formatCode="#,###"/>
    <numFmt numFmtId="168" formatCode="_(* #,##0_);_(* \(#,##0\);_(* &quot;-&quot;??_);_(@_)"/>
    <numFmt numFmtId="169" formatCode="[$-421]dd\ mmmm\ yyyy"/>
    <numFmt numFmtId="170" formatCode="_-* #,##0_-;\-* #,##0_-;_-* &quot;-&quot;_-;_-@"/>
    <numFmt numFmtId="171" formatCode="_-* #,##0.00_-;\-* #,##0.00_-;_-* &quot;-&quot;??_-;_-@"/>
    <numFmt numFmtId="172" formatCode="_(* #,##0.00_);_(* \(#,##0.00\);_(* &quot;-&quot;_);_(@_)"/>
    <numFmt numFmtId="173" formatCode="_-* #,##0_-;\-* #,##0_-;_-* &quot;-&quot;??_-;_-@"/>
    <numFmt numFmtId="174" formatCode=";;;"/>
    <numFmt numFmtId="175" formatCode="mmm\-yy_)"/>
    <numFmt numFmtId="176" formatCode="[$-409]d\-mmm\-yy"/>
    <numFmt numFmtId="177" formatCode="0_);\(0\)"/>
    <numFmt numFmtId="178" formatCode="[$-409]mmm\-yy"/>
    <numFmt numFmtId="179" formatCode="0.0000%"/>
    <numFmt numFmtId="180" formatCode="_([$Rp-421]* #,##0_);_([$Rp-421]* \(#,##0\);_([$Rp-421]* &quot;-&quot;??_);_(@_)"/>
    <numFmt numFmtId="181" formatCode="_-* #,##0.0_-;\-* #,##0.0_-;_-* &quot;-&quot;??_-;_-@"/>
    <numFmt numFmtId="182" formatCode="mm/yyyy"/>
    <numFmt numFmtId="183" formatCode="0_)"/>
    <numFmt numFmtId="184" formatCode="0.00_)"/>
    <numFmt numFmtId="185" formatCode="_(* #,##0.00000_);_(* \(#,##0.00000\);_(* &quot;-&quot;_);_(@_)"/>
    <numFmt numFmtId="186" formatCode="0.000_)"/>
    <numFmt numFmtId="187" formatCode="#,##0.00000_);\(#,##0.00000\)"/>
    <numFmt numFmtId="188" formatCode="_(* #,##0.000_);_(* \(#,##0.000\);_(* &quot;-&quot;_);_(@_)"/>
    <numFmt numFmtId="189" formatCode="_(* #,##0_);_(* \(#,##0\);_(* 0_);_(@_)"/>
    <numFmt numFmtId="190" formatCode="#,##0.000;\-#,##0.000"/>
    <numFmt numFmtId="191" formatCode="_(* #,##0.000_);_(* \(#,##0.000\);_(* &quot;-&quot;??_);_(@_)"/>
    <numFmt numFmtId="192" formatCode="0.0%"/>
    <numFmt numFmtId="193" formatCode="0.0000"/>
    <numFmt numFmtId="194" formatCode="0.0"/>
    <numFmt numFmtId="195" formatCode="dd/mm/yyyy;@"/>
    <numFmt numFmtId="196" formatCode="0.000"/>
    <numFmt numFmtId="197" formatCode="_-* #,##0_-;\-* #,##0_-;_-* &quot;-&quot;??_-;_-@_-"/>
    <numFmt numFmtId="198" formatCode="[$-421]dd\ mmmm\ yyyy;@"/>
    <numFmt numFmtId="199" formatCode="#,##0.00000000000;\-#,##0.00000000000"/>
    <numFmt numFmtId="200" formatCode="#,##0.00000000000000;\-#,##0.00000000000000"/>
    <numFmt numFmtId="201" formatCode="#,##0.000000000000000;\-#,##0.000000000000000"/>
    <numFmt numFmtId="202" formatCode="_(* #,##0.0000000_);_(* \(#,##0.0000000\);_(* &quot;-&quot;??_);_(@_)"/>
  </numFmts>
  <fonts count="103">
    <font>
      <sz val="10"/>
      <color rgb="FF000000"/>
      <name val="Arial"/>
      <scheme val="minor"/>
    </font>
    <font>
      <sz val="10"/>
      <color rgb="FFFFFFFF"/>
      <name val="Verdana"/>
      <family val="2"/>
    </font>
    <font>
      <b/>
      <sz val="12"/>
      <color rgb="FFFFFFFF"/>
      <name val="Verdana"/>
      <family val="2"/>
    </font>
    <font>
      <sz val="10"/>
      <color theme="1"/>
      <name val="Verdana"/>
      <family val="2"/>
    </font>
    <font>
      <b/>
      <sz val="12"/>
      <color rgb="FFFF0000"/>
      <name val="Verdana"/>
      <family val="2"/>
    </font>
    <font>
      <b/>
      <sz val="10"/>
      <color rgb="FFFFFFFF"/>
      <name val="Verdana"/>
      <family val="2"/>
    </font>
    <font>
      <sz val="10"/>
      <color rgb="FF333333"/>
      <name val="Verdan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Century Gothic"/>
      <family val="2"/>
    </font>
    <font>
      <sz val="9"/>
      <color rgb="FF969696"/>
      <name val="Century Gothic"/>
      <family val="2"/>
    </font>
    <font>
      <sz val="9"/>
      <color rgb="FFA5A5A5"/>
      <name val="Century Gothic"/>
      <family val="2"/>
    </font>
    <font>
      <vertAlign val="subscript"/>
      <sz val="9"/>
      <color rgb="FFA5A5A5"/>
      <name val="Century Gothic"/>
      <family val="2"/>
    </font>
    <font>
      <sz val="10"/>
      <name val="Arial"/>
      <family val="2"/>
    </font>
    <font>
      <i/>
      <sz val="9"/>
      <color rgb="FF969696"/>
      <name val="Century Gothic"/>
      <family val="2"/>
    </font>
    <font>
      <u/>
      <vertAlign val="subscript"/>
      <sz val="9"/>
      <color rgb="FFA5A5A5"/>
      <name val="Century Gothic"/>
      <family val="2"/>
    </font>
    <font>
      <b/>
      <sz val="9"/>
      <color rgb="FF969696"/>
      <name val="Century Gothic"/>
      <family val="2"/>
    </font>
    <font>
      <b/>
      <vertAlign val="subscript"/>
      <sz val="9"/>
      <color rgb="FFA5A5A5"/>
      <name val="Century Gothic"/>
      <family val="2"/>
    </font>
    <font>
      <sz val="9"/>
      <color rgb="FF000000"/>
      <name val="Century Gothic"/>
      <family val="2"/>
    </font>
    <font>
      <sz val="9"/>
      <color rgb="FFFF0000"/>
      <name val="Century Gothic"/>
      <family val="2"/>
    </font>
    <font>
      <vertAlign val="subscript"/>
      <sz val="9"/>
      <color rgb="FFFF0000"/>
      <name val="Century Gothic"/>
      <family val="2"/>
    </font>
    <font>
      <u/>
      <sz val="9"/>
      <color rgb="FFA5A5A5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b/>
      <u/>
      <sz val="11"/>
      <color rgb="FF000000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rgb="FF0000FF"/>
      <name val="Arial"/>
      <family val="2"/>
    </font>
    <font>
      <sz val="11"/>
      <color theme="0"/>
      <name val="Arial"/>
      <family val="2"/>
    </font>
    <font>
      <sz val="11"/>
      <color rgb="FFA5A5A5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Cambria"/>
      <family val="1"/>
    </font>
    <font>
      <sz val="10"/>
      <color rgb="FFFF8080"/>
      <name val="Cambria"/>
      <family val="1"/>
    </font>
    <font>
      <b/>
      <i/>
      <u/>
      <sz val="10"/>
      <color rgb="FF0000FF"/>
      <name val="Cambria"/>
      <family val="1"/>
    </font>
    <font>
      <b/>
      <sz val="10"/>
      <color rgb="FF0000FF"/>
      <name val="Cambria"/>
      <family val="1"/>
    </font>
    <font>
      <b/>
      <sz val="10"/>
      <color theme="1"/>
      <name val="Cambria"/>
      <family val="1"/>
    </font>
    <font>
      <b/>
      <u/>
      <sz val="10"/>
      <color theme="1"/>
      <name val="Cambria"/>
      <family val="1"/>
    </font>
    <font>
      <b/>
      <sz val="10"/>
      <color rgb="FF000000"/>
      <name val="Cambria"/>
      <family val="1"/>
    </font>
    <font>
      <sz val="10"/>
      <color rgb="FFFFFFFF"/>
      <name val="Cambria"/>
      <family val="1"/>
    </font>
    <font>
      <b/>
      <sz val="10"/>
      <color rgb="FFFFFFFF"/>
      <name val="Cambria"/>
      <family val="1"/>
    </font>
    <font>
      <sz val="10"/>
      <color rgb="FFFF0000"/>
      <name val="Cambria"/>
      <family val="1"/>
    </font>
    <font>
      <sz val="10"/>
      <color rgb="FF000000"/>
      <name val="Cambria"/>
      <family val="1"/>
    </font>
    <font>
      <sz val="10"/>
      <color rgb="FF0000FF"/>
      <name val="Cambria"/>
      <family val="1"/>
    </font>
    <font>
      <b/>
      <i/>
      <u/>
      <sz val="10"/>
      <color theme="1"/>
      <name val="Cambria"/>
      <family val="1"/>
    </font>
    <font>
      <b/>
      <sz val="9"/>
      <color theme="1"/>
      <name val="Calibri"/>
      <family val="2"/>
    </font>
    <font>
      <i/>
      <sz val="10"/>
      <color theme="1"/>
      <name val="Cambria"/>
      <family val="1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C6D9F0"/>
      <name val="Arial"/>
      <family val="2"/>
    </font>
    <font>
      <b/>
      <sz val="11"/>
      <color rgb="FFFFFF00"/>
      <name val="Arial"/>
      <family val="2"/>
    </font>
    <font>
      <sz val="11"/>
      <color rgb="FFC6D9F0"/>
      <name val="Arial"/>
      <family val="2"/>
    </font>
    <font>
      <sz val="9"/>
      <color theme="1"/>
      <name val="Arial"/>
      <family val="2"/>
    </font>
    <font>
      <sz val="10"/>
      <color rgb="FFFFFFFF"/>
      <name val="Arial"/>
      <family val="2"/>
    </font>
    <font>
      <b/>
      <sz val="9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scheme val="minor"/>
    </font>
    <font>
      <b/>
      <sz val="9"/>
      <color theme="1"/>
      <name val="Century Gothic"/>
      <family val="1"/>
    </font>
    <font>
      <b/>
      <sz val="8"/>
      <name val="Century Gothic"/>
      <family val="2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Courier"/>
      <family val="3"/>
    </font>
    <font>
      <b/>
      <i/>
      <sz val="11"/>
      <name val="Calibri"/>
      <family val="2"/>
    </font>
    <font>
      <sz val="11"/>
      <name val="Calibri"/>
      <family val="2"/>
    </font>
    <font>
      <sz val="11"/>
      <name val="Tahoma"/>
      <family val="2"/>
    </font>
    <font>
      <b/>
      <sz val="11"/>
      <name val="Calibri"/>
      <family val="2"/>
    </font>
    <font>
      <u/>
      <sz val="11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1"/>
      <color rgb="FF00B0F0"/>
      <name val="Arial"/>
      <family val="2"/>
    </font>
    <font>
      <sz val="9"/>
      <color rgb="FF000000"/>
      <name val="Arial"/>
      <scheme val="minor"/>
    </font>
    <font>
      <sz val="9"/>
      <name val="Arial"/>
      <family val="2"/>
    </font>
    <font>
      <sz val="9"/>
      <name val="Arial"/>
      <family val="2"/>
      <scheme val="minor"/>
    </font>
    <font>
      <sz val="9"/>
      <color rgb="FFFF0000"/>
      <name val="Arial"/>
      <family val="2"/>
      <scheme val="minor"/>
    </font>
    <font>
      <sz val="9"/>
      <name val="Century Gothic"/>
      <family val="2"/>
    </font>
    <font>
      <b/>
      <sz val="8"/>
      <color rgb="FF000000"/>
      <name val="Arial"/>
      <family val="2"/>
    </font>
    <font>
      <sz val="9"/>
      <color theme="1"/>
      <name val="Arial"/>
      <scheme val="minor"/>
    </font>
    <font>
      <i/>
      <sz val="9"/>
      <color theme="1"/>
      <name val="Arial"/>
      <scheme val="minor"/>
    </font>
    <font>
      <b/>
      <i/>
      <sz val="9"/>
      <color theme="1"/>
      <name val="Arial"/>
      <scheme val="minor"/>
    </font>
    <font>
      <b/>
      <sz val="9"/>
      <color theme="1"/>
      <name val="Arial"/>
      <scheme val="minor"/>
    </font>
    <font>
      <sz val="9"/>
      <color rgb="FFFF0000"/>
      <name val="Arial"/>
      <scheme val="minor"/>
    </font>
    <font>
      <sz val="9"/>
      <name val="Arial"/>
      <scheme val="minor"/>
    </font>
    <font>
      <b/>
      <sz val="9"/>
      <color rgb="FF000000"/>
      <name val="Arial"/>
      <scheme val="minor"/>
    </font>
    <font>
      <b/>
      <i/>
      <sz val="9"/>
      <name val="Century Gothic"/>
      <family val="2"/>
    </font>
    <font>
      <b/>
      <sz val="9"/>
      <name val="Century Gothic"/>
      <family val="2"/>
    </font>
    <font>
      <u/>
      <sz val="9"/>
      <name val="Century Gothic"/>
      <family val="2"/>
    </font>
    <font>
      <sz val="9"/>
      <name val="&quot;Century Gothic&quot;"/>
    </font>
    <font>
      <sz val="9"/>
      <name val="Century"/>
      <family val="1"/>
    </font>
    <font>
      <sz val="8"/>
      <name val="Arial Narrow"/>
      <family val="2"/>
    </font>
    <font>
      <b/>
      <sz val="8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FFFFBF"/>
        <bgColor rgb="FFFFFFBF"/>
      </patternFill>
    </fill>
    <fill>
      <patternFill patternType="solid">
        <fgColor rgb="FFFFFFE1"/>
        <bgColor rgb="FFFFFFE1"/>
      </patternFill>
    </fill>
    <fill>
      <patternFill patternType="solid">
        <fgColor rgb="FFC0C0C0"/>
        <bgColor rgb="FFC0C0C0"/>
      </patternFill>
    </fill>
    <fill>
      <patternFill patternType="solid">
        <fgColor rgb="FFCFDFFC"/>
        <bgColor rgb="FFCFDFFC"/>
      </patternFill>
    </fill>
    <fill>
      <patternFill patternType="solid">
        <fgColor rgb="FFEDF3FE"/>
        <bgColor rgb="FFEDF3FE"/>
      </patternFill>
    </fill>
    <fill>
      <patternFill patternType="solid">
        <fgColor rgb="FF808080"/>
        <bgColor rgb="FF808080"/>
      </patternFill>
    </fill>
    <fill>
      <patternFill patternType="solid">
        <fgColor rgb="FF969696"/>
        <bgColor rgb="FF969696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FF6600"/>
        <bgColor rgb="FFFF6600"/>
      </patternFill>
    </fill>
    <fill>
      <patternFill patternType="solid">
        <fgColor theme="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BACC6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6" tint="0.39997558519241921"/>
        <bgColor indexed="64"/>
      </patternFill>
    </fill>
  </fills>
  <borders count="20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808080"/>
      </left>
      <right style="double">
        <color rgb="FF808080"/>
      </right>
      <top style="double">
        <color rgb="FF808080"/>
      </top>
      <bottom style="double">
        <color rgb="FF808080"/>
      </bottom>
      <diagonal/>
    </border>
    <border>
      <left/>
      <right style="double">
        <color rgb="FF808080"/>
      </right>
      <top style="double">
        <color rgb="FF808080"/>
      </top>
      <bottom style="double">
        <color rgb="FF80808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rgb="FF808080"/>
      </left>
      <right style="double">
        <color rgb="FF808080"/>
      </right>
      <top/>
      <bottom style="double">
        <color rgb="FF808080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auto="1"/>
      </top>
      <bottom style="medium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dotted">
        <color rgb="FF000000"/>
      </bottom>
      <diagonal/>
    </border>
  </borders>
  <cellStyleXfs count="9">
    <xf numFmtId="0" fontId="0" fillId="0" borderId="0"/>
    <xf numFmtId="9" fontId="61" fillId="0" borderId="0" applyFont="0" applyFill="0" applyBorder="0" applyAlignment="0" applyProtection="0"/>
    <xf numFmtId="43" fontId="64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37" fontId="71" fillId="0" borderId="8"/>
    <xf numFmtId="0" fontId="13" fillId="0" borderId="8"/>
    <xf numFmtId="165" fontId="13" fillId="0" borderId="8" applyFont="0" applyFill="0" applyBorder="0" applyAlignment="0" applyProtection="0"/>
    <xf numFmtId="41" fontId="13" fillId="0" borderId="8" applyFont="0" applyFill="0" applyBorder="0" applyAlignment="0" applyProtection="0"/>
    <xf numFmtId="43" fontId="13" fillId="0" borderId="8" applyFont="0" applyFill="0" applyBorder="0" applyAlignment="0" applyProtection="0"/>
  </cellStyleXfs>
  <cellXfs count="1656">
    <xf numFmtId="0" fontId="0" fillId="0" borderId="0" xfId="0"/>
    <xf numFmtId="0" fontId="2" fillId="2" borderId="1" xfId="0" applyFont="1" applyFill="1" applyBorder="1"/>
    <xf numFmtId="15" fontId="2" fillId="2" borderId="1" xfId="0" applyNumberFormat="1" applyFont="1" applyFill="1" applyBorder="1" applyAlignment="1">
      <alignment horizontal="right"/>
    </xf>
    <xf numFmtId="167" fontId="3" fillId="4" borderId="1" xfId="0" applyNumberFormat="1" applyFont="1" applyFill="1" applyBorder="1"/>
    <xf numFmtId="167" fontId="3" fillId="5" borderId="1" xfId="0" applyNumberFormat="1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167" fontId="3" fillId="6" borderId="1" xfId="0" applyNumberFormat="1" applyFont="1" applyFill="1" applyBorder="1"/>
    <xf numFmtId="0" fontId="6" fillId="6" borderId="1" xfId="0" applyFont="1" applyFill="1" applyBorder="1"/>
    <xf numFmtId="167" fontId="6" fillId="6" borderId="1" xfId="0" applyNumberFormat="1" applyFont="1" applyFill="1" applyBorder="1"/>
    <xf numFmtId="167" fontId="3" fillId="7" borderId="1" xfId="0" applyNumberFormat="1" applyFont="1" applyFill="1" applyBorder="1"/>
    <xf numFmtId="0" fontId="3" fillId="8" borderId="1" xfId="0" applyFont="1" applyFill="1" applyBorder="1"/>
    <xf numFmtId="167" fontId="3" fillId="8" borderId="1" xfId="0" applyNumberFormat="1" applyFont="1" applyFill="1" applyBorder="1"/>
    <xf numFmtId="0" fontId="1" fillId="9" borderId="1" xfId="0" applyFont="1" applyFill="1" applyBorder="1"/>
    <xf numFmtId="167" fontId="1" fillId="9" borderId="1" xfId="0" applyNumberFormat="1" applyFont="1" applyFill="1" applyBorder="1"/>
    <xf numFmtId="0" fontId="7" fillId="0" borderId="0" xfId="0" applyFont="1"/>
    <xf numFmtId="0" fontId="8" fillId="0" borderId="0" xfId="0" applyFont="1"/>
    <xf numFmtId="168" fontId="7" fillId="0" borderId="0" xfId="0" applyNumberFormat="1" applyFont="1"/>
    <xf numFmtId="0" fontId="9" fillId="0" borderId="0" xfId="0" applyFont="1" applyAlignment="1">
      <alignment vertical="top"/>
    </xf>
    <xf numFmtId="37" fontId="22" fillId="0" borderId="0" xfId="0" applyNumberFormat="1" applyFont="1"/>
    <xf numFmtId="37" fontId="22" fillId="0" borderId="0" xfId="0" applyNumberFormat="1" applyFont="1" applyAlignment="1">
      <alignment horizontal="center"/>
    </xf>
    <xf numFmtId="37" fontId="22" fillId="0" borderId="0" xfId="0" applyNumberFormat="1" applyFont="1" applyAlignment="1">
      <alignment vertical="center"/>
    </xf>
    <xf numFmtId="37" fontId="22" fillId="0" borderId="0" xfId="0" applyNumberFormat="1" applyFont="1" applyAlignment="1">
      <alignment horizontal="center" vertical="center"/>
    </xf>
    <xf numFmtId="37" fontId="22" fillId="0" borderId="69" xfId="0" applyNumberFormat="1" applyFont="1" applyBorder="1" applyAlignment="1">
      <alignment vertical="center"/>
    </xf>
    <xf numFmtId="175" fontId="22" fillId="0" borderId="0" xfId="0" applyNumberFormat="1" applyFont="1" applyAlignment="1">
      <alignment horizontal="center" vertical="center"/>
    </xf>
    <xf numFmtId="37" fontId="23" fillId="0" borderId="0" xfId="0" applyNumberFormat="1" applyFont="1" applyAlignment="1">
      <alignment vertical="center"/>
    </xf>
    <xf numFmtId="37" fontId="23" fillId="0" borderId="1" xfId="0" applyNumberFormat="1" applyFont="1" applyBorder="1" applyAlignment="1">
      <alignment horizontal="center" vertical="center"/>
    </xf>
    <xf numFmtId="37" fontId="23" fillId="0" borderId="1" xfId="0" applyNumberFormat="1" applyFont="1" applyBorder="1" applyAlignment="1">
      <alignment horizontal="center" vertical="center" wrapText="1"/>
    </xf>
    <xf numFmtId="176" fontId="22" fillId="0" borderId="1" xfId="0" applyNumberFormat="1" applyFont="1" applyBorder="1" applyAlignment="1">
      <alignment vertical="center"/>
    </xf>
    <xf numFmtId="168" fontId="22" fillId="0" borderId="1" xfId="0" applyNumberFormat="1" applyFont="1" applyBorder="1" applyAlignment="1">
      <alignment horizontal="center" vertical="center"/>
    </xf>
    <xf numFmtId="37" fontId="22" fillId="0" borderId="1" xfId="0" applyNumberFormat="1" applyFont="1" applyBorder="1" applyAlignment="1">
      <alignment horizontal="center" vertical="center"/>
    </xf>
    <xf numFmtId="10" fontId="22" fillId="0" borderId="1" xfId="0" applyNumberFormat="1" applyFont="1" applyBorder="1" applyAlignment="1">
      <alignment vertical="center"/>
    </xf>
    <xf numFmtId="176" fontId="22" fillId="0" borderId="0" xfId="0" applyNumberFormat="1" applyFont="1" applyAlignment="1">
      <alignment vertical="center"/>
    </xf>
    <xf numFmtId="168" fontId="22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0" fontId="22" fillId="6" borderId="75" xfId="0" applyNumberFormat="1" applyFont="1" applyFill="1" applyBorder="1" applyAlignment="1">
      <alignment vertical="center"/>
    </xf>
    <xf numFmtId="9" fontId="22" fillId="0" borderId="0" xfId="0" applyNumberFormat="1" applyFont="1" applyAlignment="1">
      <alignment vertical="center"/>
    </xf>
    <xf numFmtId="168" fontId="23" fillId="0" borderId="0" xfId="0" applyNumberFormat="1" applyFont="1" applyAlignment="1">
      <alignment horizontal="center" vertical="center"/>
    </xf>
    <xf numFmtId="175" fontId="2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top" wrapText="1"/>
    </xf>
    <xf numFmtId="173" fontId="22" fillId="0" borderId="0" xfId="0" applyNumberFormat="1" applyFont="1" applyAlignment="1">
      <alignment horizontal="left" vertical="top" wrapText="1"/>
    </xf>
    <xf numFmtId="176" fontId="22" fillId="0" borderId="0" xfId="0" applyNumberFormat="1" applyFont="1" applyAlignment="1">
      <alignment horizontal="center" vertical="center"/>
    </xf>
    <xf numFmtId="37" fontId="22" fillId="0" borderId="0" xfId="0" applyNumberFormat="1" applyFont="1" applyAlignment="1">
      <alignment horizontal="right" vertical="center"/>
    </xf>
    <xf numFmtId="176" fontId="22" fillId="0" borderId="0" xfId="0" applyNumberFormat="1" applyFont="1" applyAlignment="1">
      <alignment horizontal="left" vertical="top"/>
    </xf>
    <xf numFmtId="37" fontId="23" fillId="0" borderId="76" xfId="0" applyNumberFormat="1" applyFont="1" applyBorder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/>
    </xf>
    <xf numFmtId="10" fontId="22" fillId="13" borderId="75" xfId="0" applyNumberFormat="1" applyFont="1" applyFill="1" applyBorder="1" applyAlignment="1">
      <alignment horizontal="right" vertical="center"/>
    </xf>
    <xf numFmtId="176" fontId="23" fillId="0" borderId="0" xfId="0" applyNumberFormat="1" applyFont="1" applyAlignment="1">
      <alignment vertical="center"/>
    </xf>
    <xf numFmtId="176" fontId="23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horizontal="left" vertical="top"/>
    </xf>
    <xf numFmtId="176" fontId="22" fillId="0" borderId="1" xfId="0" applyNumberFormat="1" applyFont="1" applyBorder="1" applyAlignment="1">
      <alignment horizontal="center" vertical="top"/>
    </xf>
    <xf numFmtId="37" fontId="26" fillId="0" borderId="0" xfId="0" applyNumberFormat="1" applyFont="1" applyAlignment="1">
      <alignment vertical="center"/>
    </xf>
    <xf numFmtId="37" fontId="26" fillId="0" borderId="1" xfId="0" applyNumberFormat="1" applyFont="1" applyBorder="1" applyAlignment="1">
      <alignment horizontal="center" vertical="center" wrapText="1"/>
    </xf>
    <xf numFmtId="37" fontId="26" fillId="0" borderId="1" xfId="0" applyNumberFormat="1" applyFont="1" applyBorder="1" applyAlignment="1">
      <alignment horizontal="center" vertical="center"/>
    </xf>
    <xf numFmtId="9" fontId="26" fillId="0" borderId="76" xfId="0" applyNumberFormat="1" applyFont="1" applyBorder="1" applyAlignment="1">
      <alignment horizontal="center" vertical="center"/>
    </xf>
    <xf numFmtId="37" fontId="27" fillId="0" borderId="0" xfId="0" applyNumberFormat="1" applyFont="1" applyAlignment="1">
      <alignment vertical="center"/>
    </xf>
    <xf numFmtId="177" fontId="26" fillId="0" borderId="1" xfId="0" applyNumberFormat="1" applyFont="1" applyBorder="1" applyAlignment="1">
      <alignment horizontal="center" vertical="center"/>
    </xf>
    <xf numFmtId="10" fontId="26" fillId="6" borderId="75" xfId="0" applyNumberFormat="1" applyFont="1" applyFill="1" applyBorder="1" applyAlignment="1">
      <alignment vertical="center"/>
    </xf>
    <xf numFmtId="37" fontId="26" fillId="0" borderId="77" xfId="0" applyNumberFormat="1" applyFont="1" applyBorder="1" applyAlignment="1">
      <alignment vertical="center"/>
    </xf>
    <xf numFmtId="37" fontId="28" fillId="0" borderId="0" xfId="0" applyNumberFormat="1" applyFont="1" applyAlignment="1">
      <alignment vertical="center"/>
    </xf>
    <xf numFmtId="37" fontId="29" fillId="0" borderId="0" xfId="0" applyNumberFormat="1" applyFont="1" applyAlignment="1">
      <alignment vertical="center"/>
    </xf>
    <xf numFmtId="37" fontId="29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vertical="center"/>
    </xf>
    <xf numFmtId="10" fontId="22" fillId="0" borderId="78" xfId="0" applyNumberFormat="1" applyFont="1" applyBorder="1" applyAlignment="1">
      <alignment vertical="center"/>
    </xf>
    <xf numFmtId="37" fontId="25" fillId="0" borderId="0" xfId="0" applyNumberFormat="1" applyFont="1" applyAlignment="1">
      <alignment vertical="center"/>
    </xf>
    <xf numFmtId="37" fontId="26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vertical="center"/>
    </xf>
    <xf numFmtId="39" fontId="22" fillId="0" borderId="0" xfId="0" applyNumberFormat="1" applyFont="1" applyAlignment="1">
      <alignment vertical="center"/>
    </xf>
    <xf numFmtId="9" fontId="26" fillId="0" borderId="0" xfId="0" applyNumberFormat="1" applyFont="1" applyAlignment="1">
      <alignment vertical="center"/>
    </xf>
    <xf numFmtId="43" fontId="22" fillId="0" borderId="0" xfId="0" applyNumberFormat="1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vertical="center"/>
    </xf>
    <xf numFmtId="37" fontId="26" fillId="0" borderId="0" xfId="0" applyNumberFormat="1" applyFont="1" applyAlignment="1">
      <alignment horizontal="left" vertical="center"/>
    </xf>
    <xf numFmtId="39" fontId="26" fillId="0" borderId="0" xfId="0" applyNumberFormat="1" applyFont="1" applyAlignment="1">
      <alignment vertical="center"/>
    </xf>
    <xf numFmtId="37" fontId="30" fillId="0" borderId="0" xfId="0" applyNumberFormat="1" applyFont="1" applyAlignment="1">
      <alignment vertical="center"/>
    </xf>
    <xf numFmtId="177" fontId="26" fillId="0" borderId="15" xfId="0" applyNumberFormat="1" applyFont="1" applyBorder="1" applyAlignment="1">
      <alignment horizontal="center" vertical="center"/>
    </xf>
    <xf numFmtId="37" fontId="26" fillId="0" borderId="16" xfId="0" applyNumberFormat="1" applyFont="1" applyBorder="1" applyAlignment="1">
      <alignment vertical="center"/>
    </xf>
    <xf numFmtId="9" fontId="28" fillId="0" borderId="0" xfId="0" applyNumberFormat="1" applyFont="1" applyAlignment="1">
      <alignment vertical="center"/>
    </xf>
    <xf numFmtId="37" fontId="26" fillId="0" borderId="0" xfId="0" applyNumberFormat="1" applyFont="1" applyAlignment="1">
      <alignment horizontal="right" vertical="center"/>
    </xf>
    <xf numFmtId="168" fontId="26" fillId="6" borderId="75" xfId="0" applyNumberFormat="1" applyFont="1" applyFill="1" applyBorder="1" applyAlignment="1">
      <alignment vertical="center"/>
    </xf>
    <xf numFmtId="9" fontId="22" fillId="0" borderId="0" xfId="0" applyNumberFormat="1" applyFont="1" applyAlignment="1">
      <alignment horizontal="right" vertical="center"/>
    </xf>
    <xf numFmtId="179" fontId="26" fillId="13" borderId="75" xfId="0" applyNumberFormat="1" applyFont="1" applyFill="1" applyBorder="1" applyAlignment="1">
      <alignment vertical="center"/>
    </xf>
    <xf numFmtId="10" fontId="26" fillId="13" borderId="75" xfId="0" applyNumberFormat="1" applyFont="1" applyFill="1" applyBorder="1" applyAlignment="1">
      <alignment vertical="center"/>
    </xf>
    <xf numFmtId="168" fontId="26" fillId="0" borderId="0" xfId="0" applyNumberFormat="1" applyFont="1" applyAlignment="1">
      <alignment vertical="center"/>
    </xf>
    <xf numFmtId="10" fontId="22" fillId="0" borderId="1" xfId="0" applyNumberFormat="1" applyFont="1" applyBorder="1"/>
    <xf numFmtId="168" fontId="22" fillId="0" borderId="1" xfId="0" applyNumberFormat="1" applyFont="1" applyBorder="1"/>
    <xf numFmtId="37" fontId="22" fillId="0" borderId="1" xfId="0" applyNumberFormat="1" applyFont="1" applyBorder="1"/>
    <xf numFmtId="168" fontId="22" fillId="0" borderId="76" xfId="0" applyNumberFormat="1" applyFont="1" applyBorder="1"/>
    <xf numFmtId="168" fontId="22" fillId="6" borderId="75" xfId="0" applyNumberFormat="1" applyFont="1" applyFill="1" applyBorder="1"/>
    <xf numFmtId="10" fontId="22" fillId="0" borderId="76" xfId="0" applyNumberFormat="1" applyFont="1" applyBorder="1"/>
    <xf numFmtId="10" fontId="23" fillId="0" borderId="1" xfId="0" applyNumberFormat="1" applyFont="1" applyBorder="1"/>
    <xf numFmtId="41" fontId="23" fillId="0" borderId="78" xfId="0" applyNumberFormat="1" applyFont="1" applyBorder="1"/>
    <xf numFmtId="10" fontId="22" fillId="13" borderId="79" xfId="0" applyNumberFormat="1" applyFont="1" applyFill="1" applyBorder="1"/>
    <xf numFmtId="10" fontId="22" fillId="13" borderId="80" xfId="0" applyNumberFormat="1" applyFont="1" applyFill="1" applyBorder="1"/>
    <xf numFmtId="10" fontId="23" fillId="0" borderId="78" xfId="0" applyNumberFormat="1" applyFont="1" applyBorder="1"/>
    <xf numFmtId="37" fontId="22" fillId="0" borderId="1" xfId="0" applyNumberFormat="1" applyFont="1" applyBorder="1" applyAlignment="1">
      <alignment horizontal="center" vertical="center" wrapText="1"/>
    </xf>
    <xf numFmtId="37" fontId="22" fillId="0" borderId="77" xfId="0" applyNumberFormat="1" applyFont="1" applyBorder="1" applyAlignment="1">
      <alignment horizontal="center" vertical="center"/>
    </xf>
    <xf numFmtId="168" fontId="22" fillId="0" borderId="0" xfId="0" applyNumberFormat="1" applyFont="1" applyAlignment="1">
      <alignment vertical="center"/>
    </xf>
    <xf numFmtId="9" fontId="26" fillId="0" borderId="0" xfId="0" applyNumberFormat="1" applyFont="1" applyAlignment="1">
      <alignment horizontal="center" vertical="center"/>
    </xf>
    <xf numFmtId="37" fontId="22" fillId="0" borderId="26" xfId="0" applyNumberFormat="1" applyFont="1" applyBorder="1" applyAlignment="1">
      <alignment horizontal="center"/>
    </xf>
    <xf numFmtId="39" fontId="26" fillId="0" borderId="0" xfId="0" applyNumberFormat="1" applyFont="1" applyAlignment="1">
      <alignment horizontal="center" vertical="center"/>
    </xf>
    <xf numFmtId="43" fontId="26" fillId="0" borderId="0" xfId="0" applyNumberFormat="1" applyFont="1" applyAlignment="1">
      <alignment vertical="center"/>
    </xf>
    <xf numFmtId="37" fontId="22" fillId="0" borderId="3" xfId="0" applyNumberFormat="1" applyFont="1" applyBorder="1"/>
    <xf numFmtId="37" fontId="22" fillId="0" borderId="27" xfId="0" applyNumberFormat="1" applyFont="1" applyBorder="1" applyAlignment="1">
      <alignment horizontal="center"/>
    </xf>
    <xf numFmtId="10" fontId="22" fillId="6" borderId="75" xfId="0" applyNumberFormat="1" applyFont="1" applyFill="1" applyBorder="1"/>
    <xf numFmtId="37" fontId="22" fillId="0" borderId="4" xfId="0" applyNumberFormat="1" applyFont="1" applyBorder="1"/>
    <xf numFmtId="37" fontId="22" fillId="0" borderId="28" xfId="0" applyNumberFormat="1" applyFont="1" applyBorder="1" applyAlignment="1">
      <alignment horizontal="center"/>
    </xf>
    <xf numFmtId="10" fontId="22" fillId="0" borderId="0" xfId="0" applyNumberFormat="1" applyFont="1"/>
    <xf numFmtId="37" fontId="23" fillId="0" borderId="0" xfId="0" applyNumberFormat="1" applyFont="1"/>
    <xf numFmtId="37" fontId="22" fillId="6" borderId="75" xfId="0" applyNumberFormat="1" applyFont="1" applyFill="1" applyBorder="1" applyAlignment="1">
      <alignment horizontal="center"/>
    </xf>
    <xf numFmtId="37" fontId="22" fillId="0" borderId="26" xfId="0" applyNumberFormat="1" applyFont="1" applyBorder="1" applyAlignment="1">
      <alignment horizontal="center" vertical="top"/>
    </xf>
    <xf numFmtId="10" fontId="22" fillId="6" borderId="75" xfId="0" applyNumberFormat="1" applyFont="1" applyFill="1" applyBorder="1" applyAlignment="1">
      <alignment vertical="top"/>
    </xf>
    <xf numFmtId="10" fontId="22" fillId="6" borderId="81" xfId="0" applyNumberFormat="1" applyFont="1" applyFill="1" applyBorder="1" applyAlignment="1">
      <alignment vertical="top"/>
    </xf>
    <xf numFmtId="37" fontId="22" fillId="0" borderId="4" xfId="0" applyNumberFormat="1" applyFont="1" applyBorder="1" applyAlignment="1">
      <alignment vertical="top" wrapText="1"/>
    </xf>
    <xf numFmtId="37" fontId="22" fillId="0" borderId="28" xfId="0" applyNumberFormat="1" applyFont="1" applyBorder="1" applyAlignment="1">
      <alignment horizontal="center" vertical="top"/>
    </xf>
    <xf numFmtId="39" fontId="29" fillId="0" borderId="0" xfId="0" applyNumberFormat="1" applyFont="1" applyAlignment="1">
      <alignment vertical="center"/>
    </xf>
    <xf numFmtId="9" fontId="22" fillId="6" borderId="75" xfId="0" applyNumberFormat="1" applyFont="1" applyFill="1" applyBorder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39" fontId="29" fillId="0" borderId="1" xfId="0" applyNumberFormat="1" applyFont="1" applyBorder="1" applyAlignment="1">
      <alignment horizontal="center" vertical="center"/>
    </xf>
    <xf numFmtId="9" fontId="23" fillId="0" borderId="76" xfId="0" applyNumberFormat="1" applyFont="1" applyBorder="1" applyAlignment="1">
      <alignment horizontal="center" vertical="center" wrapText="1"/>
    </xf>
    <xf numFmtId="37" fontId="23" fillId="0" borderId="76" xfId="0" applyNumberFormat="1" applyFont="1" applyBorder="1" applyAlignment="1">
      <alignment horizontal="center" vertical="center" wrapText="1"/>
    </xf>
    <xf numFmtId="173" fontId="22" fillId="0" borderId="75" xfId="0" applyNumberFormat="1" applyFont="1" applyBorder="1" applyAlignment="1">
      <alignment horizontal="center" vertical="center" wrapText="1"/>
    </xf>
    <xf numFmtId="10" fontId="22" fillId="13" borderId="75" xfId="0" applyNumberFormat="1" applyFont="1" applyFill="1" applyBorder="1" applyAlignment="1">
      <alignment horizontal="right" vertical="center" wrapText="1"/>
    </xf>
    <xf numFmtId="10" fontId="29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173" fontId="22" fillId="13" borderId="75" xfId="0" applyNumberFormat="1" applyFont="1" applyFill="1" applyBorder="1" applyAlignment="1">
      <alignment horizontal="center" vertical="center" wrapText="1"/>
    </xf>
    <xf numFmtId="39" fontId="29" fillId="0" borderId="59" xfId="0" applyNumberFormat="1" applyFont="1" applyBorder="1" applyAlignment="1">
      <alignment horizontal="center" vertical="center"/>
    </xf>
    <xf numFmtId="39" fontId="29" fillId="13" borderId="75" xfId="0" applyNumberFormat="1" applyFont="1" applyFill="1" applyBorder="1" applyAlignment="1">
      <alignment horizontal="center" vertical="center"/>
    </xf>
    <xf numFmtId="173" fontId="22" fillId="0" borderId="75" xfId="0" applyNumberFormat="1" applyFont="1" applyBorder="1" applyAlignment="1">
      <alignment horizontal="center" vertical="center"/>
    </xf>
    <xf numFmtId="173" fontId="22" fillId="13" borderId="75" xfId="0" applyNumberFormat="1" applyFont="1" applyFill="1" applyBorder="1" applyAlignment="1">
      <alignment horizontal="center" vertical="center"/>
    </xf>
    <xf numFmtId="10" fontId="22" fillId="13" borderId="79" xfId="0" applyNumberFormat="1" applyFont="1" applyFill="1" applyBorder="1" applyAlignment="1">
      <alignment horizontal="right" vertical="center"/>
    </xf>
    <xf numFmtId="173" fontId="22" fillId="13" borderId="82" xfId="0" applyNumberFormat="1" applyFont="1" applyFill="1" applyBorder="1" applyAlignment="1">
      <alignment horizontal="center" vertical="center" wrapText="1"/>
    </xf>
    <xf numFmtId="10" fontId="22" fillId="13" borderId="83" xfId="0" applyNumberFormat="1" applyFont="1" applyFill="1" applyBorder="1" applyAlignment="1">
      <alignment horizontal="right" vertical="center" wrapText="1"/>
    </xf>
    <xf numFmtId="173" fontId="22" fillId="13" borderId="84" xfId="0" applyNumberFormat="1" applyFont="1" applyFill="1" applyBorder="1" applyAlignment="1">
      <alignment horizontal="center" vertical="center" wrapText="1"/>
    </xf>
    <xf numFmtId="9" fontId="26" fillId="0" borderId="0" xfId="0" applyNumberFormat="1" applyFont="1" applyAlignment="1">
      <alignment vertical="center" wrapText="1"/>
    </xf>
    <xf numFmtId="9" fontId="28" fillId="0" borderId="0" xfId="0" applyNumberFormat="1" applyFont="1" applyAlignment="1">
      <alignment vertical="center" wrapText="1"/>
    </xf>
    <xf numFmtId="10" fontId="26" fillId="0" borderId="0" xfId="0" applyNumberFormat="1" applyFont="1" applyAlignment="1">
      <alignment vertical="center" wrapText="1"/>
    </xf>
    <xf numFmtId="39" fontId="29" fillId="0" borderId="0" xfId="0" applyNumberFormat="1" applyFont="1" applyAlignment="1">
      <alignment horizontal="center" vertical="center"/>
    </xf>
    <xf numFmtId="173" fontId="22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right" vertical="center"/>
    </xf>
    <xf numFmtId="39" fontId="29" fillId="0" borderId="85" xfId="0" applyNumberFormat="1" applyFont="1" applyBorder="1" applyAlignment="1">
      <alignment horizontal="center" vertical="center"/>
    </xf>
    <xf numFmtId="9" fontId="23" fillId="0" borderId="11" xfId="0" applyNumberFormat="1" applyFont="1" applyBorder="1" applyAlignment="1">
      <alignment horizontal="center" vertical="center" wrapText="1"/>
    </xf>
    <xf numFmtId="9" fontId="29" fillId="0" borderId="76" xfId="0" applyNumberFormat="1" applyFont="1" applyBorder="1" applyAlignment="1">
      <alignment horizontal="center" vertical="center"/>
    </xf>
    <xf numFmtId="39" fontId="26" fillId="0" borderId="86" xfId="0" applyNumberFormat="1" applyFont="1" applyBorder="1" applyAlignment="1">
      <alignment vertical="center"/>
    </xf>
    <xf numFmtId="173" fontId="22" fillId="0" borderId="77" xfId="0" applyNumberFormat="1" applyFont="1" applyBorder="1" applyAlignment="1">
      <alignment horizontal="center" vertical="center"/>
    </xf>
    <xf numFmtId="10" fontId="29" fillId="0" borderId="1" xfId="0" applyNumberFormat="1" applyFont="1" applyBorder="1" applyAlignment="1">
      <alignment vertical="center"/>
    </xf>
    <xf numFmtId="9" fontId="26" fillId="0" borderId="78" xfId="0" applyNumberFormat="1" applyFont="1" applyBorder="1" applyAlignment="1">
      <alignment vertical="center"/>
    </xf>
    <xf numFmtId="39" fontId="26" fillId="0" borderId="87" xfId="0" applyNumberFormat="1" applyFont="1" applyBorder="1" applyAlignment="1">
      <alignment vertical="center"/>
    </xf>
    <xf numFmtId="173" fontId="22" fillId="0" borderId="16" xfId="0" applyNumberFormat="1" applyFont="1" applyBorder="1" applyAlignment="1">
      <alignment horizontal="center" vertical="center"/>
    </xf>
    <xf numFmtId="9" fontId="26" fillId="0" borderId="1" xfId="0" applyNumberFormat="1" applyFont="1" applyBorder="1" applyAlignment="1">
      <alignment vertical="center"/>
    </xf>
    <xf numFmtId="10" fontId="22" fillId="6" borderId="75" xfId="0" applyNumberFormat="1" applyFont="1" applyFill="1" applyBorder="1" applyAlignment="1">
      <alignment horizontal="right" vertical="center"/>
    </xf>
    <xf numFmtId="176" fontId="22" fillId="0" borderId="0" xfId="0" applyNumberFormat="1" applyFont="1" applyAlignment="1">
      <alignment horizontal="right" vertical="center"/>
    </xf>
    <xf numFmtId="37" fontId="32" fillId="0" borderId="0" xfId="0" applyNumberFormat="1" applyFont="1" applyAlignment="1">
      <alignment vertical="center"/>
    </xf>
    <xf numFmtId="37" fontId="33" fillId="0" borderId="0" xfId="0" applyNumberFormat="1" applyFont="1" applyAlignment="1">
      <alignment vertical="center"/>
    </xf>
    <xf numFmtId="43" fontId="22" fillId="0" borderId="1" xfId="0" applyNumberFormat="1" applyFont="1" applyBorder="1" applyAlignment="1">
      <alignment vertical="center"/>
    </xf>
    <xf numFmtId="43" fontId="26" fillId="14" borderId="75" xfId="0" applyNumberFormat="1" applyFont="1" applyFill="1" applyBorder="1" applyAlignment="1">
      <alignment vertical="center"/>
    </xf>
    <xf numFmtId="10" fontId="28" fillId="0" borderId="0" xfId="0" applyNumberFormat="1" applyFont="1" applyAlignment="1">
      <alignment vertical="center"/>
    </xf>
    <xf numFmtId="37" fontId="23" fillId="0" borderId="0" xfId="0" applyNumberFormat="1" applyFont="1" applyAlignment="1">
      <alignment horizontal="center" vertical="top" wrapText="1"/>
    </xf>
    <xf numFmtId="37" fontId="23" fillId="0" borderId="0" xfId="0" applyNumberFormat="1" applyFont="1" applyAlignment="1">
      <alignment vertical="top" wrapText="1"/>
    </xf>
    <xf numFmtId="37" fontId="23" fillId="0" borderId="0" xfId="0" applyNumberFormat="1" applyFont="1" applyAlignment="1">
      <alignment horizontal="center" wrapText="1"/>
    </xf>
    <xf numFmtId="39" fontId="22" fillId="0" borderId="60" xfId="0" applyNumberFormat="1" applyFont="1" applyBorder="1" applyAlignment="1">
      <alignment horizontal="center" vertical="center"/>
    </xf>
    <xf numFmtId="180" fontId="22" fillId="0" borderId="0" xfId="0" applyNumberFormat="1" applyFont="1" applyAlignment="1">
      <alignment horizontal="right"/>
    </xf>
    <xf numFmtId="0" fontId="34" fillId="0" borderId="0" xfId="0" applyFont="1"/>
    <xf numFmtId="173" fontId="7" fillId="0" borderId="0" xfId="0" applyNumberFormat="1" applyFont="1"/>
    <xf numFmtId="10" fontId="7" fillId="0" borderId="0" xfId="0" applyNumberFormat="1" applyFont="1"/>
    <xf numFmtId="181" fontId="7" fillId="0" borderId="0" xfId="0" applyNumberFormat="1" applyFont="1"/>
    <xf numFmtId="0" fontId="35" fillId="0" borderId="0" xfId="0" applyFont="1"/>
    <xf numFmtId="0" fontId="7" fillId="0" borderId="0" xfId="0" applyFont="1" applyAlignment="1">
      <alignment horizontal="left"/>
    </xf>
    <xf numFmtId="9" fontId="7" fillId="0" borderId="0" xfId="0" applyNumberFormat="1" applyFont="1"/>
    <xf numFmtId="170" fontId="7" fillId="0" borderId="0" xfId="0" applyNumberFormat="1" applyFont="1"/>
    <xf numFmtId="182" fontId="7" fillId="0" borderId="0" xfId="0" applyNumberFormat="1" applyFont="1"/>
    <xf numFmtId="2" fontId="7" fillId="0" borderId="0" xfId="0" applyNumberFormat="1" applyFont="1"/>
    <xf numFmtId="0" fontId="7" fillId="0" borderId="1" xfId="0" applyFont="1" applyBorder="1"/>
    <xf numFmtId="173" fontId="7" fillId="0" borderId="1" xfId="0" applyNumberFormat="1" applyFont="1" applyBorder="1"/>
    <xf numFmtId="183" fontId="36" fillId="0" borderId="0" xfId="0" applyNumberFormat="1" applyFont="1"/>
    <xf numFmtId="183" fontId="37" fillId="0" borderId="0" xfId="0" applyNumberFormat="1" applyFont="1"/>
    <xf numFmtId="183" fontId="38" fillId="0" borderId="0" xfId="0" applyNumberFormat="1" applyFont="1"/>
    <xf numFmtId="183" fontId="39" fillId="0" borderId="0" xfId="0" applyNumberFormat="1" applyFont="1"/>
    <xf numFmtId="183" fontId="40" fillId="0" borderId="0" xfId="0" applyNumberFormat="1" applyFont="1"/>
    <xf numFmtId="183" fontId="41" fillId="0" borderId="0" xfId="0" applyNumberFormat="1" applyFont="1"/>
    <xf numFmtId="9" fontId="36" fillId="0" borderId="0" xfId="0" applyNumberFormat="1" applyFont="1"/>
    <xf numFmtId="43" fontId="36" fillId="0" borderId="0" xfId="0" applyNumberFormat="1" applyFont="1"/>
    <xf numFmtId="176" fontId="40" fillId="0" borderId="1" xfId="0" applyNumberFormat="1" applyFont="1" applyBorder="1" applyAlignment="1">
      <alignment horizontal="center"/>
    </xf>
    <xf numFmtId="176" fontId="42" fillId="0" borderId="1" xfId="0" applyNumberFormat="1" applyFont="1" applyBorder="1" applyAlignment="1">
      <alignment horizontal="center"/>
    </xf>
    <xf numFmtId="176" fontId="42" fillId="0" borderId="78" xfId="0" applyNumberFormat="1" applyFont="1" applyBorder="1" applyAlignment="1">
      <alignment horizontal="center"/>
    </xf>
    <xf numFmtId="168" fontId="36" fillId="0" borderId="0" xfId="0" applyNumberFormat="1" applyFont="1"/>
    <xf numFmtId="168" fontId="36" fillId="0" borderId="1" xfId="0" applyNumberFormat="1" applyFont="1" applyBorder="1"/>
    <xf numFmtId="37" fontId="36" fillId="0" borderId="0" xfId="0" applyNumberFormat="1" applyFont="1"/>
    <xf numFmtId="183" fontId="43" fillId="0" borderId="0" xfId="0" applyNumberFormat="1" applyFont="1"/>
    <xf numFmtId="183" fontId="44" fillId="0" borderId="0" xfId="0" applyNumberFormat="1" applyFont="1"/>
    <xf numFmtId="9" fontId="43" fillId="0" borderId="0" xfId="0" applyNumberFormat="1" applyFont="1"/>
    <xf numFmtId="168" fontId="43" fillId="0" borderId="0" xfId="0" applyNumberFormat="1" applyFont="1"/>
    <xf numFmtId="10" fontId="43" fillId="0" borderId="0" xfId="0" applyNumberFormat="1" applyFont="1"/>
    <xf numFmtId="43" fontId="45" fillId="0" borderId="0" xfId="0" applyNumberFormat="1" applyFont="1"/>
    <xf numFmtId="183" fontId="45" fillId="0" borderId="0" xfId="0" applyNumberFormat="1" applyFont="1"/>
    <xf numFmtId="41" fontId="46" fillId="0" borderId="0" xfId="0" applyNumberFormat="1" applyFont="1"/>
    <xf numFmtId="10" fontId="36" fillId="0" borderId="0" xfId="0" applyNumberFormat="1" applyFont="1"/>
    <xf numFmtId="183" fontId="40" fillId="0" borderId="1" xfId="0" applyNumberFormat="1" applyFont="1" applyBorder="1" applyAlignment="1">
      <alignment vertical="center"/>
    </xf>
    <xf numFmtId="183" fontId="40" fillId="0" borderId="1" xfId="0" applyNumberFormat="1" applyFont="1" applyBorder="1" applyAlignment="1">
      <alignment horizontal="center" vertical="center"/>
    </xf>
    <xf numFmtId="176" fontId="36" fillId="0" borderId="1" xfId="0" applyNumberFormat="1" applyFont="1" applyBorder="1" applyAlignment="1">
      <alignment horizontal="center"/>
    </xf>
    <xf numFmtId="183" fontId="36" fillId="0" borderId="1" xfId="0" applyNumberFormat="1" applyFont="1" applyBorder="1" applyAlignment="1">
      <alignment horizontal="center"/>
    </xf>
    <xf numFmtId="173" fontId="36" fillId="0" borderId="1" xfId="0" applyNumberFormat="1" applyFont="1" applyBorder="1"/>
    <xf numFmtId="37" fontId="36" fillId="0" borderId="1" xfId="0" applyNumberFormat="1" applyFont="1" applyBorder="1" applyAlignment="1">
      <alignment horizontal="center"/>
    </xf>
    <xf numFmtId="177" fontId="36" fillId="0" borderId="1" xfId="0" applyNumberFormat="1" applyFont="1" applyBorder="1" applyAlignment="1">
      <alignment horizontal="center"/>
    </xf>
    <xf numFmtId="37" fontId="43" fillId="0" borderId="61" xfId="0" applyNumberFormat="1" applyFont="1" applyBorder="1" applyAlignment="1">
      <alignment horizontal="center"/>
    </xf>
    <xf numFmtId="37" fontId="43" fillId="0" borderId="0" xfId="0" applyNumberFormat="1" applyFont="1" applyAlignment="1">
      <alignment horizontal="center"/>
    </xf>
    <xf numFmtId="37" fontId="45" fillId="0" borderId="0" xfId="0" applyNumberFormat="1" applyFont="1" applyAlignment="1">
      <alignment horizontal="center"/>
    </xf>
    <xf numFmtId="183" fontId="40" fillId="0" borderId="1" xfId="0" applyNumberFormat="1" applyFont="1" applyBorder="1" applyAlignment="1">
      <alignment horizontal="left"/>
    </xf>
    <xf numFmtId="183" fontId="40" fillId="0" borderId="1" xfId="0" applyNumberFormat="1" applyFont="1" applyBorder="1" applyAlignment="1">
      <alignment horizontal="center"/>
    </xf>
    <xf numFmtId="183" fontId="36" fillId="0" borderId="1" xfId="0" applyNumberFormat="1" applyFont="1" applyBorder="1" applyAlignment="1">
      <alignment horizontal="left"/>
    </xf>
    <xf numFmtId="168" fontId="47" fillId="0" borderId="0" xfId="0" applyNumberFormat="1" applyFont="1"/>
    <xf numFmtId="184" fontId="36" fillId="0" borderId="0" xfId="0" applyNumberFormat="1" applyFont="1"/>
    <xf numFmtId="37" fontId="48" fillId="0" borderId="0" xfId="0" applyNumberFormat="1" applyFont="1"/>
    <xf numFmtId="176" fontId="36" fillId="0" borderId="0" xfId="0" applyNumberFormat="1" applyFont="1"/>
    <xf numFmtId="183" fontId="36" fillId="0" borderId="0" xfId="0" applyNumberFormat="1" applyFont="1" applyAlignment="1">
      <alignment horizontal="center"/>
    </xf>
    <xf numFmtId="14" fontId="49" fillId="0" borderId="1" xfId="0" applyNumberFormat="1" applyFont="1" applyBorder="1" applyAlignment="1">
      <alignment horizontal="center" vertical="center"/>
    </xf>
    <xf numFmtId="41" fontId="36" fillId="0" borderId="1" xfId="0" applyNumberFormat="1" applyFont="1" applyBorder="1"/>
    <xf numFmtId="41" fontId="36" fillId="0" borderId="0" xfId="0" applyNumberFormat="1" applyFont="1"/>
    <xf numFmtId="37" fontId="40" fillId="0" borderId="0" xfId="0" applyNumberFormat="1" applyFont="1" applyAlignment="1">
      <alignment vertical="top"/>
    </xf>
    <xf numFmtId="37" fontId="36" fillId="0" borderId="0" xfId="0" applyNumberFormat="1" applyFont="1" applyAlignment="1">
      <alignment vertical="top"/>
    </xf>
    <xf numFmtId="172" fontId="36" fillId="0" borderId="0" xfId="0" applyNumberFormat="1" applyFont="1"/>
    <xf numFmtId="37" fontId="40" fillId="0" borderId="0" xfId="0" applyNumberFormat="1" applyFont="1"/>
    <xf numFmtId="37" fontId="40" fillId="0" borderId="1" xfId="0" applyNumberFormat="1" applyFont="1" applyBorder="1" applyAlignment="1">
      <alignment horizontal="left"/>
    </xf>
    <xf numFmtId="168" fontId="36" fillId="0" borderId="1" xfId="0" applyNumberFormat="1" applyFont="1" applyBorder="1" applyAlignment="1">
      <alignment horizontal="center"/>
    </xf>
    <xf numFmtId="10" fontId="36" fillId="0" borderId="1" xfId="0" applyNumberFormat="1" applyFont="1" applyBorder="1" applyAlignment="1">
      <alignment horizontal="right"/>
    </xf>
    <xf numFmtId="168" fontId="36" fillId="0" borderId="1" xfId="0" applyNumberFormat="1" applyFont="1" applyBorder="1" applyAlignment="1">
      <alignment horizontal="right"/>
    </xf>
    <xf numFmtId="10" fontId="36" fillId="0" borderId="1" xfId="0" applyNumberFormat="1" applyFont="1" applyBorder="1"/>
    <xf numFmtId="37" fontId="36" fillId="0" borderId="1" xfId="0" applyNumberFormat="1" applyFont="1" applyBorder="1"/>
    <xf numFmtId="37" fontId="50" fillId="0" borderId="1" xfId="0" applyNumberFormat="1" applyFont="1" applyBorder="1"/>
    <xf numFmtId="41" fontId="40" fillId="0" borderId="1" xfId="0" applyNumberFormat="1" applyFont="1" applyBorder="1"/>
    <xf numFmtId="0" fontId="50" fillId="0" borderId="1" xfId="0" applyFont="1" applyBorder="1" applyAlignment="1">
      <alignment horizontal="left"/>
    </xf>
    <xf numFmtId="185" fontId="36" fillId="0" borderId="0" xfId="0" applyNumberFormat="1" applyFont="1"/>
    <xf numFmtId="183" fontId="36" fillId="0" borderId="0" xfId="0" applyNumberFormat="1" applyFont="1" applyAlignment="1">
      <alignment horizontal="left"/>
    </xf>
    <xf numFmtId="183" fontId="40" fillId="0" borderId="24" xfId="0" applyNumberFormat="1" applyFont="1" applyBorder="1" applyAlignment="1">
      <alignment horizontal="center"/>
    </xf>
    <xf numFmtId="37" fontId="36" fillId="0" borderId="61" xfId="0" applyNumberFormat="1" applyFont="1" applyBorder="1" applyAlignment="1">
      <alignment horizontal="center"/>
    </xf>
    <xf numFmtId="37" fontId="36" fillId="0" borderId="0" xfId="0" applyNumberFormat="1" applyFont="1" applyAlignment="1">
      <alignment horizontal="center"/>
    </xf>
    <xf numFmtId="177" fontId="36" fillId="0" borderId="76" xfId="0" applyNumberFormat="1" applyFont="1" applyBorder="1" applyAlignment="1">
      <alignment horizontal="center"/>
    </xf>
    <xf numFmtId="177" fontId="36" fillId="0" borderId="0" xfId="0" applyNumberFormat="1" applyFont="1" applyAlignment="1">
      <alignment horizontal="left"/>
    </xf>
    <xf numFmtId="38" fontId="36" fillId="0" borderId="0" xfId="0" applyNumberFormat="1" applyFont="1"/>
    <xf numFmtId="186" fontId="36" fillId="0" borderId="0" xfId="0" applyNumberFormat="1" applyFont="1"/>
    <xf numFmtId="183" fontId="36" fillId="0" borderId="1" xfId="0" applyNumberFormat="1" applyFont="1" applyBorder="1"/>
    <xf numFmtId="37" fontId="36" fillId="0" borderId="0" xfId="0" applyNumberFormat="1" applyFont="1" applyAlignment="1">
      <alignment horizontal="left" vertical="center"/>
    </xf>
    <xf numFmtId="176" fontId="36" fillId="0" borderId="0" xfId="0" applyNumberFormat="1" applyFont="1" applyAlignment="1">
      <alignment horizontal="center"/>
    </xf>
    <xf numFmtId="37" fontId="22" fillId="0" borderId="0" xfId="0" applyNumberFormat="1" applyFont="1" applyAlignment="1">
      <alignment horizontal="left" vertical="center"/>
    </xf>
    <xf numFmtId="37" fontId="23" fillId="0" borderId="0" xfId="0" applyNumberFormat="1" applyFont="1" applyAlignment="1">
      <alignment horizontal="left" vertical="center"/>
    </xf>
    <xf numFmtId="37" fontId="23" fillId="0" borderId="0" xfId="0" applyNumberFormat="1" applyFont="1" applyAlignment="1">
      <alignment horizontal="center" vertical="center"/>
    </xf>
    <xf numFmtId="37" fontId="51" fillId="3" borderId="89" xfId="0" applyNumberFormat="1" applyFont="1" applyFill="1" applyBorder="1" applyAlignment="1">
      <alignment horizontal="right" vertical="center"/>
    </xf>
    <xf numFmtId="37" fontId="22" fillId="3" borderId="89" xfId="0" applyNumberFormat="1" applyFont="1" applyFill="1" applyBorder="1" applyAlignment="1">
      <alignment vertical="center"/>
    </xf>
    <xf numFmtId="37" fontId="22" fillId="0" borderId="78" xfId="0" applyNumberFormat="1" applyFont="1" applyBorder="1" applyAlignment="1">
      <alignment horizontal="left" vertical="center"/>
    </xf>
    <xf numFmtId="37" fontId="22" fillId="16" borderId="90" xfId="0" applyNumberFormat="1" applyFont="1" applyFill="1" applyBorder="1" applyAlignment="1">
      <alignment horizontal="center" vertical="center"/>
    </xf>
    <xf numFmtId="175" fontId="22" fillId="0" borderId="78" xfId="0" applyNumberFormat="1" applyFont="1" applyBorder="1" applyAlignment="1">
      <alignment vertical="center"/>
    </xf>
    <xf numFmtId="37" fontId="22" fillId="0" borderId="91" xfId="0" applyNumberFormat="1" applyFont="1" applyBorder="1" applyAlignment="1">
      <alignment horizontal="center" vertical="center"/>
    </xf>
    <xf numFmtId="37" fontId="22" fillId="0" borderId="92" xfId="0" applyNumberFormat="1" applyFont="1" applyBorder="1" applyAlignment="1">
      <alignment horizontal="left" vertical="center"/>
    </xf>
    <xf numFmtId="37" fontId="22" fillId="7" borderId="93" xfId="0" applyNumberFormat="1" applyFont="1" applyFill="1" applyBorder="1" applyAlignment="1">
      <alignment horizontal="left" vertical="center"/>
    </xf>
    <xf numFmtId="37" fontId="22" fillId="16" borderId="94" xfId="0" applyNumberFormat="1" applyFont="1" applyFill="1" applyBorder="1" applyAlignment="1">
      <alignment vertical="center"/>
    </xf>
    <xf numFmtId="168" fontId="22" fillId="3" borderId="95" xfId="0" applyNumberFormat="1" applyFont="1" applyFill="1" applyBorder="1" applyAlignment="1">
      <alignment vertical="center"/>
    </xf>
    <xf numFmtId="168" fontId="22" fillId="3" borderId="93" xfId="0" applyNumberFormat="1" applyFont="1" applyFill="1" applyBorder="1" applyAlignment="1">
      <alignment vertical="center"/>
    </xf>
    <xf numFmtId="168" fontId="22" fillId="16" borderId="94" xfId="0" applyNumberFormat="1" applyFont="1" applyFill="1" applyBorder="1" applyAlignment="1">
      <alignment vertical="center"/>
    </xf>
    <xf numFmtId="37" fontId="22" fillId="0" borderId="96" xfId="0" applyNumberFormat="1" applyFont="1" applyBorder="1" applyAlignment="1">
      <alignment horizontal="left" vertical="center"/>
    </xf>
    <xf numFmtId="37" fontId="22" fillId="7" borderId="97" xfId="0" applyNumberFormat="1" applyFont="1" applyFill="1" applyBorder="1" applyAlignment="1">
      <alignment horizontal="left" vertical="center"/>
    </xf>
    <xf numFmtId="37" fontId="22" fillId="16" borderId="98" xfId="0" applyNumberFormat="1" applyFont="1" applyFill="1" applyBorder="1" applyAlignment="1">
      <alignment vertical="center"/>
    </xf>
    <xf numFmtId="168" fontId="22" fillId="3" borderId="97" xfId="0" applyNumberFormat="1" applyFont="1" applyFill="1" applyBorder="1" applyAlignment="1">
      <alignment vertical="center"/>
    </xf>
    <xf numFmtId="168" fontId="22" fillId="16" borderId="98" xfId="0" applyNumberFormat="1" applyFont="1" applyFill="1" applyBorder="1" applyAlignment="1">
      <alignment vertical="center"/>
    </xf>
    <xf numFmtId="37" fontId="22" fillId="0" borderId="46" xfId="0" applyNumberFormat="1" applyFont="1" applyBorder="1" applyAlignment="1">
      <alignment horizontal="left" vertical="center"/>
    </xf>
    <xf numFmtId="168" fontId="22" fillId="16" borderId="100" xfId="0" applyNumberFormat="1" applyFont="1" applyFill="1" applyBorder="1" applyAlignment="1">
      <alignment vertical="center"/>
    </xf>
    <xf numFmtId="37" fontId="22" fillId="0" borderId="21" xfId="0" applyNumberFormat="1" applyFont="1" applyBorder="1" applyAlignment="1">
      <alignment horizontal="left" vertical="center"/>
    </xf>
    <xf numFmtId="37" fontId="22" fillId="7" borderId="54" xfId="0" applyNumberFormat="1" applyFont="1" applyFill="1" applyBorder="1" applyAlignment="1">
      <alignment horizontal="left" vertical="center"/>
    </xf>
    <xf numFmtId="37" fontId="22" fillId="16" borderId="27" xfId="0" applyNumberFormat="1" applyFont="1" applyFill="1" applyBorder="1" applyAlignment="1">
      <alignment vertical="center"/>
    </xf>
    <xf numFmtId="168" fontId="22" fillId="3" borderId="55" xfId="0" applyNumberFormat="1" applyFont="1" applyFill="1" applyBorder="1" applyAlignment="1">
      <alignment vertical="center"/>
    </xf>
    <xf numFmtId="168" fontId="22" fillId="16" borderId="27" xfId="0" applyNumberFormat="1" applyFont="1" applyFill="1" applyBorder="1"/>
    <xf numFmtId="168" fontId="22" fillId="3" borderId="54" xfId="0" applyNumberFormat="1" applyFont="1" applyFill="1" applyBorder="1" applyAlignment="1">
      <alignment vertical="center"/>
    </xf>
    <xf numFmtId="37" fontId="22" fillId="7" borderId="54" xfId="0" applyNumberFormat="1" applyFont="1" applyFill="1" applyBorder="1" applyAlignment="1">
      <alignment horizontal="right" vertical="center"/>
    </xf>
    <xf numFmtId="168" fontId="22" fillId="16" borderId="27" xfId="0" applyNumberFormat="1" applyFont="1" applyFill="1" applyBorder="1" applyAlignment="1">
      <alignment vertical="center"/>
    </xf>
    <xf numFmtId="168" fontId="22" fillId="16" borderId="102" xfId="0" applyNumberFormat="1" applyFont="1" applyFill="1" applyBorder="1" applyAlignment="1">
      <alignment vertical="center"/>
    </xf>
    <xf numFmtId="37" fontId="22" fillId="0" borderId="103" xfId="0" applyNumberFormat="1" applyFont="1" applyBorder="1" applyAlignment="1">
      <alignment horizontal="left" vertical="center"/>
    </xf>
    <xf numFmtId="37" fontId="22" fillId="7" borderId="104" xfId="0" applyNumberFormat="1" applyFont="1" applyFill="1" applyBorder="1" applyAlignment="1">
      <alignment horizontal="left" vertical="center"/>
    </xf>
    <xf numFmtId="10" fontId="22" fillId="16" borderId="102" xfId="0" applyNumberFormat="1" applyFont="1" applyFill="1" applyBorder="1" applyAlignment="1">
      <alignment vertical="center"/>
    </xf>
    <xf numFmtId="168" fontId="22" fillId="3" borderId="105" xfId="0" applyNumberFormat="1" applyFont="1" applyFill="1" applyBorder="1" applyAlignment="1">
      <alignment vertical="center"/>
    </xf>
    <xf numFmtId="37" fontId="22" fillId="0" borderId="106" xfId="0" applyNumberFormat="1" applyFont="1" applyBorder="1" applyAlignment="1">
      <alignment horizontal="center" vertical="center" textRotation="90" wrapText="1"/>
    </xf>
    <xf numFmtId="37" fontId="22" fillId="0" borderId="107" xfId="0" applyNumberFormat="1" applyFont="1" applyBorder="1" applyAlignment="1">
      <alignment horizontal="left" vertical="center"/>
    </xf>
    <xf numFmtId="37" fontId="22" fillId="16" borderId="108" xfId="0" applyNumberFormat="1" applyFont="1" applyFill="1" applyBorder="1" applyAlignment="1">
      <alignment vertical="center"/>
    </xf>
    <xf numFmtId="168" fontId="22" fillId="0" borderId="107" xfId="0" applyNumberFormat="1" applyFont="1" applyBorder="1" applyAlignment="1">
      <alignment vertical="center"/>
    </xf>
    <xf numFmtId="168" fontId="22" fillId="0" borderId="109" xfId="0" applyNumberFormat="1" applyFont="1" applyBorder="1" applyAlignment="1">
      <alignment vertical="center"/>
    </xf>
    <xf numFmtId="168" fontId="22" fillId="16" borderId="108" xfId="0" applyNumberFormat="1" applyFont="1" applyFill="1" applyBorder="1" applyAlignment="1">
      <alignment vertical="center"/>
    </xf>
    <xf numFmtId="168" fontId="22" fillId="3" borderId="96" xfId="0" applyNumberFormat="1" applyFont="1" applyFill="1" applyBorder="1" applyAlignment="1">
      <alignment vertical="center"/>
    </xf>
    <xf numFmtId="168" fontId="22" fillId="3" borderId="111" xfId="0" applyNumberFormat="1" applyFont="1" applyFill="1" applyBorder="1" applyAlignment="1">
      <alignment vertical="center"/>
    </xf>
    <xf numFmtId="173" fontId="22" fillId="16" borderId="27" xfId="0" applyNumberFormat="1" applyFont="1" applyFill="1" applyBorder="1" applyAlignment="1">
      <alignment vertical="center"/>
    </xf>
    <xf numFmtId="168" fontId="22" fillId="3" borderId="21" xfId="0" applyNumberFormat="1" applyFont="1" applyFill="1" applyBorder="1" applyAlignment="1">
      <alignment vertical="center"/>
    </xf>
    <xf numFmtId="168" fontId="22" fillId="3" borderId="112" xfId="0" applyNumberFormat="1" applyFont="1" applyFill="1" applyBorder="1" applyAlignment="1">
      <alignment vertical="center"/>
    </xf>
    <xf numFmtId="37" fontId="22" fillId="7" borderId="54" xfId="0" applyNumberFormat="1" applyFont="1" applyFill="1" applyBorder="1" applyAlignment="1">
      <alignment horizontal="center" vertical="center"/>
    </xf>
    <xf numFmtId="188" fontId="22" fillId="16" borderId="27" xfId="0" applyNumberFormat="1" applyFont="1" applyFill="1" applyBorder="1" applyAlignment="1">
      <alignment vertical="center"/>
    </xf>
    <xf numFmtId="10" fontId="22" fillId="7" borderId="54" xfId="0" applyNumberFormat="1" applyFont="1" applyFill="1" applyBorder="1" applyAlignment="1">
      <alignment vertical="center"/>
    </xf>
    <xf numFmtId="168" fontId="22" fillId="16" borderId="113" xfId="0" applyNumberFormat="1" applyFont="1" applyFill="1" applyBorder="1" applyAlignment="1">
      <alignment vertical="center"/>
    </xf>
    <xf numFmtId="168" fontId="22" fillId="13" borderId="114" xfId="0" applyNumberFormat="1" applyFont="1" applyFill="1" applyBorder="1" applyAlignment="1">
      <alignment vertical="center"/>
    </xf>
    <xf numFmtId="168" fontId="22" fillId="13" borderId="53" xfId="0" applyNumberFormat="1" applyFont="1" applyFill="1" applyBorder="1" applyAlignment="1">
      <alignment vertical="center"/>
    </xf>
    <xf numFmtId="168" fontId="22" fillId="13" borderId="115" xfId="0" applyNumberFormat="1" applyFont="1" applyFill="1" applyBorder="1" applyAlignment="1">
      <alignment vertical="center"/>
    </xf>
    <xf numFmtId="37" fontId="22" fillId="7" borderId="112" xfId="0" applyNumberFormat="1" applyFont="1" applyFill="1" applyBorder="1" applyAlignment="1">
      <alignment horizontal="left" vertical="center"/>
    </xf>
    <xf numFmtId="43" fontId="22" fillId="16" borderId="27" xfId="0" applyNumberFormat="1" applyFont="1" applyFill="1" applyBorder="1" applyAlignment="1">
      <alignment vertical="center"/>
    </xf>
    <xf numFmtId="168" fontId="22" fillId="13" borderId="101" xfId="0" applyNumberFormat="1" applyFont="1" applyFill="1" applyBorder="1" applyAlignment="1">
      <alignment vertical="center"/>
    </xf>
    <xf numFmtId="41" fontId="22" fillId="15" borderId="100" xfId="0" applyNumberFormat="1" applyFont="1" applyFill="1" applyBorder="1" applyAlignment="1">
      <alignment vertical="center"/>
    </xf>
    <xf numFmtId="41" fontId="22" fillId="16" borderId="27" xfId="0" applyNumberFormat="1" applyFont="1" applyFill="1" applyBorder="1" applyAlignment="1">
      <alignment vertical="center"/>
    </xf>
    <xf numFmtId="168" fontId="22" fillId="6" borderId="55" xfId="0" applyNumberFormat="1" applyFont="1" applyFill="1" applyBorder="1" applyAlignment="1">
      <alignment vertical="center"/>
    </xf>
    <xf numFmtId="168" fontId="22" fillId="6" borderId="116" xfId="0" applyNumberFormat="1" applyFont="1" applyFill="1" applyBorder="1" applyAlignment="1">
      <alignment vertical="center"/>
    </xf>
    <xf numFmtId="168" fontId="22" fillId="6" borderId="117" xfId="0" applyNumberFormat="1" applyFont="1" applyFill="1" applyBorder="1" applyAlignment="1">
      <alignment vertical="center"/>
    </xf>
    <xf numFmtId="41" fontId="22" fillId="15" borderId="27" xfId="0" applyNumberFormat="1" applyFont="1" applyFill="1" applyBorder="1" applyAlignment="1">
      <alignment vertical="center"/>
    </xf>
    <xf numFmtId="168" fontId="22" fillId="6" borderId="57" xfId="0" applyNumberFormat="1" applyFont="1" applyFill="1" applyBorder="1" applyAlignment="1">
      <alignment vertical="center"/>
    </xf>
    <xf numFmtId="168" fontId="22" fillId="6" borderId="31" xfId="0" applyNumberFormat="1" applyFont="1" applyFill="1" applyBorder="1" applyAlignment="1">
      <alignment vertical="center"/>
    </xf>
    <xf numFmtId="168" fontId="22" fillId="6" borderId="118" xfId="0" applyNumberFormat="1" applyFont="1" applyFill="1" applyBorder="1" applyAlignment="1">
      <alignment vertical="center"/>
    </xf>
    <xf numFmtId="168" fontId="22" fillId="6" borderId="119" xfId="0" applyNumberFormat="1" applyFont="1" applyFill="1" applyBorder="1" applyAlignment="1">
      <alignment vertical="center"/>
    </xf>
    <xf numFmtId="37" fontId="22" fillId="0" borderId="106" xfId="0" applyNumberFormat="1" applyFont="1" applyBorder="1" applyAlignment="1">
      <alignment horizontal="left" vertical="center"/>
    </xf>
    <xf numFmtId="37" fontId="22" fillId="7" borderId="111" xfId="0" applyNumberFormat="1" applyFont="1" applyFill="1" applyBorder="1" applyAlignment="1">
      <alignment horizontal="left" vertical="center"/>
    </xf>
    <xf numFmtId="168" fontId="22" fillId="6" borderId="52" xfId="0" applyNumberFormat="1" applyFont="1" applyFill="1" applyBorder="1" applyAlignment="1">
      <alignment vertical="center"/>
    </xf>
    <xf numFmtId="168" fontId="22" fillId="6" borderId="54" xfId="0" applyNumberFormat="1" applyFont="1" applyFill="1" applyBorder="1" applyAlignment="1">
      <alignment vertical="center"/>
    </xf>
    <xf numFmtId="9" fontId="22" fillId="7" borderId="112" xfId="0" applyNumberFormat="1" applyFont="1" applyFill="1" applyBorder="1" applyAlignment="1">
      <alignment vertical="center"/>
    </xf>
    <xf numFmtId="9" fontId="22" fillId="7" borderId="112" xfId="0" applyNumberFormat="1" applyFont="1" applyFill="1" applyBorder="1" applyAlignment="1">
      <alignment horizontal="right" vertical="center"/>
    </xf>
    <xf numFmtId="168" fontId="22" fillId="13" borderId="120" xfId="0" applyNumberFormat="1" applyFont="1" applyFill="1" applyBorder="1" applyAlignment="1">
      <alignment vertical="center"/>
    </xf>
    <xf numFmtId="168" fontId="22" fillId="13" borderId="22" xfId="0" applyNumberFormat="1" applyFont="1" applyFill="1" applyBorder="1" applyAlignment="1">
      <alignment vertical="center"/>
    </xf>
    <xf numFmtId="168" fontId="22" fillId="13" borderId="121" xfId="0" applyNumberFormat="1" applyFont="1" applyFill="1" applyBorder="1" applyAlignment="1">
      <alignment vertical="center"/>
    </xf>
    <xf numFmtId="37" fontId="22" fillId="0" borderId="47" xfId="0" applyNumberFormat="1" applyFont="1" applyBorder="1" applyAlignment="1">
      <alignment horizontal="left" vertical="center"/>
    </xf>
    <xf numFmtId="37" fontId="22" fillId="16" borderId="113" xfId="0" applyNumberFormat="1" applyFont="1" applyFill="1" applyBorder="1" applyAlignment="1">
      <alignment vertical="center"/>
    </xf>
    <xf numFmtId="168" fontId="22" fillId="13" borderId="122" xfId="0" applyNumberFormat="1" applyFont="1" applyFill="1" applyBorder="1" applyAlignment="1">
      <alignment vertical="center"/>
    </xf>
    <xf numFmtId="168" fontId="22" fillId="13" borderId="83" xfId="0" applyNumberFormat="1" applyFont="1" applyFill="1" applyBorder="1" applyAlignment="1">
      <alignment vertical="center"/>
    </xf>
    <xf numFmtId="37" fontId="22" fillId="7" borderId="123" xfId="0" applyNumberFormat="1" applyFont="1" applyFill="1" applyBorder="1" applyAlignment="1">
      <alignment horizontal="left" vertical="center"/>
    </xf>
    <xf numFmtId="37" fontId="22" fillId="16" borderId="102" xfId="0" applyNumberFormat="1" applyFont="1" applyFill="1" applyBorder="1" applyAlignment="1">
      <alignment vertical="center"/>
    </xf>
    <xf numFmtId="168" fontId="22" fillId="0" borderId="78" xfId="0" applyNumberFormat="1" applyFont="1" applyBorder="1"/>
    <xf numFmtId="37" fontId="22" fillId="0" borderId="60" xfId="0" applyNumberFormat="1" applyFont="1" applyBorder="1" applyAlignment="1">
      <alignment vertical="center"/>
    </xf>
    <xf numFmtId="37" fontId="22" fillId="0" borderId="124" xfId="0" applyNumberFormat="1" applyFont="1" applyBorder="1" applyAlignment="1">
      <alignment horizontal="center" vertical="center"/>
    </xf>
    <xf numFmtId="37" fontId="22" fillId="0" borderId="107" xfId="0" applyNumberFormat="1" applyFont="1" applyBorder="1" applyAlignment="1">
      <alignment horizontal="center" vertical="center"/>
    </xf>
    <xf numFmtId="168" fontId="22" fillId="0" borderId="88" xfId="0" applyNumberFormat="1" applyFont="1" applyBorder="1" applyAlignment="1">
      <alignment vertical="center"/>
    </xf>
    <xf numFmtId="168" fontId="22" fillId="0" borderId="60" xfId="0" applyNumberFormat="1" applyFont="1" applyBorder="1" applyAlignment="1">
      <alignment vertical="center"/>
    </xf>
    <xf numFmtId="168" fontId="22" fillId="16" borderId="125" xfId="0" applyNumberFormat="1" applyFont="1" applyFill="1" applyBorder="1" applyAlignment="1">
      <alignment vertical="center"/>
    </xf>
    <xf numFmtId="189" fontId="22" fillId="16" borderId="98" xfId="0" applyNumberFormat="1" applyFont="1" applyFill="1" applyBorder="1"/>
    <xf numFmtId="168" fontId="22" fillId="6" borderId="126" xfId="0" applyNumberFormat="1" applyFont="1" applyFill="1" applyBorder="1"/>
    <xf numFmtId="168" fontId="22" fillId="6" borderId="127" xfId="0" applyNumberFormat="1" applyFont="1" applyFill="1" applyBorder="1"/>
    <xf numFmtId="168" fontId="22" fillId="6" borderId="128" xfId="0" applyNumberFormat="1" applyFont="1" applyFill="1" applyBorder="1"/>
    <xf numFmtId="168" fontId="22" fillId="16" borderId="26" xfId="0" applyNumberFormat="1" applyFont="1" applyFill="1" applyBorder="1" applyAlignment="1">
      <alignment vertical="center"/>
    </xf>
    <xf numFmtId="168" fontId="22" fillId="6" borderId="129" xfId="0" applyNumberFormat="1" applyFont="1" applyFill="1" applyBorder="1"/>
    <xf numFmtId="37" fontId="22" fillId="7" borderId="112" xfId="0" applyNumberFormat="1" applyFont="1" applyFill="1" applyBorder="1" applyAlignment="1">
      <alignment vertical="center"/>
    </xf>
    <xf numFmtId="168" fontId="22" fillId="6" borderId="21" xfId="0" applyNumberFormat="1" applyFont="1" applyFill="1" applyBorder="1" applyAlignment="1">
      <alignment vertical="center"/>
    </xf>
    <xf numFmtId="168" fontId="22" fillId="6" borderId="130" xfId="0" applyNumberFormat="1" applyFont="1" applyFill="1" applyBorder="1" applyAlignment="1">
      <alignment vertical="center"/>
    </xf>
    <xf numFmtId="168" fontId="22" fillId="6" borderId="99" xfId="0" applyNumberFormat="1" applyFont="1" applyFill="1" applyBorder="1" applyAlignment="1">
      <alignment vertical="center"/>
    </xf>
    <xf numFmtId="168" fontId="22" fillId="6" borderId="56" xfId="0" applyNumberFormat="1" applyFont="1" applyFill="1" applyBorder="1" applyAlignment="1">
      <alignment vertical="center"/>
    </xf>
    <xf numFmtId="168" fontId="22" fillId="6" borderId="131" xfId="0" applyNumberFormat="1" applyFont="1" applyFill="1" applyBorder="1" applyAlignment="1">
      <alignment vertical="center"/>
    </xf>
    <xf numFmtId="168" fontId="22" fillId="6" borderId="89" xfId="0" applyNumberFormat="1" applyFont="1" applyFill="1" applyBorder="1" applyAlignment="1">
      <alignment vertical="center"/>
    </xf>
    <xf numFmtId="168" fontId="22" fillId="6" borderId="132" xfId="0" applyNumberFormat="1" applyFont="1" applyFill="1" applyBorder="1" applyAlignment="1">
      <alignment vertical="center"/>
    </xf>
    <xf numFmtId="168" fontId="22" fillId="6" borderId="81" xfId="0" applyNumberFormat="1" applyFont="1" applyFill="1" applyBorder="1" applyAlignment="1">
      <alignment vertical="center"/>
    </xf>
    <xf numFmtId="168" fontId="22" fillId="3" borderId="133" xfId="0" applyNumberFormat="1" applyFont="1" applyFill="1" applyBorder="1" applyAlignment="1">
      <alignment vertical="center"/>
    </xf>
    <xf numFmtId="168" fontId="22" fillId="0" borderId="46" xfId="0" applyNumberFormat="1" applyFont="1" applyBorder="1"/>
    <xf numFmtId="168" fontId="22" fillId="0" borderId="134" xfId="0" applyNumberFormat="1" applyFont="1" applyBorder="1"/>
    <xf numFmtId="168" fontId="22" fillId="0" borderId="0" xfId="0" applyNumberFormat="1" applyFont="1"/>
    <xf numFmtId="168" fontId="22" fillId="3" borderId="135" xfId="0" applyNumberFormat="1" applyFont="1" applyFill="1" applyBorder="1" applyAlignment="1">
      <alignment vertical="center"/>
    </xf>
    <xf numFmtId="168" fontId="22" fillId="3" borderId="136" xfId="0" applyNumberFormat="1" applyFont="1" applyFill="1" applyBorder="1" applyAlignment="1">
      <alignment vertical="center"/>
    </xf>
    <xf numFmtId="37" fontId="22" fillId="0" borderId="106" xfId="0" applyNumberFormat="1" applyFont="1" applyBorder="1" applyAlignment="1">
      <alignment horizontal="center" vertical="center"/>
    </xf>
    <xf numFmtId="37" fontId="22" fillId="0" borderId="137" xfId="0" applyNumberFormat="1" applyFont="1" applyBorder="1" applyAlignment="1">
      <alignment horizontal="center" vertical="center"/>
    </xf>
    <xf numFmtId="37" fontId="22" fillId="0" borderId="138" xfId="0" applyNumberFormat="1" applyFont="1" applyBorder="1" applyAlignment="1">
      <alignment horizontal="left" vertical="center"/>
    </xf>
    <xf numFmtId="37" fontId="22" fillId="7" borderId="139" xfId="0" applyNumberFormat="1" applyFont="1" applyFill="1" applyBorder="1" applyAlignment="1">
      <alignment horizontal="left" vertical="center"/>
    </xf>
    <xf numFmtId="37" fontId="22" fillId="16" borderId="140" xfId="0" applyNumberFormat="1" applyFont="1" applyFill="1" applyBorder="1" applyAlignment="1">
      <alignment vertical="center"/>
    </xf>
    <xf numFmtId="168" fontId="22" fillId="0" borderId="141" xfId="0" applyNumberFormat="1" applyFont="1" applyBorder="1" applyAlignment="1">
      <alignment vertical="center"/>
    </xf>
    <xf numFmtId="168" fontId="22" fillId="0" borderId="142" xfId="0" applyNumberFormat="1" applyFont="1" applyBorder="1" applyAlignment="1">
      <alignment vertical="center"/>
    </xf>
    <xf numFmtId="168" fontId="22" fillId="16" borderId="82" xfId="0" applyNumberFormat="1" applyFont="1" applyFill="1" applyBorder="1" applyAlignment="1">
      <alignment vertical="center"/>
    </xf>
    <xf numFmtId="168" fontId="22" fillId="16" borderId="143" xfId="0" applyNumberFormat="1" applyFont="1" applyFill="1" applyBorder="1" applyAlignment="1">
      <alignment vertical="center"/>
    </xf>
    <xf numFmtId="37" fontId="51" fillId="0" borderId="0" xfId="0" applyNumberFormat="1" applyFont="1" applyAlignment="1">
      <alignment vertical="center"/>
    </xf>
    <xf numFmtId="43" fontId="23" fillId="0" borderId="96" xfId="0" applyNumberFormat="1" applyFont="1" applyBorder="1" applyAlignment="1">
      <alignment horizontal="left" vertical="center"/>
    </xf>
    <xf numFmtId="37" fontId="51" fillId="7" borderId="111" xfId="0" applyNumberFormat="1" applyFont="1" applyFill="1" applyBorder="1" applyAlignment="1">
      <alignment horizontal="left" vertical="center"/>
    </xf>
    <xf numFmtId="37" fontId="52" fillId="16" borderId="98" xfId="0" applyNumberFormat="1" applyFont="1" applyFill="1" applyBorder="1" applyAlignment="1">
      <alignment vertical="center"/>
    </xf>
    <xf numFmtId="168" fontId="51" fillId="0" borderId="144" xfId="0" applyNumberFormat="1" applyFont="1" applyBorder="1" applyAlignment="1">
      <alignment vertical="center"/>
    </xf>
    <xf numFmtId="168" fontId="22" fillId="0" borderId="144" xfId="0" applyNumberFormat="1" applyFont="1" applyBorder="1" applyAlignment="1">
      <alignment vertical="center"/>
    </xf>
    <xf numFmtId="168" fontId="22" fillId="0" borderId="145" xfId="0" applyNumberFormat="1" applyFont="1" applyBorder="1" applyAlignment="1">
      <alignment vertical="center"/>
    </xf>
    <xf numFmtId="37" fontId="23" fillId="7" borderId="112" xfId="0" applyNumberFormat="1" applyFont="1" applyFill="1" applyBorder="1" applyAlignment="1">
      <alignment horizontal="left" vertical="center"/>
    </xf>
    <xf numFmtId="173" fontId="23" fillId="16" borderId="27" xfId="0" applyNumberFormat="1" applyFont="1" applyFill="1" applyBorder="1" applyAlignment="1">
      <alignment vertical="center"/>
    </xf>
    <xf numFmtId="168" fontId="53" fillId="16" borderId="146" xfId="0" applyNumberFormat="1" applyFont="1" applyFill="1" applyBorder="1" applyAlignment="1">
      <alignment horizontal="center" vertical="center"/>
    </xf>
    <xf numFmtId="168" fontId="23" fillId="16" borderId="146" xfId="0" applyNumberFormat="1" applyFont="1" applyFill="1" applyBorder="1" applyAlignment="1">
      <alignment horizontal="center" vertical="center"/>
    </xf>
    <xf numFmtId="168" fontId="53" fillId="16" borderId="147" xfId="0" applyNumberFormat="1" applyFont="1" applyFill="1" applyBorder="1" applyAlignment="1">
      <alignment horizontal="center" vertical="center"/>
    </xf>
    <xf numFmtId="168" fontId="23" fillId="16" borderId="147" xfId="0" applyNumberFormat="1" applyFont="1" applyFill="1" applyBorder="1" applyAlignment="1">
      <alignment horizontal="center" vertical="center"/>
    </xf>
    <xf numFmtId="168" fontId="53" fillId="16" borderId="147" xfId="0" applyNumberFormat="1" applyFont="1" applyFill="1" applyBorder="1" applyAlignment="1">
      <alignment vertical="center"/>
    </xf>
    <xf numFmtId="168" fontId="23" fillId="16" borderId="147" xfId="0" applyNumberFormat="1" applyFont="1" applyFill="1" applyBorder="1" applyAlignment="1">
      <alignment vertical="center"/>
    </xf>
    <xf numFmtId="37" fontId="22" fillId="15" borderId="148" xfId="0" applyNumberFormat="1" applyFont="1" applyFill="1" applyBorder="1" applyAlignment="1">
      <alignment horizontal="center" vertical="center"/>
    </xf>
    <xf numFmtId="43" fontId="23" fillId="15" borderId="112" xfId="0" applyNumberFormat="1" applyFont="1" applyFill="1" applyBorder="1" applyAlignment="1">
      <alignment horizontal="left" vertical="center"/>
    </xf>
    <xf numFmtId="37" fontId="23" fillId="15" borderId="112" xfId="0" applyNumberFormat="1" applyFont="1" applyFill="1" applyBorder="1" applyAlignment="1">
      <alignment horizontal="left" vertical="center"/>
    </xf>
    <xf numFmtId="173" fontId="23" fillId="15" borderId="27" xfId="0" applyNumberFormat="1" applyFont="1" applyFill="1" applyBorder="1" applyAlignment="1">
      <alignment vertical="center"/>
    </xf>
    <xf numFmtId="168" fontId="23" fillId="15" borderId="55" xfId="0" applyNumberFormat="1" applyFont="1" applyFill="1" applyBorder="1" applyAlignment="1">
      <alignment vertical="center"/>
    </xf>
    <xf numFmtId="168" fontId="23" fillId="15" borderId="54" xfId="0" applyNumberFormat="1" applyFont="1" applyFill="1" applyBorder="1" applyAlignment="1">
      <alignment vertical="center"/>
    </xf>
    <xf numFmtId="168" fontId="54" fillId="15" borderId="147" xfId="0" applyNumberFormat="1" applyFont="1" applyFill="1" applyBorder="1" applyAlignment="1">
      <alignment vertical="center"/>
    </xf>
    <xf numFmtId="168" fontId="23" fillId="15" borderId="116" xfId="0" applyNumberFormat="1" applyFont="1" applyFill="1" applyBorder="1" applyAlignment="1">
      <alignment vertical="center"/>
    </xf>
    <xf numFmtId="168" fontId="23" fillId="15" borderId="147" xfId="0" applyNumberFormat="1" applyFont="1" applyFill="1" applyBorder="1" applyAlignment="1">
      <alignment vertical="center"/>
    </xf>
    <xf numFmtId="168" fontId="23" fillId="3" borderId="55" xfId="0" applyNumberFormat="1" applyFont="1" applyFill="1" applyBorder="1" applyAlignment="1">
      <alignment vertical="center"/>
    </xf>
    <xf numFmtId="168" fontId="23" fillId="3" borderId="54" xfId="0" applyNumberFormat="1" applyFont="1" applyFill="1" applyBorder="1" applyAlignment="1">
      <alignment vertical="center"/>
    </xf>
    <xf numFmtId="168" fontId="23" fillId="3" borderId="116" xfId="0" applyNumberFormat="1" applyFont="1" applyFill="1" applyBorder="1" applyAlignment="1">
      <alignment vertical="center"/>
    </xf>
    <xf numFmtId="168" fontId="53" fillId="16" borderId="149" xfId="0" applyNumberFormat="1" applyFont="1" applyFill="1" applyBorder="1" applyAlignment="1">
      <alignment vertical="center"/>
    </xf>
    <xf numFmtId="168" fontId="23" fillId="16" borderId="149" xfId="0" applyNumberFormat="1" applyFont="1" applyFill="1" applyBorder="1" applyAlignment="1">
      <alignment vertical="center"/>
    </xf>
    <xf numFmtId="190" fontId="23" fillId="0" borderId="0" xfId="0" applyNumberFormat="1" applyFont="1" applyAlignment="1">
      <alignment vertical="center"/>
    </xf>
    <xf numFmtId="168" fontId="55" fillId="16" borderId="143" xfId="0" applyNumberFormat="1" applyFont="1" applyFill="1" applyBorder="1" applyAlignment="1">
      <alignment vertical="center"/>
    </xf>
    <xf numFmtId="168" fontId="22" fillId="3" borderId="117" xfId="0" applyNumberFormat="1" applyFont="1" applyFill="1" applyBorder="1" applyAlignment="1">
      <alignment vertical="center"/>
    </xf>
    <xf numFmtId="43" fontId="22" fillId="15" borderId="112" xfId="0" applyNumberFormat="1" applyFont="1" applyFill="1" applyBorder="1" applyAlignment="1">
      <alignment horizontal="left" vertical="center"/>
    </xf>
    <xf numFmtId="37" fontId="22" fillId="15" borderId="112" xfId="0" applyNumberFormat="1" applyFont="1" applyFill="1" applyBorder="1" applyAlignment="1">
      <alignment horizontal="left" vertical="center"/>
    </xf>
    <xf numFmtId="168" fontId="22" fillId="15" borderId="55" xfId="0" applyNumberFormat="1" applyFont="1" applyFill="1" applyBorder="1" applyAlignment="1">
      <alignment vertical="center"/>
    </xf>
    <xf numFmtId="168" fontId="22" fillId="15" borderId="21" xfId="0" applyNumberFormat="1" applyFont="1" applyFill="1" applyBorder="1" applyAlignment="1">
      <alignment vertical="center"/>
    </xf>
    <xf numFmtId="168" fontId="22" fillId="15" borderId="112" xfId="0" applyNumberFormat="1" applyFont="1" applyFill="1" applyBorder="1" applyAlignment="1">
      <alignment vertical="center"/>
    </xf>
    <xf numFmtId="168" fontId="22" fillId="15" borderId="130" xfId="0" applyNumberFormat="1" applyFont="1" applyFill="1" applyBorder="1" applyAlignment="1">
      <alignment vertical="center"/>
    </xf>
    <xf numFmtId="168" fontId="22" fillId="15" borderId="117" xfId="0" applyNumberFormat="1" applyFont="1" applyFill="1" applyBorder="1" applyAlignment="1">
      <alignment vertical="center"/>
    </xf>
    <xf numFmtId="168" fontId="22" fillId="3" borderId="130" xfId="0" applyNumberFormat="1" applyFont="1" applyFill="1" applyBorder="1" applyAlignment="1">
      <alignment vertical="center"/>
    </xf>
    <xf numFmtId="37" fontId="23" fillId="16" borderId="27" xfId="0" applyNumberFormat="1" applyFont="1" applyFill="1" applyBorder="1" applyAlignment="1">
      <alignment vertical="center"/>
    </xf>
    <xf numFmtId="43" fontId="23" fillId="0" borderId="21" xfId="0" applyNumberFormat="1" applyFont="1" applyBorder="1" applyAlignment="1">
      <alignment horizontal="left" vertical="center"/>
    </xf>
    <xf numFmtId="43" fontId="22" fillId="0" borderId="21" xfId="0" applyNumberFormat="1" applyFont="1" applyBorder="1" applyAlignment="1">
      <alignment horizontal="left" vertical="center"/>
    </xf>
    <xf numFmtId="37" fontId="22" fillId="0" borderId="150" xfId="0" applyNumberFormat="1" applyFont="1" applyBorder="1" applyAlignment="1">
      <alignment horizontal="center" vertical="center"/>
    </xf>
    <xf numFmtId="43" fontId="22" fillId="0" borderId="31" xfId="0" applyNumberFormat="1" applyFont="1" applyBorder="1" applyAlignment="1">
      <alignment horizontal="left" vertical="center"/>
    </xf>
    <xf numFmtId="37" fontId="22" fillId="7" borderId="151" xfId="0" applyNumberFormat="1" applyFont="1" applyFill="1" applyBorder="1" applyAlignment="1">
      <alignment horizontal="left" vertical="center"/>
    </xf>
    <xf numFmtId="173" fontId="23" fillId="16" borderId="28" xfId="0" applyNumberFormat="1" applyFont="1" applyFill="1" applyBorder="1" applyAlignment="1">
      <alignment vertical="center"/>
    </xf>
    <xf numFmtId="168" fontId="22" fillId="3" borderId="57" xfId="0" applyNumberFormat="1" applyFont="1" applyFill="1" applyBorder="1" applyAlignment="1">
      <alignment vertical="center"/>
    </xf>
    <xf numFmtId="168" fontId="22" fillId="3" borderId="31" xfId="0" applyNumberFormat="1" applyFont="1" applyFill="1" applyBorder="1" applyAlignment="1">
      <alignment vertical="center"/>
    </xf>
    <xf numFmtId="168" fontId="22" fillId="3" borderId="152" xfId="0" applyNumberFormat="1" applyFont="1" applyFill="1" applyBorder="1" applyAlignment="1">
      <alignment vertical="center"/>
    </xf>
    <xf numFmtId="168" fontId="22" fillId="16" borderId="84" xfId="0" applyNumberFormat="1" applyFont="1" applyFill="1" applyBorder="1" applyAlignment="1">
      <alignment vertical="center"/>
    </xf>
    <xf numFmtId="168" fontId="22" fillId="3" borderId="119" xfId="0" applyNumberFormat="1" applyFont="1" applyFill="1" applyBorder="1" applyAlignment="1">
      <alignment vertical="center"/>
    </xf>
    <xf numFmtId="43" fontId="22" fillId="0" borderId="0" xfId="0" applyNumberFormat="1" applyFont="1" applyAlignment="1">
      <alignment horizontal="left" vertical="center"/>
    </xf>
    <xf numFmtId="173" fontId="23" fillId="0" borderId="0" xfId="0" applyNumberFormat="1" applyFont="1" applyAlignment="1">
      <alignment vertical="center"/>
    </xf>
    <xf numFmtId="175" fontId="22" fillId="0" borderId="9" xfId="0" applyNumberFormat="1" applyFont="1" applyBorder="1" applyAlignment="1">
      <alignment vertical="center"/>
    </xf>
    <xf numFmtId="175" fontId="22" fillId="0" borderId="10" xfId="0" applyNumberFormat="1" applyFont="1" applyBorder="1" applyAlignment="1">
      <alignment vertical="center"/>
    </xf>
    <xf numFmtId="37" fontId="22" fillId="16" borderId="79" xfId="0" applyNumberFormat="1" applyFont="1" applyFill="1" applyBorder="1" applyAlignment="1">
      <alignment horizontal="center" vertical="center"/>
    </xf>
    <xf numFmtId="43" fontId="22" fillId="0" borderId="46" xfId="0" applyNumberFormat="1" applyFont="1" applyBorder="1" applyAlignment="1">
      <alignment horizontal="left" vertical="center"/>
    </xf>
    <xf numFmtId="37" fontId="22" fillId="0" borderId="46" xfId="0" applyNumberFormat="1" applyFont="1" applyBorder="1" applyAlignment="1">
      <alignment vertical="center"/>
    </xf>
    <xf numFmtId="168" fontId="22" fillId="0" borderId="46" xfId="0" applyNumberFormat="1" applyFont="1" applyBorder="1" applyAlignment="1">
      <alignment vertical="center"/>
    </xf>
    <xf numFmtId="168" fontId="22" fillId="0" borderId="134" xfId="0" applyNumberFormat="1" applyFont="1" applyBorder="1" applyAlignment="1">
      <alignment vertical="center"/>
    </xf>
    <xf numFmtId="37" fontId="22" fillId="0" borderId="117" xfId="0" applyNumberFormat="1" applyFont="1" applyBorder="1" applyAlignment="1">
      <alignment horizontal="center" vertical="center"/>
    </xf>
    <xf numFmtId="168" fontId="22" fillId="0" borderId="61" xfId="0" applyNumberFormat="1" applyFont="1" applyBorder="1" applyAlignment="1">
      <alignment vertical="center"/>
    </xf>
    <xf numFmtId="9" fontId="22" fillId="0" borderId="21" xfId="0" applyNumberFormat="1" applyFont="1" applyBorder="1" applyAlignment="1">
      <alignment horizontal="right" vertical="center"/>
    </xf>
    <xf numFmtId="37" fontId="22" fillId="0" borderId="21" xfId="0" applyNumberFormat="1" applyFont="1" applyBorder="1" applyAlignment="1">
      <alignment vertical="center"/>
    </xf>
    <xf numFmtId="168" fontId="22" fillId="13" borderId="117" xfId="0" applyNumberFormat="1" applyFont="1" applyFill="1" applyBorder="1" applyAlignment="1">
      <alignment vertical="center"/>
    </xf>
    <xf numFmtId="168" fontId="22" fillId="13" borderId="21" xfId="0" applyNumberFormat="1" applyFont="1" applyFill="1" applyBorder="1" applyAlignment="1">
      <alignment vertical="center"/>
    </xf>
    <xf numFmtId="168" fontId="22" fillId="13" borderId="130" xfId="0" applyNumberFormat="1" applyFont="1" applyFill="1" applyBorder="1" applyAlignment="1">
      <alignment vertical="center"/>
    </xf>
    <xf numFmtId="168" fontId="22" fillId="6" borderId="152" xfId="0" applyNumberFormat="1" applyFont="1" applyFill="1" applyBorder="1" applyAlignment="1">
      <alignment vertical="center"/>
    </xf>
    <xf numFmtId="168" fontId="22" fillId="0" borderId="47" xfId="0" applyNumberFormat="1" applyFont="1" applyBorder="1" applyAlignment="1">
      <alignment vertical="center"/>
    </xf>
    <xf numFmtId="168" fontId="22" fillId="0" borderId="155" xfId="0" applyNumberFormat="1" applyFont="1" applyBorder="1" applyAlignment="1">
      <alignment vertical="center"/>
    </xf>
    <xf numFmtId="37" fontId="22" fillId="0" borderId="119" xfId="0" applyNumberFormat="1" applyFont="1" applyBorder="1" applyAlignment="1">
      <alignment horizontal="center" vertical="center"/>
    </xf>
    <xf numFmtId="37" fontId="22" fillId="0" borderId="31" xfId="0" applyNumberFormat="1" applyFont="1" applyBorder="1" applyAlignment="1">
      <alignment horizontal="left" vertical="center"/>
    </xf>
    <xf numFmtId="37" fontId="22" fillId="0" borderId="2" xfId="0" applyNumberFormat="1" applyFont="1" applyBorder="1" applyAlignment="1">
      <alignment horizontal="center" vertical="center"/>
    </xf>
    <xf numFmtId="37" fontId="22" fillId="0" borderId="156" xfId="0" applyNumberFormat="1" applyFont="1" applyBorder="1" applyAlignment="1">
      <alignment vertical="center"/>
    </xf>
    <xf numFmtId="168" fontId="22" fillId="0" borderId="19" xfId="0" applyNumberFormat="1" applyFont="1" applyBorder="1" applyAlignment="1">
      <alignment vertical="center"/>
    </xf>
    <xf numFmtId="168" fontId="22" fillId="0" borderId="156" xfId="0" applyNumberFormat="1" applyFont="1" applyBorder="1" applyAlignment="1">
      <alignment vertical="center"/>
    </xf>
    <xf numFmtId="37" fontId="22" fillId="0" borderId="157" xfId="0" applyNumberFormat="1" applyFont="1" applyBorder="1" applyAlignment="1">
      <alignment vertical="center"/>
    </xf>
    <xf numFmtId="168" fontId="22" fillId="0" borderId="119" xfId="0" applyNumberFormat="1" applyFont="1" applyBorder="1" applyAlignment="1">
      <alignment vertical="center"/>
    </xf>
    <xf numFmtId="168" fontId="22" fillId="0" borderId="31" xfId="0" applyNumberFormat="1" applyFont="1" applyBorder="1" applyAlignment="1">
      <alignment vertical="center"/>
    </xf>
    <xf numFmtId="168" fontId="22" fillId="0" borderId="152" xfId="0" applyNumberFormat="1" applyFont="1" applyBorder="1" applyAlignment="1">
      <alignment vertical="center"/>
    </xf>
    <xf numFmtId="37" fontId="22" fillId="0" borderId="130" xfId="0" applyNumberFormat="1" applyFont="1" applyBorder="1" applyAlignment="1">
      <alignment vertical="center"/>
    </xf>
    <xf numFmtId="168" fontId="22" fillId="6" borderId="19" xfId="0" applyNumberFormat="1" applyFont="1" applyFill="1" applyBorder="1" applyAlignment="1">
      <alignment vertical="center"/>
    </xf>
    <xf numFmtId="168" fontId="22" fillId="6" borderId="156" xfId="0" applyNumberFormat="1" applyFont="1" applyFill="1" applyBorder="1" applyAlignment="1">
      <alignment vertical="center"/>
    </xf>
    <xf numFmtId="37" fontId="22" fillId="0" borderId="158" xfId="0" applyNumberFormat="1" applyFont="1" applyBorder="1" applyAlignment="1">
      <alignment horizontal="center" vertical="center"/>
    </xf>
    <xf numFmtId="43" fontId="22" fillId="0" borderId="47" xfId="0" applyNumberFormat="1" applyFont="1" applyBorder="1" applyAlignment="1">
      <alignment horizontal="left" vertical="center"/>
    </xf>
    <xf numFmtId="37" fontId="22" fillId="0" borderId="159" xfId="0" applyNumberFormat="1" applyFont="1" applyBorder="1" applyAlignment="1">
      <alignment vertical="center"/>
    </xf>
    <xf numFmtId="168" fontId="22" fillId="0" borderId="157" xfId="0" applyNumberFormat="1" applyFont="1" applyBorder="1" applyAlignment="1">
      <alignment vertical="center"/>
    </xf>
    <xf numFmtId="37" fontId="22" fillId="0" borderId="0" xfId="0" applyNumberFormat="1" applyFont="1" applyAlignment="1">
      <alignment horizontal="left"/>
    </xf>
    <xf numFmtId="173" fontId="22" fillId="0" borderId="0" xfId="0" applyNumberFormat="1" applyFont="1" applyAlignment="1">
      <alignment vertical="center"/>
    </xf>
    <xf numFmtId="173" fontId="22" fillId="0" borderId="0" xfId="0" applyNumberFormat="1" applyFont="1"/>
    <xf numFmtId="173" fontId="22" fillId="0" borderId="1" xfId="0" applyNumberFormat="1" applyFont="1" applyBorder="1" applyAlignment="1">
      <alignment horizontal="right" vertical="center"/>
    </xf>
    <xf numFmtId="168" fontId="56" fillId="0" borderId="0" xfId="0" applyNumberFormat="1" applyFont="1"/>
    <xf numFmtId="0" fontId="57" fillId="0" borderId="0" xfId="0" applyFont="1"/>
    <xf numFmtId="168" fontId="34" fillId="0" borderId="1" xfId="0" applyNumberFormat="1" applyFont="1" applyBorder="1"/>
    <xf numFmtId="37" fontId="56" fillId="0" borderId="0" xfId="0" applyNumberFormat="1" applyFont="1"/>
    <xf numFmtId="37" fontId="56" fillId="0" borderId="0" xfId="0" applyNumberFormat="1" applyFont="1" applyAlignment="1">
      <alignment horizontal="center"/>
    </xf>
    <xf numFmtId="37" fontId="58" fillId="0" borderId="0" xfId="0" applyNumberFormat="1" applyFont="1"/>
    <xf numFmtId="10" fontId="56" fillId="0" borderId="0" xfId="0" applyNumberFormat="1" applyFont="1"/>
    <xf numFmtId="168" fontId="58" fillId="0" borderId="0" xfId="0" applyNumberFormat="1" applyFont="1"/>
    <xf numFmtId="9" fontId="56" fillId="0" borderId="0" xfId="0" applyNumberFormat="1" applyFont="1"/>
    <xf numFmtId="37" fontId="56" fillId="0" borderId="0" xfId="0" applyNumberFormat="1" applyFont="1" applyAlignment="1">
      <alignment horizontal="right"/>
    </xf>
    <xf numFmtId="9" fontId="56" fillId="0" borderId="0" xfId="0" applyNumberFormat="1" applyFont="1" applyAlignment="1">
      <alignment horizontal="right"/>
    </xf>
    <xf numFmtId="37" fontId="58" fillId="0" borderId="0" xfId="0" applyNumberFormat="1" applyFont="1" applyAlignment="1">
      <alignment horizontal="center"/>
    </xf>
    <xf numFmtId="9" fontId="58" fillId="0" borderId="0" xfId="0" applyNumberFormat="1" applyFont="1"/>
    <xf numFmtId="173" fontId="58" fillId="0" borderId="0" xfId="0" applyNumberFormat="1" applyFont="1"/>
    <xf numFmtId="0" fontId="52" fillId="0" borderId="0" xfId="0" applyFont="1"/>
    <xf numFmtId="0" fontId="7" fillId="17" borderId="172" xfId="0" applyFont="1" applyFill="1" applyBorder="1" applyAlignment="1">
      <alignment horizontal="center"/>
    </xf>
    <xf numFmtId="0" fontId="7" fillId="17" borderId="173" xfId="0" applyFont="1" applyFill="1" applyBorder="1" applyAlignment="1">
      <alignment horizontal="center"/>
    </xf>
    <xf numFmtId="0" fontId="7" fillId="17" borderId="174" xfId="0" applyFont="1" applyFill="1" applyBorder="1" applyAlignment="1">
      <alignment horizontal="center"/>
    </xf>
    <xf numFmtId="0" fontId="57" fillId="0" borderId="0" xfId="0" applyFont="1" applyAlignment="1">
      <alignment horizontal="center"/>
    </xf>
    <xf numFmtId="0" fontId="34" fillId="17" borderId="175" xfId="0" applyFont="1" applyFill="1" applyBorder="1" applyAlignment="1">
      <alignment horizontal="center"/>
    </xf>
    <xf numFmtId="1" fontId="34" fillId="17" borderId="176" xfId="0" applyNumberFormat="1" applyFont="1" applyFill="1" applyBorder="1" applyAlignment="1">
      <alignment horizontal="center"/>
    </xf>
    <xf numFmtId="1" fontId="59" fillId="0" borderId="0" xfId="0" applyNumberFormat="1" applyFont="1" applyAlignment="1">
      <alignment horizontal="center"/>
    </xf>
    <xf numFmtId="168" fontId="7" fillId="3" borderId="13" xfId="0" applyNumberFormat="1" applyFont="1" applyFill="1" applyBorder="1"/>
    <xf numFmtId="168" fontId="57" fillId="0" borderId="0" xfId="0" applyNumberFormat="1" applyFont="1"/>
    <xf numFmtId="0" fontId="7" fillId="17" borderId="177" xfId="0" applyFont="1" applyFill="1" applyBorder="1"/>
    <xf numFmtId="0" fontId="7" fillId="17" borderId="178" xfId="0" applyFont="1" applyFill="1" applyBorder="1"/>
    <xf numFmtId="168" fontId="7" fillId="17" borderId="178" xfId="0" applyNumberFormat="1" applyFont="1" applyFill="1" applyBorder="1"/>
    <xf numFmtId="168" fontId="7" fillId="17" borderId="83" xfId="0" applyNumberFormat="1" applyFont="1" applyFill="1" applyBorder="1"/>
    <xf numFmtId="43" fontId="7" fillId="3" borderId="13" xfId="0" applyNumberFormat="1" applyFont="1" applyFill="1" applyBorder="1"/>
    <xf numFmtId="43" fontId="7" fillId="0" borderId="0" xfId="0" applyNumberFormat="1" applyFont="1"/>
    <xf numFmtId="43" fontId="57" fillId="0" borderId="0" xfId="0" applyNumberFormat="1" applyFont="1"/>
    <xf numFmtId="0" fontId="34" fillId="0" borderId="2" xfId="0" applyFont="1" applyBorder="1"/>
    <xf numFmtId="168" fontId="7" fillId="3" borderId="89" xfId="0" applyNumberFormat="1" applyFont="1" applyFill="1" applyBorder="1"/>
    <xf numFmtId="168" fontId="7" fillId="3" borderId="81" xfId="0" applyNumberFormat="1" applyFont="1" applyFill="1" applyBorder="1"/>
    <xf numFmtId="166" fontId="7" fillId="0" borderId="0" xfId="0" applyNumberFormat="1" applyFont="1"/>
    <xf numFmtId="0" fontId="7" fillId="7" borderId="36" xfId="0" applyFont="1" applyFill="1" applyBorder="1"/>
    <xf numFmtId="10" fontId="7" fillId="7" borderId="36" xfId="0" applyNumberFormat="1" applyFont="1" applyFill="1" applyBorder="1"/>
    <xf numFmtId="2" fontId="7" fillId="7" borderId="36" xfId="0" applyNumberFormat="1" applyFont="1" applyFill="1" applyBorder="1"/>
    <xf numFmtId="168" fontId="7" fillId="7" borderId="179" xfId="0" applyNumberFormat="1" applyFont="1" applyFill="1" applyBorder="1"/>
    <xf numFmtId="43" fontId="7" fillId="7" borderId="180" xfId="0" applyNumberFormat="1" applyFont="1" applyFill="1" applyBorder="1"/>
    <xf numFmtId="168" fontId="7" fillId="0" borderId="1" xfId="0" applyNumberFormat="1" applyFont="1" applyBorder="1" applyAlignment="1">
      <alignment horizontal="center"/>
    </xf>
    <xf numFmtId="37" fontId="56" fillId="0" borderId="1" xfId="0" applyNumberFormat="1" applyFont="1" applyBorder="1" applyAlignment="1">
      <alignment horizontal="center"/>
    </xf>
    <xf numFmtId="168" fontId="56" fillId="0" borderId="1" xfId="0" applyNumberFormat="1" applyFont="1" applyBorder="1" applyAlignment="1">
      <alignment horizontal="center"/>
    </xf>
    <xf numFmtId="0" fontId="56" fillId="0" borderId="0" xfId="0" applyFont="1"/>
    <xf numFmtId="43" fontId="7" fillId="0" borderId="61" xfId="0" applyNumberFormat="1" applyFont="1" applyBorder="1"/>
    <xf numFmtId="9" fontId="7" fillId="0" borderId="78" xfId="0" applyNumberFormat="1" applyFont="1" applyBorder="1" applyAlignment="1">
      <alignment horizontal="center"/>
    </xf>
    <xf numFmtId="192" fontId="7" fillId="0" borderId="78" xfId="0" applyNumberFormat="1" applyFont="1" applyBorder="1" applyAlignment="1">
      <alignment horizontal="center"/>
    </xf>
    <xf numFmtId="10" fontId="7" fillId="0" borderId="78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10" fontId="7" fillId="0" borderId="1" xfId="0" applyNumberFormat="1" applyFont="1" applyBorder="1" applyAlignment="1">
      <alignment horizontal="center"/>
    </xf>
    <xf numFmtId="10" fontId="7" fillId="0" borderId="1" xfId="0" applyNumberFormat="1" applyFont="1" applyBorder="1"/>
    <xf numFmtId="43" fontId="7" fillId="0" borderId="1" xfId="0" applyNumberFormat="1" applyFont="1" applyBorder="1"/>
    <xf numFmtId="43" fontId="8" fillId="0" borderId="61" xfId="0" applyNumberFormat="1" applyFont="1" applyBorder="1"/>
    <xf numFmtId="0" fontId="60" fillId="0" borderId="76" xfId="0" applyFont="1" applyBorder="1"/>
    <xf numFmtId="0" fontId="57" fillId="0" borderId="76" xfId="0" applyFont="1" applyBorder="1"/>
    <xf numFmtId="2" fontId="8" fillId="0" borderId="1" xfId="0" applyNumberFormat="1" applyFont="1" applyBorder="1"/>
    <xf numFmtId="2" fontId="57" fillId="0" borderId="1" xfId="0" applyNumberFormat="1" applyFont="1" applyBorder="1"/>
    <xf numFmtId="0" fontId="60" fillId="0" borderId="1" xfId="0" applyFont="1" applyBorder="1"/>
    <xf numFmtId="0" fontId="34" fillId="7" borderId="1" xfId="0" applyFont="1" applyFill="1" applyBorder="1" applyAlignment="1">
      <alignment horizontal="center" vertical="center"/>
    </xf>
    <xf numFmtId="10" fontId="60" fillId="0" borderId="1" xfId="0" applyNumberFormat="1" applyFont="1" applyBorder="1"/>
    <xf numFmtId="171" fontId="7" fillId="0" borderId="1" xfId="0" applyNumberFormat="1" applyFont="1" applyBorder="1"/>
    <xf numFmtId="0" fontId="60" fillId="0" borderId="0" xfId="0" applyFont="1"/>
    <xf numFmtId="39" fontId="7" fillId="0" borderId="0" xfId="0" applyNumberFormat="1" applyFont="1"/>
    <xf numFmtId="168" fontId="34" fillId="0" borderId="0" xfId="0" applyNumberFormat="1" applyFont="1"/>
    <xf numFmtId="0" fontId="34" fillId="0" borderId="106" xfId="0" applyFont="1" applyBorder="1" applyAlignment="1">
      <alignment horizontal="center"/>
    </xf>
    <xf numFmtId="0" fontId="7" fillId="0" borderId="78" xfId="0" applyFont="1" applyBorder="1" applyAlignment="1">
      <alignment horizontal="center"/>
    </xf>
    <xf numFmtId="168" fontId="7" fillId="0" borderId="78" xfId="0" applyNumberFormat="1" applyFont="1" applyBorder="1"/>
    <xf numFmtId="0" fontId="7" fillId="0" borderId="78" xfId="0" applyFont="1" applyBorder="1"/>
    <xf numFmtId="0" fontId="7" fillId="0" borderId="1" xfId="0" applyFont="1" applyBorder="1" applyAlignment="1">
      <alignment horizontal="center"/>
    </xf>
    <xf numFmtId="41" fontId="7" fillId="0" borderId="0" xfId="0" applyNumberFormat="1" applyFont="1"/>
    <xf numFmtId="0" fontId="34" fillId="0" borderId="0" xfId="0" applyFont="1" applyAlignment="1">
      <alignment horizontal="center"/>
    </xf>
    <xf numFmtId="194" fontId="34" fillId="0" borderId="0" xfId="0" applyNumberFormat="1" applyFont="1"/>
    <xf numFmtId="0" fontId="7" fillId="0" borderId="0" xfId="0" applyFont="1" applyAlignment="1">
      <alignment horizontal="center"/>
    </xf>
    <xf numFmtId="192" fontId="7" fillId="0" borderId="0" xfId="0" applyNumberFormat="1" applyFont="1"/>
    <xf numFmtId="191" fontId="7" fillId="0" borderId="0" xfId="0" applyNumberFormat="1" applyFont="1"/>
    <xf numFmtId="43" fontId="7" fillId="0" borderId="78" xfId="0" applyNumberFormat="1" applyFont="1" applyBorder="1" applyAlignment="1">
      <alignment horizontal="center"/>
    </xf>
    <xf numFmtId="168" fontId="7" fillId="0" borderId="1" xfId="0" applyNumberFormat="1" applyFont="1" applyBorder="1"/>
    <xf numFmtId="168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left"/>
    </xf>
    <xf numFmtId="43" fontId="7" fillId="0" borderId="78" xfId="0" applyNumberFormat="1" applyFont="1" applyBorder="1"/>
    <xf numFmtId="49" fontId="7" fillId="0" borderId="0" xfId="0" applyNumberFormat="1" applyFont="1"/>
    <xf numFmtId="49" fontId="34" fillId="0" borderId="0" xfId="0" applyNumberFormat="1" applyFont="1"/>
    <xf numFmtId="2" fontId="34" fillId="0" borderId="0" xfId="0" applyNumberFormat="1" applyFont="1"/>
    <xf numFmtId="0" fontId="0" fillId="19" borderId="0" xfId="0" applyFill="1"/>
    <xf numFmtId="0" fontId="1" fillId="2" borderId="8" xfId="0" applyFont="1" applyFill="1" applyBorder="1"/>
    <xf numFmtId="0" fontId="3" fillId="3" borderId="8" xfId="0" applyFont="1" applyFill="1" applyBorder="1"/>
    <xf numFmtId="0" fontId="4" fillId="3" borderId="8" xfId="0" applyFont="1" applyFill="1" applyBorder="1"/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3" fillId="5" borderId="8" xfId="0" applyFont="1" applyFill="1" applyBorder="1"/>
    <xf numFmtId="167" fontId="3" fillId="5" borderId="76" xfId="0" applyNumberFormat="1" applyFont="1" applyFill="1" applyBorder="1"/>
    <xf numFmtId="0" fontId="3" fillId="6" borderId="8" xfId="0" applyFont="1" applyFill="1" applyBorder="1"/>
    <xf numFmtId="167" fontId="3" fillId="5" borderId="78" xfId="0" applyNumberFormat="1" applyFont="1" applyFill="1" applyBorder="1"/>
    <xf numFmtId="0" fontId="6" fillId="6" borderId="8" xfId="0" applyFont="1" applyFill="1" applyBorder="1"/>
    <xf numFmtId="0" fontId="5" fillId="2" borderId="8" xfId="0" applyFont="1" applyFill="1" applyBorder="1"/>
    <xf numFmtId="0" fontId="3" fillId="8" borderId="8" xfId="0" applyFont="1" applyFill="1" applyBorder="1"/>
    <xf numFmtId="167" fontId="3" fillId="8" borderId="76" xfId="0" applyNumberFormat="1" applyFont="1" applyFill="1" applyBorder="1"/>
    <xf numFmtId="0" fontId="1" fillId="9" borderId="8" xfId="0" applyFont="1" applyFill="1" applyBorder="1"/>
    <xf numFmtId="0" fontId="3" fillId="7" borderId="8" xfId="0" applyFont="1" applyFill="1" applyBorder="1"/>
    <xf numFmtId="167" fontId="3" fillId="3" borderId="8" xfId="0" applyNumberFormat="1" applyFont="1" applyFill="1" applyBorder="1"/>
    <xf numFmtId="0" fontId="22" fillId="3" borderId="8" xfId="0" applyFont="1" applyFill="1" applyBorder="1"/>
    <xf numFmtId="0" fontId="23" fillId="6" borderId="8" xfId="0" applyFont="1" applyFill="1" applyBorder="1" applyAlignment="1">
      <alignment horizontal="left" vertical="top" wrapText="1"/>
    </xf>
    <xf numFmtId="0" fontId="23" fillId="3" borderId="8" xfId="0" applyFont="1" applyFill="1" applyBorder="1"/>
    <xf numFmtId="173" fontId="22" fillId="0" borderId="179" xfId="0" applyNumberFormat="1" applyFont="1" applyBorder="1" applyAlignment="1">
      <alignment horizontal="center" vertical="center"/>
    </xf>
    <xf numFmtId="37" fontId="26" fillId="0" borderId="179" xfId="0" applyNumberFormat="1" applyFont="1" applyBorder="1" applyAlignment="1">
      <alignment vertical="center"/>
    </xf>
    <xf numFmtId="37" fontId="26" fillId="0" borderId="179" xfId="0" applyNumberFormat="1" applyFont="1" applyBorder="1" applyAlignment="1">
      <alignment horizontal="center" vertical="center"/>
    </xf>
    <xf numFmtId="9" fontId="26" fillId="0" borderId="133" xfId="0" applyNumberFormat="1" applyFont="1" applyBorder="1" applyAlignment="1">
      <alignment vertical="center"/>
    </xf>
    <xf numFmtId="37" fontId="22" fillId="0" borderId="12" xfId="0" applyNumberFormat="1" applyFont="1" applyBorder="1" applyAlignment="1">
      <alignment vertical="center"/>
    </xf>
    <xf numFmtId="176" fontId="23" fillId="0" borderId="179" xfId="0" applyNumberFormat="1" applyFont="1" applyBorder="1" applyAlignment="1">
      <alignment horizontal="center"/>
    </xf>
    <xf numFmtId="168" fontId="26" fillId="0" borderId="173" xfId="0" applyNumberFormat="1" applyFont="1" applyBorder="1" applyAlignment="1">
      <alignment vertical="center"/>
    </xf>
    <xf numFmtId="176" fontId="23" fillId="0" borderId="180" xfId="0" applyNumberFormat="1" applyFont="1" applyBorder="1" applyAlignment="1">
      <alignment horizontal="center"/>
    </xf>
    <xf numFmtId="37" fontId="24" fillId="0" borderId="0" xfId="0" applyNumberFormat="1" applyFont="1" applyAlignment="1">
      <alignment vertical="center"/>
    </xf>
    <xf numFmtId="37" fontId="23" fillId="0" borderId="179" xfId="0" applyNumberFormat="1" applyFont="1" applyBorder="1"/>
    <xf numFmtId="37" fontId="23" fillId="0" borderId="181" xfId="0" applyNumberFormat="1" applyFont="1" applyBorder="1"/>
    <xf numFmtId="37" fontId="31" fillId="0" borderId="180" xfId="0" applyNumberFormat="1" applyFont="1" applyBorder="1"/>
    <xf numFmtId="37" fontId="22" fillId="0" borderId="179" xfId="0" applyNumberFormat="1" applyFont="1" applyBorder="1"/>
    <xf numFmtId="37" fontId="22" fillId="0" borderId="181" xfId="0" applyNumberFormat="1" applyFont="1" applyBorder="1"/>
    <xf numFmtId="168" fontId="22" fillId="0" borderId="180" xfId="0" applyNumberFormat="1" applyFont="1" applyBorder="1" applyAlignment="1">
      <alignment horizontal="right"/>
    </xf>
    <xf numFmtId="37" fontId="26" fillId="0" borderId="179" xfId="0" applyNumberFormat="1" applyFont="1" applyBorder="1"/>
    <xf numFmtId="37" fontId="26" fillId="0" borderId="181" xfId="0" applyNumberFormat="1" applyFont="1" applyBorder="1"/>
    <xf numFmtId="41" fontId="22" fillId="0" borderId="180" xfId="0" applyNumberFormat="1" applyFont="1" applyBorder="1"/>
    <xf numFmtId="37" fontId="22" fillId="0" borderId="180" xfId="0" applyNumberFormat="1" applyFont="1" applyBorder="1"/>
    <xf numFmtId="10" fontId="22" fillId="0" borderId="179" xfId="0" applyNumberFormat="1" applyFont="1" applyBorder="1"/>
    <xf numFmtId="37" fontId="22" fillId="0" borderId="17" xfId="0" applyNumberFormat="1" applyFont="1" applyBorder="1"/>
    <xf numFmtId="10" fontId="22" fillId="0" borderId="82" xfId="0" applyNumberFormat="1" applyFont="1" applyBorder="1"/>
    <xf numFmtId="10" fontId="22" fillId="0" borderId="84" xfId="0" applyNumberFormat="1" applyFont="1" applyBorder="1"/>
    <xf numFmtId="37" fontId="22" fillId="0" borderId="17" xfId="0" applyNumberFormat="1" applyFont="1" applyBorder="1" applyAlignment="1">
      <alignment wrapText="1"/>
    </xf>
    <xf numFmtId="37" fontId="22" fillId="0" borderId="12" xfId="0" applyNumberFormat="1" applyFont="1" applyBorder="1" applyAlignment="1">
      <alignment wrapText="1"/>
    </xf>
    <xf numFmtId="37" fontId="22" fillId="0" borderId="143" xfId="0" applyNumberFormat="1" applyFont="1" applyBorder="1" applyAlignment="1">
      <alignment horizontal="center" vertical="top"/>
    </xf>
    <xf numFmtId="10" fontId="22" fillId="0" borderId="81" xfId="0" applyNumberFormat="1" applyFont="1" applyBorder="1" applyAlignment="1">
      <alignment vertical="top"/>
    </xf>
    <xf numFmtId="39" fontId="29" fillId="0" borderId="179" xfId="0" applyNumberFormat="1" applyFont="1" applyBorder="1" applyAlignment="1">
      <alignment horizontal="center" vertical="center"/>
    </xf>
    <xf numFmtId="10" fontId="29" fillId="0" borderId="179" xfId="0" applyNumberFormat="1" applyFont="1" applyBorder="1" applyAlignment="1">
      <alignment vertical="center"/>
    </xf>
    <xf numFmtId="37" fontId="24" fillId="0" borderId="0" xfId="0" applyNumberFormat="1" applyFont="1" applyAlignment="1">
      <alignment horizontal="right" vertical="top" wrapText="1"/>
    </xf>
    <xf numFmtId="0" fontId="7" fillId="15" borderId="8" xfId="0" applyFont="1" applyFill="1" applyBorder="1"/>
    <xf numFmtId="182" fontId="7" fillId="15" borderId="8" xfId="0" applyNumberFormat="1" applyFont="1" applyFill="1" applyBorder="1"/>
    <xf numFmtId="173" fontId="7" fillId="15" borderId="8" xfId="0" applyNumberFormat="1" applyFont="1" applyFill="1" applyBorder="1"/>
    <xf numFmtId="183" fontId="40" fillId="0" borderId="179" xfId="0" applyNumberFormat="1" applyFont="1" applyBorder="1" applyAlignment="1">
      <alignment horizontal="left"/>
    </xf>
    <xf numFmtId="37" fontId="43" fillId="0" borderId="161" xfId="0" applyNumberFormat="1" applyFont="1" applyBorder="1" applyAlignment="1">
      <alignment horizontal="center"/>
    </xf>
    <xf numFmtId="37" fontId="43" fillId="0" borderId="160" xfId="0" applyNumberFormat="1" applyFont="1" applyBorder="1" applyAlignment="1">
      <alignment horizontal="center"/>
    </xf>
    <xf numFmtId="37" fontId="36" fillId="0" borderId="160" xfId="0" applyNumberFormat="1" applyFont="1" applyBorder="1" applyAlignment="1">
      <alignment horizontal="center"/>
    </xf>
    <xf numFmtId="37" fontId="40" fillId="0" borderId="179" xfId="0" applyNumberFormat="1" applyFont="1" applyBorder="1"/>
    <xf numFmtId="0" fontId="40" fillId="0" borderId="180" xfId="0" applyFont="1" applyBorder="1"/>
    <xf numFmtId="37" fontId="36" fillId="0" borderId="179" xfId="0" applyNumberFormat="1" applyFont="1" applyBorder="1"/>
    <xf numFmtId="37" fontId="36" fillId="0" borderId="181" xfId="0" applyNumberFormat="1" applyFont="1" applyBorder="1"/>
    <xf numFmtId="37" fontId="36" fillId="0" borderId="180" xfId="0" applyNumberFormat="1" applyFont="1" applyBorder="1"/>
    <xf numFmtId="168" fontId="36" fillId="0" borderId="180" xfId="0" applyNumberFormat="1" applyFont="1" applyBorder="1" applyAlignment="1">
      <alignment horizontal="right"/>
    </xf>
    <xf numFmtId="41" fontId="36" fillId="0" borderId="180" xfId="0" applyNumberFormat="1" applyFont="1" applyBorder="1"/>
    <xf numFmtId="39" fontId="36" fillId="0" borderId="180" xfId="0" applyNumberFormat="1" applyFont="1" applyBorder="1"/>
    <xf numFmtId="10" fontId="36" fillId="0" borderId="179" xfId="0" applyNumberFormat="1" applyFont="1" applyBorder="1"/>
    <xf numFmtId="39" fontId="36" fillId="0" borderId="179" xfId="0" applyNumberFormat="1" applyFont="1" applyBorder="1"/>
    <xf numFmtId="37" fontId="36" fillId="0" borderId="172" xfId="0" applyNumberFormat="1" applyFont="1" applyBorder="1" applyAlignment="1">
      <alignment horizontal="left"/>
    </xf>
    <xf numFmtId="37" fontId="36" fillId="0" borderId="173" xfId="0" applyNumberFormat="1" applyFont="1" applyBorder="1" applyAlignment="1">
      <alignment horizontal="left"/>
    </xf>
    <xf numFmtId="37" fontId="36" fillId="0" borderId="126" xfId="0" applyNumberFormat="1" applyFont="1" applyBorder="1"/>
    <xf numFmtId="183" fontId="40" fillId="0" borderId="127" xfId="0" applyNumberFormat="1" applyFont="1" applyBorder="1" applyAlignment="1">
      <alignment horizontal="center"/>
    </xf>
    <xf numFmtId="183" fontId="40" fillId="0" borderId="173" xfId="0" applyNumberFormat="1" applyFont="1" applyBorder="1" applyAlignment="1">
      <alignment horizontal="center"/>
    </xf>
    <xf numFmtId="183" fontId="36" fillId="0" borderId="174" xfId="0" applyNumberFormat="1" applyFont="1" applyBorder="1"/>
    <xf numFmtId="37" fontId="36" fillId="0" borderId="179" xfId="0" applyNumberFormat="1" applyFont="1" applyBorder="1" applyAlignment="1">
      <alignment horizontal="center"/>
    </xf>
    <xf numFmtId="37" fontId="36" fillId="0" borderId="181" xfId="0" applyNumberFormat="1" applyFont="1" applyBorder="1" applyAlignment="1">
      <alignment horizontal="center"/>
    </xf>
    <xf numFmtId="37" fontId="36" fillId="0" borderId="180" xfId="0" applyNumberFormat="1" applyFont="1" applyBorder="1" applyAlignment="1">
      <alignment horizontal="center"/>
    </xf>
    <xf numFmtId="37" fontId="36" fillId="0" borderId="161" xfId="0" applyNumberFormat="1" applyFont="1" applyBorder="1" applyAlignment="1">
      <alignment horizontal="center"/>
    </xf>
    <xf numFmtId="183" fontId="36" fillId="0" borderId="160" xfId="0" applyNumberFormat="1" applyFont="1" applyBorder="1" applyAlignment="1">
      <alignment horizontal="center"/>
    </xf>
    <xf numFmtId="183" fontId="36" fillId="0" borderId="160" xfId="0" applyNumberFormat="1" applyFont="1" applyBorder="1"/>
    <xf numFmtId="183" fontId="40" fillId="0" borderId="36" xfId="0" applyNumberFormat="1" applyFont="1" applyBorder="1" applyAlignment="1">
      <alignment horizontal="center"/>
    </xf>
    <xf numFmtId="37" fontId="22" fillId="3" borderId="8" xfId="0" applyNumberFormat="1" applyFont="1" applyFill="1" applyBorder="1" applyAlignment="1">
      <alignment vertical="center"/>
    </xf>
    <xf numFmtId="9" fontId="22" fillId="3" borderId="8" xfId="0" applyNumberFormat="1" applyFont="1" applyFill="1" applyBorder="1" applyAlignment="1">
      <alignment vertical="center"/>
    </xf>
    <xf numFmtId="187" fontId="22" fillId="3" borderId="8" xfId="0" applyNumberFormat="1" applyFont="1" applyFill="1" applyBorder="1" applyAlignment="1">
      <alignment vertical="center"/>
    </xf>
    <xf numFmtId="37" fontId="22" fillId="0" borderId="89" xfId="0" applyNumberFormat="1" applyFont="1" applyBorder="1" applyAlignment="1">
      <alignment vertical="center"/>
    </xf>
    <xf numFmtId="37" fontId="23" fillId="0" borderId="89" xfId="0" applyNumberFormat="1" applyFont="1" applyBorder="1" applyAlignment="1">
      <alignment horizontal="left" vertical="center"/>
    </xf>
    <xf numFmtId="37" fontId="22" fillId="0" borderId="148" xfId="0" applyNumberFormat="1" applyFont="1" applyBorder="1" applyAlignment="1">
      <alignment horizontal="center" vertical="center"/>
    </xf>
    <xf numFmtId="37" fontId="22" fillId="0" borderId="162" xfId="0" applyNumberFormat="1" applyFont="1" applyBorder="1" applyAlignment="1">
      <alignment vertical="center"/>
    </xf>
    <xf numFmtId="37" fontId="22" fillId="7" borderId="160" xfId="0" applyNumberFormat="1" applyFont="1" applyFill="1" applyBorder="1" applyAlignment="1">
      <alignment horizontal="center" vertical="center"/>
    </xf>
    <xf numFmtId="175" fontId="22" fillId="0" borderId="162" xfId="0" applyNumberFormat="1" applyFont="1" applyBorder="1" applyAlignment="1">
      <alignment vertical="center"/>
    </xf>
    <xf numFmtId="37" fontId="22" fillId="0" borderId="95" xfId="0" applyNumberFormat="1" applyFont="1" applyBorder="1" applyAlignment="1">
      <alignment vertical="center"/>
    </xf>
    <xf numFmtId="168" fontId="22" fillId="3" borderId="144" xfId="0" applyNumberFormat="1" applyFont="1" applyFill="1" applyBorder="1" applyAlignment="1">
      <alignment vertical="center"/>
    </xf>
    <xf numFmtId="168" fontId="22" fillId="0" borderId="55" xfId="0" applyNumberFormat="1" applyFont="1" applyBorder="1" applyAlignment="1">
      <alignment vertical="center"/>
    </xf>
    <xf numFmtId="168" fontId="22" fillId="0" borderId="54" xfId="0" applyNumberFormat="1" applyFont="1" applyBorder="1" applyAlignment="1">
      <alignment vertical="center"/>
    </xf>
    <xf numFmtId="37" fontId="22" fillId="7" borderId="109" xfId="0" applyNumberFormat="1" applyFont="1" applyFill="1" applyBorder="1" applyAlignment="1">
      <alignment horizontal="left" vertical="center"/>
    </xf>
    <xf numFmtId="168" fontId="22" fillId="0" borderId="135" xfId="0" applyNumberFormat="1" applyFont="1" applyBorder="1" applyAlignment="1">
      <alignment vertical="center"/>
    </xf>
    <xf numFmtId="168" fontId="22" fillId="13" borderId="171" xfId="0" applyNumberFormat="1" applyFont="1" applyFill="1" applyBorder="1" applyAlignment="1">
      <alignment vertical="center"/>
    </xf>
    <xf numFmtId="168" fontId="22" fillId="13" borderId="170" xfId="0" applyNumberFormat="1" applyFont="1" applyFill="1" applyBorder="1" applyAlignment="1">
      <alignment vertical="center"/>
    </xf>
    <xf numFmtId="37" fontId="22" fillId="7" borderId="134" xfId="0" applyNumberFormat="1" applyFont="1" applyFill="1" applyBorder="1" applyAlignment="1">
      <alignment horizontal="left" vertical="center"/>
    </xf>
    <xf numFmtId="37" fontId="22" fillId="7" borderId="163" xfId="0" applyNumberFormat="1" applyFont="1" applyFill="1" applyBorder="1" applyAlignment="1">
      <alignment horizontal="left" vertical="center"/>
    </xf>
    <xf numFmtId="168" fontId="22" fillId="0" borderId="133" xfId="0" applyNumberFormat="1" applyFont="1" applyBorder="1" applyAlignment="1">
      <alignment vertical="center"/>
    </xf>
    <xf numFmtId="168" fontId="22" fillId="0" borderId="126" xfId="0" applyNumberFormat="1" applyFont="1" applyBorder="1" applyAlignment="1">
      <alignment vertical="center"/>
    </xf>
    <xf numFmtId="168" fontId="22" fillId="0" borderId="127" xfId="0" applyNumberFormat="1" applyFont="1" applyBorder="1" applyAlignment="1">
      <alignment vertical="center"/>
    </xf>
    <xf numFmtId="168" fontId="22" fillId="0" borderId="128" xfId="0" applyNumberFormat="1" applyFont="1" applyBorder="1" applyAlignment="1">
      <alignment vertical="center"/>
    </xf>
    <xf numFmtId="168" fontId="22" fillId="0" borderId="129" xfId="0" applyNumberFormat="1" applyFont="1" applyBorder="1" applyAlignment="1">
      <alignment vertical="center"/>
    </xf>
    <xf numFmtId="168" fontId="22" fillId="0" borderId="101" xfId="0" applyNumberFormat="1" applyFont="1" applyBorder="1" applyAlignment="1">
      <alignment vertical="center"/>
    </xf>
    <xf numFmtId="168" fontId="22" fillId="0" borderId="99" xfId="0" applyNumberFormat="1" applyFont="1" applyBorder="1" applyAlignment="1">
      <alignment vertical="center"/>
    </xf>
    <xf numFmtId="168" fontId="22" fillId="0" borderId="136" xfId="0" applyNumberFormat="1" applyFont="1" applyBorder="1" applyAlignment="1">
      <alignment vertical="center"/>
    </xf>
    <xf numFmtId="9" fontId="22" fillId="7" borderId="155" xfId="0" applyNumberFormat="1" applyFont="1" applyFill="1" applyBorder="1" applyAlignment="1">
      <alignment vertical="center"/>
    </xf>
    <xf numFmtId="168" fontId="22" fillId="0" borderId="162" xfId="0" applyNumberFormat="1" applyFont="1" applyBorder="1"/>
    <xf numFmtId="168" fontId="22" fillId="0" borderId="161" xfId="0" applyNumberFormat="1" applyFont="1" applyBorder="1"/>
    <xf numFmtId="168" fontId="22" fillId="6" borderId="46" xfId="0" applyNumberFormat="1" applyFont="1" applyFill="1" applyBorder="1" applyAlignment="1">
      <alignment vertical="center"/>
    </xf>
    <xf numFmtId="168" fontId="22" fillId="6" borderId="150" xfId="0" applyNumberFormat="1" applyFont="1" applyFill="1" applyBorder="1" applyAlignment="1">
      <alignment vertical="center"/>
    </xf>
    <xf numFmtId="168" fontId="22" fillId="3" borderId="8" xfId="0" applyNumberFormat="1" applyFont="1" applyFill="1" applyBorder="1" applyAlignment="1">
      <alignment vertical="center"/>
    </xf>
    <xf numFmtId="168" fontId="22" fillId="0" borderId="101" xfId="0" applyNumberFormat="1" applyFont="1" applyBorder="1"/>
    <xf numFmtId="37" fontId="22" fillId="7" borderId="155" xfId="0" applyNumberFormat="1" applyFont="1" applyFill="1" applyBorder="1" applyAlignment="1">
      <alignment horizontal="left" vertical="center"/>
    </xf>
    <xf numFmtId="168" fontId="22" fillId="0" borderId="133" xfId="0" applyNumberFormat="1" applyFont="1" applyBorder="1"/>
    <xf numFmtId="168" fontId="22" fillId="0" borderId="95" xfId="0" applyNumberFormat="1" applyFont="1" applyBorder="1" applyAlignment="1">
      <alignment vertical="center"/>
    </xf>
    <xf numFmtId="37" fontId="22" fillId="7" borderId="164" xfId="0" applyNumberFormat="1" applyFont="1" applyFill="1" applyBorder="1" applyAlignment="1">
      <alignment horizontal="left" vertical="center"/>
    </xf>
    <xf numFmtId="168" fontId="22" fillId="0" borderId="93" xfId="0" applyNumberFormat="1" applyFont="1" applyBorder="1" applyAlignment="1">
      <alignment vertical="center"/>
    </xf>
    <xf numFmtId="43" fontId="23" fillId="0" borderId="112" xfId="0" applyNumberFormat="1" applyFont="1" applyBorder="1" applyAlignment="1">
      <alignment horizontal="left" vertical="center"/>
    </xf>
    <xf numFmtId="168" fontId="23" fillId="0" borderId="55" xfId="0" applyNumberFormat="1" applyFont="1" applyBorder="1" applyAlignment="1">
      <alignment vertical="center"/>
    </xf>
    <xf numFmtId="168" fontId="23" fillId="0" borderId="116" xfId="0" applyNumberFormat="1" applyFont="1" applyBorder="1" applyAlignment="1">
      <alignment vertical="center"/>
    </xf>
    <xf numFmtId="43" fontId="22" fillId="0" borderId="112" xfId="0" applyNumberFormat="1" applyFont="1" applyBorder="1" applyAlignment="1">
      <alignment horizontal="left" vertical="center"/>
    </xf>
    <xf numFmtId="168" fontId="22" fillId="0" borderId="116" xfId="0" applyNumberFormat="1" applyFont="1" applyBorder="1" applyAlignment="1">
      <alignment vertical="center"/>
    </xf>
    <xf numFmtId="37" fontId="23" fillId="15" borderId="8" xfId="0" applyNumberFormat="1" applyFont="1" applyFill="1" applyBorder="1" applyAlignment="1">
      <alignment vertical="center"/>
    </xf>
    <xf numFmtId="39" fontId="23" fillId="15" borderId="8" xfId="0" applyNumberFormat="1" applyFont="1" applyFill="1" applyBorder="1" applyAlignment="1">
      <alignment vertical="center"/>
    </xf>
    <xf numFmtId="37" fontId="22" fillId="15" borderId="8" xfId="0" applyNumberFormat="1" applyFont="1" applyFill="1" applyBorder="1" applyAlignment="1">
      <alignment vertical="center"/>
    </xf>
    <xf numFmtId="168" fontId="22" fillId="0" borderId="36" xfId="0" applyNumberFormat="1" applyFont="1" applyBorder="1" applyAlignment="1">
      <alignment vertical="center"/>
    </xf>
    <xf numFmtId="168" fontId="22" fillId="0" borderId="57" xfId="0" applyNumberFormat="1" applyFont="1" applyBorder="1" applyAlignment="1">
      <alignment vertical="center"/>
    </xf>
    <xf numFmtId="37" fontId="22" fillId="0" borderId="112" xfId="0" applyNumberFormat="1" applyFont="1" applyBorder="1" applyAlignment="1">
      <alignment vertical="center"/>
    </xf>
    <xf numFmtId="168" fontId="22" fillId="13" borderId="46" xfId="0" applyNumberFormat="1" applyFont="1" applyFill="1" applyBorder="1" applyAlignment="1">
      <alignment vertical="center"/>
    </xf>
    <xf numFmtId="168" fontId="22" fillId="13" borderId="157" xfId="0" applyNumberFormat="1" applyFont="1" applyFill="1" applyBorder="1" applyAlignment="1">
      <alignment vertical="center"/>
    </xf>
    <xf numFmtId="37" fontId="22" fillId="0" borderId="151" xfId="0" applyNumberFormat="1" applyFont="1" applyBorder="1" applyAlignment="1">
      <alignment vertical="center"/>
    </xf>
    <xf numFmtId="37" fontId="22" fillId="0" borderId="89" xfId="0" applyNumberFormat="1" applyFont="1" applyBorder="1" applyAlignment="1">
      <alignment horizontal="center" vertical="center"/>
    </xf>
    <xf numFmtId="43" fontId="22" fillId="0" borderId="89" xfId="0" applyNumberFormat="1" applyFont="1" applyBorder="1" applyAlignment="1">
      <alignment horizontal="left" vertical="center"/>
    </xf>
    <xf numFmtId="37" fontId="22" fillId="0" borderId="89" xfId="0" applyNumberFormat="1" applyFont="1" applyBorder="1" applyAlignment="1">
      <alignment horizontal="left" vertical="center"/>
    </xf>
    <xf numFmtId="168" fontId="22" fillId="0" borderId="89" xfId="0" applyNumberFormat="1" applyFont="1" applyBorder="1" applyAlignment="1">
      <alignment vertical="center"/>
    </xf>
    <xf numFmtId="168" fontId="22" fillId="0" borderId="81" xfId="0" applyNumberFormat="1" applyFont="1" applyBorder="1" applyAlignment="1">
      <alignment vertical="center"/>
    </xf>
    <xf numFmtId="43" fontId="22" fillId="0" borderId="52" xfId="0" applyNumberFormat="1" applyFont="1" applyBorder="1" applyAlignment="1">
      <alignment horizontal="left" vertical="center"/>
    </xf>
    <xf numFmtId="37" fontId="22" fillId="0" borderId="52" xfId="0" applyNumberFormat="1" applyFont="1" applyBorder="1" applyAlignment="1">
      <alignment horizontal="left" vertical="center"/>
    </xf>
    <xf numFmtId="168" fontId="22" fillId="0" borderId="173" xfId="0" applyNumberFormat="1" applyFont="1" applyBorder="1" applyAlignment="1">
      <alignment vertical="center"/>
    </xf>
    <xf numFmtId="43" fontId="22" fillId="0" borderId="99" xfId="0" applyNumberFormat="1" applyFont="1" applyBorder="1" applyAlignment="1">
      <alignment horizontal="left" vertical="center"/>
    </xf>
    <xf numFmtId="43" fontId="22" fillId="0" borderId="54" xfId="0" applyNumberFormat="1" applyFont="1" applyBorder="1" applyAlignment="1">
      <alignment horizontal="left" vertical="center"/>
    </xf>
    <xf numFmtId="37" fontId="22" fillId="0" borderId="54" xfId="0" applyNumberFormat="1" applyFont="1" applyBorder="1" applyAlignment="1">
      <alignment horizontal="left" vertical="center"/>
    </xf>
    <xf numFmtId="37" fontId="22" fillId="0" borderId="177" xfId="0" applyNumberFormat="1" applyFont="1" applyBorder="1" applyAlignment="1">
      <alignment horizontal="center" vertical="center"/>
    </xf>
    <xf numFmtId="37" fontId="22" fillId="0" borderId="178" xfId="0" applyNumberFormat="1" applyFont="1" applyBorder="1" applyAlignment="1">
      <alignment horizontal="center" vertical="center"/>
    </xf>
    <xf numFmtId="43" fontId="22" fillId="0" borderId="178" xfId="0" applyNumberFormat="1" applyFont="1" applyBorder="1" applyAlignment="1">
      <alignment horizontal="left" vertical="center"/>
    </xf>
    <xf numFmtId="37" fontId="22" fillId="0" borderId="178" xfId="0" applyNumberFormat="1" applyFont="1" applyBorder="1" applyAlignment="1">
      <alignment horizontal="left" vertical="center"/>
    </xf>
    <xf numFmtId="37" fontId="22" fillId="0" borderId="178" xfId="0" applyNumberFormat="1" applyFont="1" applyBorder="1" applyAlignment="1">
      <alignment vertical="center"/>
    </xf>
    <xf numFmtId="168" fontId="22" fillId="0" borderId="178" xfId="0" applyNumberFormat="1" applyFont="1" applyBorder="1" applyAlignment="1">
      <alignment vertical="center"/>
    </xf>
    <xf numFmtId="168" fontId="22" fillId="0" borderId="83" xfId="0" applyNumberFormat="1" applyFont="1" applyBorder="1" applyAlignment="1">
      <alignment vertical="center"/>
    </xf>
    <xf numFmtId="173" fontId="22" fillId="3" borderId="8" xfId="0" applyNumberFormat="1" applyFont="1" applyFill="1" applyBorder="1" applyAlignment="1">
      <alignment vertical="center"/>
    </xf>
    <xf numFmtId="173" fontId="22" fillId="0" borderId="181" xfId="0" applyNumberFormat="1" applyFont="1" applyBorder="1" applyAlignment="1">
      <alignment horizontal="right" vertical="center"/>
    </xf>
    <xf numFmtId="173" fontId="22" fillId="0" borderId="180" xfId="0" applyNumberFormat="1" applyFont="1" applyBorder="1" applyAlignment="1">
      <alignment vertical="center"/>
    </xf>
    <xf numFmtId="37" fontId="58" fillId="0" borderId="160" xfId="0" applyNumberFormat="1" applyFont="1" applyBorder="1"/>
    <xf numFmtId="14" fontId="58" fillId="0" borderId="160" xfId="0" applyNumberFormat="1" applyFont="1" applyBorder="1"/>
    <xf numFmtId="37" fontId="56" fillId="0" borderId="160" xfId="0" applyNumberFormat="1" applyFont="1" applyBorder="1"/>
    <xf numFmtId="168" fontId="56" fillId="0" borderId="160" xfId="0" applyNumberFormat="1" applyFont="1" applyBorder="1"/>
    <xf numFmtId="168" fontId="58" fillId="0" borderId="160" xfId="0" applyNumberFormat="1" applyFont="1" applyBorder="1"/>
    <xf numFmtId="0" fontId="7" fillId="17" borderId="8" xfId="0" applyFont="1" applyFill="1" applyBorder="1" applyAlignment="1">
      <alignment horizontal="center"/>
    </xf>
    <xf numFmtId="0" fontId="34" fillId="17" borderId="160" xfId="0" applyFont="1" applyFill="1" applyBorder="1" applyAlignment="1">
      <alignment horizontal="center"/>
    </xf>
    <xf numFmtId="1" fontId="34" fillId="17" borderId="160" xfId="0" applyNumberFormat="1" applyFont="1" applyFill="1" applyBorder="1" applyAlignment="1">
      <alignment horizontal="center"/>
    </xf>
    <xf numFmtId="1" fontId="34" fillId="17" borderId="8" xfId="0" applyNumberFormat="1" applyFont="1" applyFill="1" applyBorder="1" applyAlignment="1">
      <alignment horizontal="center"/>
    </xf>
    <xf numFmtId="0" fontId="34" fillId="0" borderId="12" xfId="0" applyFont="1" applyBorder="1"/>
    <xf numFmtId="0" fontId="7" fillId="0" borderId="13" xfId="0" applyFont="1" applyBorder="1"/>
    <xf numFmtId="0" fontId="7" fillId="0" borderId="12" xfId="0" applyFont="1" applyBorder="1"/>
    <xf numFmtId="168" fontId="7" fillId="3" borderId="8" xfId="0" applyNumberFormat="1" applyFont="1" applyFill="1" applyBorder="1"/>
    <xf numFmtId="173" fontId="7" fillId="0" borderId="13" xfId="0" applyNumberFormat="1" applyFont="1" applyBorder="1"/>
    <xf numFmtId="168" fontId="7" fillId="17" borderId="8" xfId="0" applyNumberFormat="1" applyFont="1" applyFill="1" applyBorder="1"/>
    <xf numFmtId="43" fontId="7" fillId="3" borderId="8" xfId="0" applyNumberFormat="1" applyFont="1" applyFill="1" applyBorder="1"/>
    <xf numFmtId="0" fontId="7" fillId="0" borderId="89" xfId="0" applyFont="1" applyBorder="1"/>
    <xf numFmtId="0" fontId="7" fillId="7" borderId="76" xfId="0" applyFont="1" applyFill="1" applyBorder="1"/>
    <xf numFmtId="168" fontId="7" fillId="7" borderId="76" xfId="0" applyNumberFormat="1" applyFont="1" applyFill="1" applyBorder="1"/>
    <xf numFmtId="0" fontId="7" fillId="7" borderId="78" xfId="0" applyFont="1" applyFill="1" applyBorder="1"/>
    <xf numFmtId="171" fontId="7" fillId="7" borderId="78" xfId="0" applyNumberFormat="1" applyFont="1" applyFill="1" applyBorder="1"/>
    <xf numFmtId="0" fontId="7" fillId="7" borderId="160" xfId="0" applyFont="1" applyFill="1" applyBorder="1"/>
    <xf numFmtId="43" fontId="7" fillId="7" borderId="78" xfId="0" applyNumberFormat="1" applyFont="1" applyFill="1" applyBorder="1"/>
    <xf numFmtId="43" fontId="7" fillId="0" borderId="179" xfId="0" applyNumberFormat="1" applyFont="1" applyBorder="1" applyAlignment="1">
      <alignment horizontal="center"/>
    </xf>
    <xf numFmtId="43" fontId="56" fillId="0" borderId="179" xfId="0" applyNumberFormat="1" applyFont="1" applyBorder="1" applyAlignment="1">
      <alignment horizontal="center"/>
    </xf>
    <xf numFmtId="37" fontId="56" fillId="0" borderId="180" xfId="0" applyNumberFormat="1" applyFont="1" applyBorder="1" applyAlignment="1">
      <alignment horizontal="center"/>
    </xf>
    <xf numFmtId="9" fontId="7" fillId="0" borderId="36" xfId="0" applyNumberFormat="1" applyFont="1" applyBorder="1" applyAlignment="1">
      <alignment horizontal="center"/>
    </xf>
    <xf numFmtId="192" fontId="7" fillId="0" borderId="36" xfId="0" applyNumberFormat="1" applyFont="1" applyBorder="1" applyAlignment="1">
      <alignment horizontal="center"/>
    </xf>
    <xf numFmtId="9" fontId="7" fillId="0" borderId="133" xfId="0" applyNumberFormat="1" applyFont="1" applyBorder="1" applyAlignment="1">
      <alignment horizontal="center"/>
    </xf>
    <xf numFmtId="10" fontId="7" fillId="0" borderId="36" xfId="0" applyNumberFormat="1" applyFont="1" applyBorder="1" applyAlignment="1">
      <alignment horizontal="center"/>
    </xf>
    <xf numFmtId="43" fontId="7" fillId="0" borderId="161" xfId="0" applyNumberFormat="1" applyFont="1" applyBorder="1"/>
    <xf numFmtId="9" fontId="7" fillId="0" borderId="162" xfId="0" applyNumberFormat="1" applyFont="1" applyBorder="1" applyAlignment="1">
      <alignment horizontal="center"/>
    </xf>
    <xf numFmtId="43" fontId="7" fillId="0" borderId="179" xfId="0" applyNumberFormat="1" applyFont="1" applyBorder="1"/>
    <xf numFmtId="168" fontId="7" fillId="0" borderId="179" xfId="0" applyNumberFormat="1" applyFont="1" applyBorder="1"/>
    <xf numFmtId="168" fontId="7" fillId="0" borderId="180" xfId="0" applyNumberFormat="1" applyFont="1" applyBorder="1"/>
    <xf numFmtId="0" fontId="7" fillId="0" borderId="179" xfId="0" applyFont="1" applyBorder="1" applyAlignment="1">
      <alignment horizontal="left"/>
    </xf>
    <xf numFmtId="0" fontId="7" fillId="0" borderId="180" xfId="0" applyFont="1" applyBorder="1" applyAlignment="1">
      <alignment horizontal="left"/>
    </xf>
    <xf numFmtId="0" fontId="7" fillId="0" borderId="36" xfId="0" applyFont="1" applyBorder="1"/>
    <xf numFmtId="0" fontId="57" fillId="0" borderId="36" xfId="0" applyFont="1" applyBorder="1"/>
    <xf numFmtId="2" fontId="60" fillId="0" borderId="36" xfId="0" applyNumberFormat="1" applyFont="1" applyBorder="1"/>
    <xf numFmtId="2" fontId="57" fillId="0" borderId="36" xfId="0" applyNumberFormat="1" applyFont="1" applyBorder="1"/>
    <xf numFmtId="0" fontId="60" fillId="0" borderId="36" xfId="0" applyFont="1" applyBorder="1"/>
    <xf numFmtId="43" fontId="8" fillId="0" borderId="179" xfId="0" applyNumberFormat="1" applyFont="1" applyBorder="1"/>
    <xf numFmtId="193" fontId="8" fillId="0" borderId="181" xfId="0" applyNumberFormat="1" applyFont="1" applyBorder="1"/>
    <xf numFmtId="0" fontId="7" fillId="0" borderId="179" xfId="0" applyFont="1" applyBorder="1"/>
    <xf numFmtId="41" fontId="7" fillId="0" borderId="181" xfId="0" applyNumberFormat="1" applyFont="1" applyBorder="1"/>
    <xf numFmtId="0" fontId="7" fillId="0" borderId="179" xfId="0" applyFont="1" applyBorder="1" applyAlignment="1">
      <alignment horizontal="center"/>
    </xf>
    <xf numFmtId="0" fontId="7" fillId="0" borderId="181" xfId="0" applyFont="1" applyBorder="1"/>
    <xf numFmtId="43" fontId="7" fillId="0" borderId="181" xfId="0" applyNumberFormat="1" applyFont="1" applyBorder="1"/>
    <xf numFmtId="43" fontId="7" fillId="0" borderId="180" xfId="0" applyNumberFormat="1" applyFont="1" applyBorder="1"/>
    <xf numFmtId="9" fontId="22" fillId="19" borderId="97" xfId="0" applyNumberFormat="1" applyFont="1" applyFill="1" applyBorder="1" applyAlignment="1">
      <alignment vertical="center"/>
    </xf>
    <xf numFmtId="9" fontId="22" fillId="19" borderId="54" xfId="0" applyNumberFormat="1" applyFont="1" applyFill="1" applyBorder="1" applyAlignment="1">
      <alignment vertical="center"/>
    </xf>
    <xf numFmtId="10" fontId="22" fillId="19" borderId="54" xfId="0" applyNumberFormat="1" applyFont="1" applyFill="1" applyBorder="1" applyAlignment="1">
      <alignment vertical="center"/>
    </xf>
    <xf numFmtId="9" fontId="22" fillId="19" borderId="112" xfId="0" applyNumberFormat="1" applyFont="1" applyFill="1" applyBorder="1" applyAlignment="1">
      <alignment horizontal="right" vertical="center"/>
    </xf>
    <xf numFmtId="2" fontId="22" fillId="0" borderId="1" xfId="0" applyNumberFormat="1" applyFont="1" applyBorder="1" applyAlignment="1">
      <alignment vertical="center"/>
    </xf>
    <xf numFmtId="0" fontId="23" fillId="6" borderId="8" xfId="0" applyFont="1" applyFill="1" applyBorder="1" applyAlignment="1">
      <alignment horizontal="right" vertical="top" wrapText="1"/>
    </xf>
    <xf numFmtId="0" fontId="58" fillId="6" borderId="8" xfId="0" applyFont="1" applyFill="1" applyBorder="1" applyAlignment="1">
      <alignment horizontal="right" vertical="top" wrapText="1"/>
    </xf>
    <xf numFmtId="176" fontId="22" fillId="0" borderId="0" xfId="0" applyNumberFormat="1" applyFont="1" applyAlignment="1">
      <alignment horizontal="left" vertical="center"/>
    </xf>
    <xf numFmtId="2" fontId="26" fillId="0" borderId="0" xfId="0" applyNumberFormat="1" applyFont="1" applyAlignment="1">
      <alignment vertical="center"/>
    </xf>
    <xf numFmtId="171" fontId="22" fillId="0" borderId="0" xfId="0" applyNumberFormat="1" applyFont="1" applyAlignment="1">
      <alignment horizontal="left" vertical="top" wrapText="1"/>
    </xf>
    <xf numFmtId="173" fontId="0" fillId="0" borderId="0" xfId="0" applyNumberFormat="1"/>
    <xf numFmtId="196" fontId="0" fillId="0" borderId="0" xfId="0" applyNumberFormat="1"/>
    <xf numFmtId="197" fontId="0" fillId="0" borderId="0" xfId="0" applyNumberFormat="1"/>
    <xf numFmtId="173" fontId="34" fillId="0" borderId="0" xfId="0" applyNumberFormat="1" applyFont="1" applyAlignment="1">
      <alignment horizontal="right"/>
    </xf>
    <xf numFmtId="173" fontId="34" fillId="0" borderId="0" xfId="0" applyNumberFormat="1" applyFont="1" applyAlignment="1">
      <alignment horizontal="center"/>
    </xf>
    <xf numFmtId="173" fontId="22" fillId="19" borderId="8" xfId="0" applyNumberFormat="1" applyFont="1" applyFill="1" applyBorder="1" applyAlignment="1">
      <alignment vertical="center"/>
    </xf>
    <xf numFmtId="0" fontId="7" fillId="19" borderId="0" xfId="0" applyFont="1" applyFill="1"/>
    <xf numFmtId="37" fontId="22" fillId="19" borderId="0" xfId="0" applyNumberFormat="1" applyFont="1" applyFill="1" applyAlignment="1">
      <alignment vertical="center"/>
    </xf>
    <xf numFmtId="0" fontId="65" fillId="0" borderId="0" xfId="0" applyFont="1" applyAlignment="1">
      <alignment vertical="top"/>
    </xf>
    <xf numFmtId="0" fontId="68" fillId="0" borderId="185" xfId="0" applyFont="1" applyBorder="1" applyAlignment="1">
      <alignment vertical="top"/>
    </xf>
    <xf numFmtId="9" fontId="68" fillId="0" borderId="185" xfId="0" applyNumberFormat="1" applyFont="1" applyBorder="1" applyAlignment="1">
      <alignment vertical="top"/>
    </xf>
    <xf numFmtId="197" fontId="68" fillId="0" borderId="185" xfId="2" applyNumberFormat="1" applyFont="1" applyBorder="1" applyAlignment="1">
      <alignment vertical="top"/>
    </xf>
    <xf numFmtId="10" fontId="68" fillId="0" borderId="185" xfId="1" applyNumberFormat="1" applyFont="1" applyBorder="1" applyAlignment="1">
      <alignment vertical="top"/>
    </xf>
    <xf numFmtId="2" fontId="68" fillId="0" borderId="185" xfId="0" applyNumberFormat="1" applyFont="1" applyBorder="1" applyAlignment="1">
      <alignment vertical="top"/>
    </xf>
    <xf numFmtId="192" fontId="68" fillId="0" borderId="185" xfId="0" applyNumberFormat="1" applyFont="1" applyBorder="1" applyAlignment="1">
      <alignment vertical="top"/>
    </xf>
    <xf numFmtId="0" fontId="67" fillId="0" borderId="185" xfId="0" applyFont="1" applyBorder="1" applyAlignment="1">
      <alignment horizontal="center" vertical="top"/>
    </xf>
    <xf numFmtId="0" fontId="69" fillId="0" borderId="0" xfId="0" applyFont="1"/>
    <xf numFmtId="192" fontId="68" fillId="0" borderId="185" xfId="1" applyNumberFormat="1" applyFont="1" applyBorder="1" applyAlignment="1">
      <alignment vertical="top"/>
    </xf>
    <xf numFmtId="0" fontId="68" fillId="0" borderId="0" xfId="0" applyFont="1" applyAlignment="1">
      <alignment vertical="top"/>
    </xf>
    <xf numFmtId="37" fontId="73" fillId="0" borderId="184" xfId="4" applyFont="1" applyBorder="1"/>
    <xf numFmtId="0" fontId="13" fillId="0" borderId="8" xfId="5"/>
    <xf numFmtId="0" fontId="73" fillId="0" borderId="8" xfId="3" applyFont="1" applyFill="1" applyBorder="1" applyAlignment="1" applyProtection="1"/>
    <xf numFmtId="0" fontId="76" fillId="0" borderId="8" xfId="3" applyFont="1" applyFill="1" applyBorder="1" applyAlignment="1" applyProtection="1"/>
    <xf numFmtId="0" fontId="76" fillId="0" borderId="190" xfId="3" applyFont="1" applyFill="1" applyBorder="1" applyAlignment="1" applyProtection="1"/>
    <xf numFmtId="37" fontId="73" fillId="0" borderId="190" xfId="4" applyFont="1" applyBorder="1"/>
    <xf numFmtId="0" fontId="13" fillId="0" borderId="191" xfId="5" applyBorder="1"/>
    <xf numFmtId="0" fontId="13" fillId="0" borderId="192" xfId="5" applyBorder="1"/>
    <xf numFmtId="0" fontId="13" fillId="0" borderId="193" xfId="5" applyBorder="1"/>
    <xf numFmtId="0" fontId="13" fillId="0" borderId="182" xfId="5" applyBorder="1"/>
    <xf numFmtId="164" fontId="13" fillId="0" borderId="183" xfId="5" applyNumberFormat="1" applyBorder="1"/>
    <xf numFmtId="0" fontId="13" fillId="0" borderId="184" xfId="5" applyBorder="1"/>
    <xf numFmtId="0" fontId="77" fillId="0" borderId="8" xfId="5" applyFont="1"/>
    <xf numFmtId="0" fontId="13" fillId="0" borderId="186" xfId="5" applyBorder="1"/>
    <xf numFmtId="0" fontId="13" fillId="0" borderId="188" xfId="5" applyBorder="1"/>
    <xf numFmtId="0" fontId="13" fillId="25" borderId="185" xfId="5" applyFill="1" applyBorder="1"/>
    <xf numFmtId="0" fontId="13" fillId="0" borderId="183" xfId="5" applyBorder="1"/>
    <xf numFmtId="197" fontId="0" fillId="0" borderId="188" xfId="6" applyNumberFormat="1" applyFont="1" applyBorder="1"/>
    <xf numFmtId="197" fontId="0" fillId="0" borderId="185" xfId="6" applyNumberFormat="1" applyFont="1" applyBorder="1"/>
    <xf numFmtId="0" fontId="13" fillId="0" borderId="187" xfId="5" applyBorder="1"/>
    <xf numFmtId="194" fontId="13" fillId="0" borderId="185" xfId="5" applyNumberFormat="1" applyBorder="1"/>
    <xf numFmtId="197" fontId="0" fillId="26" borderId="187" xfId="6" applyNumberFormat="1" applyFont="1" applyFill="1" applyBorder="1"/>
    <xf numFmtId="10" fontId="56" fillId="26" borderId="0" xfId="0" applyNumberFormat="1" applyFont="1" applyFill="1"/>
    <xf numFmtId="10" fontId="13" fillId="0" borderId="8" xfId="5" applyNumberFormat="1"/>
    <xf numFmtId="168" fontId="22" fillId="6" borderId="101" xfId="0" applyNumberFormat="1" applyFont="1" applyFill="1" applyBorder="1" applyAlignment="1">
      <alignment vertical="center"/>
    </xf>
    <xf numFmtId="168" fontId="22" fillId="6" borderId="170" xfId="0" applyNumberFormat="1" applyFont="1" applyFill="1" applyBorder="1" applyAlignment="1">
      <alignment vertical="center"/>
    </xf>
    <xf numFmtId="168" fontId="22" fillId="6" borderId="171" xfId="0" applyNumberFormat="1" applyFont="1" applyFill="1" applyBorder="1" applyAlignment="1">
      <alignment vertical="center"/>
    </xf>
    <xf numFmtId="10" fontId="13" fillId="0" borderId="187" xfId="5" applyNumberFormat="1" applyBorder="1"/>
    <xf numFmtId="0" fontId="78" fillId="27" borderId="8" xfId="0" applyFont="1" applyFill="1" applyBorder="1"/>
    <xf numFmtId="0" fontId="13" fillId="0" borderId="8" xfId="0" applyFont="1" applyBorder="1"/>
    <xf numFmtId="0" fontId="13" fillId="28" borderId="8" xfId="0" applyFont="1" applyFill="1" applyBorder="1"/>
    <xf numFmtId="0" fontId="13" fillId="29" borderId="8" xfId="0" applyFont="1" applyFill="1" applyBorder="1"/>
    <xf numFmtId="37" fontId="13" fillId="0" borderId="8" xfId="0" applyNumberFormat="1" applyFont="1" applyBorder="1"/>
    <xf numFmtId="197" fontId="0" fillId="26" borderId="0" xfId="0" applyNumberFormat="1" applyFill="1"/>
    <xf numFmtId="9" fontId="0" fillId="26" borderId="0" xfId="0" applyNumberFormat="1" applyFill="1"/>
    <xf numFmtId="1" fontId="0" fillId="26" borderId="0" xfId="0" applyNumberFormat="1" applyFill="1"/>
    <xf numFmtId="14" fontId="0" fillId="0" borderId="0" xfId="0" applyNumberFormat="1"/>
    <xf numFmtId="197" fontId="78" fillId="27" borderId="8" xfId="0" applyNumberFormat="1" applyFont="1" applyFill="1" applyBorder="1"/>
    <xf numFmtId="1" fontId="0" fillId="0" borderId="0" xfId="0" applyNumberFormat="1"/>
    <xf numFmtId="0" fontId="79" fillId="0" borderId="0" xfId="0" applyFont="1"/>
    <xf numFmtId="0" fontId="80" fillId="0" borderId="0" xfId="0" applyFont="1"/>
    <xf numFmtId="0" fontId="79" fillId="31" borderId="0" xfId="0" applyFont="1" applyFill="1"/>
    <xf numFmtId="0" fontId="79" fillId="0" borderId="196" xfId="0" applyFont="1" applyBorder="1"/>
    <xf numFmtId="10" fontId="79" fillId="0" borderId="0" xfId="0" applyNumberFormat="1" applyFont="1"/>
    <xf numFmtId="0" fontId="79" fillId="0" borderId="197" xfId="0" applyFont="1" applyBorder="1"/>
    <xf numFmtId="10" fontId="79" fillId="30" borderId="194" xfId="0" applyNumberFormat="1" applyFont="1" applyFill="1" applyBorder="1"/>
    <xf numFmtId="10" fontId="79" fillId="30" borderId="198" xfId="0" applyNumberFormat="1" applyFont="1" applyFill="1" applyBorder="1"/>
    <xf numFmtId="0" fontId="79" fillId="0" borderId="0" xfId="0" applyFont="1" applyAlignment="1">
      <alignment horizontal="center"/>
    </xf>
    <xf numFmtId="9" fontId="79" fillId="0" borderId="0" xfId="0" applyNumberFormat="1" applyFont="1"/>
    <xf numFmtId="197" fontId="79" fillId="30" borderId="194" xfId="0" applyNumberFormat="1" applyFont="1" applyFill="1" applyBorder="1"/>
    <xf numFmtId="197" fontId="79" fillId="30" borderId="195" xfId="0" applyNumberFormat="1" applyFont="1" applyFill="1" applyBorder="1"/>
    <xf numFmtId="165" fontId="79" fillId="0" borderId="0" xfId="0" applyNumberFormat="1" applyFont="1"/>
    <xf numFmtId="197" fontId="79" fillId="0" borderId="0" xfId="0" applyNumberFormat="1" applyFont="1"/>
    <xf numFmtId="197" fontId="79" fillId="31" borderId="0" xfId="0" applyNumberFormat="1" applyFont="1" applyFill="1"/>
    <xf numFmtId="197" fontId="81" fillId="0" borderId="196" xfId="0" applyNumberFormat="1" applyFont="1" applyBorder="1"/>
    <xf numFmtId="10" fontId="80" fillId="0" borderId="0" xfId="0" applyNumberFormat="1" applyFont="1"/>
    <xf numFmtId="37" fontId="23" fillId="0" borderId="91" xfId="0" applyNumberFormat="1" applyFont="1" applyBorder="1" applyAlignment="1">
      <alignment horizontal="center" vertical="center"/>
    </xf>
    <xf numFmtId="37" fontId="23" fillId="0" borderId="106" xfId="0" applyNumberFormat="1" applyFont="1" applyBorder="1" applyAlignment="1">
      <alignment vertical="center"/>
    </xf>
    <xf numFmtId="37" fontId="23" fillId="0" borderId="106" xfId="0" applyNumberFormat="1" applyFont="1" applyBorder="1" applyAlignment="1">
      <alignment horizontal="left" vertical="center"/>
    </xf>
    <xf numFmtId="37" fontId="23" fillId="7" borderId="163" xfId="0" applyNumberFormat="1" applyFont="1" applyFill="1" applyBorder="1" applyAlignment="1">
      <alignment horizontal="left" vertical="center"/>
    </xf>
    <xf numFmtId="37" fontId="23" fillId="16" borderId="108" xfId="0" applyNumberFormat="1" applyFont="1" applyFill="1" applyBorder="1" applyAlignment="1">
      <alignment vertical="center"/>
    </xf>
    <xf numFmtId="168" fontId="23" fillId="0" borderId="133" xfId="0" applyNumberFormat="1" applyFont="1" applyBorder="1" applyAlignment="1">
      <alignment vertical="center"/>
    </xf>
    <xf numFmtId="168" fontId="23" fillId="16" borderId="108" xfId="0" applyNumberFormat="1" applyFont="1" applyFill="1" applyBorder="1" applyAlignment="1">
      <alignment vertical="center"/>
    </xf>
    <xf numFmtId="168" fontId="82" fillId="3" borderId="55" xfId="0" applyNumberFormat="1" applyFont="1" applyFill="1" applyBorder="1" applyAlignment="1">
      <alignment vertical="center"/>
    </xf>
    <xf numFmtId="43" fontId="79" fillId="0" borderId="197" xfId="0" applyNumberFormat="1" applyFont="1" applyBorder="1"/>
    <xf numFmtId="3" fontId="13" fillId="0" borderId="8" xfId="0" applyNumberFormat="1" applyFont="1" applyBorder="1"/>
    <xf numFmtId="9" fontId="13" fillId="0" borderId="8" xfId="0" applyNumberFormat="1" applyFont="1" applyBorder="1"/>
    <xf numFmtId="3" fontId="13" fillId="28" borderId="8" xfId="0" applyNumberFormat="1" applyFont="1" applyFill="1" applyBorder="1"/>
    <xf numFmtId="1" fontId="13" fillId="0" borderId="8" xfId="0" applyNumberFormat="1" applyFont="1" applyBorder="1"/>
    <xf numFmtId="197" fontId="13" fillId="29" borderId="8" xfId="0" applyNumberFormat="1" applyFont="1" applyFill="1" applyBorder="1"/>
    <xf numFmtId="9" fontId="13" fillId="29" borderId="8" xfId="0" applyNumberFormat="1" applyFont="1" applyFill="1" applyBorder="1"/>
    <xf numFmtId="37" fontId="22" fillId="19" borderId="148" xfId="0" applyNumberFormat="1" applyFont="1" applyFill="1" applyBorder="1" applyAlignment="1">
      <alignment horizontal="center" vertical="center"/>
    </xf>
    <xf numFmtId="37" fontId="22" fillId="19" borderId="21" xfId="0" applyNumberFormat="1" applyFont="1" applyFill="1" applyBorder="1" applyAlignment="1">
      <alignment horizontal="left" vertical="center"/>
    </xf>
    <xf numFmtId="37" fontId="22" fillId="19" borderId="27" xfId="0" applyNumberFormat="1" applyFont="1" applyFill="1" applyBorder="1" applyAlignment="1">
      <alignment vertical="center"/>
    </xf>
    <xf numFmtId="168" fontId="22" fillId="19" borderId="55" xfId="0" applyNumberFormat="1" applyFont="1" applyFill="1" applyBorder="1" applyAlignment="1">
      <alignment vertical="center"/>
    </xf>
    <xf numFmtId="168" fontId="22" fillId="19" borderId="54" xfId="0" applyNumberFormat="1" applyFont="1" applyFill="1" applyBorder="1" applyAlignment="1">
      <alignment vertical="center"/>
    </xf>
    <xf numFmtId="168" fontId="22" fillId="19" borderId="27" xfId="0" applyNumberFormat="1" applyFont="1" applyFill="1" applyBorder="1" applyAlignment="1">
      <alignment vertical="center"/>
    </xf>
    <xf numFmtId="37" fontId="9" fillId="0" borderId="0" xfId="0" applyNumberFormat="1" applyFont="1" applyAlignment="1">
      <alignment vertical="center"/>
    </xf>
    <xf numFmtId="37" fontId="10" fillId="10" borderId="8" xfId="0" applyNumberFormat="1" applyFont="1" applyFill="1" applyBorder="1" applyAlignment="1">
      <alignment vertical="center"/>
    </xf>
    <xf numFmtId="37" fontId="9" fillId="10" borderId="8" xfId="0" applyNumberFormat="1" applyFont="1" applyFill="1" applyBorder="1" applyAlignment="1">
      <alignment vertical="center"/>
    </xf>
    <xf numFmtId="37" fontId="11" fillId="10" borderId="8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37" fontId="11" fillId="0" borderId="0" xfId="0" applyNumberFormat="1" applyFont="1" applyAlignment="1">
      <alignment vertical="center"/>
    </xf>
    <xf numFmtId="37" fontId="12" fillId="0" borderId="0" xfId="0" applyNumberFormat="1" applyFont="1" applyAlignment="1">
      <alignment vertical="center"/>
    </xf>
    <xf numFmtId="0" fontId="83" fillId="0" borderId="0" xfId="0" applyFont="1" applyAlignment="1">
      <alignment vertical="center"/>
    </xf>
    <xf numFmtId="43" fontId="9" fillId="10" borderId="8" xfId="0" applyNumberFormat="1" applyFont="1" applyFill="1" applyBorder="1" applyAlignment="1">
      <alignment vertical="center"/>
    </xf>
    <xf numFmtId="37" fontId="14" fillId="10" borderId="8" xfId="0" applyNumberFormat="1" applyFont="1" applyFill="1" applyBorder="1" applyAlignment="1">
      <alignment horizontal="center" vertical="center" wrapText="1"/>
    </xf>
    <xf numFmtId="37" fontId="10" fillId="10" borderId="8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37" fontId="16" fillId="10" borderId="8" xfId="0" applyNumberFormat="1" applyFont="1" applyFill="1" applyBorder="1" applyAlignment="1">
      <alignment horizontal="left" vertical="center" wrapText="1"/>
    </xf>
    <xf numFmtId="14" fontId="16" fillId="10" borderId="8" xfId="0" applyNumberFormat="1" applyFont="1" applyFill="1" applyBorder="1" applyAlignment="1">
      <alignment horizontal="center" vertical="center"/>
    </xf>
    <xf numFmtId="37" fontId="1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37" fontId="16" fillId="10" borderId="8" xfId="0" applyNumberFormat="1" applyFont="1" applyFill="1" applyBorder="1" applyAlignment="1">
      <alignment horizontal="center" vertical="center"/>
    </xf>
    <xf numFmtId="39" fontId="16" fillId="10" borderId="8" xfId="0" applyNumberFormat="1" applyFont="1" applyFill="1" applyBorder="1" applyAlignment="1">
      <alignment horizontal="center" vertical="center"/>
    </xf>
    <xf numFmtId="39" fontId="17" fillId="0" borderId="0" xfId="0" applyNumberFormat="1" applyFont="1" applyAlignment="1">
      <alignment horizontal="center" vertical="center"/>
    </xf>
    <xf numFmtId="39" fontId="10" fillId="10" borderId="8" xfId="0" applyNumberFormat="1" applyFont="1" applyFill="1" applyBorder="1" applyAlignment="1">
      <alignment vertical="center"/>
    </xf>
    <xf numFmtId="37" fontId="12" fillId="0" borderId="0" xfId="0" applyNumberFormat="1" applyFont="1" applyAlignment="1">
      <alignment horizontal="center" vertical="center" wrapText="1"/>
    </xf>
    <xf numFmtId="170" fontId="12" fillId="0" borderId="0" xfId="0" applyNumberFormat="1" applyFont="1" applyAlignment="1">
      <alignment vertical="center"/>
    </xf>
    <xf numFmtId="39" fontId="12" fillId="0" borderId="0" xfId="0" applyNumberFormat="1" applyFont="1" applyAlignment="1">
      <alignment vertical="center"/>
    </xf>
    <xf numFmtId="39" fontId="16" fillId="10" borderId="8" xfId="0" applyNumberFormat="1" applyFont="1" applyFill="1" applyBorder="1" applyAlignment="1">
      <alignment vertical="center"/>
    </xf>
    <xf numFmtId="170" fontId="11" fillId="0" borderId="0" xfId="0" applyNumberFormat="1" applyFont="1" applyAlignment="1">
      <alignment vertical="center"/>
    </xf>
    <xf numFmtId="39" fontId="16" fillId="0" borderId="8" xfId="0" applyNumberFormat="1" applyFont="1" applyBorder="1" applyAlignment="1">
      <alignment vertical="center"/>
    </xf>
    <xf numFmtId="37" fontId="9" fillId="0" borderId="8" xfId="0" applyNumberFormat="1" applyFont="1" applyBorder="1" applyAlignment="1">
      <alignment vertical="center"/>
    </xf>
    <xf numFmtId="37" fontId="11" fillId="0" borderId="8" xfId="0" applyNumberFormat="1" applyFont="1" applyBorder="1" applyAlignment="1">
      <alignment vertical="center"/>
    </xf>
    <xf numFmtId="170" fontId="15" fillId="0" borderId="0" xfId="0" applyNumberFormat="1" applyFont="1" applyAlignment="1">
      <alignment vertical="center"/>
    </xf>
    <xf numFmtId="0" fontId="19" fillId="0" borderId="136" xfId="0" applyFont="1" applyBorder="1" applyAlignment="1">
      <alignment vertical="center"/>
    </xf>
    <xf numFmtId="39" fontId="10" fillId="0" borderId="8" xfId="0" applyNumberFormat="1" applyFont="1" applyBorder="1" applyAlignment="1">
      <alignment vertical="center"/>
    </xf>
    <xf numFmtId="170" fontId="11" fillId="3" borderId="8" xfId="0" applyNumberFormat="1" applyFont="1" applyFill="1" applyBorder="1" applyAlignment="1">
      <alignment vertical="center"/>
    </xf>
    <xf numFmtId="43" fontId="85" fillId="0" borderId="200" xfId="7" applyNumberFormat="1" applyFont="1" applyFill="1" applyBorder="1" applyAlignment="1" applyProtection="1">
      <alignment vertical="center"/>
    </xf>
    <xf numFmtId="37" fontId="17" fillId="0" borderId="0" xfId="0" applyNumberFormat="1" applyFont="1" applyAlignment="1">
      <alignment horizontal="left" vertical="center"/>
    </xf>
    <xf numFmtId="37" fontId="17" fillId="0" borderId="0" xfId="0" applyNumberFormat="1" applyFont="1" applyAlignment="1">
      <alignment vertical="center"/>
    </xf>
    <xf numFmtId="41" fontId="17" fillId="0" borderId="0" xfId="0" applyNumberFormat="1" applyFont="1" applyAlignment="1">
      <alignment vertical="center"/>
    </xf>
    <xf numFmtId="39" fontId="17" fillId="0" borderId="0" xfId="0" applyNumberFormat="1" applyFont="1" applyAlignment="1">
      <alignment vertical="center"/>
    </xf>
    <xf numFmtId="39" fontId="10" fillId="10" borderId="8" xfId="0" applyNumberFormat="1" applyFont="1" applyFill="1" applyBorder="1" applyAlignment="1">
      <alignment horizontal="center" vertical="center"/>
    </xf>
    <xf numFmtId="39" fontId="19" fillId="10" borderId="8" xfId="0" applyNumberFormat="1" applyFont="1" applyFill="1" applyBorder="1" applyAlignment="1">
      <alignment vertical="center"/>
    </xf>
    <xf numFmtId="37" fontId="19" fillId="10" borderId="8" xfId="0" applyNumberFormat="1" applyFont="1" applyFill="1" applyBorder="1" applyAlignment="1">
      <alignment vertical="center"/>
    </xf>
    <xf numFmtId="37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39" fontId="19" fillId="0" borderId="46" xfId="0" applyNumberFormat="1" applyFont="1" applyBorder="1" applyAlignment="1">
      <alignment vertical="center" wrapText="1"/>
    </xf>
    <xf numFmtId="37" fontId="20" fillId="0" borderId="0" xfId="0" applyNumberFormat="1" applyFont="1" applyAlignment="1">
      <alignment vertical="center"/>
    </xf>
    <xf numFmtId="37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170" fontId="20" fillId="0" borderId="0" xfId="0" applyNumberFormat="1" applyFont="1" applyAlignment="1">
      <alignment vertical="center"/>
    </xf>
    <xf numFmtId="39" fontId="20" fillId="0" borderId="0" xfId="0" applyNumberFormat="1" applyFont="1" applyAlignment="1">
      <alignment vertical="center"/>
    </xf>
    <xf numFmtId="0" fontId="86" fillId="0" borderId="0" xfId="0" applyFont="1" applyAlignment="1">
      <alignment vertical="center"/>
    </xf>
    <xf numFmtId="10" fontId="9" fillId="10" borderId="8" xfId="1" applyNumberFormat="1" applyFont="1" applyFill="1" applyBorder="1" applyAlignment="1">
      <alignment vertical="center"/>
    </xf>
    <xf numFmtId="0" fontId="18" fillId="0" borderId="8" xfId="0" applyFont="1" applyBorder="1" applyAlignment="1">
      <alignment vertical="center"/>
    </xf>
    <xf numFmtId="41" fontId="12" fillId="0" borderId="0" xfId="0" applyNumberFormat="1" applyFont="1" applyAlignment="1">
      <alignment vertical="center"/>
    </xf>
    <xf numFmtId="37" fontId="16" fillId="10" borderId="8" xfId="0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3" fontId="15" fillId="0" borderId="0" xfId="0" applyNumberFormat="1" applyFont="1" applyAlignment="1">
      <alignment vertical="center"/>
    </xf>
    <xf numFmtId="37" fontId="12" fillId="0" borderId="0" xfId="0" applyNumberFormat="1" applyFont="1" applyAlignment="1">
      <alignment horizontal="left" vertical="center"/>
    </xf>
    <xf numFmtId="172" fontId="12" fillId="0" borderId="0" xfId="0" applyNumberFormat="1" applyFont="1" applyAlignment="1">
      <alignment vertical="center"/>
    </xf>
    <xf numFmtId="39" fontId="12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vertical="center"/>
    </xf>
    <xf numFmtId="37" fontId="12" fillId="0" borderId="0" xfId="0" applyNumberFormat="1" applyFont="1" applyAlignment="1">
      <alignment vertical="center" wrapText="1"/>
    </xf>
    <xf numFmtId="174" fontId="12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vertical="center"/>
    </xf>
    <xf numFmtId="37" fontId="17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/>
    </xf>
    <xf numFmtId="202" fontId="22" fillId="0" borderId="1" xfId="0" applyNumberFormat="1" applyFont="1" applyBorder="1" applyAlignment="1">
      <alignment vertical="center"/>
    </xf>
    <xf numFmtId="39" fontId="88" fillId="0" borderId="179" xfId="0" applyNumberFormat="1" applyFont="1" applyBorder="1" applyAlignment="1">
      <alignment horizontal="left" vertical="center"/>
    </xf>
    <xf numFmtId="37" fontId="22" fillId="32" borderId="21" xfId="0" applyNumberFormat="1" applyFont="1" applyFill="1" applyBorder="1" applyAlignment="1">
      <alignment horizontal="left" vertical="center"/>
    </xf>
    <xf numFmtId="14" fontId="92" fillId="0" borderId="0" xfId="0" applyNumberFormat="1" applyFont="1" applyAlignment="1">
      <alignment horizontal="center" vertical="center"/>
    </xf>
    <xf numFmtId="37" fontId="92" fillId="0" borderId="0" xfId="0" applyNumberFormat="1" applyFont="1" applyAlignment="1">
      <alignment horizontal="center" vertical="center"/>
    </xf>
    <xf numFmtId="14" fontId="92" fillId="0" borderId="0" xfId="0" applyNumberFormat="1" applyFont="1" applyAlignment="1">
      <alignment vertical="center"/>
    </xf>
    <xf numFmtId="14" fontId="92" fillId="0" borderId="10" xfId="0" applyNumberFormat="1" applyFont="1" applyBorder="1" applyAlignment="1">
      <alignment horizontal="center" vertical="center"/>
    </xf>
    <xf numFmtId="37" fontId="92" fillId="0" borderId="11" xfId="0" applyNumberFormat="1" applyFont="1" applyBorder="1" applyAlignment="1">
      <alignment horizontal="center" vertical="center"/>
    </xf>
    <xf numFmtId="14" fontId="92" fillId="0" borderId="85" xfId="0" applyNumberFormat="1" applyFont="1" applyBorder="1" applyAlignment="1">
      <alignment horizontal="center" vertical="center"/>
    </xf>
    <xf numFmtId="37" fontId="92" fillId="0" borderId="10" xfId="0" applyNumberFormat="1" applyFont="1" applyBorder="1" applyAlignment="1">
      <alignment horizontal="center" vertical="center"/>
    </xf>
    <xf numFmtId="37" fontId="92" fillId="0" borderId="49" xfId="0" applyNumberFormat="1" applyFont="1" applyBorder="1" applyAlignment="1">
      <alignment horizontal="center" vertical="center"/>
    </xf>
    <xf numFmtId="37" fontId="92" fillId="0" borderId="133" xfId="0" applyNumberFormat="1" applyFont="1" applyBorder="1" applyAlignment="1">
      <alignment horizontal="center" vertical="center"/>
    </xf>
    <xf numFmtId="14" fontId="92" fillId="0" borderId="78" xfId="0" applyNumberFormat="1" applyFont="1" applyBorder="1" applyAlignment="1">
      <alignment horizontal="center" vertical="center"/>
    </xf>
    <xf numFmtId="37" fontId="92" fillId="0" borderId="78" xfId="0" applyNumberFormat="1" applyFont="1" applyBorder="1" applyAlignment="1">
      <alignment horizontal="center" vertical="center"/>
    </xf>
    <xf numFmtId="37" fontId="92" fillId="0" borderId="166" xfId="0" applyNumberFormat="1" applyFont="1" applyBorder="1" applyAlignment="1">
      <alignment horizontal="center" vertical="center"/>
    </xf>
    <xf numFmtId="37" fontId="92" fillId="0" borderId="15" xfId="0" applyNumberFormat="1" applyFont="1" applyBorder="1" applyAlignment="1">
      <alignment horizontal="center" vertical="center"/>
    </xf>
    <xf numFmtId="39" fontId="92" fillId="0" borderId="16" xfId="0" applyNumberFormat="1" applyFont="1" applyBorder="1" applyAlignment="1">
      <alignment horizontal="center" vertical="center"/>
    </xf>
    <xf numFmtId="39" fontId="92" fillId="0" borderId="0" xfId="0" applyNumberFormat="1" applyFont="1" applyAlignment="1">
      <alignment horizontal="center" vertical="center"/>
    </xf>
    <xf numFmtId="37" fontId="92" fillId="0" borderId="2" xfId="0" applyNumberFormat="1" applyFont="1" applyBorder="1" applyAlignment="1">
      <alignment vertical="center"/>
    </xf>
    <xf numFmtId="37" fontId="92" fillId="0" borderId="89" xfId="0" applyNumberFormat="1" applyFont="1" applyBorder="1" applyAlignment="1">
      <alignment vertical="center"/>
    </xf>
    <xf numFmtId="37" fontId="92" fillId="0" borderId="81" xfId="0" applyNumberFormat="1" applyFont="1" applyBorder="1" applyAlignment="1">
      <alignment vertical="center"/>
    </xf>
    <xf numFmtId="37" fontId="92" fillId="0" borderId="87" xfId="0" applyNumberFormat="1" applyFont="1" applyBorder="1" applyAlignment="1">
      <alignment horizontal="center" vertical="center"/>
    </xf>
    <xf numFmtId="39" fontId="92" fillId="0" borderId="15" xfId="0" applyNumberFormat="1" applyFont="1" applyBorder="1" applyAlignment="1">
      <alignment horizontal="center" vertical="center"/>
    </xf>
    <xf numFmtId="39" fontId="92" fillId="0" borderId="5" xfId="0" applyNumberFormat="1" applyFont="1" applyBorder="1" applyAlignment="1">
      <alignment horizontal="center" vertical="center"/>
    </xf>
    <xf numFmtId="39" fontId="92" fillId="0" borderId="133" xfId="0" applyNumberFormat="1" applyFont="1" applyBorder="1" applyAlignment="1">
      <alignment horizontal="center" vertical="center"/>
    </xf>
    <xf numFmtId="37" fontId="89" fillId="0" borderId="0" xfId="0" applyNumberFormat="1" applyFont="1" applyAlignment="1">
      <alignment vertical="center"/>
    </xf>
    <xf numFmtId="37" fontId="90" fillId="0" borderId="173" xfId="0" applyNumberFormat="1" applyFont="1" applyBorder="1" applyAlignment="1">
      <alignment vertical="center" wrapText="1"/>
    </xf>
    <xf numFmtId="37" fontId="89" fillId="0" borderId="174" xfId="0" applyNumberFormat="1" applyFont="1" applyBorder="1" applyAlignment="1">
      <alignment vertical="center"/>
    </xf>
    <xf numFmtId="37" fontId="91" fillId="0" borderId="172" xfId="0" applyNumberFormat="1" applyFont="1" applyBorder="1" applyAlignment="1">
      <alignment horizontal="left" vertical="center" wrapText="1"/>
    </xf>
    <xf numFmtId="37" fontId="89" fillId="0" borderId="173" xfId="0" applyNumberFormat="1" applyFont="1" applyBorder="1" applyAlignment="1">
      <alignment vertical="center"/>
    </xf>
    <xf numFmtId="37" fontId="92" fillId="6" borderId="8" xfId="0" applyNumberFormat="1" applyFont="1" applyFill="1" applyBorder="1" applyAlignment="1">
      <alignment vertical="center" wrapText="1"/>
    </xf>
    <xf numFmtId="37" fontId="89" fillId="0" borderId="13" xfId="0" applyNumberFormat="1" applyFont="1" applyBorder="1" applyAlignment="1">
      <alignment vertical="center"/>
    </xf>
    <xf numFmtId="169" fontId="92" fillId="0" borderId="12" xfId="0" applyNumberFormat="1" applyFont="1" applyBorder="1" applyAlignment="1">
      <alignment horizontal="left" vertical="center" wrapText="1"/>
    </xf>
    <xf numFmtId="37" fontId="92" fillId="0" borderId="0" xfId="0" applyNumberFormat="1" applyFont="1" applyAlignment="1">
      <alignment vertical="center" wrapText="1"/>
    </xf>
    <xf numFmtId="37" fontId="92" fillId="0" borderId="89" xfId="0" applyNumberFormat="1" applyFont="1" applyBorder="1" applyAlignment="1">
      <alignment vertical="center" wrapText="1"/>
    </xf>
    <xf numFmtId="37" fontId="89" fillId="0" borderId="89" xfId="0" applyNumberFormat="1" applyFont="1" applyBorder="1" applyAlignment="1">
      <alignment vertical="center"/>
    </xf>
    <xf numFmtId="37" fontId="89" fillId="0" borderId="81" xfId="0" applyNumberFormat="1" applyFont="1" applyBorder="1" applyAlignment="1">
      <alignment vertical="center"/>
    </xf>
    <xf numFmtId="37" fontId="89" fillId="0" borderId="2" xfId="0" applyNumberFormat="1" applyFont="1" applyBorder="1" applyAlignment="1">
      <alignment vertical="center"/>
    </xf>
    <xf numFmtId="39" fontId="89" fillId="0" borderId="0" xfId="0" applyNumberFormat="1" applyFont="1" applyAlignment="1">
      <alignment vertical="center"/>
    </xf>
    <xf numFmtId="37" fontId="89" fillId="0" borderId="17" xfId="0" applyNumberFormat="1" applyFont="1" applyBorder="1" applyAlignment="1">
      <alignment horizontal="center" vertical="center" wrapText="1"/>
    </xf>
    <xf numFmtId="37" fontId="89" fillId="0" borderId="52" xfId="0" applyNumberFormat="1" applyFont="1" applyBorder="1" applyAlignment="1">
      <alignment horizontal="left" vertical="center"/>
    </xf>
    <xf numFmtId="37" fontId="89" fillId="0" borderId="52" xfId="0" applyNumberFormat="1" applyFont="1" applyBorder="1" applyAlignment="1">
      <alignment vertical="center"/>
    </xf>
    <xf numFmtId="170" fontId="89" fillId="0" borderId="114" xfId="0" applyNumberFormat="1" applyFont="1" applyBorder="1" applyAlignment="1">
      <alignment vertical="center"/>
    </xf>
    <xf numFmtId="39" fontId="89" fillId="0" borderId="19" xfId="0" applyNumberFormat="1" applyFont="1" applyBorder="1" applyAlignment="1">
      <alignment vertical="center"/>
    </xf>
    <xf numFmtId="37" fontId="89" fillId="0" borderId="53" xfId="0" applyNumberFormat="1" applyFont="1" applyBorder="1" applyAlignment="1">
      <alignment vertical="center"/>
    </xf>
    <xf numFmtId="170" fontId="89" fillId="0" borderId="17" xfId="0" applyNumberFormat="1" applyFont="1" applyBorder="1" applyAlignment="1">
      <alignment vertical="center"/>
    </xf>
    <xf numFmtId="41" fontId="89" fillId="0" borderId="53" xfId="0" applyNumberFormat="1" applyFont="1" applyBorder="1" applyAlignment="1">
      <alignment vertical="center"/>
    </xf>
    <xf numFmtId="39" fontId="89" fillId="0" borderId="25" xfId="0" applyNumberFormat="1" applyFont="1" applyBorder="1" applyAlignment="1">
      <alignment vertical="center"/>
    </xf>
    <xf numFmtId="41" fontId="89" fillId="0" borderId="19" xfId="0" applyNumberFormat="1" applyFont="1" applyBorder="1" applyAlignment="1">
      <alignment vertical="center"/>
    </xf>
    <xf numFmtId="39" fontId="89" fillId="0" borderId="156" xfId="0" applyNumberFormat="1" applyFont="1" applyBorder="1" applyAlignment="1">
      <alignment vertical="center"/>
    </xf>
    <xf numFmtId="37" fontId="89" fillId="0" borderId="3" xfId="0" applyNumberFormat="1" applyFont="1" applyBorder="1" applyAlignment="1">
      <alignment horizontal="center" vertical="center" wrapText="1"/>
    </xf>
    <xf numFmtId="37" fontId="89" fillId="0" borderId="54" xfId="0" applyNumberFormat="1" applyFont="1" applyBorder="1" applyAlignment="1">
      <alignment horizontal="left" vertical="center"/>
    </xf>
    <xf numFmtId="37" fontId="89" fillId="0" borderId="99" xfId="0" applyNumberFormat="1" applyFont="1" applyBorder="1" applyAlignment="1">
      <alignment vertical="center"/>
    </xf>
    <xf numFmtId="170" fontId="89" fillId="0" borderId="117" xfId="0" applyNumberFormat="1" applyFont="1" applyBorder="1" applyAlignment="1">
      <alignment vertical="center"/>
    </xf>
    <xf numFmtId="39" fontId="89" fillId="0" borderId="21" xfId="0" applyNumberFormat="1" applyFont="1" applyBorder="1" applyAlignment="1">
      <alignment vertical="center"/>
    </xf>
    <xf numFmtId="37" fontId="89" fillId="0" borderId="101" xfId="0" applyNumberFormat="1" applyFont="1" applyBorder="1" applyAlignment="1">
      <alignment vertical="center"/>
    </xf>
    <xf numFmtId="170" fontId="89" fillId="0" borderId="154" xfId="0" applyNumberFormat="1" applyFont="1" applyBorder="1" applyAlignment="1">
      <alignment vertical="center"/>
    </xf>
    <xf numFmtId="41" fontId="89" fillId="0" borderId="101" xfId="0" applyNumberFormat="1" applyFont="1" applyBorder="1" applyAlignment="1">
      <alignment vertical="center"/>
    </xf>
    <xf numFmtId="39" fontId="89" fillId="0" borderId="112" xfId="0" applyNumberFormat="1" applyFont="1" applyBorder="1" applyAlignment="1">
      <alignment vertical="center"/>
    </xf>
    <xf numFmtId="41" fontId="89" fillId="0" borderId="46" xfId="0" applyNumberFormat="1" applyFont="1" applyBorder="1" applyAlignment="1">
      <alignment vertical="center"/>
    </xf>
    <xf numFmtId="37" fontId="89" fillId="0" borderId="54" xfId="0" applyNumberFormat="1" applyFont="1" applyBorder="1" applyAlignment="1">
      <alignment vertical="center"/>
    </xf>
    <xf numFmtId="37" fontId="89" fillId="0" borderId="55" xfId="0" applyNumberFormat="1" applyFont="1" applyBorder="1" applyAlignment="1">
      <alignment vertical="center"/>
    </xf>
    <xf numFmtId="170" fontId="89" fillId="0" borderId="3" xfId="0" applyNumberFormat="1" applyFont="1" applyBorder="1" applyAlignment="1">
      <alignment vertical="center"/>
    </xf>
    <xf numFmtId="41" fontId="89" fillId="0" borderId="55" xfId="0" applyNumberFormat="1" applyFont="1" applyBorder="1" applyAlignment="1">
      <alignment vertical="center"/>
    </xf>
    <xf numFmtId="41" fontId="89" fillId="0" borderId="21" xfId="0" applyNumberFormat="1" applyFont="1" applyBorder="1" applyAlignment="1">
      <alignment vertical="center"/>
    </xf>
    <xf numFmtId="39" fontId="89" fillId="0" borderId="130" xfId="0" applyNumberFormat="1" applyFont="1" applyBorder="1" applyAlignment="1">
      <alignment vertical="center"/>
    </xf>
    <xf numFmtId="39" fontId="92" fillId="0" borderId="0" xfId="0" applyNumberFormat="1" applyFont="1" applyAlignment="1">
      <alignment vertical="center"/>
    </xf>
    <xf numFmtId="37" fontId="89" fillId="0" borderId="177" xfId="0" applyNumberFormat="1" applyFont="1" applyBorder="1" applyAlignment="1">
      <alignment horizontal="center" vertical="center" wrapText="1"/>
    </xf>
    <xf numFmtId="37" fontId="92" fillId="0" borderId="178" xfId="0" applyNumberFormat="1" applyFont="1" applyBorder="1" applyAlignment="1">
      <alignment horizontal="left" vertical="center"/>
    </xf>
    <xf numFmtId="37" fontId="89" fillId="0" borderId="178" xfId="0" applyNumberFormat="1" applyFont="1" applyBorder="1" applyAlignment="1">
      <alignment vertical="center"/>
    </xf>
    <xf numFmtId="170" fontId="92" fillId="0" borderId="120" xfId="0" applyNumberFormat="1" applyFont="1" applyBorder="1" applyAlignment="1">
      <alignment vertical="center"/>
    </xf>
    <xf numFmtId="39" fontId="89" fillId="0" borderId="22" xfId="0" applyNumberFormat="1" applyFont="1" applyBorder="1" applyAlignment="1">
      <alignment vertical="center"/>
    </xf>
    <xf numFmtId="37" fontId="89" fillId="0" borderId="122" xfId="0" applyNumberFormat="1" applyFont="1" applyBorder="1" applyAlignment="1">
      <alignment vertical="center"/>
    </xf>
    <xf numFmtId="170" fontId="89" fillId="0" borderId="120" xfId="0" applyNumberFormat="1" applyFont="1" applyBorder="1" applyAlignment="1">
      <alignment vertical="center"/>
    </xf>
    <xf numFmtId="41" fontId="89" fillId="0" borderId="22" xfId="0" applyNumberFormat="1" applyFont="1" applyBorder="1" applyAlignment="1">
      <alignment vertical="center"/>
    </xf>
    <xf numFmtId="39" fontId="89" fillId="0" borderId="30" xfId="0" applyNumberFormat="1" applyFont="1" applyBorder="1" applyAlignment="1">
      <alignment vertical="center"/>
    </xf>
    <xf numFmtId="39" fontId="89" fillId="0" borderId="121" xfId="0" applyNumberFormat="1" applyFont="1" applyBorder="1" applyAlignment="1">
      <alignment vertical="center"/>
    </xf>
    <xf numFmtId="37" fontId="89" fillId="0" borderId="21" xfId="0" applyNumberFormat="1" applyFont="1" applyBorder="1" applyAlignment="1">
      <alignment vertical="center"/>
    </xf>
    <xf numFmtId="39" fontId="89" fillId="0" borderId="178" xfId="0" applyNumberFormat="1" applyFont="1" applyBorder="1" applyAlignment="1">
      <alignment vertical="center"/>
    </xf>
    <xf numFmtId="39" fontId="89" fillId="0" borderId="122" xfId="0" applyNumberFormat="1" applyFont="1" applyBorder="1" applyAlignment="1">
      <alignment vertical="center"/>
    </xf>
    <xf numFmtId="39" fontId="89" fillId="0" borderId="83" xfId="0" applyNumberFormat="1" applyFont="1" applyBorder="1" applyAlignment="1">
      <alignment vertical="center"/>
    </xf>
    <xf numFmtId="170" fontId="92" fillId="0" borderId="150" xfId="0" applyNumberFormat="1" applyFont="1" applyBorder="1" applyAlignment="1">
      <alignment vertical="center"/>
    </xf>
    <xf numFmtId="39" fontId="92" fillId="0" borderId="178" xfId="0" applyNumberFormat="1" applyFont="1" applyBorder="1" applyAlignment="1">
      <alignment vertical="center"/>
    </xf>
    <xf numFmtId="41" fontId="92" fillId="0" borderId="22" xfId="0" applyNumberFormat="1" applyFont="1" applyBorder="1" applyAlignment="1">
      <alignment vertical="center"/>
    </xf>
    <xf numFmtId="39" fontId="92" fillId="0" borderId="122" xfId="0" applyNumberFormat="1" applyFont="1" applyBorder="1" applyAlignment="1">
      <alignment vertical="center"/>
    </xf>
    <xf numFmtId="39" fontId="92" fillId="0" borderId="83" xfId="0" applyNumberFormat="1" applyFont="1" applyBorder="1" applyAlignment="1">
      <alignment vertical="center"/>
    </xf>
    <xf numFmtId="39" fontId="92" fillId="0" borderId="22" xfId="0" applyNumberFormat="1" applyFont="1" applyBorder="1" applyAlignment="1">
      <alignment vertical="center"/>
    </xf>
    <xf numFmtId="39" fontId="92" fillId="0" borderId="121" xfId="0" applyNumberFormat="1" applyFont="1" applyBorder="1" applyAlignment="1">
      <alignment vertical="center"/>
    </xf>
    <xf numFmtId="39" fontId="89" fillId="0" borderId="52" xfId="0" applyNumberFormat="1" applyFont="1" applyBorder="1" applyAlignment="1">
      <alignment vertical="center"/>
    </xf>
    <xf numFmtId="37" fontId="89" fillId="0" borderId="19" xfId="0" applyNumberFormat="1" applyFont="1" applyBorder="1" applyAlignment="1">
      <alignment vertical="center"/>
    </xf>
    <xf numFmtId="39" fontId="89" fillId="0" borderId="53" xfId="0" applyNumberFormat="1" applyFont="1" applyBorder="1" applyAlignment="1">
      <alignment vertical="center"/>
    </xf>
    <xf numFmtId="39" fontId="89" fillId="0" borderId="115" xfId="0" applyNumberFormat="1" applyFont="1" applyBorder="1" applyAlignment="1">
      <alignment vertical="center"/>
    </xf>
    <xf numFmtId="39" fontId="89" fillId="0" borderId="54" xfId="0" applyNumberFormat="1" applyFont="1" applyBorder="1" applyAlignment="1">
      <alignment vertical="center"/>
    </xf>
    <xf numFmtId="41" fontId="89" fillId="0" borderId="117" xfId="0" applyNumberFormat="1" applyFont="1" applyBorder="1" applyAlignment="1">
      <alignment vertical="center"/>
    </xf>
    <xf numFmtId="39" fontId="89" fillId="0" borderId="55" xfId="0" applyNumberFormat="1" applyFont="1" applyBorder="1" applyAlignment="1">
      <alignment vertical="center"/>
    </xf>
    <xf numFmtId="39" fontId="89" fillId="0" borderId="116" xfId="0" applyNumberFormat="1" applyFont="1" applyBorder="1" applyAlignment="1">
      <alignment vertical="center"/>
    </xf>
    <xf numFmtId="39" fontId="89" fillId="0" borderId="133" xfId="0" applyNumberFormat="1" applyFont="1" applyBorder="1" applyAlignment="1">
      <alignment vertical="center"/>
    </xf>
    <xf numFmtId="37" fontId="89" fillId="0" borderId="136" xfId="0" applyNumberFormat="1" applyFont="1" applyBorder="1" applyAlignment="1">
      <alignment vertical="center"/>
    </xf>
    <xf numFmtId="41" fontId="89" fillId="0" borderId="47" xfId="0" applyNumberFormat="1" applyFont="1" applyBorder="1" applyAlignment="1">
      <alignment vertical="center"/>
    </xf>
    <xf numFmtId="39" fontId="89" fillId="0" borderId="47" xfId="0" applyNumberFormat="1" applyFont="1" applyBorder="1" applyAlignment="1">
      <alignment vertical="center"/>
    </xf>
    <xf numFmtId="39" fontId="89" fillId="0" borderId="159" xfId="0" applyNumberFormat="1" applyFont="1" applyBorder="1" applyAlignment="1">
      <alignment vertical="center"/>
    </xf>
    <xf numFmtId="37" fontId="89" fillId="0" borderId="4" xfId="0" applyNumberFormat="1" applyFont="1" applyBorder="1" applyAlignment="1">
      <alignment horizontal="center" vertical="center" wrapText="1"/>
    </xf>
    <xf numFmtId="37" fontId="89" fillId="0" borderId="56" xfId="0" applyNumberFormat="1" applyFont="1" applyBorder="1" applyAlignment="1">
      <alignment horizontal="left" vertical="center"/>
    </xf>
    <xf numFmtId="37" fontId="89" fillId="0" borderId="56" xfId="0" applyNumberFormat="1" applyFont="1" applyBorder="1" applyAlignment="1">
      <alignment vertical="center"/>
    </xf>
    <xf numFmtId="170" fontId="89" fillId="0" borderId="119" xfId="0" applyNumberFormat="1" applyFont="1" applyBorder="1" applyAlignment="1">
      <alignment vertical="center"/>
    </xf>
    <xf numFmtId="39" fontId="89" fillId="0" borderId="56" xfId="0" applyNumberFormat="1" applyFont="1" applyBorder="1" applyAlignment="1">
      <alignment vertical="center"/>
    </xf>
    <xf numFmtId="37" fontId="89" fillId="0" borderId="31" xfId="0" applyNumberFormat="1" applyFont="1" applyBorder="1" applyAlignment="1">
      <alignment vertical="center"/>
    </xf>
    <xf numFmtId="39" fontId="89" fillId="0" borderId="57" xfId="0" applyNumberFormat="1" applyFont="1" applyBorder="1" applyAlignment="1">
      <alignment vertical="center"/>
    </xf>
    <xf numFmtId="41" fontId="89" fillId="0" borderId="31" xfId="0" applyNumberFormat="1" applyFont="1" applyBorder="1" applyAlignment="1">
      <alignment vertical="center"/>
    </xf>
    <xf numFmtId="39" fontId="89" fillId="0" borderId="118" xfId="0" applyNumberFormat="1" applyFont="1" applyBorder="1" applyAlignment="1">
      <alignment vertical="center"/>
    </xf>
    <xf numFmtId="39" fontId="89" fillId="0" borderId="31" xfId="0" applyNumberFormat="1" applyFont="1" applyBorder="1" applyAlignment="1">
      <alignment vertical="center"/>
    </xf>
    <xf numFmtId="39" fontId="89" fillId="0" borderId="152" xfId="0" applyNumberFormat="1" applyFont="1" applyBorder="1" applyAlignment="1">
      <alignment vertical="center"/>
    </xf>
    <xf numFmtId="41" fontId="89" fillId="0" borderId="122" xfId="0" applyNumberFormat="1" applyFont="1" applyBorder="1" applyAlignment="1">
      <alignment vertical="center"/>
    </xf>
    <xf numFmtId="41" fontId="89" fillId="0" borderId="120" xfId="0" applyNumberFormat="1" applyFont="1" applyBorder="1" applyAlignment="1">
      <alignment vertical="center"/>
    </xf>
    <xf numFmtId="37" fontId="89" fillId="0" borderId="167" xfId="0" applyNumberFormat="1" applyFont="1" applyBorder="1" applyAlignment="1">
      <alignment vertical="center"/>
    </xf>
    <xf numFmtId="168" fontId="89" fillId="0" borderId="19" xfId="0" applyNumberFormat="1" applyFont="1" applyBorder="1" applyAlignment="1">
      <alignment vertical="center"/>
    </xf>
    <xf numFmtId="171" fontId="89" fillId="0" borderId="19" xfId="0" applyNumberFormat="1" applyFont="1" applyBorder="1" applyAlignment="1">
      <alignment vertical="center"/>
    </xf>
    <xf numFmtId="37" fontId="89" fillId="0" borderId="168" xfId="0" applyNumberFormat="1" applyFont="1" applyBorder="1" applyAlignment="1">
      <alignment vertical="center"/>
    </xf>
    <xf numFmtId="41" fontId="89" fillId="0" borderId="114" xfId="0" applyNumberFormat="1" applyFont="1" applyBorder="1" applyAlignment="1">
      <alignment vertical="center"/>
    </xf>
    <xf numFmtId="37" fontId="89" fillId="0" borderId="23" xfId="0" applyNumberFormat="1" applyFont="1" applyBorder="1" applyAlignment="1">
      <alignment horizontal="center" vertical="center" wrapText="1"/>
    </xf>
    <xf numFmtId="37" fontId="89" fillId="0" borderId="136" xfId="0" applyNumberFormat="1" applyFont="1" applyBorder="1" applyAlignment="1">
      <alignment horizontal="left" vertical="center"/>
    </xf>
    <xf numFmtId="170" fontId="89" fillId="0" borderId="158" xfId="0" applyNumberFormat="1" applyFont="1" applyBorder="1" applyAlignment="1">
      <alignment vertical="center"/>
    </xf>
    <xf numFmtId="39" fontId="89" fillId="0" borderId="135" xfId="0" applyNumberFormat="1" applyFont="1" applyBorder="1" applyAlignment="1">
      <alignment vertical="center"/>
    </xf>
    <xf numFmtId="37" fontId="89" fillId="0" borderId="135" xfId="0" applyNumberFormat="1" applyFont="1" applyBorder="1" applyAlignment="1">
      <alignment vertical="center"/>
    </xf>
    <xf numFmtId="41" fontId="89" fillId="0" borderId="158" xfId="0" applyNumberFormat="1" applyFont="1" applyBorder="1" applyAlignment="1">
      <alignment vertical="center"/>
    </xf>
    <xf numFmtId="39" fontId="89" fillId="0" borderId="136" xfId="0" applyNumberFormat="1" applyFont="1" applyBorder="1" applyAlignment="1">
      <alignment vertical="center"/>
    </xf>
    <xf numFmtId="39" fontId="89" fillId="0" borderId="48" xfId="0" applyNumberFormat="1" applyFont="1" applyBorder="1" applyAlignment="1">
      <alignment vertical="center"/>
    </xf>
    <xf numFmtId="37" fontId="89" fillId="0" borderId="57" xfId="0" applyNumberFormat="1" applyFont="1" applyBorder="1" applyAlignment="1">
      <alignment vertical="center"/>
    </xf>
    <xf numFmtId="41" fontId="89" fillId="0" borderId="57" xfId="0" applyNumberFormat="1" applyFont="1" applyBorder="1" applyAlignment="1">
      <alignment vertical="center"/>
    </xf>
    <xf numFmtId="37" fontId="92" fillId="0" borderId="177" xfId="0" applyNumberFormat="1" applyFont="1" applyBorder="1" applyAlignment="1">
      <alignment horizontal="center" vertical="center" wrapText="1"/>
    </xf>
    <xf numFmtId="37" fontId="92" fillId="0" borderId="178" xfId="0" applyNumberFormat="1" applyFont="1" applyBorder="1" applyAlignment="1">
      <alignment vertical="center"/>
    </xf>
    <xf numFmtId="41" fontId="92" fillId="0" borderId="122" xfId="0" applyNumberFormat="1" applyFont="1" applyBorder="1" applyAlignment="1">
      <alignment vertical="center"/>
    </xf>
    <xf numFmtId="41" fontId="92" fillId="0" borderId="120" xfId="0" applyNumberFormat="1" applyFont="1" applyBorder="1" applyAlignment="1">
      <alignment vertical="center"/>
    </xf>
    <xf numFmtId="39" fontId="92" fillId="0" borderId="133" xfId="0" applyNumberFormat="1" applyFont="1" applyBorder="1" applyAlignment="1">
      <alignment vertical="center"/>
    </xf>
    <xf numFmtId="37" fontId="89" fillId="0" borderId="177" xfId="0" applyNumberFormat="1" applyFont="1" applyBorder="1" applyAlignment="1">
      <alignment vertical="center" wrapText="1"/>
    </xf>
    <xf numFmtId="174" fontId="89" fillId="0" borderId="178" xfId="0" applyNumberFormat="1" applyFont="1" applyBorder="1" applyAlignment="1">
      <alignment horizontal="center" vertical="center"/>
    </xf>
    <xf numFmtId="168" fontId="89" fillId="0" borderId="178" xfId="0" applyNumberFormat="1" applyFont="1" applyBorder="1" applyAlignment="1">
      <alignment vertical="center"/>
    </xf>
    <xf numFmtId="43" fontId="89" fillId="0" borderId="178" xfId="0" applyNumberFormat="1" applyFont="1" applyBorder="1" applyAlignment="1">
      <alignment vertical="center"/>
    </xf>
    <xf numFmtId="43" fontId="89" fillId="0" borderId="83" xfId="0" applyNumberFormat="1" applyFont="1" applyBorder="1" applyAlignment="1">
      <alignment vertical="center"/>
    </xf>
    <xf numFmtId="43" fontId="89" fillId="0" borderId="0" xfId="0" applyNumberFormat="1" applyFont="1" applyAlignment="1">
      <alignment vertical="center"/>
    </xf>
    <xf numFmtId="37" fontId="92" fillId="0" borderId="52" xfId="0" applyNumberFormat="1" applyFont="1" applyBorder="1" applyAlignment="1">
      <alignment vertical="center" wrapText="1"/>
    </xf>
    <xf numFmtId="170" fontId="89" fillId="0" borderId="53" xfId="0" applyNumberFormat="1" applyFont="1" applyBorder="1" applyAlignment="1">
      <alignment vertical="center"/>
    </xf>
    <xf numFmtId="37" fontId="92" fillId="0" borderId="56" xfId="0" applyNumberFormat="1" applyFont="1" applyBorder="1" applyAlignment="1">
      <alignment vertical="center" wrapText="1"/>
    </xf>
    <xf numFmtId="37" fontId="92" fillId="0" borderId="152" xfId="0" applyNumberFormat="1" applyFont="1" applyBorder="1" applyAlignment="1">
      <alignment vertical="center" wrapText="1"/>
    </xf>
    <xf numFmtId="37" fontId="92" fillId="0" borderId="178" xfId="0" applyNumberFormat="1" applyFont="1" applyBorder="1" applyAlignment="1">
      <alignment vertical="center" wrapText="1"/>
    </xf>
    <xf numFmtId="37" fontId="92" fillId="0" borderId="121" xfId="0" applyNumberFormat="1" applyFont="1" applyBorder="1" applyAlignment="1">
      <alignment vertical="center" wrapText="1"/>
    </xf>
    <xf numFmtId="37" fontId="89" fillId="0" borderId="22" xfId="0" applyNumberFormat="1" applyFont="1" applyBorder="1" applyAlignment="1">
      <alignment vertical="center"/>
    </xf>
    <xf numFmtId="37" fontId="92" fillId="0" borderId="54" xfId="0" applyNumberFormat="1" applyFont="1" applyBorder="1" applyAlignment="1">
      <alignment vertical="center" wrapText="1"/>
    </xf>
    <xf numFmtId="37" fontId="92" fillId="0" borderId="130" xfId="0" applyNumberFormat="1" applyFont="1" applyBorder="1" applyAlignment="1">
      <alignment vertical="center" wrapText="1"/>
    </xf>
    <xf numFmtId="37" fontId="89" fillId="0" borderId="19" xfId="0" applyNumberFormat="1" applyFont="1" applyBorder="1" applyAlignment="1">
      <alignment vertical="center" wrapText="1"/>
    </xf>
    <xf numFmtId="37" fontId="92" fillId="0" borderId="136" xfId="0" applyNumberFormat="1" applyFont="1" applyBorder="1" applyAlignment="1">
      <alignment vertical="center" wrapText="1"/>
    </xf>
    <xf numFmtId="37" fontId="89" fillId="0" borderId="178" xfId="0" applyNumberFormat="1" applyFont="1" applyBorder="1" applyAlignment="1">
      <alignment horizontal="left" vertical="center"/>
    </xf>
    <xf numFmtId="37" fontId="92" fillId="0" borderId="122" xfId="0" applyNumberFormat="1" applyFont="1" applyBorder="1" applyAlignment="1">
      <alignment vertical="center" wrapText="1"/>
    </xf>
    <xf numFmtId="37" fontId="89" fillId="0" borderId="154" xfId="0" applyNumberFormat="1" applyFont="1" applyBorder="1" applyAlignment="1">
      <alignment horizontal="center" vertical="center" wrapText="1"/>
    </xf>
    <xf numFmtId="37" fontId="89" fillId="0" borderId="99" xfId="0" applyNumberFormat="1" applyFont="1" applyBorder="1" applyAlignment="1">
      <alignment horizontal="left" vertical="center"/>
    </xf>
    <xf numFmtId="37" fontId="92" fillId="0" borderId="99" xfId="0" applyNumberFormat="1" applyFont="1" applyBorder="1" applyAlignment="1">
      <alignment vertical="center" wrapText="1"/>
    </xf>
    <xf numFmtId="170" fontId="89" fillId="0" borderId="170" xfId="0" applyNumberFormat="1" applyFont="1" applyBorder="1" applyAlignment="1">
      <alignment vertical="center"/>
    </xf>
    <xf numFmtId="170" fontId="89" fillId="0" borderId="101" xfId="0" applyNumberFormat="1" applyFont="1" applyBorder="1" applyAlignment="1">
      <alignment vertical="center"/>
    </xf>
    <xf numFmtId="39" fontId="89" fillId="0" borderId="46" xfId="0" applyNumberFormat="1" applyFont="1" applyBorder="1" applyAlignment="1">
      <alignment vertical="center"/>
    </xf>
    <xf numFmtId="39" fontId="89" fillId="0" borderId="157" xfId="0" applyNumberFormat="1" applyFont="1" applyBorder="1" applyAlignment="1">
      <alignment vertical="center"/>
    </xf>
    <xf numFmtId="37" fontId="89" fillId="0" borderId="12" xfId="0" applyNumberFormat="1" applyFont="1" applyBorder="1" applyAlignment="1">
      <alignment horizontal="center" vertical="center" wrapText="1"/>
    </xf>
    <xf numFmtId="37" fontId="89" fillId="0" borderId="0" xfId="0" applyNumberFormat="1" applyFont="1" applyAlignment="1">
      <alignment horizontal="center" vertical="center"/>
    </xf>
    <xf numFmtId="39" fontId="89" fillId="0" borderId="128" xfId="0" applyNumberFormat="1" applyFont="1" applyBorder="1" applyAlignment="1">
      <alignment vertical="center"/>
    </xf>
    <xf numFmtId="39" fontId="89" fillId="0" borderId="127" xfId="0" applyNumberFormat="1" applyFont="1" applyBorder="1" applyAlignment="1">
      <alignment vertical="center"/>
    </xf>
    <xf numFmtId="37" fontId="89" fillId="0" borderId="127" xfId="0" applyNumberFormat="1" applyFont="1" applyBorder="1" applyAlignment="1">
      <alignment vertical="center"/>
    </xf>
    <xf numFmtId="39" fontId="89" fillId="0" borderId="0" xfId="0" applyNumberFormat="1" applyFont="1" applyAlignment="1">
      <alignment horizontal="center" vertical="center"/>
    </xf>
    <xf numFmtId="39" fontId="89" fillId="0" borderId="157" xfId="0" applyNumberFormat="1" applyFont="1" applyBorder="1" applyAlignment="1">
      <alignment horizontal="center" vertical="center"/>
    </xf>
    <xf numFmtId="39" fontId="89" fillId="0" borderId="46" xfId="0" applyNumberFormat="1" applyFont="1" applyBorder="1" applyAlignment="1">
      <alignment horizontal="center" vertical="center"/>
    </xf>
    <xf numFmtId="39" fontId="89" fillId="0" borderId="133" xfId="0" applyNumberFormat="1" applyFont="1" applyBorder="1" applyAlignment="1">
      <alignment horizontal="center" vertical="center"/>
    </xf>
    <xf numFmtId="39" fontId="89" fillId="0" borderId="130" xfId="0" applyNumberFormat="1" applyFont="1" applyBorder="1" applyAlignment="1">
      <alignment horizontal="center" vertical="center"/>
    </xf>
    <xf numFmtId="39" fontId="89" fillId="0" borderId="21" xfId="0" applyNumberFormat="1" applyFont="1" applyBorder="1" applyAlignment="1">
      <alignment horizontal="center" vertical="center"/>
    </xf>
    <xf numFmtId="37" fontId="89" fillId="0" borderId="8" xfId="0" applyNumberFormat="1" applyFont="1" applyBorder="1" applyAlignment="1">
      <alignment horizontal="left" vertical="center"/>
    </xf>
    <xf numFmtId="39" fontId="89" fillId="0" borderId="47" xfId="0" applyNumberFormat="1" applyFont="1" applyBorder="1" applyAlignment="1">
      <alignment horizontal="center" vertical="center"/>
    </xf>
    <xf numFmtId="39" fontId="89" fillId="0" borderId="159" xfId="0" applyNumberFormat="1" applyFont="1" applyBorder="1" applyAlignment="1">
      <alignment horizontal="center" vertical="center"/>
    </xf>
    <xf numFmtId="37" fontId="89" fillId="0" borderId="136" xfId="0" applyNumberFormat="1" applyFont="1" applyBorder="1" applyAlignment="1">
      <alignment horizontal="left" vertical="center" wrapText="1"/>
    </xf>
    <xf numFmtId="37" fontId="89" fillId="0" borderId="8" xfId="0" applyNumberFormat="1" applyFont="1" applyBorder="1" applyAlignment="1">
      <alignment horizontal="left" vertical="center" wrapText="1"/>
    </xf>
    <xf numFmtId="37" fontId="92" fillId="0" borderId="8" xfId="0" applyNumberFormat="1" applyFont="1" applyBorder="1" applyAlignment="1">
      <alignment vertical="center" wrapText="1"/>
    </xf>
    <xf numFmtId="39" fontId="89" fillId="0" borderId="36" xfId="0" applyNumberFormat="1" applyFont="1" applyBorder="1" applyAlignment="1">
      <alignment vertical="center"/>
    </xf>
    <xf numFmtId="39" fontId="89" fillId="0" borderId="36" xfId="0" applyNumberFormat="1" applyFont="1" applyBorder="1" applyAlignment="1">
      <alignment horizontal="center" vertical="center"/>
    </xf>
    <xf numFmtId="39" fontId="89" fillId="0" borderId="14" xfId="0" applyNumberFormat="1" applyFont="1" applyBorder="1" applyAlignment="1">
      <alignment horizontal="center" vertical="center"/>
    </xf>
    <xf numFmtId="37" fontId="89" fillId="0" borderId="0" xfId="0" applyNumberFormat="1" applyFont="1" applyAlignment="1">
      <alignment horizontal="left" vertical="center" wrapText="1"/>
    </xf>
    <xf numFmtId="37" fontId="89" fillId="0" borderId="36" xfId="0" applyNumberFormat="1" applyFont="1" applyBorder="1" applyAlignment="1">
      <alignment vertical="center"/>
    </xf>
    <xf numFmtId="37" fontId="89" fillId="0" borderId="36" xfId="0" applyNumberFormat="1" applyFont="1" applyBorder="1" applyAlignment="1">
      <alignment horizontal="center" vertical="center"/>
    </xf>
    <xf numFmtId="37" fontId="89" fillId="0" borderId="133" xfId="0" applyNumberFormat="1" applyFont="1" applyBorder="1" applyAlignment="1">
      <alignment horizontal="center" vertical="center"/>
    </xf>
    <xf numFmtId="37" fontId="89" fillId="0" borderId="0" xfId="0" applyNumberFormat="1" applyFont="1" applyAlignment="1">
      <alignment horizontal="left" vertical="center"/>
    </xf>
    <xf numFmtId="37" fontId="89" fillId="0" borderId="14" xfId="0" applyNumberFormat="1" applyFont="1" applyBorder="1" applyAlignment="1">
      <alignment horizontal="center" vertical="center"/>
    </xf>
    <xf numFmtId="37" fontId="92" fillId="0" borderId="0" xfId="0" applyNumberFormat="1" applyFont="1" applyAlignment="1">
      <alignment vertical="center"/>
    </xf>
    <xf numFmtId="37" fontId="92" fillId="0" borderId="2" xfId="0" applyNumberFormat="1" applyFont="1" applyBorder="1" applyAlignment="1">
      <alignment horizontal="center" vertical="center" wrapText="1"/>
    </xf>
    <xf numFmtId="37" fontId="89" fillId="0" borderId="89" xfId="0" applyNumberFormat="1" applyFont="1" applyBorder="1" applyAlignment="1">
      <alignment horizontal="left" vertical="center" wrapText="1"/>
    </xf>
    <xf numFmtId="37" fontId="89" fillId="0" borderId="165" xfId="0" applyNumberFormat="1" applyFont="1" applyBorder="1" applyAlignment="1">
      <alignment vertical="center"/>
    </xf>
    <xf numFmtId="37" fontId="89" fillId="0" borderId="166" xfId="0" applyNumberFormat="1" applyFont="1" applyBorder="1" applyAlignment="1">
      <alignment horizontal="center" vertical="center"/>
    </xf>
    <xf numFmtId="37" fontId="89" fillId="0" borderId="150" xfId="0" applyNumberFormat="1" applyFont="1" applyBorder="1" applyAlignment="1">
      <alignment vertical="center" wrapText="1"/>
    </xf>
    <xf numFmtId="37" fontId="89" fillId="0" borderId="169" xfId="0" applyNumberFormat="1" applyFont="1" applyBorder="1" applyAlignment="1">
      <alignment vertical="center" wrapText="1"/>
    </xf>
    <xf numFmtId="37" fontId="92" fillId="0" borderId="133" xfId="0" applyNumberFormat="1" applyFont="1" applyBorder="1" applyAlignment="1">
      <alignment vertical="center"/>
    </xf>
    <xf numFmtId="37" fontId="92" fillId="0" borderId="89" xfId="0" applyNumberFormat="1" applyFont="1" applyBorder="1" applyAlignment="1">
      <alignment horizontal="left" vertical="center" wrapText="1"/>
    </xf>
    <xf numFmtId="37" fontId="92" fillId="0" borderId="132" xfId="0" applyNumberFormat="1" applyFont="1" applyBorder="1" applyAlignment="1">
      <alignment vertical="center"/>
    </xf>
    <xf numFmtId="37" fontId="92" fillId="0" borderId="169" xfId="0" applyNumberFormat="1" applyFont="1" applyBorder="1" applyAlignment="1">
      <alignment vertical="center"/>
    </xf>
    <xf numFmtId="37" fontId="89" fillId="0" borderId="8" xfId="0" applyNumberFormat="1" applyFont="1" applyBorder="1" applyAlignment="1">
      <alignment vertical="center"/>
    </xf>
    <xf numFmtId="37" fontId="89" fillId="20" borderId="0" xfId="0" applyNumberFormat="1" applyFont="1" applyFill="1" applyAlignment="1">
      <alignment vertical="center"/>
    </xf>
    <xf numFmtId="37" fontId="89" fillId="21" borderId="0" xfId="0" applyNumberFormat="1" applyFont="1" applyFill="1" applyAlignment="1">
      <alignment vertical="center"/>
    </xf>
    <xf numFmtId="37" fontId="89" fillId="19" borderId="0" xfId="0" applyNumberFormat="1" applyFont="1" applyFill="1" applyAlignment="1">
      <alignment vertical="center"/>
    </xf>
    <xf numFmtId="37" fontId="89" fillId="23" borderId="0" xfId="0" applyNumberFormat="1" applyFont="1" applyFill="1" applyAlignment="1">
      <alignment vertical="center"/>
    </xf>
    <xf numFmtId="37" fontId="89" fillId="22" borderId="0" xfId="0" applyNumberFormat="1" applyFont="1" applyFill="1" applyAlignment="1">
      <alignment vertical="center"/>
    </xf>
    <xf numFmtId="37" fontId="89" fillId="24" borderId="0" xfId="0" applyNumberFormat="1" applyFont="1" applyFill="1" applyAlignment="1">
      <alignment vertical="center"/>
    </xf>
    <xf numFmtId="10" fontId="89" fillId="0" borderId="0" xfId="0" applyNumberFormat="1" applyFont="1" applyAlignment="1">
      <alignment vertical="center"/>
    </xf>
    <xf numFmtId="190" fontId="89" fillId="19" borderId="0" xfId="0" applyNumberFormat="1" applyFont="1" applyFill="1" applyAlignment="1">
      <alignment vertical="center"/>
    </xf>
    <xf numFmtId="170" fontId="89" fillId="0" borderId="0" xfId="0" applyNumberFormat="1" applyFont="1" applyAlignment="1">
      <alignment vertical="center"/>
    </xf>
    <xf numFmtId="14" fontId="89" fillId="0" borderId="0" xfId="0" applyNumberFormat="1" applyFont="1" applyAlignment="1">
      <alignment vertical="center"/>
    </xf>
    <xf numFmtId="37" fontId="92" fillId="0" borderId="0" xfId="0" applyNumberFormat="1" applyFont="1" applyAlignment="1">
      <alignment horizontal="left" vertical="center" wrapText="1"/>
    </xf>
    <xf numFmtId="0" fontId="89" fillId="0" borderId="0" xfId="0" applyFont="1" applyAlignment="1">
      <alignment vertical="center"/>
    </xf>
    <xf numFmtId="0" fontId="95" fillId="0" borderId="0" xfId="0" applyFont="1" applyAlignment="1">
      <alignment vertical="center"/>
    </xf>
    <xf numFmtId="0" fontId="87" fillId="0" borderId="178" xfId="0" applyFont="1" applyBorder="1" applyAlignment="1">
      <alignment vertical="center"/>
    </xf>
    <xf numFmtId="37" fontId="87" fillId="0" borderId="0" xfId="0" applyNumberFormat="1" applyFont="1" applyAlignment="1">
      <alignment vertical="center"/>
    </xf>
    <xf numFmtId="37" fontId="87" fillId="0" borderId="174" xfId="0" applyNumberFormat="1" applyFont="1" applyBorder="1" applyAlignment="1">
      <alignment vertical="center"/>
    </xf>
    <xf numFmtId="0" fontId="87" fillId="0" borderId="12" xfId="0" applyFont="1" applyBorder="1" applyAlignment="1">
      <alignment vertical="center"/>
    </xf>
    <xf numFmtId="0" fontId="98" fillId="0" borderId="0" xfId="0" applyFont="1" applyAlignment="1">
      <alignment vertical="center"/>
    </xf>
    <xf numFmtId="0" fontId="98" fillId="0" borderId="13" xfId="0" applyFont="1" applyBorder="1" applyAlignment="1">
      <alignment vertical="center"/>
    </xf>
    <xf numFmtId="37" fontId="87" fillId="0" borderId="81" xfId="0" applyNumberFormat="1" applyFont="1" applyBorder="1" applyAlignment="1">
      <alignment vertical="center"/>
    </xf>
    <xf numFmtId="14" fontId="97" fillId="0" borderId="9" xfId="0" applyNumberFormat="1" applyFont="1" applyBorder="1" applyAlignment="1">
      <alignment horizontal="center" vertical="center"/>
    </xf>
    <xf numFmtId="37" fontId="97" fillId="0" borderId="10" xfId="0" applyNumberFormat="1" applyFont="1" applyBorder="1" applyAlignment="1">
      <alignment horizontal="center" vertical="center"/>
    </xf>
    <xf numFmtId="14" fontId="97" fillId="0" borderId="10" xfId="0" applyNumberFormat="1" applyFont="1" applyBorder="1" applyAlignment="1">
      <alignment horizontal="center" vertical="center"/>
    </xf>
    <xf numFmtId="37" fontId="97" fillId="0" borderId="11" xfId="0" applyNumberFormat="1" applyFont="1" applyBorder="1" applyAlignment="1">
      <alignment horizontal="center" vertical="center"/>
    </xf>
    <xf numFmtId="37" fontId="97" fillId="3" borderId="12" xfId="0" applyNumberFormat="1" applyFont="1" applyFill="1" applyBorder="1" applyAlignment="1">
      <alignment horizontal="center" vertical="center"/>
    </xf>
    <xf numFmtId="37" fontId="97" fillId="3" borderId="8" xfId="0" applyNumberFormat="1" applyFont="1" applyFill="1" applyBorder="1" applyAlignment="1">
      <alignment horizontal="center" vertical="center"/>
    </xf>
    <xf numFmtId="37" fontId="97" fillId="3" borderId="13" xfId="0" applyNumberFormat="1" applyFont="1" applyFill="1" applyBorder="1" applyAlignment="1">
      <alignment horizontal="center" vertical="center"/>
    </xf>
    <xf numFmtId="14" fontId="87" fillId="3" borderId="8" xfId="0" applyNumberFormat="1" applyFont="1" applyFill="1" applyBorder="1" applyAlignment="1">
      <alignment vertical="center"/>
    </xf>
    <xf numFmtId="37" fontId="97" fillId="0" borderId="36" xfId="0" applyNumberFormat="1" applyFont="1" applyBorder="1" applyAlignment="1">
      <alignment horizontal="center" vertical="center"/>
    </xf>
    <xf numFmtId="37" fontId="97" fillId="0" borderId="14" xfId="0" applyNumberFormat="1" applyFont="1" applyBorder="1" applyAlignment="1">
      <alignment horizontal="center" vertical="center"/>
    </xf>
    <xf numFmtId="39" fontId="97" fillId="0" borderId="15" xfId="0" applyNumberFormat="1" applyFont="1" applyBorder="1" applyAlignment="1">
      <alignment horizontal="center" vertical="center"/>
    </xf>
    <xf numFmtId="39" fontId="97" fillId="0" borderId="16" xfId="0" applyNumberFormat="1" applyFont="1" applyBorder="1" applyAlignment="1">
      <alignment horizontal="center" vertical="center"/>
    </xf>
    <xf numFmtId="37" fontId="87" fillId="3" borderId="17" xfId="0" applyNumberFormat="1" applyFont="1" applyFill="1" applyBorder="1" applyAlignment="1">
      <alignment horizontal="center" vertical="center" wrapText="1"/>
    </xf>
    <xf numFmtId="0" fontId="87" fillId="0" borderId="18" xfId="0" applyFont="1" applyBorder="1" applyAlignment="1">
      <alignment vertical="center"/>
    </xf>
    <xf numFmtId="37" fontId="87" fillId="0" borderId="53" xfId="0" applyNumberFormat="1" applyFont="1" applyBorder="1" applyAlignment="1">
      <alignment vertical="center"/>
    </xf>
    <xf numFmtId="168" fontId="87" fillId="3" borderId="19" xfId="0" applyNumberFormat="1" applyFont="1" applyFill="1" applyBorder="1" applyAlignment="1">
      <alignment vertical="center"/>
    </xf>
    <xf numFmtId="43" fontId="87" fillId="0" borderId="19" xfId="0" applyNumberFormat="1" applyFont="1" applyBorder="1" applyAlignment="1">
      <alignment vertical="center"/>
    </xf>
    <xf numFmtId="37" fontId="87" fillId="3" borderId="154" xfId="0" applyNumberFormat="1" applyFont="1" applyFill="1" applyBorder="1" applyAlignment="1">
      <alignment horizontal="center" vertical="center" wrapText="1"/>
    </xf>
    <xf numFmtId="0" fontId="87" fillId="0" borderId="20" xfId="0" applyFont="1" applyBorder="1" applyAlignment="1">
      <alignment vertical="center"/>
    </xf>
    <xf numFmtId="37" fontId="87" fillId="0" borderId="101" xfId="0" applyNumberFormat="1" applyFont="1" applyBorder="1" applyAlignment="1">
      <alignment vertical="center"/>
    </xf>
    <xf numFmtId="168" fontId="87" fillId="3" borderId="46" xfId="0" applyNumberFormat="1" applyFont="1" applyFill="1" applyBorder="1" applyAlignment="1">
      <alignment vertical="center"/>
    </xf>
    <xf numFmtId="43" fontId="87" fillId="0" borderId="21" xfId="0" applyNumberFormat="1" applyFont="1" applyBorder="1" applyAlignment="1">
      <alignment vertical="center"/>
    </xf>
    <xf numFmtId="37" fontId="87" fillId="0" borderId="3" xfId="0" applyNumberFormat="1" applyFont="1" applyBorder="1" applyAlignment="1">
      <alignment horizontal="center" vertical="center" wrapText="1"/>
    </xf>
    <xf numFmtId="37" fontId="87" fillId="0" borderId="55" xfId="0" applyNumberFormat="1" applyFont="1" applyBorder="1" applyAlignment="1">
      <alignment vertical="center"/>
    </xf>
    <xf numFmtId="168" fontId="87" fillId="3" borderId="21" xfId="0" applyNumberFormat="1" applyFont="1" applyFill="1" applyBorder="1" applyAlignment="1">
      <alignment vertical="center"/>
    </xf>
    <xf numFmtId="37" fontId="87" fillId="0" borderId="4" xfId="0" applyNumberFormat="1" applyFont="1" applyBorder="1" applyAlignment="1">
      <alignment horizontal="center" vertical="center" wrapText="1"/>
    </xf>
    <xf numFmtId="0" fontId="87" fillId="0" borderId="160" xfId="0" applyFont="1" applyBorder="1" applyAlignment="1">
      <alignment vertical="center"/>
    </xf>
    <xf numFmtId="37" fontId="87" fillId="0" borderId="57" xfId="0" applyNumberFormat="1" applyFont="1" applyBorder="1" applyAlignment="1">
      <alignment vertical="center"/>
    </xf>
    <xf numFmtId="37" fontId="97" fillId="0" borderId="4" xfId="0" applyNumberFormat="1" applyFont="1" applyBorder="1" applyAlignment="1">
      <alignment horizontal="center" vertical="center" wrapText="1"/>
    </xf>
    <xf numFmtId="0" fontId="97" fillId="0" borderId="178" xfId="0" applyFont="1" applyBorder="1" applyAlignment="1">
      <alignment vertical="center"/>
    </xf>
    <xf numFmtId="37" fontId="97" fillId="0" borderId="178" xfId="0" applyNumberFormat="1" applyFont="1" applyBorder="1" applyAlignment="1">
      <alignment vertical="center"/>
    </xf>
    <xf numFmtId="168" fontId="97" fillId="0" borderId="22" xfId="0" applyNumberFormat="1" applyFont="1" applyBorder="1" applyAlignment="1">
      <alignment vertical="center"/>
    </xf>
    <xf numFmtId="43" fontId="97" fillId="0" borderId="22" xfId="0" applyNumberFormat="1" applyFont="1" applyBorder="1" applyAlignment="1">
      <alignment vertical="center"/>
    </xf>
    <xf numFmtId="0" fontId="87" fillId="0" borderId="52" xfId="0" applyFont="1" applyBorder="1" applyAlignment="1">
      <alignment vertical="center"/>
    </xf>
    <xf numFmtId="0" fontId="87" fillId="0" borderId="54" xfId="0" applyFont="1" applyBorder="1" applyAlignment="1">
      <alignment vertical="center"/>
    </xf>
    <xf numFmtId="0" fontId="87" fillId="0" borderId="56" xfId="0" applyFont="1" applyBorder="1" applyAlignment="1">
      <alignment vertical="center"/>
    </xf>
    <xf numFmtId="168" fontId="87" fillId="0" borderId="21" xfId="0" applyNumberFormat="1" applyFont="1" applyBorder="1" applyAlignment="1">
      <alignment vertical="center"/>
    </xf>
    <xf numFmtId="0" fontId="87" fillId="0" borderId="0" xfId="0" applyFont="1" applyAlignment="1">
      <alignment vertical="center"/>
    </xf>
    <xf numFmtId="168" fontId="87" fillId="0" borderId="0" xfId="0" applyNumberFormat="1" applyFont="1" applyAlignment="1">
      <alignment vertical="center"/>
    </xf>
    <xf numFmtId="37" fontId="87" fillId="0" borderId="23" xfId="0" applyNumberFormat="1" applyFont="1" applyBorder="1" applyAlignment="1">
      <alignment horizontal="center" vertical="center" wrapText="1"/>
    </xf>
    <xf numFmtId="0" fontId="87" fillId="0" borderId="136" xfId="0" applyFont="1" applyBorder="1" applyAlignment="1">
      <alignment vertical="center"/>
    </xf>
    <xf numFmtId="37" fontId="87" fillId="0" borderId="135" xfId="0" applyNumberFormat="1" applyFont="1" applyBorder="1" applyAlignment="1">
      <alignment vertical="center"/>
    </xf>
    <xf numFmtId="37" fontId="87" fillId="0" borderId="177" xfId="0" applyNumberFormat="1" applyFont="1" applyBorder="1" applyAlignment="1">
      <alignment horizontal="center" vertical="center" wrapText="1"/>
    </xf>
    <xf numFmtId="37" fontId="97" fillId="0" borderId="178" xfId="0" applyNumberFormat="1" applyFont="1" applyBorder="1" applyAlignment="1">
      <alignment horizontal="left" vertical="center"/>
    </xf>
    <xf numFmtId="37" fontId="87" fillId="0" borderId="178" xfId="0" applyNumberFormat="1" applyFont="1" applyBorder="1" applyAlignment="1">
      <alignment vertical="center"/>
    </xf>
    <xf numFmtId="41" fontId="97" fillId="0" borderId="178" xfId="0" applyNumberFormat="1" applyFont="1" applyBorder="1" applyAlignment="1">
      <alignment vertical="center"/>
    </xf>
    <xf numFmtId="39" fontId="97" fillId="0" borderId="178" xfId="0" applyNumberFormat="1" applyFont="1" applyBorder="1" applyAlignment="1">
      <alignment vertical="center"/>
    </xf>
    <xf numFmtId="39" fontId="97" fillId="0" borderId="83" xfId="0" applyNumberFormat="1" applyFont="1" applyBorder="1" applyAlignment="1">
      <alignment vertical="center"/>
    </xf>
    <xf numFmtId="37" fontId="87" fillId="0" borderId="17" xfId="0" applyNumberFormat="1" applyFont="1" applyBorder="1" applyAlignment="1">
      <alignment horizontal="center" vertical="center" wrapText="1"/>
    </xf>
    <xf numFmtId="37" fontId="87" fillId="0" borderId="52" xfId="0" applyNumberFormat="1" applyFont="1" applyBorder="1" applyAlignment="1">
      <alignment horizontal="left" vertical="center"/>
    </xf>
    <xf numFmtId="43" fontId="87" fillId="0" borderId="24" xfId="0" applyNumberFormat="1" applyFont="1" applyBorder="1" applyAlignment="1">
      <alignment vertical="center"/>
    </xf>
    <xf numFmtId="43" fontId="87" fillId="0" borderId="53" xfId="0" applyNumberFormat="1" applyFont="1" applyBorder="1" applyAlignment="1">
      <alignment vertical="center"/>
    </xf>
    <xf numFmtId="43" fontId="87" fillId="0" borderId="25" xfId="0" applyNumberFormat="1" applyFont="1" applyBorder="1" applyAlignment="1">
      <alignment vertical="center"/>
    </xf>
    <xf numFmtId="43" fontId="87" fillId="0" borderId="115" xfId="0" applyNumberFormat="1" applyFont="1" applyBorder="1" applyAlignment="1">
      <alignment vertical="center"/>
    </xf>
    <xf numFmtId="37" fontId="87" fillId="0" borderId="54" xfId="0" applyNumberFormat="1" applyFont="1" applyBorder="1" applyAlignment="1">
      <alignment horizontal="left" vertical="center"/>
    </xf>
    <xf numFmtId="37" fontId="87" fillId="0" borderId="54" xfId="0" applyNumberFormat="1" applyFont="1" applyBorder="1" applyAlignment="1">
      <alignment vertical="center"/>
    </xf>
    <xf numFmtId="43" fontId="87" fillId="6" borderId="26" xfId="0" applyNumberFormat="1" applyFont="1" applyFill="1" applyBorder="1" applyAlignment="1">
      <alignment vertical="center"/>
    </xf>
    <xf numFmtId="43" fontId="87" fillId="0" borderId="55" xfId="0" applyNumberFormat="1" applyFont="1" applyBorder="1" applyAlignment="1">
      <alignment vertical="center"/>
    </xf>
    <xf numFmtId="43" fontId="87" fillId="0" borderId="112" xfId="0" applyNumberFormat="1" applyFont="1" applyBorder="1" applyAlignment="1">
      <alignment vertical="center"/>
    </xf>
    <xf numFmtId="43" fontId="87" fillId="0" borderId="116" xfId="0" applyNumberFormat="1" applyFont="1" applyBorder="1" applyAlignment="1">
      <alignment vertical="center"/>
    </xf>
    <xf numFmtId="43" fontId="87" fillId="6" borderId="27" xfId="0" applyNumberFormat="1" applyFont="1" applyFill="1" applyBorder="1" applyAlignment="1">
      <alignment vertical="center"/>
    </xf>
    <xf numFmtId="43" fontId="87" fillId="18" borderId="28" xfId="0" applyNumberFormat="1" applyFont="1" applyFill="1" applyBorder="1" applyAlignment="1">
      <alignment vertical="center"/>
    </xf>
    <xf numFmtId="37" fontId="87" fillId="0" borderId="56" xfId="0" applyNumberFormat="1" applyFont="1" applyBorder="1" applyAlignment="1">
      <alignment horizontal="left" vertical="center"/>
    </xf>
    <xf numFmtId="37" fontId="87" fillId="0" borderId="56" xfId="0" applyNumberFormat="1" applyFont="1" applyBorder="1" applyAlignment="1">
      <alignment vertical="center"/>
    </xf>
    <xf numFmtId="43" fontId="87" fillId="0" borderId="151" xfId="0" applyNumberFormat="1" applyFont="1" applyBorder="1" applyAlignment="1">
      <alignment vertical="center"/>
    </xf>
    <xf numFmtId="43" fontId="87" fillId="0" borderId="57" xfId="0" applyNumberFormat="1" applyFont="1" applyBorder="1" applyAlignment="1">
      <alignment vertical="center"/>
    </xf>
    <xf numFmtId="43" fontId="87" fillId="0" borderId="118" xfId="0" applyNumberFormat="1" applyFont="1" applyBorder="1" applyAlignment="1">
      <alignment vertical="center"/>
    </xf>
    <xf numFmtId="43" fontId="87" fillId="0" borderId="52" xfId="0" applyNumberFormat="1" applyFont="1" applyBorder="1" applyAlignment="1">
      <alignment vertical="center"/>
    </xf>
    <xf numFmtId="43" fontId="87" fillId="0" borderId="54" xfId="0" applyNumberFormat="1" applyFont="1" applyBorder="1" applyAlignment="1">
      <alignment vertical="center"/>
    </xf>
    <xf numFmtId="43" fontId="87" fillId="18" borderId="27" xfId="0" applyNumberFormat="1" applyFont="1" applyFill="1" applyBorder="1" applyAlignment="1">
      <alignment vertical="center"/>
    </xf>
    <xf numFmtId="43" fontId="87" fillId="0" borderId="177" xfId="0" applyNumberFormat="1" applyFont="1" applyBorder="1" applyAlignment="1">
      <alignment vertical="center"/>
    </xf>
    <xf numFmtId="43" fontId="87" fillId="0" borderId="56" xfId="0" applyNumberFormat="1" applyFont="1" applyBorder="1" applyAlignment="1">
      <alignment vertical="center"/>
    </xf>
    <xf numFmtId="43" fontId="87" fillId="0" borderId="29" xfId="0" applyNumberFormat="1" applyFont="1" applyBorder="1" applyAlignment="1">
      <alignment vertical="center"/>
    </xf>
    <xf numFmtId="43" fontId="87" fillId="0" borderId="89" xfId="0" applyNumberFormat="1" applyFont="1" applyBorder="1" applyAlignment="1">
      <alignment vertical="center"/>
    </xf>
    <xf numFmtId="14" fontId="97" fillId="0" borderId="30" xfId="0" applyNumberFormat="1" applyFont="1" applyBorder="1" applyAlignment="1">
      <alignment vertical="center"/>
    </xf>
    <xf numFmtId="39" fontId="87" fillId="0" borderId="122" xfId="0" applyNumberFormat="1" applyFont="1" applyBorder="1" applyAlignment="1">
      <alignment vertical="center"/>
    </xf>
    <xf numFmtId="14" fontId="97" fillId="0" borderId="178" xfId="0" applyNumberFormat="1" applyFont="1" applyBorder="1" applyAlignment="1">
      <alignment vertical="center"/>
    </xf>
    <xf numFmtId="39" fontId="87" fillId="0" borderId="178" xfId="0" applyNumberFormat="1" applyFont="1" applyBorder="1" applyAlignment="1">
      <alignment vertical="center"/>
    </xf>
    <xf numFmtId="39" fontId="87" fillId="0" borderId="83" xfId="0" applyNumberFormat="1" applyFont="1" applyBorder="1" applyAlignment="1">
      <alignment vertical="center"/>
    </xf>
    <xf numFmtId="39" fontId="87" fillId="0" borderId="19" xfId="0" applyNumberFormat="1" applyFont="1" applyBorder="1" applyAlignment="1">
      <alignment horizontal="center" vertical="center"/>
    </xf>
    <xf numFmtId="43" fontId="87" fillId="0" borderId="19" xfId="0" applyNumberFormat="1" applyFont="1" applyBorder="1" applyAlignment="1">
      <alignment horizontal="right" vertical="center"/>
    </xf>
    <xf numFmtId="37" fontId="87" fillId="0" borderId="154" xfId="0" applyNumberFormat="1" applyFont="1" applyBorder="1" applyAlignment="1">
      <alignment horizontal="center" vertical="center" wrapText="1"/>
    </xf>
    <xf numFmtId="37" fontId="87" fillId="0" borderId="99" xfId="0" applyNumberFormat="1" applyFont="1" applyBorder="1" applyAlignment="1">
      <alignment horizontal="left" vertical="center"/>
    </xf>
    <xf numFmtId="43" fontId="87" fillId="0" borderId="99" xfId="0" applyNumberFormat="1" applyFont="1" applyBorder="1" applyAlignment="1">
      <alignment vertical="center"/>
    </xf>
    <xf numFmtId="39" fontId="87" fillId="0" borderId="21" xfId="0" applyNumberFormat="1" applyFont="1" applyBorder="1" applyAlignment="1">
      <alignment horizontal="center" vertical="center"/>
    </xf>
    <xf numFmtId="43" fontId="87" fillId="0" borderId="21" xfId="0" applyNumberFormat="1" applyFont="1" applyBorder="1" applyAlignment="1">
      <alignment horizontal="right" vertical="center"/>
    </xf>
    <xf numFmtId="37" fontId="87" fillId="0" borderId="136" xfId="0" applyNumberFormat="1" applyFont="1" applyBorder="1" applyAlignment="1">
      <alignment horizontal="left" vertical="center"/>
    </xf>
    <xf numFmtId="43" fontId="87" fillId="0" borderId="136" xfId="0" applyNumberFormat="1" applyFont="1" applyBorder="1" applyAlignment="1">
      <alignment vertical="center"/>
    </xf>
    <xf numFmtId="39" fontId="87" fillId="0" borderId="47" xfId="0" applyNumberFormat="1" applyFont="1" applyBorder="1" applyAlignment="1">
      <alignment horizontal="center" vertical="center"/>
    </xf>
    <xf numFmtId="43" fontId="87" fillId="0" borderId="47" xfId="0" applyNumberFormat="1" applyFont="1" applyBorder="1" applyAlignment="1">
      <alignment horizontal="right" vertical="center"/>
    </xf>
    <xf numFmtId="43" fontId="87" fillId="0" borderId="47" xfId="0" applyNumberFormat="1" applyFont="1" applyBorder="1" applyAlignment="1">
      <alignment vertical="center"/>
    </xf>
    <xf numFmtId="37" fontId="87" fillId="0" borderId="61" xfId="0" applyNumberFormat="1" applyFont="1" applyBorder="1" applyAlignment="1">
      <alignment horizontal="center" vertical="center" wrapText="1"/>
    </xf>
    <xf numFmtId="37" fontId="87" fillId="0" borderId="8" xfId="0" applyNumberFormat="1" applyFont="1" applyBorder="1" applyAlignment="1">
      <alignment horizontal="left" vertical="center"/>
    </xf>
    <xf numFmtId="37" fontId="87" fillId="0" borderId="8" xfId="0" applyNumberFormat="1" applyFont="1" applyBorder="1" applyAlignment="1">
      <alignment vertical="center"/>
    </xf>
    <xf numFmtId="43" fontId="87" fillId="0" borderId="61" xfId="0" applyNumberFormat="1" applyFont="1" applyBorder="1" applyAlignment="1">
      <alignment vertical="center"/>
    </xf>
    <xf numFmtId="39" fontId="87" fillId="0" borderId="61" xfId="0" applyNumberFormat="1" applyFont="1" applyBorder="1" applyAlignment="1">
      <alignment horizontal="center" vertical="center"/>
    </xf>
    <xf numFmtId="37" fontId="87" fillId="0" borderId="2" xfId="0" applyNumberFormat="1" applyFont="1" applyBorder="1" applyAlignment="1">
      <alignment vertical="center" wrapText="1"/>
    </xf>
    <xf numFmtId="37" fontId="87" fillId="0" borderId="89" xfId="0" applyNumberFormat="1" applyFont="1" applyBorder="1" applyAlignment="1">
      <alignment horizontal="left" vertical="center"/>
    </xf>
    <xf numFmtId="37" fontId="87" fillId="0" borderId="131" xfId="0" applyNumberFormat="1" applyFont="1" applyBorder="1" applyAlignment="1">
      <alignment vertical="center"/>
    </xf>
    <xf numFmtId="168" fontId="87" fillId="0" borderId="132" xfId="0" applyNumberFormat="1" applyFont="1" applyBorder="1" applyAlignment="1">
      <alignment vertical="center"/>
    </xf>
    <xf numFmtId="168" fontId="87" fillId="0" borderId="89" xfId="0" applyNumberFormat="1" applyFont="1" applyBorder="1" applyAlignment="1">
      <alignment vertical="center"/>
    </xf>
    <xf numFmtId="43" fontId="87" fillId="0" borderId="132" xfId="0" applyNumberFormat="1" applyFont="1" applyBorder="1" applyAlignment="1">
      <alignment vertical="center"/>
    </xf>
    <xf numFmtId="168" fontId="87" fillId="0" borderId="131" xfId="0" applyNumberFormat="1" applyFont="1" applyBorder="1" applyAlignment="1">
      <alignment vertical="center"/>
    </xf>
    <xf numFmtId="168" fontId="87" fillId="0" borderId="78" xfId="0" applyNumberFormat="1" applyFont="1" applyBorder="1" applyAlignment="1">
      <alignment vertical="center"/>
    </xf>
    <xf numFmtId="37" fontId="97" fillId="0" borderId="0" xfId="0" applyNumberFormat="1" applyFont="1" applyAlignment="1">
      <alignment vertical="center" wrapText="1"/>
    </xf>
    <xf numFmtId="43" fontId="97" fillId="0" borderId="0" xfId="0" applyNumberFormat="1" applyFont="1" applyAlignment="1">
      <alignment vertical="center" wrapText="1"/>
    </xf>
    <xf numFmtId="199" fontId="97" fillId="0" borderId="0" xfId="0" applyNumberFormat="1" applyFont="1" applyAlignment="1">
      <alignment vertical="center" wrapText="1"/>
    </xf>
    <xf numFmtId="200" fontId="97" fillId="0" borderId="0" xfId="0" applyNumberFormat="1" applyFont="1" applyAlignment="1">
      <alignment vertical="center" wrapText="1"/>
    </xf>
    <xf numFmtId="37" fontId="97" fillId="0" borderId="2" xfId="0" applyNumberFormat="1" applyFont="1" applyBorder="1" applyAlignment="1">
      <alignment vertical="center"/>
    </xf>
    <xf numFmtId="37" fontId="97" fillId="0" borderId="89" xfId="0" applyNumberFormat="1" applyFont="1" applyBorder="1" applyAlignment="1">
      <alignment vertical="center"/>
    </xf>
    <xf numFmtId="37" fontId="97" fillId="0" borderId="131" xfId="0" applyNumberFormat="1" applyFont="1" applyBorder="1" applyAlignment="1">
      <alignment vertical="center"/>
    </xf>
    <xf numFmtId="37" fontId="87" fillId="0" borderId="33" xfId="0" applyNumberFormat="1" applyFont="1" applyBorder="1" applyAlignment="1">
      <alignment horizontal="center" vertical="center" wrapText="1"/>
    </xf>
    <xf numFmtId="0" fontId="87" fillId="0" borderId="34" xfId="0" applyFont="1" applyBorder="1" applyAlignment="1">
      <alignment vertical="center"/>
    </xf>
    <xf numFmtId="37" fontId="97" fillId="0" borderId="35" xfId="0" applyNumberFormat="1" applyFont="1" applyBorder="1" applyAlignment="1">
      <alignment vertical="center" wrapText="1"/>
    </xf>
    <xf numFmtId="43" fontId="87" fillId="3" borderId="36" xfId="0" applyNumberFormat="1" applyFont="1" applyFill="1" applyBorder="1" applyAlignment="1">
      <alignment vertical="center"/>
    </xf>
    <xf numFmtId="43" fontId="87" fillId="3" borderId="37" xfId="0" applyNumberFormat="1" applyFont="1" applyFill="1" applyBorder="1" applyAlignment="1">
      <alignment vertical="center"/>
    </xf>
    <xf numFmtId="37" fontId="87" fillId="0" borderId="38" xfId="0" applyNumberFormat="1" applyFont="1" applyBorder="1" applyAlignment="1">
      <alignment horizontal="center" vertical="center" wrapText="1"/>
    </xf>
    <xf numFmtId="0" fontId="87" fillId="0" borderId="39" xfId="0" applyFont="1" applyBorder="1" applyAlignment="1">
      <alignment vertical="center"/>
    </xf>
    <xf numFmtId="37" fontId="97" fillId="0" borderId="40" xfId="0" applyNumberFormat="1" applyFont="1" applyBorder="1" applyAlignment="1">
      <alignment vertical="center" wrapText="1"/>
    </xf>
    <xf numFmtId="43" fontId="87" fillId="3" borderId="41" xfId="0" applyNumberFormat="1" applyFont="1" applyFill="1" applyBorder="1" applyAlignment="1">
      <alignment vertical="center"/>
    </xf>
    <xf numFmtId="43" fontId="87" fillId="0" borderId="41" xfId="0" applyNumberFormat="1" applyFont="1" applyBorder="1" applyAlignment="1">
      <alignment vertical="center"/>
    </xf>
    <xf numFmtId="37" fontId="97" fillId="0" borderId="177" xfId="0" applyNumberFormat="1" applyFont="1" applyBorder="1" applyAlignment="1">
      <alignment horizontal="center" vertical="center" wrapText="1"/>
    </xf>
    <xf numFmtId="37" fontId="97" fillId="0" borderId="122" xfId="0" applyNumberFormat="1" applyFont="1" applyBorder="1" applyAlignment="1">
      <alignment vertical="center" wrapText="1"/>
    </xf>
    <xf numFmtId="43" fontId="97" fillId="0" borderId="22" xfId="0" applyNumberFormat="1" applyFont="1" applyBorder="1" applyAlignment="1">
      <alignment horizontal="right" vertical="center"/>
    </xf>
    <xf numFmtId="43" fontId="87" fillId="0" borderId="22" xfId="0" applyNumberFormat="1" applyFont="1" applyBorder="1" applyAlignment="1">
      <alignment vertical="center"/>
    </xf>
    <xf numFmtId="43" fontId="87" fillId="0" borderId="37" xfId="0" applyNumberFormat="1" applyFont="1" applyBorder="1" applyAlignment="1">
      <alignment vertical="center"/>
    </xf>
    <xf numFmtId="37" fontId="87" fillId="0" borderId="42" xfId="0" applyNumberFormat="1" applyFont="1" applyBorder="1" applyAlignment="1">
      <alignment horizontal="center" vertical="center" wrapText="1"/>
    </xf>
    <xf numFmtId="0" fontId="87" fillId="0" borderId="43" xfId="0" applyFont="1" applyBorder="1" applyAlignment="1">
      <alignment vertical="center"/>
    </xf>
    <xf numFmtId="37" fontId="97" fillId="0" borderId="44" xfId="0" applyNumberFormat="1" applyFont="1" applyBorder="1" applyAlignment="1">
      <alignment vertical="center" wrapText="1"/>
    </xf>
    <xf numFmtId="43" fontId="87" fillId="3" borderId="45" xfId="0" applyNumberFormat="1" applyFont="1" applyFill="1" applyBorder="1" applyAlignment="1">
      <alignment vertical="center"/>
    </xf>
    <xf numFmtId="43" fontId="87" fillId="0" borderId="45" xfId="0" applyNumberFormat="1" applyFont="1" applyBorder="1" applyAlignment="1">
      <alignment vertical="center"/>
    </xf>
    <xf numFmtId="0" fontId="99" fillId="0" borderId="0" xfId="0" applyFont="1" applyAlignment="1">
      <alignment vertical="center"/>
    </xf>
    <xf numFmtId="37" fontId="87" fillId="0" borderId="172" xfId="0" applyNumberFormat="1" applyFont="1" applyBorder="1" applyAlignment="1">
      <alignment horizontal="center" vertical="center" wrapText="1"/>
    </xf>
    <xf numFmtId="37" fontId="87" fillId="0" borderId="173" xfId="0" applyNumberFormat="1" applyFont="1" applyBorder="1" applyAlignment="1">
      <alignment horizontal="center" vertical="center"/>
    </xf>
    <xf numFmtId="37" fontId="97" fillId="0" borderId="173" xfId="0" applyNumberFormat="1" applyFont="1" applyBorder="1" applyAlignment="1">
      <alignment vertical="center" wrapText="1"/>
    </xf>
    <xf numFmtId="39" fontId="87" fillId="0" borderId="174" xfId="0" applyNumberFormat="1" applyFont="1" applyBorder="1" applyAlignment="1">
      <alignment vertical="center"/>
    </xf>
    <xf numFmtId="37" fontId="87" fillId="0" borderId="12" xfId="0" applyNumberFormat="1" applyFont="1" applyBorder="1" applyAlignment="1">
      <alignment horizontal="center" vertical="center" wrapText="1"/>
    </xf>
    <xf numFmtId="37" fontId="87" fillId="0" borderId="0" xfId="0" applyNumberFormat="1" applyFont="1" applyAlignment="1">
      <alignment horizontal="center" vertical="center"/>
    </xf>
    <xf numFmtId="39" fontId="87" fillId="0" borderId="13" xfId="0" applyNumberFormat="1" applyFont="1" applyBorder="1" applyAlignment="1">
      <alignment vertical="center"/>
    </xf>
    <xf numFmtId="37" fontId="97" fillId="0" borderId="181" xfId="0" applyNumberFormat="1" applyFont="1" applyBorder="1" applyAlignment="1">
      <alignment horizontal="left" vertical="center"/>
    </xf>
    <xf numFmtId="39" fontId="87" fillId="0" borderId="83" xfId="0" applyNumberFormat="1" applyFont="1" applyBorder="1" applyAlignment="1">
      <alignment horizontal="center" vertical="center"/>
    </xf>
    <xf numFmtId="37" fontId="97" fillId="0" borderId="52" xfId="0" applyNumberFormat="1" applyFont="1" applyBorder="1" applyAlignment="1">
      <alignment vertical="center" wrapText="1"/>
    </xf>
    <xf numFmtId="39" fontId="87" fillId="0" borderId="115" xfId="0" applyNumberFormat="1" applyFont="1" applyBorder="1" applyAlignment="1">
      <alignment horizontal="center" vertical="center"/>
    </xf>
    <xf numFmtId="37" fontId="97" fillId="0" borderId="54" xfId="0" applyNumberFormat="1" applyFont="1" applyBorder="1" applyAlignment="1">
      <alignment vertical="center" wrapText="1"/>
    </xf>
    <xf numFmtId="39" fontId="87" fillId="0" borderId="116" xfId="0" applyNumberFormat="1" applyFont="1" applyBorder="1" applyAlignment="1">
      <alignment horizontal="center" vertical="center"/>
    </xf>
    <xf numFmtId="37" fontId="87" fillId="0" borderId="136" xfId="0" applyNumberFormat="1" applyFont="1" applyBorder="1" applyAlignment="1">
      <alignment horizontal="left" vertical="center" wrapText="1"/>
    </xf>
    <xf numFmtId="37" fontId="97" fillId="0" borderId="136" xfId="0" applyNumberFormat="1" applyFont="1" applyBorder="1" applyAlignment="1">
      <alignment vertical="center" wrapText="1"/>
    </xf>
    <xf numFmtId="37" fontId="97" fillId="0" borderId="136" xfId="0" applyNumberFormat="1" applyFont="1" applyBorder="1" applyAlignment="1">
      <alignment vertical="center"/>
    </xf>
    <xf numFmtId="37" fontId="97" fillId="0" borderId="135" xfId="0" applyNumberFormat="1" applyFont="1" applyBorder="1" applyAlignment="1">
      <alignment vertical="center"/>
    </xf>
    <xf numFmtId="39" fontId="87" fillId="0" borderId="136" xfId="0" applyNumberFormat="1" applyFont="1" applyBorder="1" applyAlignment="1">
      <alignment horizontal="center" vertical="center"/>
    </xf>
    <xf numFmtId="39" fontId="87" fillId="0" borderId="48" xfId="0" applyNumberFormat="1" applyFont="1" applyBorder="1" applyAlignment="1">
      <alignment horizontal="center" vertical="center"/>
    </xf>
    <xf numFmtId="0" fontId="87" fillId="0" borderId="99" xfId="0" applyFont="1" applyBorder="1" applyAlignment="1">
      <alignment horizontal="left" vertical="center"/>
    </xf>
    <xf numFmtId="43" fontId="87" fillId="0" borderId="36" xfId="0" applyNumberFormat="1" applyFont="1" applyBorder="1" applyAlignment="1">
      <alignment vertical="center"/>
    </xf>
    <xf numFmtId="39" fontId="87" fillId="0" borderId="135" xfId="0" applyNumberFormat="1" applyFont="1" applyBorder="1" applyAlignment="1">
      <alignment horizontal="center" vertical="center" wrapText="1"/>
    </xf>
    <xf numFmtId="37" fontId="87" fillId="0" borderId="2" xfId="0" applyNumberFormat="1" applyFont="1" applyBorder="1" applyAlignment="1">
      <alignment horizontal="center" vertical="center" wrapText="1"/>
    </xf>
    <xf numFmtId="0" fontId="87" fillId="0" borderId="89" xfId="0" applyFont="1" applyBorder="1" applyAlignment="1">
      <alignment horizontal="left" vertical="center"/>
    </xf>
    <xf numFmtId="37" fontId="97" fillId="0" borderId="89" xfId="0" applyNumberFormat="1" applyFont="1" applyBorder="1" applyAlignment="1">
      <alignment vertical="center" wrapText="1"/>
    </xf>
    <xf numFmtId="43" fontId="87" fillId="0" borderId="161" xfId="0" applyNumberFormat="1" applyFont="1" applyBorder="1" applyAlignment="1">
      <alignment vertical="center"/>
    </xf>
    <xf numFmtId="39" fontId="87" fillId="0" borderId="151" xfId="0" applyNumberFormat="1" applyFont="1" applyBorder="1" applyAlignment="1">
      <alignment horizontal="center" vertical="center"/>
    </xf>
    <xf numFmtId="39" fontId="87" fillId="0" borderId="118" xfId="0" applyNumberFormat="1" applyFont="1" applyBorder="1" applyAlignment="1">
      <alignment horizontal="center" vertical="center"/>
    </xf>
    <xf numFmtId="37" fontId="97" fillId="0" borderId="8" xfId="0" applyNumberFormat="1" applyFont="1" applyBorder="1" applyAlignment="1">
      <alignment vertical="center" wrapText="1"/>
    </xf>
    <xf numFmtId="43" fontId="87" fillId="11" borderId="52" xfId="0" applyNumberFormat="1" applyFont="1" applyFill="1" applyBorder="1" applyAlignment="1">
      <alignment vertical="center"/>
    </xf>
    <xf numFmtId="43" fontId="87" fillId="11" borderId="53" xfId="0" applyNumberFormat="1" applyFont="1" applyFill="1" applyBorder="1" applyAlignment="1">
      <alignment vertical="center"/>
    </xf>
    <xf numFmtId="43" fontId="87" fillId="11" borderId="54" xfId="0" applyNumberFormat="1" applyFont="1" applyFill="1" applyBorder="1" applyAlignment="1">
      <alignment vertical="center"/>
    </xf>
    <xf numFmtId="43" fontId="87" fillId="11" borderId="55" xfId="0" applyNumberFormat="1" applyFont="1" applyFill="1" applyBorder="1" applyAlignment="1">
      <alignment vertical="center"/>
    </xf>
    <xf numFmtId="43" fontId="87" fillId="11" borderId="56" xfId="0" applyNumberFormat="1" applyFont="1" applyFill="1" applyBorder="1" applyAlignment="1">
      <alignment vertical="center"/>
    </xf>
    <xf numFmtId="43" fontId="87" fillId="11" borderId="57" xfId="0" applyNumberFormat="1" applyFont="1" applyFill="1" applyBorder="1" applyAlignment="1">
      <alignment vertical="center"/>
    </xf>
    <xf numFmtId="37" fontId="97" fillId="0" borderId="12" xfId="0" applyNumberFormat="1" applyFont="1" applyBorder="1" applyAlignment="1">
      <alignment vertical="center" wrapText="1"/>
    </xf>
    <xf numFmtId="37" fontId="87" fillId="0" borderId="13" xfId="0" applyNumberFormat="1" applyFont="1" applyBorder="1" applyAlignment="1">
      <alignment vertical="center"/>
    </xf>
    <xf numFmtId="37" fontId="87" fillId="0" borderId="58" xfId="0" applyNumberFormat="1" applyFont="1" applyBorder="1" applyAlignment="1">
      <alignment horizontal="left" vertical="center"/>
    </xf>
    <xf numFmtId="37" fontId="97" fillId="0" borderId="63" xfId="0" applyNumberFormat="1" applyFont="1" applyBorder="1" applyAlignment="1">
      <alignment vertical="center"/>
    </xf>
    <xf numFmtId="37" fontId="87" fillId="0" borderId="20" xfId="0" applyNumberFormat="1" applyFont="1" applyBorder="1" applyAlignment="1">
      <alignment horizontal="left" vertical="center"/>
    </xf>
    <xf numFmtId="37" fontId="97" fillId="0" borderId="64" xfId="0" applyNumberFormat="1" applyFont="1" applyBorder="1" applyAlignment="1">
      <alignment vertical="center"/>
    </xf>
    <xf numFmtId="37" fontId="87" fillId="12" borderId="20" xfId="0" applyNumberFormat="1" applyFont="1" applyFill="1" applyBorder="1" applyAlignment="1">
      <alignment vertical="center"/>
    </xf>
    <xf numFmtId="37" fontId="87" fillId="12" borderId="64" xfId="0" applyNumberFormat="1" applyFont="1" applyFill="1" applyBorder="1" applyAlignment="1">
      <alignment vertical="center"/>
    </xf>
    <xf numFmtId="43" fontId="87" fillId="0" borderId="20" xfId="0" applyNumberFormat="1" applyFont="1" applyBorder="1" applyAlignment="1">
      <alignment horizontal="right" vertical="center"/>
    </xf>
    <xf numFmtId="43" fontId="87" fillId="0" borderId="64" xfId="0" applyNumberFormat="1" applyFont="1" applyBorder="1" applyAlignment="1">
      <alignment vertical="center"/>
    </xf>
    <xf numFmtId="37" fontId="97" fillId="0" borderId="61" xfId="0" applyNumberFormat="1" applyFont="1" applyBorder="1" applyAlignment="1">
      <alignment vertical="center"/>
    </xf>
    <xf numFmtId="37" fontId="87" fillId="0" borderId="0" xfId="0" applyNumberFormat="1" applyFont="1" applyAlignment="1">
      <alignment horizontal="left" vertical="center"/>
    </xf>
    <xf numFmtId="37" fontId="97" fillId="0" borderId="133" xfId="0" applyNumberFormat="1" applyFont="1" applyBorder="1" applyAlignment="1">
      <alignment vertical="center"/>
    </xf>
    <xf numFmtId="37" fontId="87" fillId="12" borderId="0" xfId="0" applyNumberFormat="1" applyFont="1" applyFill="1" applyAlignment="1">
      <alignment vertical="center"/>
    </xf>
    <xf numFmtId="37" fontId="87" fillId="12" borderId="133" xfId="0" applyNumberFormat="1" applyFont="1" applyFill="1" applyBorder="1" applyAlignment="1">
      <alignment vertical="center"/>
    </xf>
    <xf numFmtId="43" fontId="87" fillId="0" borderId="0" xfId="0" applyNumberFormat="1" applyFont="1" applyAlignment="1">
      <alignment horizontal="right" vertical="center"/>
    </xf>
    <xf numFmtId="43" fontId="87" fillId="0" borderId="133" xfId="0" applyNumberFormat="1" applyFont="1" applyBorder="1" applyAlignment="1">
      <alignment vertical="center"/>
    </xf>
    <xf numFmtId="37" fontId="97" fillId="0" borderId="65" xfId="0" applyNumberFormat="1" applyFont="1" applyBorder="1" applyAlignment="1">
      <alignment vertical="center"/>
    </xf>
    <xf numFmtId="37" fontId="100" fillId="0" borderId="199" xfId="4" applyFont="1" applyBorder="1" applyAlignment="1">
      <alignment horizontal="left" vertical="center"/>
    </xf>
    <xf numFmtId="37" fontId="97" fillId="0" borderId="66" xfId="0" applyNumberFormat="1" applyFont="1" applyBorder="1" applyAlignment="1">
      <alignment vertical="center"/>
    </xf>
    <xf numFmtId="37" fontId="87" fillId="12" borderId="58" xfId="0" applyNumberFormat="1" applyFont="1" applyFill="1" applyBorder="1" applyAlignment="1">
      <alignment vertical="center"/>
    </xf>
    <xf numFmtId="37" fontId="87" fillId="12" borderId="66" xfId="0" applyNumberFormat="1" applyFont="1" applyFill="1" applyBorder="1" applyAlignment="1">
      <alignment vertical="center"/>
    </xf>
    <xf numFmtId="43" fontId="87" fillId="0" borderId="58" xfId="0" applyNumberFormat="1" applyFont="1" applyBorder="1" applyAlignment="1">
      <alignment vertical="center"/>
    </xf>
    <xf numFmtId="43" fontId="87" fillId="0" borderId="66" xfId="0" applyNumberFormat="1" applyFont="1" applyBorder="1" applyAlignment="1">
      <alignment vertical="center"/>
    </xf>
    <xf numFmtId="37" fontId="97" fillId="0" borderId="161" xfId="0" applyNumberFormat="1" applyFont="1" applyBorder="1" applyAlignment="1">
      <alignment vertical="center"/>
    </xf>
    <xf numFmtId="37" fontId="97" fillId="0" borderId="160" xfId="0" applyNumberFormat="1" applyFont="1" applyBorder="1" applyAlignment="1">
      <alignment horizontal="left" vertical="center"/>
    </xf>
    <xf numFmtId="37" fontId="97" fillId="0" borderId="162" xfId="0" applyNumberFormat="1" applyFont="1" applyBorder="1" applyAlignment="1">
      <alignment vertical="center"/>
    </xf>
    <xf numFmtId="37" fontId="97" fillId="12" borderId="160" xfId="0" applyNumberFormat="1" applyFont="1" applyFill="1" applyBorder="1" applyAlignment="1">
      <alignment vertical="center"/>
    </xf>
    <xf numFmtId="37" fontId="97" fillId="12" borderId="162" xfId="0" applyNumberFormat="1" applyFont="1" applyFill="1" applyBorder="1" applyAlignment="1">
      <alignment vertical="center"/>
    </xf>
    <xf numFmtId="43" fontId="97" fillId="0" borderId="160" xfId="0" applyNumberFormat="1" applyFont="1" applyBorder="1" applyAlignment="1">
      <alignment horizontal="right" vertical="center"/>
    </xf>
    <xf numFmtId="43" fontId="97" fillId="0" borderId="162" xfId="0" applyNumberFormat="1" applyFont="1" applyBorder="1" applyAlignment="1">
      <alignment vertical="center"/>
    </xf>
    <xf numFmtId="37" fontId="87" fillId="0" borderId="20" xfId="0" applyNumberFormat="1" applyFont="1" applyBorder="1" applyAlignment="1">
      <alignment vertical="center"/>
    </xf>
    <xf numFmtId="37" fontId="97" fillId="0" borderId="179" xfId="0" applyNumberFormat="1" applyFont="1" applyBorder="1" applyAlignment="1">
      <alignment vertical="center"/>
    </xf>
    <xf numFmtId="37" fontId="97" fillId="0" borderId="180" xfId="0" applyNumberFormat="1" applyFont="1" applyBorder="1" applyAlignment="1">
      <alignment vertical="center"/>
    </xf>
    <xf numFmtId="37" fontId="97" fillId="12" borderId="181" xfId="0" applyNumberFormat="1" applyFont="1" applyFill="1" applyBorder="1" applyAlignment="1">
      <alignment vertical="center"/>
    </xf>
    <xf numFmtId="37" fontId="97" fillId="12" borderId="180" xfId="0" applyNumberFormat="1" applyFont="1" applyFill="1" applyBorder="1" applyAlignment="1">
      <alignment vertical="center"/>
    </xf>
    <xf numFmtId="43" fontId="97" fillId="0" borderId="181" xfId="0" applyNumberFormat="1" applyFont="1" applyBorder="1" applyAlignment="1">
      <alignment horizontal="right" vertical="center"/>
    </xf>
    <xf numFmtId="43" fontId="97" fillId="0" borderId="180" xfId="0" applyNumberFormat="1" applyFont="1" applyBorder="1" applyAlignment="1">
      <alignment vertical="center"/>
    </xf>
    <xf numFmtId="43" fontId="87" fillId="0" borderId="180" xfId="0" applyNumberFormat="1" applyFont="1" applyBorder="1" applyAlignment="1">
      <alignment vertical="center"/>
    </xf>
    <xf numFmtId="0" fontId="94" fillId="0" borderId="0" xfId="0" applyFont="1" applyAlignment="1">
      <alignment vertical="center"/>
    </xf>
    <xf numFmtId="37" fontId="97" fillId="0" borderId="67" xfId="0" applyNumberFormat="1" applyFont="1" applyBorder="1" applyAlignment="1">
      <alignment vertical="center"/>
    </xf>
    <xf numFmtId="0" fontId="87" fillId="0" borderId="43" xfId="0" applyFont="1" applyBorder="1" applyAlignment="1">
      <alignment horizontal="left" vertical="center"/>
    </xf>
    <xf numFmtId="37" fontId="97" fillId="0" borderId="44" xfId="0" applyNumberFormat="1" applyFont="1" applyBorder="1" applyAlignment="1">
      <alignment vertical="center"/>
    </xf>
    <xf numFmtId="37" fontId="87" fillId="12" borderId="43" xfId="0" applyNumberFormat="1" applyFont="1" applyFill="1" applyBorder="1" applyAlignment="1">
      <alignment vertical="center"/>
    </xf>
    <xf numFmtId="37" fontId="87" fillId="12" borderId="44" xfId="0" applyNumberFormat="1" applyFont="1" applyFill="1" applyBorder="1" applyAlignment="1">
      <alignment vertical="center"/>
    </xf>
    <xf numFmtId="43" fontId="87" fillId="0" borderId="43" xfId="0" applyNumberFormat="1" applyFont="1" applyBorder="1" applyAlignment="1">
      <alignment horizontal="right" vertical="center"/>
    </xf>
    <xf numFmtId="43" fontId="87" fillId="0" borderId="44" xfId="0" applyNumberFormat="1" applyFont="1" applyBorder="1" applyAlignment="1">
      <alignment vertical="center"/>
    </xf>
    <xf numFmtId="0" fontId="87" fillId="0" borderId="20" xfId="0" applyFont="1" applyBorder="1" applyAlignment="1">
      <alignment horizontal="left" vertical="center"/>
    </xf>
    <xf numFmtId="37" fontId="87" fillId="0" borderId="43" xfId="0" applyNumberFormat="1" applyFont="1" applyBorder="1" applyAlignment="1">
      <alignment horizontal="left" vertical="center"/>
    </xf>
    <xf numFmtId="43" fontId="97" fillId="0" borderId="160" xfId="2" applyFont="1" applyBorder="1" applyAlignment="1">
      <alignment horizontal="right" vertical="center"/>
    </xf>
    <xf numFmtId="43" fontId="87" fillId="0" borderId="162" xfId="0" applyNumberFormat="1" applyFont="1" applyBorder="1" applyAlignment="1">
      <alignment vertical="center"/>
    </xf>
    <xf numFmtId="37" fontId="97" fillId="0" borderId="0" xfId="0" applyNumberFormat="1" applyFont="1" applyAlignment="1">
      <alignment vertical="center"/>
    </xf>
    <xf numFmtId="37" fontId="87" fillId="0" borderId="133" xfId="0" applyNumberFormat="1" applyFont="1" applyBorder="1" applyAlignment="1">
      <alignment vertical="center"/>
    </xf>
    <xf numFmtId="43" fontId="87" fillId="0" borderId="0" xfId="0" applyNumberFormat="1" applyFont="1" applyAlignment="1">
      <alignment vertical="center"/>
    </xf>
    <xf numFmtId="37" fontId="97" fillId="0" borderId="160" xfId="0" applyNumberFormat="1" applyFont="1" applyBorder="1" applyAlignment="1">
      <alignment vertical="center"/>
    </xf>
    <xf numFmtId="37" fontId="87" fillId="0" borderId="160" xfId="0" applyNumberFormat="1" applyFont="1" applyBorder="1" applyAlignment="1">
      <alignment vertical="center"/>
    </xf>
    <xf numFmtId="37" fontId="87" fillId="0" borderId="162" xfId="0" applyNumberFormat="1" applyFont="1" applyBorder="1" applyAlignment="1">
      <alignment vertical="center"/>
    </xf>
    <xf numFmtId="43" fontId="87" fillId="0" borderId="160" xfId="2" applyFont="1" applyBorder="1" applyAlignment="1">
      <alignment horizontal="right" vertical="center"/>
    </xf>
    <xf numFmtId="43" fontId="87" fillId="0" borderId="160" xfId="0" applyNumberFormat="1" applyFont="1" applyBorder="1" applyAlignment="1">
      <alignment horizontal="right" vertical="center"/>
    </xf>
    <xf numFmtId="43" fontId="97" fillId="0" borderId="0" xfId="0" applyNumberFormat="1" applyFont="1" applyAlignment="1">
      <alignment vertical="center"/>
    </xf>
    <xf numFmtId="43" fontId="87" fillId="0" borderId="0" xfId="2" applyFont="1" applyAlignment="1">
      <alignment horizontal="right" vertical="center"/>
    </xf>
    <xf numFmtId="201" fontId="97" fillId="0" borderId="0" xfId="0" applyNumberFormat="1" applyFont="1" applyAlignment="1">
      <alignment vertical="center"/>
    </xf>
    <xf numFmtId="37" fontId="87" fillId="0" borderId="127" xfId="0" applyNumberFormat="1" applyFont="1" applyBorder="1" applyAlignment="1">
      <alignment vertical="center"/>
    </xf>
    <xf numFmtId="39" fontId="87" fillId="0" borderId="127" xfId="0" applyNumberFormat="1" applyFont="1" applyBorder="1" applyAlignment="1">
      <alignment vertical="center"/>
    </xf>
    <xf numFmtId="39" fontId="87" fillId="0" borderId="126" xfId="0" applyNumberFormat="1" applyFont="1" applyBorder="1" applyAlignment="1">
      <alignment vertical="center"/>
    </xf>
    <xf numFmtId="39" fontId="87" fillId="0" borderId="173" xfId="0" applyNumberFormat="1" applyFont="1" applyBorder="1" applyAlignment="1">
      <alignment vertical="center"/>
    </xf>
    <xf numFmtId="37" fontId="87" fillId="0" borderId="36" xfId="0" applyNumberFormat="1" applyFont="1" applyBorder="1" applyAlignment="1">
      <alignment vertical="center"/>
    </xf>
    <xf numFmtId="39" fontId="87" fillId="0" borderId="36" xfId="0" applyNumberFormat="1" applyFont="1" applyBorder="1" applyAlignment="1">
      <alignment vertical="center"/>
    </xf>
    <xf numFmtId="39" fontId="87" fillId="0" borderId="133" xfId="0" applyNumberFormat="1" applyFont="1" applyBorder="1" applyAlignment="1">
      <alignment vertical="center"/>
    </xf>
    <xf numFmtId="39" fontId="87" fillId="0" borderId="0" xfId="0" applyNumberFormat="1" applyFont="1" applyAlignment="1">
      <alignment vertical="center"/>
    </xf>
    <xf numFmtId="195" fontId="97" fillId="0" borderId="30" xfId="0" applyNumberFormat="1" applyFont="1" applyBorder="1" applyAlignment="1">
      <alignment vertical="center"/>
    </xf>
    <xf numFmtId="39" fontId="97" fillId="0" borderId="122" xfId="0" applyNumberFormat="1" applyFont="1" applyBorder="1" applyAlignment="1">
      <alignment horizontal="center" vertical="center"/>
    </xf>
    <xf numFmtId="39" fontId="97" fillId="0" borderId="178" xfId="0" applyNumberFormat="1" applyFont="1" applyBorder="1" applyAlignment="1">
      <alignment horizontal="center" vertical="center"/>
    </xf>
    <xf numFmtId="43" fontId="87" fillId="0" borderId="26" xfId="0" applyNumberFormat="1" applyFont="1" applyBorder="1" applyAlignment="1">
      <alignment vertical="center"/>
    </xf>
    <xf numFmtId="43" fontId="87" fillId="0" borderId="10" xfId="0" applyNumberFormat="1" applyFont="1" applyBorder="1" applyAlignment="1">
      <alignment vertical="center"/>
    </xf>
    <xf numFmtId="39" fontId="87" fillId="0" borderId="53" xfId="0" applyNumberFormat="1" applyFont="1" applyBorder="1" applyAlignment="1">
      <alignment horizontal="center" vertical="center"/>
    </xf>
    <xf numFmtId="39" fontId="87" fillId="0" borderId="52" xfId="0" applyNumberFormat="1" applyFont="1" applyBorder="1" applyAlignment="1">
      <alignment horizontal="center" vertical="center"/>
    </xf>
    <xf numFmtId="43" fontId="87" fillId="0" borderId="46" xfId="0" applyNumberFormat="1" applyFont="1" applyBorder="1" applyAlignment="1">
      <alignment vertical="center"/>
    </xf>
    <xf numFmtId="39" fontId="87" fillId="0" borderId="55" xfId="0" applyNumberFormat="1" applyFont="1" applyBorder="1" applyAlignment="1">
      <alignment horizontal="center" vertical="center"/>
    </xf>
    <xf numFmtId="39" fontId="87" fillId="0" borderId="54" xfId="0" applyNumberFormat="1" applyFont="1" applyBorder="1" applyAlignment="1">
      <alignment horizontal="center" vertical="center"/>
    </xf>
    <xf numFmtId="37" fontId="87" fillId="0" borderId="21" xfId="0" applyNumberFormat="1" applyFont="1" applyBorder="1" applyAlignment="1">
      <alignment horizontal="center" vertical="center"/>
    </xf>
    <xf numFmtId="37" fontId="87" fillId="0" borderId="55" xfId="0" applyNumberFormat="1" applyFont="1" applyBorder="1" applyAlignment="1">
      <alignment horizontal="center" vertical="center"/>
    </xf>
    <xf numFmtId="37" fontId="87" fillId="0" borderId="54" xfId="0" applyNumberFormat="1" applyFont="1" applyBorder="1" applyAlignment="1">
      <alignment horizontal="center" vertical="center"/>
    </xf>
    <xf numFmtId="43" fontId="87" fillId="0" borderId="8" xfId="0" applyNumberFormat="1" applyFont="1" applyBorder="1" applyAlignment="1">
      <alignment vertical="center"/>
    </xf>
    <xf numFmtId="43" fontId="97" fillId="0" borderId="133" xfId="0" applyNumberFormat="1" applyFont="1" applyBorder="1" applyAlignment="1">
      <alignment vertical="center"/>
    </xf>
    <xf numFmtId="43" fontId="87" fillId="0" borderId="135" xfId="0" applyNumberFormat="1" applyFont="1" applyBorder="1" applyAlignment="1">
      <alignment vertical="center"/>
    </xf>
    <xf numFmtId="43" fontId="97" fillId="0" borderId="135" xfId="0" applyNumberFormat="1" applyFont="1" applyBorder="1" applyAlignment="1">
      <alignment vertical="center"/>
    </xf>
    <xf numFmtId="39" fontId="87" fillId="0" borderId="135" xfId="0" applyNumberFormat="1" applyFont="1" applyBorder="1" applyAlignment="1">
      <alignment horizontal="center" vertical="center"/>
    </xf>
    <xf numFmtId="168" fontId="101" fillId="0" borderId="201" xfId="4" applyNumberFormat="1" applyFont="1" applyBorder="1" applyAlignment="1">
      <alignment vertical="center"/>
    </xf>
    <xf numFmtId="168" fontId="101" fillId="0" borderId="202" xfId="8" applyNumberFormat="1" applyFont="1" applyFill="1" applyBorder="1" applyAlignment="1" applyProtection="1">
      <alignment vertical="center"/>
    </xf>
    <xf numFmtId="168" fontId="101" fillId="0" borderId="203" xfId="4" applyNumberFormat="1" applyFont="1" applyBorder="1" applyAlignment="1">
      <alignment vertical="center" wrapText="1"/>
    </xf>
    <xf numFmtId="168" fontId="102" fillId="0" borderId="204" xfId="4" applyNumberFormat="1" applyFont="1" applyBorder="1" applyAlignment="1">
      <alignment vertical="center"/>
    </xf>
    <xf numFmtId="37" fontId="28" fillId="0" borderId="21" xfId="0" applyNumberFormat="1" applyFont="1" applyBorder="1" applyAlignment="1">
      <alignment horizontal="left" vertical="center"/>
    </xf>
    <xf numFmtId="37" fontId="28" fillId="0" borderId="47" xfId="0" applyNumberFormat="1" applyFont="1" applyBorder="1" applyAlignment="1">
      <alignment horizontal="left" vertical="center"/>
    </xf>
    <xf numFmtId="170" fontId="89" fillId="0" borderId="150" xfId="0" applyNumberFormat="1" applyFont="1" applyBorder="1" applyAlignment="1">
      <alignment vertical="center"/>
    </xf>
    <xf numFmtId="168" fontId="89" fillId="0" borderId="55" xfId="0" applyNumberFormat="1" applyFont="1" applyBorder="1" applyAlignment="1">
      <alignment vertical="center"/>
    </xf>
    <xf numFmtId="14" fontId="87" fillId="3" borderId="8" xfId="0" applyNumberFormat="1" applyFont="1" applyFill="1" applyBorder="1" applyAlignment="1">
      <alignment horizontal="center" vertical="center"/>
    </xf>
    <xf numFmtId="37" fontId="85" fillId="0" borderId="53" xfId="0" applyNumberFormat="1" applyFont="1" applyBorder="1" applyAlignment="1">
      <alignment vertical="center"/>
    </xf>
    <xf numFmtId="39" fontId="89" fillId="0" borderId="205" xfId="0" applyNumberFormat="1" applyFont="1" applyBorder="1" applyAlignment="1">
      <alignment vertical="center"/>
    </xf>
    <xf numFmtId="39" fontId="89" fillId="0" borderId="206" xfId="0" applyNumberFormat="1" applyFont="1" applyBorder="1" applyAlignment="1">
      <alignment vertical="center"/>
    </xf>
    <xf numFmtId="39" fontId="89" fillId="0" borderId="207" xfId="0" applyNumberFormat="1" applyFont="1" applyBorder="1" applyAlignment="1">
      <alignment vertical="center"/>
    </xf>
    <xf numFmtId="37" fontId="89" fillId="0" borderId="152" xfId="0" applyNumberFormat="1" applyFont="1" applyBorder="1" applyAlignment="1">
      <alignment vertical="center"/>
    </xf>
    <xf numFmtId="37" fontId="89" fillId="0" borderId="162" xfId="0" applyNumberFormat="1" applyFont="1" applyBorder="1" applyAlignment="1">
      <alignment vertical="center"/>
    </xf>
    <xf numFmtId="191" fontId="89" fillId="0" borderId="178" xfId="0" applyNumberFormat="1" applyFont="1" applyBorder="1" applyAlignment="1">
      <alignment vertical="center"/>
    </xf>
    <xf numFmtId="37" fontId="92" fillId="0" borderId="129" xfId="0" applyNumberFormat="1" applyFont="1" applyBorder="1" applyAlignment="1">
      <alignment horizontal="center" vertical="center"/>
    </xf>
    <xf numFmtId="37" fontId="92" fillId="0" borderId="128" xfId="0" applyNumberFormat="1" applyFont="1" applyBorder="1" applyAlignment="1">
      <alignment horizontal="center" vertical="center"/>
    </xf>
    <xf numFmtId="37" fontId="92" fillId="0" borderId="148" xfId="0" applyNumberFormat="1" applyFont="1" applyBorder="1" applyAlignment="1">
      <alignment horizontal="center" vertical="center"/>
    </xf>
    <xf numFmtId="37" fontId="92" fillId="0" borderId="14" xfId="0" applyNumberFormat="1" applyFont="1" applyBorder="1" applyAlignment="1">
      <alignment horizontal="center" vertical="center"/>
    </xf>
    <xf numFmtId="14" fontId="92" fillId="0" borderId="9" xfId="0" applyNumberFormat="1" applyFont="1" applyBorder="1" applyAlignment="1">
      <alignment horizontal="center" vertical="center"/>
    </xf>
    <xf numFmtId="37" fontId="92" fillId="0" borderId="150" xfId="0" applyNumberFormat="1" applyFont="1" applyBorder="1" applyAlignment="1">
      <alignment horizontal="center" vertical="center"/>
    </xf>
    <xf numFmtId="37" fontId="92" fillId="0" borderId="169" xfId="0" applyNumberFormat="1" applyFont="1" applyBorder="1" applyAlignment="1">
      <alignment horizontal="center" vertical="center"/>
    </xf>
    <xf numFmtId="37" fontId="92" fillId="0" borderId="32" xfId="0" applyNumberFormat="1" applyFont="1" applyBorder="1" applyAlignment="1">
      <alignment horizontal="center" vertical="center"/>
    </xf>
    <xf numFmtId="37" fontId="89" fillId="0" borderId="114" xfId="0" applyNumberFormat="1" applyFont="1" applyBorder="1" applyAlignment="1">
      <alignment vertical="center" wrapText="1"/>
    </xf>
    <xf numFmtId="37" fontId="92" fillId="0" borderId="156" xfId="0" applyNumberFormat="1" applyFont="1" applyBorder="1" applyAlignment="1">
      <alignment vertical="center" wrapText="1"/>
    </xf>
    <xf numFmtId="37" fontId="89" fillId="0" borderId="119" xfId="0" applyNumberFormat="1" applyFont="1" applyBorder="1" applyAlignment="1">
      <alignment vertical="center" wrapText="1"/>
    </xf>
    <xf numFmtId="37" fontId="89" fillId="0" borderId="120" xfId="0" applyNumberFormat="1" applyFont="1" applyBorder="1" applyAlignment="1">
      <alignment vertical="center" wrapText="1"/>
    </xf>
    <xf numFmtId="170" fontId="89" fillId="0" borderId="122" xfId="0" applyNumberFormat="1" applyFont="1" applyBorder="1" applyAlignment="1">
      <alignment vertical="center"/>
    </xf>
    <xf numFmtId="170" fontId="89" fillId="0" borderId="126" xfId="0" applyNumberFormat="1" applyFont="1" applyBorder="1" applyAlignment="1">
      <alignment vertical="center"/>
    </xf>
    <xf numFmtId="37" fontId="89" fillId="0" borderId="117" xfId="0" applyNumberFormat="1" applyFont="1" applyBorder="1" applyAlignment="1">
      <alignment vertical="center" wrapText="1"/>
    </xf>
    <xf numFmtId="170" fontId="83" fillId="0" borderId="0" xfId="0" applyNumberFormat="1" applyFont="1" applyAlignment="1">
      <alignment vertical="center"/>
    </xf>
    <xf numFmtId="170" fontId="89" fillId="0" borderId="55" xfId="0" applyNumberFormat="1" applyFont="1" applyBorder="1" applyAlignment="1">
      <alignment vertical="center"/>
    </xf>
    <xf numFmtId="37" fontId="89" fillId="0" borderId="158" xfId="0" applyNumberFormat="1" applyFont="1" applyBorder="1" applyAlignment="1">
      <alignment vertical="center" wrapText="1"/>
    </xf>
    <xf numFmtId="37" fontId="92" fillId="0" borderId="159" xfId="0" applyNumberFormat="1" applyFont="1" applyBorder="1" applyAlignment="1">
      <alignment vertical="center" wrapText="1"/>
    </xf>
    <xf numFmtId="170" fontId="89" fillId="0" borderId="135" xfId="0" applyNumberFormat="1" applyFont="1" applyBorder="1" applyAlignment="1">
      <alignment vertical="center"/>
    </xf>
    <xf numFmtId="39" fontId="89" fillId="0" borderId="171" xfId="0" applyNumberFormat="1" applyFont="1" applyBorder="1" applyAlignment="1">
      <alignment vertical="center"/>
    </xf>
    <xf numFmtId="37" fontId="89" fillId="0" borderId="170" xfId="0" applyNumberFormat="1" applyFont="1" applyBorder="1" applyAlignment="1">
      <alignment vertical="center" wrapText="1"/>
    </xf>
    <xf numFmtId="37" fontId="92" fillId="0" borderId="157" xfId="0" applyNumberFormat="1" applyFont="1" applyBorder="1" applyAlignment="1">
      <alignment vertical="center" wrapText="1"/>
    </xf>
    <xf numFmtId="37" fontId="89" fillId="0" borderId="120" xfId="0" applyNumberFormat="1" applyFont="1" applyBorder="1" applyAlignment="1">
      <alignment vertical="center"/>
    </xf>
    <xf numFmtId="37" fontId="89" fillId="0" borderId="129" xfId="0" applyNumberFormat="1" applyFont="1" applyBorder="1" applyAlignment="1">
      <alignment vertical="center"/>
    </xf>
    <xf numFmtId="37" fontId="89" fillId="0" borderId="148" xfId="0" applyNumberFormat="1" applyFont="1" applyBorder="1" applyAlignment="1">
      <alignment vertical="center" wrapText="1"/>
    </xf>
    <xf numFmtId="37" fontId="92" fillId="0" borderId="14" xfId="0" applyNumberFormat="1" applyFont="1" applyBorder="1" applyAlignment="1">
      <alignment vertical="center" wrapText="1"/>
    </xf>
    <xf numFmtId="43" fontId="89" fillId="0" borderId="170" xfId="0" applyNumberFormat="1" applyFont="1" applyBorder="1" applyAlignment="1">
      <alignment horizontal="right" vertical="center"/>
    </xf>
    <xf numFmtId="43" fontId="89" fillId="0" borderId="101" xfId="0" applyNumberFormat="1" applyFont="1" applyBorder="1" applyAlignment="1">
      <alignment horizontal="right" vertical="center"/>
    </xf>
    <xf numFmtId="43" fontId="89" fillId="0" borderId="117" xfId="0" applyNumberFormat="1" applyFont="1" applyBorder="1" applyAlignment="1">
      <alignment horizontal="right" vertical="center"/>
    </xf>
    <xf numFmtId="168" fontId="89" fillId="0" borderId="117" xfId="0" applyNumberFormat="1" applyFont="1" applyBorder="1" applyAlignment="1">
      <alignment horizontal="right" vertical="center"/>
    </xf>
    <xf numFmtId="168" fontId="89" fillId="0" borderId="55" xfId="0" applyNumberFormat="1" applyFont="1" applyBorder="1" applyAlignment="1">
      <alignment horizontal="right" vertical="center"/>
    </xf>
    <xf numFmtId="39" fontId="93" fillId="0" borderId="8" xfId="0" applyNumberFormat="1" applyFont="1" applyBorder="1" applyAlignment="1">
      <alignment vertical="center"/>
    </xf>
    <xf numFmtId="39" fontId="93" fillId="0" borderId="55" xfId="0" applyNumberFormat="1" applyFont="1" applyBorder="1" applyAlignment="1">
      <alignment horizontal="right" vertical="center"/>
    </xf>
    <xf numFmtId="43" fontId="89" fillId="0" borderId="135" xfId="0" applyNumberFormat="1" applyFont="1" applyBorder="1" applyAlignment="1">
      <alignment horizontal="right" vertical="center"/>
    </xf>
    <xf numFmtId="43" fontId="89" fillId="0" borderId="158" xfId="0" applyNumberFormat="1" applyFont="1" applyBorder="1" applyAlignment="1">
      <alignment horizontal="right" vertical="center"/>
    </xf>
    <xf numFmtId="37" fontId="92" fillId="0" borderId="155" xfId="0" applyNumberFormat="1" applyFont="1" applyBorder="1" applyAlignment="1">
      <alignment vertical="center" wrapText="1"/>
    </xf>
    <xf numFmtId="43" fontId="89" fillId="0" borderId="133" xfId="0" applyNumberFormat="1" applyFont="1" applyBorder="1" applyAlignment="1">
      <alignment horizontal="right" vertical="center"/>
    </xf>
    <xf numFmtId="37" fontId="89" fillId="0" borderId="133" xfId="0" applyNumberFormat="1" applyFont="1" applyBorder="1" applyAlignment="1">
      <alignment vertical="center"/>
    </xf>
    <xf numFmtId="41" fontId="89" fillId="0" borderId="133" xfId="0" applyNumberFormat="1" applyFont="1" applyBorder="1" applyAlignment="1">
      <alignment vertical="center"/>
    </xf>
    <xf numFmtId="37" fontId="89" fillId="0" borderId="47" xfId="0" applyNumberFormat="1" applyFont="1" applyBorder="1" applyAlignment="1">
      <alignment vertical="center"/>
    </xf>
    <xf numFmtId="37" fontId="85" fillId="0" borderId="114" xfId="0" applyNumberFormat="1" applyFont="1" applyBorder="1" applyAlignment="1">
      <alignment vertical="center" wrapText="1"/>
    </xf>
    <xf numFmtId="37" fontId="85" fillId="0" borderId="117" xfId="0" applyNumberFormat="1" applyFont="1" applyBorder="1" applyAlignment="1">
      <alignment vertical="center" wrapText="1"/>
    </xf>
    <xf numFmtId="37" fontId="85" fillId="0" borderId="119" xfId="0" applyNumberFormat="1" applyFont="1" applyBorder="1" applyAlignment="1">
      <alignment vertical="center" wrapText="1"/>
    </xf>
    <xf numFmtId="37" fontId="85" fillId="0" borderId="120" xfId="0" applyNumberFormat="1" applyFont="1" applyBorder="1" applyAlignment="1">
      <alignment vertical="center" wrapText="1"/>
    </xf>
    <xf numFmtId="41" fontId="89" fillId="0" borderId="8" xfId="0" applyNumberFormat="1" applyFont="1" applyBorder="1" applyAlignment="1">
      <alignment vertical="center"/>
    </xf>
    <xf numFmtId="37" fontId="89" fillId="0" borderId="78" xfId="0" applyNumberFormat="1" applyFont="1" applyBorder="1" applyAlignment="1">
      <alignment horizontal="center" vertical="center"/>
    </xf>
    <xf numFmtId="41" fontId="89" fillId="0" borderId="36" xfId="0" applyNumberFormat="1" applyFont="1" applyBorder="1" applyAlignment="1">
      <alignment vertical="center"/>
    </xf>
    <xf numFmtId="37" fontId="23" fillId="0" borderId="47" xfId="0" applyNumberFormat="1" applyFont="1" applyBorder="1" applyAlignment="1">
      <alignment horizontal="center" vertical="center" wrapText="1"/>
    </xf>
    <xf numFmtId="37" fontId="23" fillId="0" borderId="154" xfId="0" applyNumberFormat="1" applyFont="1" applyBorder="1" applyAlignment="1">
      <alignment horizontal="left" vertical="center" wrapText="1"/>
    </xf>
    <xf numFmtId="37" fontId="22" fillId="0" borderId="47" xfId="0" applyNumberFormat="1" applyFont="1" applyBorder="1" applyAlignment="1">
      <alignment horizontal="center" vertical="center"/>
    </xf>
    <xf numFmtId="37" fontId="22" fillId="0" borderId="153" xfId="0" applyNumberFormat="1" applyFont="1" applyBorder="1" applyAlignment="1">
      <alignment horizontal="center" vertical="center"/>
    </xf>
    <xf numFmtId="37" fontId="23" fillId="0" borderId="3" xfId="0" applyNumberFormat="1" applyFont="1" applyBorder="1" applyAlignment="1">
      <alignment horizontal="left" vertical="center" wrapText="1"/>
    </xf>
    <xf numFmtId="37" fontId="23" fillId="0" borderId="17" xfId="0" applyNumberFormat="1" applyFont="1" applyBorder="1" applyAlignment="1">
      <alignment horizontal="left" vertical="center" wrapText="1"/>
    </xf>
    <xf numFmtId="37" fontId="23" fillId="0" borderId="0" xfId="0" applyNumberFormat="1" applyFont="1" applyAlignment="1">
      <alignment horizontal="center" vertical="center"/>
    </xf>
    <xf numFmtId="37" fontId="22" fillId="0" borderId="36" xfId="0" applyNumberFormat="1" applyFont="1" applyBorder="1" applyAlignment="1">
      <alignment horizontal="center" vertical="center" textRotation="90" wrapText="1"/>
    </xf>
    <xf numFmtId="37" fontId="22" fillId="0" borderId="110" xfId="0" applyNumberFormat="1" applyFont="1" applyBorder="1" applyAlignment="1">
      <alignment horizontal="center" vertical="center" textRotation="90"/>
    </xf>
    <xf numFmtId="37" fontId="22" fillId="0" borderId="110" xfId="0" applyNumberFormat="1" applyFont="1" applyBorder="1" applyAlignment="1">
      <alignment horizontal="center" vertical="center" textRotation="90" wrapText="1"/>
    </xf>
    <xf numFmtId="37" fontId="22" fillId="0" borderId="110" xfId="0" applyNumberFormat="1" applyFont="1" applyBorder="1" applyAlignment="1">
      <alignment horizontal="center" vertical="center"/>
    </xf>
    <xf numFmtId="37" fontId="97" fillId="0" borderId="5" xfId="0" applyNumberFormat="1" applyFont="1" applyBorder="1" applyAlignment="1">
      <alignment horizontal="center" vertical="center"/>
    </xf>
    <xf numFmtId="0" fontId="84" fillId="0" borderId="32" xfId="0" applyFont="1" applyBorder="1" applyAlignment="1">
      <alignment vertical="center"/>
    </xf>
    <xf numFmtId="37" fontId="97" fillId="0" borderId="177" xfId="0" applyNumberFormat="1" applyFont="1" applyBorder="1" applyAlignment="1">
      <alignment horizontal="left" vertical="center" wrapText="1"/>
    </xf>
    <xf numFmtId="0" fontId="84" fillId="0" borderId="178" xfId="0" applyFont="1" applyBorder="1" applyAlignment="1">
      <alignment vertical="center"/>
    </xf>
    <xf numFmtId="0" fontId="84" fillId="0" borderId="83" xfId="0" applyFont="1" applyBorder="1" applyAlignment="1">
      <alignment vertical="center"/>
    </xf>
    <xf numFmtId="37" fontId="97" fillId="0" borderId="172" xfId="0" applyNumberFormat="1" applyFont="1" applyBorder="1" applyAlignment="1">
      <alignment horizontal="center" vertical="center"/>
    </xf>
    <xf numFmtId="0" fontId="84" fillId="0" borderId="173" xfId="0" applyFont="1" applyBorder="1" applyAlignment="1">
      <alignment vertical="center"/>
    </xf>
    <xf numFmtId="0" fontId="84" fillId="0" borderId="126" xfId="0" applyFont="1" applyBorder="1" applyAlignment="1">
      <alignment vertical="center"/>
    </xf>
    <xf numFmtId="0" fontId="84" fillId="0" borderId="12" xfId="0" applyFont="1" applyBorder="1" applyAlignment="1">
      <alignment vertical="center"/>
    </xf>
    <xf numFmtId="0" fontId="94" fillId="0" borderId="0" xfId="0" applyFont="1" applyAlignment="1">
      <alignment vertical="center"/>
    </xf>
    <xf numFmtId="0" fontId="84" fillId="0" borderId="133" xfId="0" applyFont="1" applyBorder="1" applyAlignment="1">
      <alignment vertical="center"/>
    </xf>
    <xf numFmtId="0" fontId="84" fillId="0" borderId="2" xfId="0" applyFont="1" applyBorder="1" applyAlignment="1">
      <alignment vertical="center"/>
    </xf>
    <xf numFmtId="0" fontId="84" fillId="0" borderId="89" xfId="0" applyFont="1" applyBorder="1" applyAlignment="1">
      <alignment vertical="center"/>
    </xf>
    <xf numFmtId="0" fontId="84" fillId="0" borderId="131" xfId="0" applyFont="1" applyBorder="1" applyAlignment="1">
      <alignment vertical="center"/>
    </xf>
    <xf numFmtId="14" fontId="97" fillId="0" borderId="30" xfId="0" applyNumberFormat="1" applyFont="1" applyBorder="1" applyAlignment="1">
      <alignment horizontal="center" vertical="center"/>
    </xf>
    <xf numFmtId="14" fontId="97" fillId="0" borderId="49" xfId="0" applyNumberFormat="1" applyFont="1" applyBorder="1" applyAlignment="1">
      <alignment horizontal="center" vertical="center"/>
    </xf>
    <xf numFmtId="0" fontId="84" fillId="0" borderId="9" xfId="0" applyFont="1" applyBorder="1" applyAlignment="1">
      <alignment vertical="center"/>
    </xf>
    <xf numFmtId="0" fontId="84" fillId="0" borderId="50" xfId="0" applyFont="1" applyBorder="1" applyAlignment="1">
      <alignment vertical="center"/>
    </xf>
    <xf numFmtId="0" fontId="84" fillId="0" borderId="51" xfId="0" applyFont="1" applyBorder="1" applyAlignment="1">
      <alignment vertical="center"/>
    </xf>
    <xf numFmtId="0" fontId="87" fillId="0" borderId="3" xfId="0" applyFont="1" applyBorder="1" applyAlignment="1">
      <alignment horizontal="center" vertical="center" wrapText="1"/>
    </xf>
    <xf numFmtId="0" fontId="84" fillId="0" borderId="116" xfId="0" applyFont="1" applyBorder="1" applyAlignment="1">
      <alignment vertical="center"/>
    </xf>
    <xf numFmtId="14" fontId="87" fillId="0" borderId="3" xfId="0" applyNumberFormat="1" applyFont="1" applyBorder="1" applyAlignment="1">
      <alignment horizontal="center" vertical="center" wrapText="1"/>
    </xf>
    <xf numFmtId="0" fontId="84" fillId="0" borderId="54" xfId="0" applyFont="1" applyBorder="1" applyAlignment="1">
      <alignment vertical="center"/>
    </xf>
    <xf numFmtId="37" fontId="87" fillId="0" borderId="3" xfId="0" applyNumberFormat="1" applyFont="1" applyBorder="1" applyAlignment="1">
      <alignment horizontal="center" vertical="center" wrapText="1"/>
    </xf>
    <xf numFmtId="37" fontId="87" fillId="6" borderId="3" xfId="0" applyNumberFormat="1" applyFont="1" applyFill="1" applyBorder="1" applyAlignment="1">
      <alignment horizontal="center" vertical="center" wrapText="1"/>
    </xf>
    <xf numFmtId="14" fontId="87" fillId="0" borderId="17" xfId="0" applyNumberFormat="1" applyFont="1" applyBorder="1" applyAlignment="1">
      <alignment horizontal="center" vertical="center" wrapText="1"/>
    </xf>
    <xf numFmtId="0" fontId="84" fillId="0" borderId="52" xfId="0" applyFont="1" applyBorder="1" applyAlignment="1">
      <alignment vertical="center"/>
    </xf>
    <xf numFmtId="0" fontId="87" fillId="0" borderId="17" xfId="0" applyFont="1" applyBorder="1" applyAlignment="1">
      <alignment horizontal="center" vertical="center" wrapText="1"/>
    </xf>
    <xf numFmtId="0" fontId="84" fillId="0" borderId="115" xfId="0" applyFont="1" applyBorder="1" applyAlignment="1">
      <alignment vertical="center"/>
    </xf>
    <xf numFmtId="37" fontId="87" fillId="0" borderId="17" xfId="0" applyNumberFormat="1" applyFont="1" applyBorder="1" applyAlignment="1">
      <alignment horizontal="center" vertical="center" wrapText="1"/>
    </xf>
    <xf numFmtId="37" fontId="87" fillId="6" borderId="17" xfId="0" applyNumberFormat="1" applyFont="1" applyFill="1" applyBorder="1" applyAlignment="1">
      <alignment horizontal="center" vertical="center" wrapText="1"/>
    </xf>
    <xf numFmtId="37" fontId="17" fillId="0" borderId="0" xfId="0" applyNumberFormat="1" applyFont="1" applyAlignment="1">
      <alignment horizontal="center" vertical="center"/>
    </xf>
    <xf numFmtId="0" fontId="83" fillId="0" borderId="0" xfId="0" applyFont="1" applyAlignment="1">
      <alignment vertical="center"/>
    </xf>
    <xf numFmtId="0" fontId="87" fillId="0" borderId="178" xfId="0" applyFont="1" applyBorder="1" applyAlignment="1">
      <alignment vertical="center"/>
    </xf>
    <xf numFmtId="0" fontId="87" fillId="0" borderId="83" xfId="0" applyFont="1" applyBorder="1" applyAlignment="1">
      <alignment vertical="center"/>
    </xf>
    <xf numFmtId="37" fontId="97" fillId="0" borderId="59" xfId="0" applyNumberFormat="1" applyFont="1" applyBorder="1" applyAlignment="1">
      <alignment horizontal="center" vertical="center"/>
    </xf>
    <xf numFmtId="0" fontId="87" fillId="0" borderId="60" xfId="0" applyFont="1" applyBorder="1" applyAlignment="1">
      <alignment vertical="center"/>
    </xf>
    <xf numFmtId="0" fontId="87" fillId="0" borderId="61" xfId="0" applyFont="1" applyBorder="1" applyAlignment="1">
      <alignment vertical="center"/>
    </xf>
    <xf numFmtId="0" fontId="87" fillId="0" borderId="0" xfId="0" applyFont="1" applyAlignment="1">
      <alignment vertical="center"/>
    </xf>
    <xf numFmtId="0" fontId="87" fillId="0" borderId="29" xfId="0" applyFont="1" applyBorder="1" applyAlignment="1">
      <alignment vertical="center"/>
    </xf>
    <xf numFmtId="0" fontId="87" fillId="0" borderId="89" xfId="0" applyFont="1" applyBorder="1" applyAlignment="1">
      <alignment vertical="center"/>
    </xf>
    <xf numFmtId="0" fontId="97" fillId="0" borderId="5" xfId="0" applyFont="1" applyBorder="1" applyAlignment="1">
      <alignment horizontal="center" vertical="center"/>
    </xf>
    <xf numFmtId="0" fontId="87" fillId="0" borderId="6" xfId="0" applyFont="1" applyBorder="1" applyAlignment="1">
      <alignment vertical="center"/>
    </xf>
    <xf numFmtId="0" fontId="87" fillId="0" borderId="7" xfId="0" applyFont="1" applyBorder="1" applyAlignment="1">
      <alignment vertical="center"/>
    </xf>
    <xf numFmtId="14" fontId="97" fillId="0" borderId="179" xfId="0" applyNumberFormat="1" applyFont="1" applyBorder="1" applyAlignment="1">
      <alignment horizontal="center" vertical="center"/>
    </xf>
    <xf numFmtId="0" fontId="87" fillId="0" borderId="180" xfId="0" applyFont="1" applyBorder="1" applyAlignment="1">
      <alignment vertical="center"/>
    </xf>
    <xf numFmtId="14" fontId="97" fillId="0" borderId="181" xfId="0" applyNumberFormat="1" applyFont="1" applyBorder="1" applyAlignment="1">
      <alignment horizontal="center" vertical="center"/>
    </xf>
    <xf numFmtId="0" fontId="87" fillId="0" borderId="181" xfId="0" applyFont="1" applyBorder="1" applyAlignment="1">
      <alignment vertical="center"/>
    </xf>
    <xf numFmtId="0" fontId="87" fillId="0" borderId="62" xfId="0" applyFont="1" applyBorder="1" applyAlignment="1">
      <alignment vertical="center"/>
    </xf>
    <xf numFmtId="37" fontId="17" fillId="0" borderId="0" xfId="0" applyNumberFormat="1" applyFont="1" applyAlignment="1">
      <alignment horizontal="left" vertical="center" wrapText="1"/>
    </xf>
    <xf numFmtId="14" fontId="17" fillId="0" borderId="0" xfId="0" applyNumberFormat="1" applyFont="1" applyAlignment="1">
      <alignment horizontal="center" vertical="center"/>
    </xf>
    <xf numFmtId="37" fontId="97" fillId="0" borderId="5" xfId="0" applyNumberFormat="1" applyFont="1" applyBorder="1" applyAlignment="1">
      <alignment horizontal="left" vertical="center"/>
    </xf>
    <xf numFmtId="0" fontId="84" fillId="0" borderId="6" xfId="0" applyFont="1" applyBorder="1" applyAlignment="1">
      <alignment vertical="center"/>
    </xf>
    <xf numFmtId="0" fontId="84" fillId="0" borderId="7" xfId="0" applyFont="1" applyBorder="1" applyAlignment="1">
      <alignment vertical="center"/>
    </xf>
    <xf numFmtId="37" fontId="97" fillId="0" borderId="12" xfId="0" applyNumberFormat="1" applyFont="1" applyBorder="1" applyAlignment="1">
      <alignment horizontal="center" vertical="center"/>
    </xf>
    <xf numFmtId="14" fontId="87" fillId="0" borderId="4" xfId="0" applyNumberFormat="1" applyFont="1" applyBorder="1" applyAlignment="1">
      <alignment horizontal="center" vertical="center" wrapText="1"/>
    </xf>
    <xf numFmtId="0" fontId="84" fillId="0" borderId="56" xfId="0" applyFont="1" applyBorder="1" applyAlignment="1">
      <alignment vertical="center"/>
    </xf>
    <xf numFmtId="0" fontId="84" fillId="0" borderId="174" xfId="0" applyFont="1" applyBorder="1" applyAlignment="1">
      <alignment vertical="center"/>
    </xf>
    <xf numFmtId="0" fontId="87" fillId="0" borderId="12" xfId="0" applyFont="1" applyBorder="1" applyAlignment="1">
      <alignment horizontal="center" vertical="center"/>
    </xf>
    <xf numFmtId="0" fontId="84" fillId="0" borderId="13" xfId="0" applyFont="1" applyBorder="1" applyAlignment="1">
      <alignment vertical="center"/>
    </xf>
    <xf numFmtId="37" fontId="97" fillId="0" borderId="2" xfId="0" applyNumberFormat="1" applyFont="1" applyBorder="1" applyAlignment="1">
      <alignment horizontal="center" vertical="center"/>
    </xf>
    <xf numFmtId="0" fontId="84" fillId="0" borderId="81" xfId="0" applyFont="1" applyBorder="1" applyAlignment="1">
      <alignment vertical="center"/>
    </xf>
    <xf numFmtId="14" fontId="97" fillId="0" borderId="178" xfId="0" applyNumberFormat="1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 wrapText="1"/>
    </xf>
    <xf numFmtId="0" fontId="84" fillId="0" borderId="118" xfId="0" applyFont="1" applyBorder="1" applyAlignment="1">
      <alignment vertical="center"/>
    </xf>
    <xf numFmtId="37" fontId="87" fillId="0" borderId="4" xfId="0" applyNumberFormat="1" applyFont="1" applyBorder="1" applyAlignment="1">
      <alignment horizontal="center" vertical="center" wrapText="1"/>
    </xf>
    <xf numFmtId="37" fontId="87" fillId="6" borderId="4" xfId="0" applyNumberFormat="1" applyFont="1" applyFill="1" applyBorder="1" applyAlignment="1">
      <alignment horizontal="center" vertical="center" wrapText="1"/>
    </xf>
    <xf numFmtId="37" fontId="97" fillId="0" borderId="12" xfId="0" applyNumberFormat="1" applyFont="1" applyBorder="1" applyAlignment="1">
      <alignment vertical="center" wrapText="1"/>
    </xf>
    <xf numFmtId="37" fontId="87" fillId="0" borderId="12" xfId="0" applyNumberFormat="1" applyFont="1" applyBorder="1" applyAlignment="1">
      <alignment vertical="center" wrapText="1"/>
    </xf>
    <xf numFmtId="37" fontId="97" fillId="0" borderId="2" xfId="0" applyNumberFormat="1" applyFont="1" applyBorder="1" applyAlignment="1">
      <alignment vertical="center" wrapText="1"/>
    </xf>
    <xf numFmtId="37" fontId="96" fillId="0" borderId="177" xfId="0" applyNumberFormat="1" applyFont="1" applyBorder="1" applyAlignment="1">
      <alignment horizontal="left" vertical="center" wrapText="1"/>
    </xf>
    <xf numFmtId="37" fontId="96" fillId="0" borderId="89" xfId="0" applyNumberFormat="1" applyFont="1" applyBorder="1" applyAlignment="1">
      <alignment horizontal="center" vertical="center" wrapText="1"/>
    </xf>
    <xf numFmtId="37" fontId="96" fillId="0" borderId="177" xfId="0" applyNumberFormat="1" applyFont="1" applyBorder="1" applyAlignment="1">
      <alignment horizontal="center" vertical="center" wrapText="1"/>
    </xf>
    <xf numFmtId="37" fontId="96" fillId="0" borderId="172" xfId="0" applyNumberFormat="1" applyFont="1" applyBorder="1" applyAlignment="1">
      <alignment vertical="center" wrapText="1"/>
    </xf>
    <xf numFmtId="0" fontId="87" fillId="0" borderId="12" xfId="0" applyFont="1" applyBorder="1" applyAlignment="1">
      <alignment horizontal="left" vertical="center"/>
    </xf>
    <xf numFmtId="169" fontId="97" fillId="0" borderId="12" xfId="0" applyNumberFormat="1" applyFont="1" applyBorder="1" applyAlignment="1">
      <alignment horizontal="left" vertical="center" wrapText="1"/>
    </xf>
    <xf numFmtId="37" fontId="29" fillId="0" borderId="179" xfId="0" applyNumberFormat="1" applyFont="1" applyBorder="1" applyAlignment="1">
      <alignment horizontal="right"/>
    </xf>
    <xf numFmtId="37" fontId="23" fillId="0" borderId="0" xfId="0" applyNumberFormat="1" applyFont="1" applyAlignment="1">
      <alignment horizontal="center" vertical="top" wrapText="1"/>
    </xf>
    <xf numFmtId="0" fontId="22" fillId="6" borderId="177" xfId="0" applyFont="1" applyFill="1" applyBorder="1" applyAlignment="1">
      <alignment horizontal="left" vertical="top" wrapText="1"/>
    </xf>
    <xf numFmtId="176" fontId="23" fillId="0" borderId="179" xfId="0" applyNumberFormat="1" applyFont="1" applyBorder="1" applyAlignment="1">
      <alignment horizontal="center"/>
    </xf>
    <xf numFmtId="168" fontId="23" fillId="0" borderId="179" xfId="0" applyNumberFormat="1" applyFont="1" applyBorder="1" applyAlignment="1">
      <alignment horizontal="center"/>
    </xf>
    <xf numFmtId="10" fontId="22" fillId="0" borderId="179" xfId="0" applyNumberFormat="1" applyFont="1" applyBorder="1" applyAlignment="1">
      <alignment horizontal="center"/>
    </xf>
    <xf numFmtId="37" fontId="23" fillId="0" borderId="179" xfId="0" applyNumberFormat="1" applyFont="1" applyBorder="1" applyAlignment="1">
      <alignment horizontal="center"/>
    </xf>
    <xf numFmtId="168" fontId="22" fillId="0" borderId="179" xfId="0" applyNumberFormat="1" applyFont="1" applyBorder="1" applyAlignment="1">
      <alignment horizontal="center"/>
    </xf>
    <xf numFmtId="37" fontId="25" fillId="0" borderId="0" xfId="0" applyNumberFormat="1" applyFont="1" applyAlignment="1">
      <alignment horizontal="left" vertical="top" wrapText="1"/>
    </xf>
    <xf numFmtId="37" fontId="23" fillId="0" borderId="68" xfId="0" applyNumberFormat="1" applyFont="1" applyBorder="1" applyAlignment="1">
      <alignment horizontal="center" vertical="center"/>
    </xf>
    <xf numFmtId="168" fontId="25" fillId="0" borderId="0" xfId="0" applyNumberFormat="1" applyFont="1" applyAlignment="1">
      <alignment horizontal="center" vertical="center"/>
    </xf>
    <xf numFmtId="37" fontId="92" fillId="0" borderId="12" xfId="0" applyNumberFormat="1" applyFont="1" applyBorder="1" applyAlignment="1">
      <alignment horizontal="center" vertical="center"/>
    </xf>
    <xf numFmtId="0" fontId="94" fillId="0" borderId="13" xfId="0" applyFont="1" applyBorder="1" applyAlignment="1">
      <alignment vertical="center"/>
    </xf>
    <xf numFmtId="37" fontId="92" fillId="0" borderId="178" xfId="0" applyNumberFormat="1" applyFont="1" applyBorder="1" applyAlignment="1">
      <alignment horizontal="left" vertical="center" wrapText="1"/>
    </xf>
    <xf numFmtId="0" fontId="94" fillId="0" borderId="83" xfId="0" applyFont="1" applyBorder="1" applyAlignment="1">
      <alignment vertical="center"/>
    </xf>
    <xf numFmtId="14" fontId="92" fillId="0" borderId="178" xfId="0" applyNumberFormat="1" applyFont="1" applyBorder="1" applyAlignment="1">
      <alignment horizontal="center" vertical="center"/>
    </xf>
    <xf numFmtId="37" fontId="92" fillId="0" borderId="2" xfId="0" applyNumberFormat="1" applyFont="1" applyBorder="1" applyAlignment="1">
      <alignment horizontal="center" vertical="center"/>
    </xf>
    <xf numFmtId="0" fontId="94" fillId="0" borderId="81" xfId="0" applyFont="1" applyBorder="1" applyAlignment="1">
      <alignment vertical="center"/>
    </xf>
    <xf numFmtId="37" fontId="92" fillId="0" borderId="177" xfId="0" applyNumberFormat="1" applyFont="1" applyBorder="1" applyAlignment="1">
      <alignment horizontal="left" vertical="center" wrapText="1"/>
    </xf>
    <xf numFmtId="0" fontId="94" fillId="0" borderId="178" xfId="0" applyFont="1" applyBorder="1" applyAlignment="1">
      <alignment vertical="center"/>
    </xf>
    <xf numFmtId="14" fontId="92" fillId="0" borderId="177" xfId="0" applyNumberFormat="1" applyFont="1" applyBorder="1" applyAlignment="1">
      <alignment horizontal="center" vertical="center"/>
    </xf>
    <xf numFmtId="37" fontId="92" fillId="0" borderId="172" xfId="0" applyNumberFormat="1" applyFont="1" applyBorder="1" applyAlignment="1">
      <alignment horizontal="center" vertical="center"/>
    </xf>
    <xf numFmtId="0" fontId="94" fillId="0" borderId="173" xfId="0" applyFont="1" applyBorder="1" applyAlignment="1">
      <alignment vertical="center"/>
    </xf>
    <xf numFmtId="0" fontId="94" fillId="0" borderId="174" xfId="0" applyFont="1" applyBorder="1" applyAlignment="1">
      <alignment vertical="center"/>
    </xf>
    <xf numFmtId="37" fontId="92" fillId="0" borderId="177" xfId="0" applyNumberFormat="1" applyFont="1" applyBorder="1" applyAlignment="1">
      <alignment horizontal="center" vertical="center"/>
    </xf>
    <xf numFmtId="37" fontId="92" fillId="0" borderId="0" xfId="0" applyNumberFormat="1" applyFont="1" applyAlignment="1">
      <alignment horizontal="center" vertical="center"/>
    </xf>
    <xf numFmtId="0" fontId="94" fillId="0" borderId="89" xfId="0" applyFont="1" applyBorder="1" applyAlignment="1">
      <alignment vertical="center"/>
    </xf>
    <xf numFmtId="37" fontId="91" fillId="0" borderId="172" xfId="0" applyNumberFormat="1" applyFont="1" applyBorder="1" applyAlignment="1">
      <alignment vertical="center" wrapText="1"/>
    </xf>
    <xf numFmtId="37" fontId="91" fillId="0" borderId="172" xfId="0" applyNumberFormat="1" applyFont="1" applyBorder="1" applyAlignment="1">
      <alignment horizontal="left" vertical="center" wrapText="1"/>
    </xf>
    <xf numFmtId="37" fontId="92" fillId="0" borderId="12" xfId="0" applyNumberFormat="1" applyFont="1" applyBorder="1" applyAlignment="1">
      <alignment horizontal="left" vertical="center" wrapText="1"/>
    </xf>
    <xf numFmtId="169" fontId="92" fillId="0" borderId="12" xfId="0" applyNumberFormat="1" applyFont="1" applyBorder="1" applyAlignment="1">
      <alignment horizontal="left" vertical="center" wrapText="1"/>
    </xf>
    <xf numFmtId="37" fontId="92" fillId="0" borderId="12" xfId="0" applyNumberFormat="1" applyFont="1" applyBorder="1" applyAlignment="1">
      <alignment vertical="center" wrapText="1"/>
    </xf>
    <xf numFmtId="37" fontId="89" fillId="0" borderId="2" xfId="0" applyNumberFormat="1" applyFont="1" applyBorder="1" applyAlignment="1">
      <alignment vertical="center" wrapText="1"/>
    </xf>
    <xf numFmtId="37" fontId="89" fillId="0" borderId="89" xfId="0" applyNumberFormat="1" applyFont="1" applyBorder="1" applyAlignment="1">
      <alignment vertical="center" wrapText="1"/>
    </xf>
    <xf numFmtId="37" fontId="92" fillId="0" borderId="2" xfId="0" applyNumberFormat="1" applyFont="1" applyBorder="1" applyAlignment="1">
      <alignment vertical="center" wrapText="1"/>
    </xf>
    <xf numFmtId="14" fontId="92" fillId="0" borderId="49" xfId="0" applyNumberFormat="1" applyFont="1" applyBorder="1" applyAlignment="1">
      <alignment horizontal="center" vertical="center"/>
    </xf>
    <xf numFmtId="0" fontId="94" fillId="0" borderId="50" xfId="0" applyFont="1" applyBorder="1" applyAlignment="1">
      <alignment vertical="center"/>
    </xf>
    <xf numFmtId="0" fontId="94" fillId="0" borderId="51" xfId="0" applyFont="1" applyBorder="1" applyAlignment="1">
      <alignment vertical="center"/>
    </xf>
    <xf numFmtId="183" fontId="40" fillId="0" borderId="59" xfId="0" applyNumberFormat="1" applyFont="1" applyBorder="1" applyAlignment="1">
      <alignment horizontal="center" vertical="center"/>
    </xf>
    <xf numFmtId="183" fontId="40" fillId="0" borderId="179" xfId="0" applyNumberFormat="1" applyFont="1" applyBorder="1" applyAlignment="1">
      <alignment horizontal="center"/>
    </xf>
    <xf numFmtId="183" fontId="42" fillId="0" borderId="179" xfId="0" applyNumberFormat="1" applyFont="1" applyBorder="1" applyAlignment="1">
      <alignment horizontal="center"/>
    </xf>
    <xf numFmtId="183" fontId="36" fillId="0" borderId="179" xfId="0" applyNumberFormat="1" applyFont="1" applyBorder="1" applyAlignment="1">
      <alignment horizontal="center"/>
    </xf>
    <xf numFmtId="176" fontId="36" fillId="0" borderId="179" xfId="0" applyNumberFormat="1" applyFont="1" applyBorder="1" applyAlignment="1">
      <alignment horizontal="center"/>
    </xf>
    <xf numFmtId="37" fontId="40" fillId="0" borderId="179" xfId="0" applyNumberFormat="1" applyFont="1" applyBorder="1" applyAlignment="1">
      <alignment horizontal="center" vertical="center"/>
    </xf>
    <xf numFmtId="37" fontId="36" fillId="0" borderId="179" xfId="0" applyNumberFormat="1" applyFont="1" applyBorder="1" applyAlignment="1">
      <alignment horizontal="center"/>
    </xf>
    <xf numFmtId="37" fontId="40" fillId="0" borderId="179" xfId="0" applyNumberFormat="1" applyFont="1" applyBorder="1" applyAlignment="1">
      <alignment horizontal="center"/>
    </xf>
    <xf numFmtId="176" fontId="40" fillId="0" borderId="179" xfId="0" applyNumberFormat="1" applyFont="1" applyBorder="1" applyAlignment="1">
      <alignment horizontal="center"/>
    </xf>
    <xf numFmtId="37" fontId="36" fillId="0" borderId="160" xfId="0" applyNumberFormat="1" applyFont="1" applyBorder="1" applyAlignment="1">
      <alignment horizontal="center"/>
    </xf>
    <xf numFmtId="172" fontId="36" fillId="0" borderId="160" xfId="0" applyNumberFormat="1" applyFont="1" applyBorder="1" applyAlignment="1">
      <alignment horizontal="center"/>
    </xf>
    <xf numFmtId="37" fontId="75" fillId="0" borderId="189" xfId="4" applyFont="1" applyBorder="1" applyAlignment="1">
      <alignment vertical="top" wrapText="1"/>
    </xf>
    <xf numFmtId="37" fontId="75" fillId="0" borderId="8" xfId="4" applyFont="1" applyAlignment="1">
      <alignment vertical="top" wrapText="1"/>
    </xf>
    <xf numFmtId="37" fontId="73" fillId="0" borderId="189" xfId="4" applyFont="1" applyBorder="1" applyAlignment="1">
      <alignment vertical="top" wrapText="1"/>
    </xf>
    <xf numFmtId="37" fontId="73" fillId="0" borderId="8" xfId="4" applyFont="1" applyAlignment="1">
      <alignment vertical="top" wrapText="1"/>
    </xf>
    <xf numFmtId="37" fontId="73" fillId="0" borderId="190" xfId="4" applyFont="1" applyBorder="1" applyAlignment="1">
      <alignment vertical="top" wrapText="1"/>
    </xf>
    <xf numFmtId="37" fontId="75" fillId="0" borderId="8" xfId="4" quotePrefix="1" applyFont="1" applyAlignment="1">
      <alignment vertical="top" wrapText="1"/>
    </xf>
    <xf numFmtId="37" fontId="72" fillId="0" borderId="182" xfId="4" applyFont="1" applyBorder="1" applyAlignment="1">
      <alignment vertical="top" wrapText="1"/>
    </xf>
    <xf numFmtId="37" fontId="72" fillId="0" borderId="183" xfId="4" applyFont="1" applyBorder="1" applyAlignment="1">
      <alignment vertical="top" wrapText="1"/>
    </xf>
    <xf numFmtId="37" fontId="72" fillId="0" borderId="184" xfId="4" applyFont="1" applyBorder="1" applyAlignment="1">
      <alignment vertical="top" wrapText="1"/>
    </xf>
    <xf numFmtId="0" fontId="74" fillId="0" borderId="189" xfId="3" applyFont="1" applyBorder="1" applyAlignment="1" applyProtection="1">
      <alignment horizontal="left"/>
    </xf>
    <xf numFmtId="0" fontId="74" fillId="0" borderId="8" xfId="3" applyFont="1" applyBorder="1" applyAlignment="1" applyProtection="1">
      <alignment horizontal="left"/>
    </xf>
    <xf numFmtId="198" fontId="75" fillId="0" borderId="189" xfId="4" applyNumberFormat="1" applyFont="1" applyBorder="1" applyAlignment="1">
      <alignment horizontal="left" vertical="top" wrapText="1"/>
    </xf>
    <xf numFmtId="198" fontId="75" fillId="0" borderId="8" xfId="4" applyNumberFormat="1" applyFont="1" applyAlignment="1">
      <alignment horizontal="left" vertical="top" wrapText="1"/>
    </xf>
    <xf numFmtId="198" fontId="75" fillId="0" borderId="190" xfId="4" applyNumberFormat="1" applyFont="1" applyBorder="1" applyAlignment="1">
      <alignment horizontal="left" vertical="top" wrapText="1"/>
    </xf>
    <xf numFmtId="0" fontId="34" fillId="7" borderId="76" xfId="0" applyFont="1" applyFill="1" applyBorder="1" applyAlignment="1">
      <alignment horizontal="center" vertical="center"/>
    </xf>
    <xf numFmtId="0" fontId="34" fillId="7" borderId="179" xfId="0" applyFont="1" applyFill="1" applyBorder="1" applyAlignment="1">
      <alignment horizontal="center"/>
    </xf>
    <xf numFmtId="0" fontId="66" fillId="0" borderId="182" xfId="0" applyFont="1" applyBorder="1" applyAlignment="1">
      <alignment horizontal="center" vertical="top"/>
    </xf>
    <xf numFmtId="0" fontId="66" fillId="0" borderId="183" xfId="0" applyFont="1" applyBorder="1" applyAlignment="1">
      <alignment horizontal="center" vertical="top"/>
    </xf>
    <xf numFmtId="0" fontId="66" fillId="0" borderId="184" xfId="0" applyFont="1" applyBorder="1" applyAlignment="1">
      <alignment horizontal="center" vertical="top"/>
    </xf>
    <xf numFmtId="0" fontId="66" fillId="0" borderId="186" xfId="0" applyFont="1" applyBorder="1" applyAlignment="1">
      <alignment horizontal="center" vertical="top"/>
    </xf>
    <xf numFmtId="0" fontId="66" fillId="0" borderId="187" xfId="0" applyFont="1" applyBorder="1" applyAlignment="1">
      <alignment horizontal="center" vertical="top"/>
    </xf>
    <xf numFmtId="0" fontId="66" fillId="0" borderId="188" xfId="0" applyFont="1" applyBorder="1" applyAlignment="1">
      <alignment horizontal="center" vertical="top"/>
    </xf>
    <xf numFmtId="0" fontId="34" fillId="0" borderId="179" xfId="0" applyFont="1" applyBorder="1" applyAlignment="1">
      <alignment horizontal="center"/>
    </xf>
    <xf numFmtId="0" fontId="34" fillId="0" borderId="163" xfId="0" applyFont="1" applyBorder="1" applyAlignment="1">
      <alignment horizontal="center"/>
    </xf>
    <xf numFmtId="41" fontId="7" fillId="0" borderId="161" xfId="0" applyNumberFormat="1" applyFont="1" applyBorder="1" applyAlignment="1">
      <alignment horizontal="center"/>
    </xf>
    <xf numFmtId="41" fontId="7" fillId="0" borderId="179" xfId="0" applyNumberFormat="1" applyFont="1" applyBorder="1" applyAlignment="1">
      <alignment horizontal="center"/>
    </xf>
    <xf numFmtId="0" fontId="13" fillId="0" borderId="69" xfId="0" applyFont="1" applyBorder="1" applyAlignment="1"/>
    <xf numFmtId="0" fontId="13" fillId="0" borderId="70" xfId="0" applyFont="1" applyBorder="1" applyAlignment="1"/>
    <xf numFmtId="0" fontId="13" fillId="0" borderId="71" xfId="0" applyFont="1" applyBorder="1" applyAlignment="1"/>
    <xf numFmtId="0" fontId="0" fillId="0" borderId="0" xfId="0" applyAlignment="1"/>
    <xf numFmtId="0" fontId="13" fillId="0" borderId="72" xfId="0" applyFont="1" applyBorder="1" applyAlignment="1"/>
    <xf numFmtId="0" fontId="13" fillId="0" borderId="73" xfId="0" applyFont="1" applyBorder="1" applyAlignment="1"/>
    <xf numFmtId="0" fontId="13" fillId="0" borderId="93" xfId="0" applyFont="1" applyBorder="1" applyAlignment="1"/>
    <xf numFmtId="0" fontId="13" fillId="0" borderId="74" xfId="0" applyFont="1" applyBorder="1" applyAlignment="1"/>
    <xf numFmtId="0" fontId="13" fillId="0" borderId="178" xfId="0" applyFont="1" applyBorder="1" applyAlignment="1"/>
    <xf numFmtId="0" fontId="13" fillId="0" borderId="83" xfId="0" applyFont="1" applyBorder="1" applyAlignment="1"/>
    <xf numFmtId="0" fontId="13" fillId="0" borderId="180" xfId="0" applyFont="1" applyBorder="1" applyAlignment="1"/>
    <xf numFmtId="0" fontId="13" fillId="0" borderId="181" xfId="0" applyFont="1" applyBorder="1" applyAlignment="1"/>
    <xf numFmtId="0" fontId="13" fillId="0" borderId="36" xfId="0" applyFont="1" applyBorder="1" applyAlignment="1"/>
    <xf numFmtId="0" fontId="13" fillId="0" borderId="78" xfId="0" applyFont="1" applyBorder="1" applyAlignment="1"/>
    <xf numFmtId="0" fontId="13" fillId="0" borderId="132" xfId="0" applyFont="1" applyBorder="1" applyAlignment="1"/>
    <xf numFmtId="0" fontId="13" fillId="0" borderId="50" xfId="0" applyFont="1" applyBorder="1" applyAlignment="1"/>
    <xf numFmtId="0" fontId="13" fillId="0" borderId="9" xfId="0" applyFont="1" applyBorder="1" applyAlignment="1"/>
    <xf numFmtId="0" fontId="13" fillId="0" borderId="101" xfId="0" applyFont="1" applyBorder="1" applyAlignment="1"/>
    <xf numFmtId="0" fontId="13" fillId="0" borderId="46" xfId="0" applyFont="1" applyBorder="1" applyAlignment="1"/>
    <xf numFmtId="0" fontId="13" fillId="0" borderId="55" xfId="0" applyFont="1" applyBorder="1" applyAlignment="1"/>
    <xf numFmtId="0" fontId="13" fillId="0" borderId="53" xfId="0" applyFont="1" applyBorder="1" applyAlignment="1"/>
    <xf numFmtId="0" fontId="13" fillId="0" borderId="88" xfId="0" applyFont="1" applyBorder="1" applyAlignment="1"/>
    <xf numFmtId="0" fontId="13" fillId="0" borderId="161" xfId="0" applyFont="1" applyBorder="1" applyAlignment="1"/>
    <xf numFmtId="0" fontId="13" fillId="0" borderId="162" xfId="0" applyFont="1" applyBorder="1" applyAlignment="1"/>
    <xf numFmtId="0" fontId="13" fillId="0" borderId="160" xfId="0" applyFont="1" applyBorder="1" applyAlignment="1"/>
    <xf numFmtId="0" fontId="79" fillId="0" borderId="0" xfId="0" applyFont="1" applyAlignment="1"/>
    <xf numFmtId="0" fontId="7" fillId="0" borderId="160" xfId="0" applyFont="1" applyBorder="1" applyAlignment="1"/>
    <xf numFmtId="0" fontId="7" fillId="0" borderId="60" xfId="0" applyFont="1" applyBorder="1" applyAlignment="1"/>
    <xf numFmtId="0" fontId="13" fillId="0" borderId="60" xfId="0" applyFont="1" applyBorder="1" applyAlignment="1"/>
    <xf numFmtId="0" fontId="7" fillId="0" borderId="0" xfId="0" applyFont="1" applyAlignment="1"/>
    <xf numFmtId="0" fontId="7" fillId="0" borderId="61" xfId="0" applyFont="1" applyBorder="1" applyAlignment="1"/>
    <xf numFmtId="0" fontId="13" fillId="0" borderId="133" xfId="0" applyFont="1" applyBorder="1" applyAlignment="1"/>
    <xf numFmtId="0" fontId="7" fillId="0" borderId="88" xfId="0" applyFont="1" applyBorder="1" applyAlignment="1"/>
    <xf numFmtId="0" fontId="13" fillId="0" borderId="61" xfId="0" applyFont="1" applyBorder="1" applyAlignment="1"/>
    <xf numFmtId="0" fontId="7" fillId="0" borderId="179" xfId="0" applyFont="1" applyBorder="1" applyAlignment="1"/>
    <xf numFmtId="9" fontId="7" fillId="0" borderId="179" xfId="0" applyNumberFormat="1" applyFont="1" applyBorder="1" applyAlignment="1"/>
    <xf numFmtId="192" fontId="7" fillId="0" borderId="179" xfId="0" applyNumberFormat="1" applyFont="1" applyBorder="1" applyAlignment="1"/>
    <xf numFmtId="168" fontId="7" fillId="0" borderId="0" xfId="0" applyNumberFormat="1" applyFont="1" applyAlignment="1"/>
    <xf numFmtId="0" fontId="13" fillId="0" borderId="109" xfId="0" applyFont="1" applyBorder="1" applyAlignment="1"/>
    <xf numFmtId="0" fontId="13" fillId="0" borderId="107" xfId="0" applyFont="1" applyBorder="1" applyAlignment="1"/>
    <xf numFmtId="41" fontId="7" fillId="0" borderId="161" xfId="0" applyNumberFormat="1" applyFont="1" applyBorder="1" applyAlignment="1"/>
    <xf numFmtId="41" fontId="7" fillId="0" borderId="179" xfId="0" applyNumberFormat="1" applyFont="1" applyBorder="1" applyAlignment="1"/>
    <xf numFmtId="41" fontId="7" fillId="0" borderId="181" xfId="0" applyNumberFormat="1" applyFont="1" applyBorder="1" applyAlignment="1"/>
  </cellXfs>
  <cellStyles count="9">
    <cellStyle name="Comma" xfId="2" builtinId="3"/>
    <cellStyle name="Comma [0] 2" xfId="7" xr:uid="{20A458F1-CC3A-4BB8-A237-DDEC3FA7880A}"/>
    <cellStyle name="Comma [0] 20" xfId="6" xr:uid="{4410D5E5-F052-467F-B127-370201E8FF68}"/>
    <cellStyle name="Comma 2" xfId="8" xr:uid="{E6C11905-404C-4D3D-B249-63AC6BD8D163}"/>
    <cellStyle name="Hyperlink" xfId="3" builtinId="8"/>
    <cellStyle name="Normal" xfId="0" builtinId="0"/>
    <cellStyle name="Normal 100" xfId="5" xr:uid="{FE34F0F8-7D80-4BAD-9F7B-2B853785E2AB}"/>
    <cellStyle name="Normal 2" xfId="4" xr:uid="{5ED9991A-6188-4998-88EB-AA2B8C757E0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9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customschemas.google.com/relationships/workbookmetadata" Target="metadata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330</xdr:row>
      <xdr:rowOff>28575</xdr:rowOff>
    </xdr:from>
    <xdr:ext cx="146685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4617338" y="3508538"/>
          <a:ext cx="1457325" cy="542925"/>
        </a:xfrm>
        <a:prstGeom prst="rightArrow">
          <a:avLst>
            <a:gd name="adj1" fmla="val 50000"/>
            <a:gd name="adj2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opt:://MODELMEMO/0/" TargetMode="External"/><Relationship Id="rId1" Type="http://schemas.openxmlformats.org/officeDocument/2006/relationships/hyperlink" Target="opt:://MODELMEMO/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inancials"/>
  <dimension ref="A1:ED408"/>
  <sheetViews>
    <sheetView showGridLines="0" workbookViewId="0">
      <pane xSplit="2" topLeftCell="E1" activePane="topRight" state="frozen"/>
      <selection pane="topRight" activeCell="E135" sqref="E135"/>
    </sheetView>
  </sheetViews>
  <sheetFormatPr defaultColWidth="12.42578125" defaultRowHeight="15" customHeight="1"/>
  <cols>
    <col min="1" max="1" width="17.42578125" customWidth="1"/>
    <col min="2" max="2" width="45.7109375" customWidth="1"/>
    <col min="3" max="42" width="25.7109375" customWidth="1"/>
    <col min="43" max="134" width="9.140625" customWidth="1"/>
  </cols>
  <sheetData>
    <row r="1" spans="1:134" ht="21" customHeight="1">
      <c r="A1" s="538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39"/>
      <c r="CF1" s="539"/>
      <c r="CG1" s="539"/>
      <c r="CH1" s="539"/>
      <c r="CI1" s="539"/>
      <c r="CJ1" s="539"/>
      <c r="CK1" s="539"/>
      <c r="CL1" s="539"/>
      <c r="CM1" s="539"/>
      <c r="CN1" s="539"/>
      <c r="CO1" s="539"/>
      <c r="CP1" s="539"/>
      <c r="CQ1" s="539"/>
      <c r="CR1" s="539"/>
      <c r="CS1" s="539"/>
      <c r="CT1" s="539"/>
      <c r="CU1" s="539"/>
      <c r="CV1" s="539"/>
      <c r="CW1" s="539"/>
      <c r="CX1" s="539"/>
      <c r="CY1" s="539"/>
      <c r="CZ1" s="539"/>
      <c r="DA1" s="539"/>
      <c r="DB1" s="539"/>
      <c r="DC1" s="539"/>
      <c r="DD1" s="539"/>
      <c r="DE1" s="539"/>
      <c r="DF1" s="539"/>
      <c r="DG1" s="539"/>
      <c r="DH1" s="539"/>
      <c r="DI1" s="539"/>
      <c r="DJ1" s="539"/>
      <c r="DK1" s="539"/>
      <c r="DL1" s="539"/>
      <c r="DM1" s="539"/>
      <c r="DN1" s="539"/>
      <c r="DO1" s="539"/>
      <c r="DP1" s="539"/>
      <c r="DQ1" s="539"/>
      <c r="DR1" s="539"/>
      <c r="DS1" s="539"/>
      <c r="DT1" s="539"/>
      <c r="DU1" s="539"/>
      <c r="DV1" s="539"/>
      <c r="DW1" s="539"/>
      <c r="DX1" s="539"/>
      <c r="DY1" s="539"/>
      <c r="DZ1" s="539"/>
      <c r="EA1" s="539"/>
      <c r="EB1" s="539"/>
      <c r="EC1" s="539"/>
      <c r="ED1" s="539"/>
    </row>
    <row r="2" spans="1:134" ht="15" hidden="1" customHeight="1">
      <c r="A2" s="539"/>
      <c r="B2" s="540"/>
      <c r="C2" s="541" t="s">
        <v>41</v>
      </c>
      <c r="D2" s="542" t="s">
        <v>41</v>
      </c>
      <c r="E2" s="542" t="s">
        <v>41</v>
      </c>
      <c r="F2" s="542" t="s">
        <v>41</v>
      </c>
      <c r="G2" s="542" t="s">
        <v>41</v>
      </c>
      <c r="H2" s="542" t="s">
        <v>41</v>
      </c>
      <c r="I2" s="542" t="s">
        <v>41</v>
      </c>
      <c r="J2" s="542" t="s">
        <v>41</v>
      </c>
      <c r="K2" s="542" t="s">
        <v>41</v>
      </c>
      <c r="L2" s="542" t="s">
        <v>41</v>
      </c>
      <c r="M2" s="542" t="s">
        <v>41</v>
      </c>
      <c r="N2" s="542" t="s">
        <v>41</v>
      </c>
      <c r="O2" s="542" t="s">
        <v>41</v>
      </c>
      <c r="P2" s="542" t="s">
        <v>41</v>
      </c>
      <c r="Q2" s="542" t="s">
        <v>41</v>
      </c>
      <c r="R2" s="542" t="s">
        <v>41</v>
      </c>
      <c r="S2" s="542" t="s">
        <v>41</v>
      </c>
      <c r="T2" s="542" t="s">
        <v>41</v>
      </c>
      <c r="U2" s="542" t="s">
        <v>41</v>
      </c>
      <c r="V2" s="542" t="s">
        <v>41</v>
      </c>
      <c r="W2" s="542" t="s">
        <v>41</v>
      </c>
      <c r="X2" s="542" t="s">
        <v>41</v>
      </c>
      <c r="Y2" s="542" t="s">
        <v>41</v>
      </c>
      <c r="Z2" s="542" t="s">
        <v>41</v>
      </c>
      <c r="AA2" s="542" t="s">
        <v>41</v>
      </c>
      <c r="AB2" s="542" t="s">
        <v>41</v>
      </c>
      <c r="AC2" s="542" t="s">
        <v>41</v>
      </c>
      <c r="AD2" s="542" t="s">
        <v>41</v>
      </c>
      <c r="AE2" s="542" t="s">
        <v>41</v>
      </c>
      <c r="AF2" s="542" t="s">
        <v>41</v>
      </c>
      <c r="AG2" s="542" t="s">
        <v>41</v>
      </c>
      <c r="AH2" s="542" t="s">
        <v>41</v>
      </c>
      <c r="AI2" s="542" t="s">
        <v>41</v>
      </c>
      <c r="AJ2" s="542" t="s">
        <v>41</v>
      </c>
      <c r="AK2" s="542" t="s">
        <v>41</v>
      </c>
      <c r="AL2" s="542" t="s">
        <v>41</v>
      </c>
      <c r="AM2" s="542" t="s">
        <v>41</v>
      </c>
      <c r="AN2" s="542" t="s">
        <v>41</v>
      </c>
      <c r="AO2" s="542" t="s">
        <v>41</v>
      </c>
      <c r="AP2" s="542" t="s">
        <v>41</v>
      </c>
      <c r="AQ2" s="539"/>
      <c r="AR2" s="539">
        <v>0</v>
      </c>
      <c r="AS2" s="539"/>
      <c r="AT2" s="539">
        <v>0</v>
      </c>
      <c r="AU2" s="539"/>
      <c r="AV2" s="539">
        <v>0</v>
      </c>
      <c r="AW2" s="539"/>
      <c r="AX2" s="539">
        <v>0</v>
      </c>
      <c r="AY2" s="539"/>
      <c r="AZ2" s="539">
        <v>0</v>
      </c>
      <c r="BA2" s="539"/>
      <c r="BB2" s="539">
        <v>0</v>
      </c>
      <c r="BC2" s="539"/>
      <c r="BD2" s="539">
        <v>0</v>
      </c>
      <c r="BE2" s="539"/>
      <c r="BF2" s="539">
        <v>0</v>
      </c>
      <c r="BG2" s="539"/>
      <c r="BH2" s="539">
        <v>0</v>
      </c>
      <c r="BI2" s="539"/>
      <c r="BJ2" s="539">
        <v>0</v>
      </c>
      <c r="BK2" s="539"/>
      <c r="BL2" s="539">
        <v>0</v>
      </c>
      <c r="BM2" s="539"/>
      <c r="BN2" s="539">
        <v>0</v>
      </c>
      <c r="BO2" s="539"/>
      <c r="BP2" s="539">
        <v>0</v>
      </c>
      <c r="BQ2" s="539"/>
      <c r="BR2" s="539">
        <v>0</v>
      </c>
      <c r="BS2" s="539"/>
      <c r="BT2" s="539">
        <v>0</v>
      </c>
      <c r="BU2" s="539"/>
      <c r="BV2" s="539">
        <v>0</v>
      </c>
      <c r="BW2" s="539"/>
      <c r="BX2" s="539">
        <v>0</v>
      </c>
      <c r="BY2" s="539"/>
      <c r="BZ2" s="539">
        <v>0</v>
      </c>
      <c r="CA2" s="539"/>
      <c r="CB2" s="539">
        <v>0</v>
      </c>
      <c r="CC2" s="539"/>
      <c r="CD2" s="539">
        <v>0</v>
      </c>
      <c r="CE2" s="539"/>
      <c r="CF2" s="539">
        <v>0</v>
      </c>
      <c r="CG2" s="539"/>
      <c r="CH2" s="539">
        <v>0</v>
      </c>
      <c r="CI2" s="539"/>
      <c r="CJ2" s="539">
        <v>0</v>
      </c>
      <c r="CK2" s="539"/>
      <c r="CL2" s="539">
        <v>0</v>
      </c>
      <c r="CM2" s="539"/>
      <c r="CN2" s="539">
        <v>0</v>
      </c>
      <c r="CO2" s="539"/>
      <c r="CP2" s="539">
        <v>0</v>
      </c>
      <c r="CQ2" s="539"/>
      <c r="CR2" s="539">
        <v>0</v>
      </c>
      <c r="CS2" s="539"/>
      <c r="CT2" s="539">
        <v>0</v>
      </c>
      <c r="CU2" s="539"/>
      <c r="CV2" s="539">
        <v>0</v>
      </c>
      <c r="CW2" s="539"/>
      <c r="CX2" s="539">
        <v>0</v>
      </c>
      <c r="CY2" s="539"/>
      <c r="CZ2" s="539">
        <v>0</v>
      </c>
      <c r="DA2" s="539"/>
      <c r="DB2" s="539">
        <v>0</v>
      </c>
      <c r="DC2" s="539"/>
      <c r="DD2" s="539">
        <v>0</v>
      </c>
      <c r="DE2" s="539"/>
      <c r="DF2" s="539">
        <v>0</v>
      </c>
      <c r="DG2" s="539"/>
      <c r="DH2" s="539">
        <v>0</v>
      </c>
      <c r="DI2" s="539"/>
      <c r="DJ2" s="539">
        <v>0</v>
      </c>
      <c r="DK2" s="539"/>
      <c r="DL2" s="539">
        <v>0</v>
      </c>
      <c r="DM2" s="539"/>
      <c r="DN2" s="539">
        <v>0</v>
      </c>
      <c r="DO2" s="539"/>
      <c r="DP2" s="539">
        <v>0</v>
      </c>
      <c r="DQ2" s="539"/>
      <c r="DR2" s="539">
        <v>0</v>
      </c>
      <c r="DS2" s="539"/>
      <c r="DT2" s="539">
        <v>0</v>
      </c>
      <c r="DU2" s="539"/>
      <c r="DV2" s="539">
        <v>0</v>
      </c>
      <c r="DW2" s="539"/>
      <c r="DX2" s="539">
        <v>0</v>
      </c>
      <c r="DY2" s="539"/>
      <c r="DZ2" s="539">
        <v>0</v>
      </c>
      <c r="EA2" s="539"/>
      <c r="EB2" s="539">
        <v>0</v>
      </c>
      <c r="EC2" s="539"/>
      <c r="ED2" s="539"/>
    </row>
    <row r="3" spans="1:134" ht="13.5" customHeight="1">
      <c r="A3" s="539">
        <v>0</v>
      </c>
      <c r="B3" s="3" t="e">
        <f>+#REF!</f>
        <v>#REF!</v>
      </c>
      <c r="C3" s="3">
        <v>15339.237991</v>
      </c>
      <c r="D3" s="3">
        <v>217503.035837</v>
      </c>
      <c r="E3" s="3">
        <v>19056.423204999999</v>
      </c>
      <c r="F3" s="3">
        <v>407728.31453899998</v>
      </c>
      <c r="G3" s="3">
        <v>856519.07959776605</v>
      </c>
      <c r="H3" s="3">
        <v>909823.40312600753</v>
      </c>
      <c r="I3" s="3">
        <v>961018.41137207532</v>
      </c>
      <c r="J3" s="3">
        <v>1008313.3539013434</v>
      </c>
      <c r="K3" s="3">
        <v>1057973.0393486191</v>
      </c>
      <c r="L3" s="3">
        <v>1057973.0393486191</v>
      </c>
      <c r="M3" s="3">
        <v>1057973.0393486191</v>
      </c>
      <c r="N3" s="3">
        <v>1057973.0393486191</v>
      </c>
      <c r="O3" s="3">
        <v>1057973.0393486191</v>
      </c>
      <c r="P3" s="3">
        <v>0</v>
      </c>
      <c r="Q3" s="3">
        <v>0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>
        <v>0</v>
      </c>
      <c r="AQ3" s="539"/>
      <c r="AR3" s="539">
        <v>0</v>
      </c>
      <c r="AS3" s="539"/>
      <c r="AT3" s="539">
        <v>0</v>
      </c>
      <c r="AU3" s="539"/>
      <c r="AV3" s="539">
        <v>0</v>
      </c>
      <c r="AW3" s="539"/>
      <c r="AX3" s="539">
        <v>0</v>
      </c>
      <c r="AY3" s="539"/>
      <c r="AZ3" s="539">
        <v>0</v>
      </c>
      <c r="BA3" s="539"/>
      <c r="BB3" s="539">
        <v>0</v>
      </c>
      <c r="BC3" s="539"/>
      <c r="BD3" s="539">
        <v>0</v>
      </c>
      <c r="BE3" s="539"/>
      <c r="BF3" s="539">
        <v>0</v>
      </c>
      <c r="BG3" s="539"/>
      <c r="BH3" s="539">
        <v>0</v>
      </c>
      <c r="BI3" s="539"/>
      <c r="BJ3" s="539">
        <v>0</v>
      </c>
      <c r="BK3" s="539"/>
      <c r="BL3" s="539">
        <v>0</v>
      </c>
      <c r="BM3" s="539"/>
      <c r="BN3" s="539">
        <v>0</v>
      </c>
      <c r="BO3" s="539"/>
      <c r="BP3" s="539">
        <v>0</v>
      </c>
      <c r="BQ3" s="539"/>
      <c r="BR3" s="539">
        <v>0</v>
      </c>
      <c r="BS3" s="539"/>
      <c r="BT3" s="539">
        <v>0</v>
      </c>
      <c r="BU3" s="539"/>
      <c r="BV3" s="539">
        <v>0</v>
      </c>
      <c r="BW3" s="539"/>
      <c r="BX3" s="539">
        <v>0</v>
      </c>
      <c r="BY3" s="539"/>
      <c r="BZ3" s="539">
        <v>0</v>
      </c>
      <c r="CA3" s="539"/>
      <c r="CB3" s="539">
        <v>0</v>
      </c>
      <c r="CC3" s="539"/>
      <c r="CD3" s="539">
        <v>0</v>
      </c>
      <c r="CE3" s="539"/>
      <c r="CF3" s="539">
        <v>0</v>
      </c>
      <c r="CG3" s="539"/>
      <c r="CH3" s="539">
        <v>0</v>
      </c>
      <c r="CI3" s="539"/>
      <c r="CJ3" s="539">
        <v>0</v>
      </c>
      <c r="CK3" s="539"/>
      <c r="CL3" s="539">
        <v>0</v>
      </c>
      <c r="CM3" s="539"/>
      <c r="CN3" s="539">
        <v>0</v>
      </c>
      <c r="CO3" s="539"/>
      <c r="CP3" s="539">
        <v>0</v>
      </c>
      <c r="CQ3" s="539"/>
      <c r="CR3" s="539">
        <v>0</v>
      </c>
      <c r="CS3" s="539"/>
      <c r="CT3" s="539">
        <v>0</v>
      </c>
      <c r="CU3" s="539"/>
      <c r="CV3" s="539">
        <v>0</v>
      </c>
      <c r="CW3" s="539"/>
      <c r="CX3" s="539">
        <v>0</v>
      </c>
      <c r="CY3" s="539"/>
      <c r="CZ3" s="539">
        <v>0</v>
      </c>
      <c r="DA3" s="539"/>
      <c r="DB3" s="539">
        <v>0</v>
      </c>
      <c r="DC3" s="539"/>
      <c r="DD3" s="539">
        <v>0</v>
      </c>
      <c r="DE3" s="539"/>
      <c r="DF3" s="539">
        <v>0</v>
      </c>
      <c r="DG3" s="539"/>
      <c r="DH3" s="539">
        <v>0</v>
      </c>
      <c r="DI3" s="539"/>
      <c r="DJ3" s="539">
        <v>0</v>
      </c>
      <c r="DK3" s="539"/>
      <c r="DL3" s="539">
        <v>0</v>
      </c>
      <c r="DM3" s="539"/>
      <c r="DN3" s="539">
        <v>0</v>
      </c>
      <c r="DO3" s="539"/>
      <c r="DP3" s="539">
        <v>0</v>
      </c>
      <c r="DQ3" s="539"/>
      <c r="DR3" s="539">
        <v>0</v>
      </c>
      <c r="DS3" s="539"/>
      <c r="DT3" s="539">
        <v>0</v>
      </c>
      <c r="DU3" s="539"/>
      <c r="DV3" s="539">
        <v>0</v>
      </c>
      <c r="DW3" s="539"/>
      <c r="DX3" s="539">
        <v>0</v>
      </c>
      <c r="DY3" s="539"/>
      <c r="DZ3" s="539">
        <v>0</v>
      </c>
      <c r="EA3" s="539"/>
      <c r="EB3" s="539">
        <v>0</v>
      </c>
      <c r="EC3" s="539"/>
      <c r="ED3" s="539">
        <v>0</v>
      </c>
    </row>
    <row r="4" spans="1:134" ht="13.5" hidden="1" customHeight="1">
      <c r="A4" s="543"/>
      <c r="B4" s="4" t="e">
        <f>+#REF!</f>
        <v>#REF!</v>
      </c>
      <c r="C4" s="4">
        <f>IF(ISNUMBER(Historical!E105),Historical!E105, )</f>
        <v>100000</v>
      </c>
      <c r="D4" s="4">
        <f>IF(ISNUMBER(Historical!G105),Historical!G105, )</f>
        <v>110000</v>
      </c>
      <c r="E4" s="4">
        <f>IF(ISNUMBER(Historical!I105),Historical!I105, )</f>
        <v>120000</v>
      </c>
      <c r="F4" s="4">
        <f>IF(ISNUMBER(Projection!$H$7),IF(MONTH(Projection!H7)&lt;&gt;12,IF(ISNUMBER(Projection!L74),Projection!L74, ),IF(ISNUMBER(Historical!K105),Historical!K105, )), )</f>
        <v>132000</v>
      </c>
      <c r="G4" s="4">
        <f>IF(ISNUMBER(Projection!$H$7),IF(MONTH(Projection!$H$7)&lt;&gt;12,IF(ISNUMBER(Projection!N74),Projection!N74, ),IF(ISNUMBER(Projection!L74),Projection!L74, )), )</f>
        <v>157300</v>
      </c>
      <c r="H4" s="4">
        <f>IF(ISNUMBER(Projection!$H$7),IF(MONTH(Projection!$H$7)&lt;&gt;12,IF(ISNUMBER(Projection!P74),Projection!P74, ),IF(ISNUMBER(Projection!N74),Projection!N74, )), )</f>
        <v>173029.99999999997</v>
      </c>
      <c r="I4" s="4">
        <f>IF(ISNUMBER(Projection!$H$7),IF(MONTH(Projection!$H$7)&lt;&gt;12,IF(ISNUMBER(Projection!R74),Projection!R74, ),IF(ISNUMBER(Projection!P74),Projection!P74, )), )</f>
        <v>190333.00000000006</v>
      </c>
      <c r="J4" s="4">
        <f>IF(ISNUMBER(Projection!$H$7),IF(MONTH(Projection!$H$7)&lt;&gt;12,IF(ISNUMBER(Projection!T74),Projection!T74, ),IF(ISNUMBER(Projection!R74),Projection!R74, )), )</f>
        <v>209366.30000000005</v>
      </c>
      <c r="K4" s="4">
        <f>IF(ISNUMBER(Projection!$H$7),IF(MONTH(Projection!$H$7)&lt;&gt;12,IF(ISNUMBER(Projection!Z74),Projection!Z74, ),IF(ISNUMBER(Projection!T74),Projection!T74, )), )</f>
        <v>209366.30000000005</v>
      </c>
      <c r="L4" s="4">
        <f>IF(ISNUMBER(Projection!$H$7),IF(MONTH(Projection!$H$7)&lt;&gt;12,IF(ISNUMBER(Projection!AB74),Projection!AB74, ),IF(ISNUMBER(Projection!Z74),Projection!Z74, )), )</f>
        <v>209366.30000000005</v>
      </c>
      <c r="M4" s="4">
        <f>IF(ISNUMBER(Projection!$H$7),IF(MONTH(Projection!$H$7)&lt;&gt;12,IF(ISNUMBER(Projection!AD74),Projection!AD74, ),IF(ISNUMBER(Projection!AB74),Projection!AB74, )), )</f>
        <v>209366.30000000005</v>
      </c>
      <c r="N4" s="4">
        <f>IF(ISNUMBER(Projection!$H$7),IF(MONTH(Projection!$H$7)&lt;&gt;12,IF(ISNUMBER(Projection!AF74),Projection!AF74, ),IF(ISNUMBER(Projection!AD74),Projection!AD74, )), )</f>
        <v>209366.30000000005</v>
      </c>
      <c r="O4" s="4">
        <f>IF(ISNUMBER(Projection!$H$7),IF(MONTH(Projection!$H$7)&lt;&gt;12,IF(ISNUMBER(Projection!AH74),Projection!AH74, ),IF(ISNUMBER(Projection!AF74),Projection!AF74, )), )</f>
        <v>209366.30000000005</v>
      </c>
      <c r="P4" s="4"/>
      <c r="Q4" s="4"/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539"/>
      <c r="AR4" s="539">
        <v>0</v>
      </c>
      <c r="AS4" s="539"/>
      <c r="AT4" s="539">
        <v>0</v>
      </c>
      <c r="AU4" s="539"/>
      <c r="AV4" s="539">
        <v>0</v>
      </c>
      <c r="AW4" s="539"/>
      <c r="AX4" s="539">
        <v>0</v>
      </c>
      <c r="AY4" s="539"/>
      <c r="AZ4" s="539">
        <v>0</v>
      </c>
      <c r="BA4" s="539"/>
      <c r="BB4" s="539">
        <v>0</v>
      </c>
      <c r="BC4" s="539"/>
      <c r="BD4" s="539">
        <v>0</v>
      </c>
      <c r="BE4" s="539"/>
      <c r="BF4" s="539">
        <v>0</v>
      </c>
      <c r="BG4" s="539"/>
      <c r="BH4" s="539">
        <v>0</v>
      </c>
      <c r="BI4" s="539"/>
      <c r="BJ4" s="539">
        <v>0</v>
      </c>
      <c r="BK4" s="539"/>
      <c r="BL4" s="539">
        <v>0</v>
      </c>
      <c r="BM4" s="539"/>
      <c r="BN4" s="539">
        <v>0</v>
      </c>
      <c r="BO4" s="539"/>
      <c r="BP4" s="539">
        <v>0</v>
      </c>
      <c r="BQ4" s="539"/>
      <c r="BR4" s="539">
        <v>0</v>
      </c>
      <c r="BS4" s="539"/>
      <c r="BT4" s="539">
        <v>0</v>
      </c>
      <c r="BU4" s="539"/>
      <c r="BV4" s="539">
        <v>0</v>
      </c>
      <c r="BW4" s="539"/>
      <c r="BX4" s="539">
        <v>0</v>
      </c>
      <c r="BY4" s="539"/>
      <c r="BZ4" s="539">
        <v>0</v>
      </c>
      <c r="CA4" s="539"/>
      <c r="CB4" s="539">
        <v>0</v>
      </c>
      <c r="CC4" s="539"/>
      <c r="CD4" s="539">
        <v>0</v>
      </c>
      <c r="CE4" s="539"/>
      <c r="CF4" s="539">
        <v>0</v>
      </c>
      <c r="CG4" s="539"/>
      <c r="CH4" s="539">
        <v>0</v>
      </c>
      <c r="CI4" s="539"/>
      <c r="CJ4" s="539">
        <v>0</v>
      </c>
      <c r="CK4" s="539"/>
      <c r="CL4" s="539">
        <v>0</v>
      </c>
      <c r="CM4" s="539"/>
      <c r="CN4" s="539">
        <v>0</v>
      </c>
      <c r="CO4" s="539"/>
      <c r="CP4" s="539">
        <v>0</v>
      </c>
      <c r="CQ4" s="539"/>
      <c r="CR4" s="539">
        <v>0</v>
      </c>
      <c r="CS4" s="539"/>
      <c r="CT4" s="539">
        <v>0</v>
      </c>
      <c r="CU4" s="539"/>
      <c r="CV4" s="539">
        <v>0</v>
      </c>
      <c r="CW4" s="539"/>
      <c r="CX4" s="539">
        <v>0</v>
      </c>
      <c r="CY4" s="539"/>
      <c r="CZ4" s="539">
        <v>0</v>
      </c>
      <c r="DA4" s="539"/>
      <c r="DB4" s="539">
        <v>0</v>
      </c>
      <c r="DC4" s="539"/>
      <c r="DD4" s="539">
        <v>0</v>
      </c>
      <c r="DE4" s="539"/>
      <c r="DF4" s="539">
        <v>0</v>
      </c>
      <c r="DG4" s="539"/>
      <c r="DH4" s="539">
        <v>0</v>
      </c>
      <c r="DI4" s="539"/>
      <c r="DJ4" s="539">
        <v>0</v>
      </c>
      <c r="DK4" s="539"/>
      <c r="DL4" s="539">
        <v>0</v>
      </c>
      <c r="DM4" s="539"/>
      <c r="DN4" s="539">
        <v>0</v>
      </c>
      <c r="DO4" s="539"/>
      <c r="DP4" s="539">
        <v>0</v>
      </c>
      <c r="DQ4" s="539"/>
      <c r="DR4" s="539">
        <v>0</v>
      </c>
      <c r="DS4" s="539"/>
      <c r="DT4" s="539">
        <v>0</v>
      </c>
      <c r="DU4" s="539"/>
      <c r="DV4" s="539">
        <v>0</v>
      </c>
      <c r="DW4" s="539"/>
      <c r="DX4" s="539">
        <v>0</v>
      </c>
      <c r="DY4" s="539"/>
      <c r="DZ4" s="539">
        <v>0</v>
      </c>
      <c r="EA4" s="539"/>
      <c r="EB4" s="539">
        <v>0</v>
      </c>
      <c r="EC4" s="539"/>
      <c r="ED4" s="539">
        <v>0</v>
      </c>
    </row>
    <row r="5" spans="1:134" ht="13.5" hidden="1" customHeight="1">
      <c r="A5" s="543"/>
      <c r="B5" s="4" t="e">
        <f>+#REF!</f>
        <v>#REF!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539"/>
      <c r="AR5" s="539"/>
      <c r="AS5" s="539"/>
      <c r="AT5" s="539"/>
      <c r="AU5" s="539"/>
      <c r="AV5" s="539"/>
      <c r="AW5" s="539"/>
      <c r="AX5" s="539"/>
      <c r="AY5" s="539"/>
      <c r="AZ5" s="539"/>
      <c r="BA5" s="539"/>
      <c r="BB5" s="539"/>
      <c r="BC5" s="539"/>
      <c r="BD5" s="539"/>
      <c r="BE5" s="539"/>
      <c r="BF5" s="539"/>
      <c r="BG5" s="539"/>
      <c r="BH5" s="539"/>
      <c r="BI5" s="539"/>
      <c r="BJ5" s="539"/>
      <c r="BK5" s="539"/>
      <c r="BL5" s="539"/>
      <c r="BM5" s="539"/>
      <c r="BN5" s="539"/>
      <c r="BO5" s="539"/>
      <c r="BP5" s="539"/>
      <c r="BQ5" s="539"/>
      <c r="BR5" s="539"/>
      <c r="BS5" s="539"/>
      <c r="BT5" s="539"/>
      <c r="BU5" s="539"/>
      <c r="BV5" s="539"/>
      <c r="BW5" s="539"/>
      <c r="BX5" s="539"/>
      <c r="BY5" s="539"/>
      <c r="BZ5" s="539"/>
      <c r="CA5" s="539"/>
      <c r="CB5" s="539"/>
      <c r="CC5" s="539"/>
      <c r="CD5" s="539"/>
      <c r="CE5" s="539"/>
      <c r="CF5" s="539"/>
      <c r="CG5" s="539"/>
      <c r="CH5" s="539"/>
      <c r="CI5" s="539"/>
      <c r="CJ5" s="539"/>
      <c r="CK5" s="539"/>
      <c r="CL5" s="539"/>
      <c r="CM5" s="539"/>
      <c r="CN5" s="539"/>
      <c r="CO5" s="539"/>
      <c r="CP5" s="539"/>
      <c r="CQ5" s="539"/>
      <c r="CR5" s="539"/>
      <c r="CS5" s="539"/>
      <c r="CT5" s="539"/>
      <c r="CU5" s="539"/>
      <c r="CV5" s="539"/>
      <c r="CW5" s="539"/>
      <c r="CX5" s="539"/>
      <c r="CY5" s="539"/>
      <c r="CZ5" s="539"/>
      <c r="DA5" s="539"/>
      <c r="DB5" s="539"/>
      <c r="DC5" s="539"/>
      <c r="DD5" s="539"/>
      <c r="DE5" s="539"/>
      <c r="DF5" s="539"/>
      <c r="DG5" s="539"/>
      <c r="DH5" s="539"/>
      <c r="DI5" s="539"/>
      <c r="DJ5" s="539"/>
      <c r="DK5" s="539"/>
      <c r="DL5" s="539"/>
      <c r="DM5" s="539"/>
      <c r="DN5" s="539"/>
      <c r="DO5" s="539"/>
      <c r="DP5" s="539"/>
      <c r="DQ5" s="539"/>
      <c r="DR5" s="539"/>
      <c r="DS5" s="539"/>
      <c r="DT5" s="539"/>
      <c r="DU5" s="539"/>
      <c r="DV5" s="539"/>
      <c r="DW5" s="539"/>
      <c r="DX5" s="539"/>
      <c r="DY5" s="539"/>
      <c r="DZ5" s="539"/>
      <c r="EA5" s="539"/>
      <c r="EB5" s="539"/>
      <c r="EC5" s="539"/>
      <c r="ED5" s="539"/>
    </row>
    <row r="6" spans="1:134" ht="13.5" hidden="1" customHeight="1">
      <c r="A6" s="543"/>
      <c r="B6" s="4" t="e">
        <f>+#REF!</f>
        <v>#REF!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539"/>
      <c r="AR6" s="539"/>
      <c r="AS6" s="539"/>
      <c r="AT6" s="539"/>
      <c r="AU6" s="539"/>
      <c r="AV6" s="539"/>
      <c r="AW6" s="539"/>
      <c r="AX6" s="539"/>
      <c r="AY6" s="539"/>
      <c r="AZ6" s="539"/>
      <c r="BA6" s="539"/>
      <c r="BB6" s="539"/>
      <c r="BC6" s="539"/>
      <c r="BD6" s="539"/>
      <c r="BE6" s="539"/>
      <c r="BF6" s="539"/>
      <c r="BG6" s="539"/>
      <c r="BH6" s="539"/>
      <c r="BI6" s="539"/>
      <c r="BJ6" s="539"/>
      <c r="BK6" s="539"/>
      <c r="BL6" s="539"/>
      <c r="BM6" s="539"/>
      <c r="BN6" s="539"/>
      <c r="BO6" s="539"/>
      <c r="BP6" s="539"/>
      <c r="BQ6" s="539"/>
      <c r="BR6" s="539"/>
      <c r="BS6" s="539"/>
      <c r="BT6" s="539"/>
      <c r="BU6" s="539"/>
      <c r="BV6" s="539"/>
      <c r="BW6" s="539"/>
      <c r="BX6" s="539"/>
      <c r="BY6" s="539"/>
      <c r="BZ6" s="539"/>
      <c r="CA6" s="539"/>
      <c r="CB6" s="539"/>
      <c r="CC6" s="539"/>
      <c r="CD6" s="539"/>
      <c r="CE6" s="539"/>
      <c r="CF6" s="539"/>
      <c r="CG6" s="539"/>
      <c r="CH6" s="539"/>
      <c r="CI6" s="539"/>
      <c r="CJ6" s="539"/>
      <c r="CK6" s="539"/>
      <c r="CL6" s="539"/>
      <c r="CM6" s="539"/>
      <c r="CN6" s="539"/>
      <c r="CO6" s="539"/>
      <c r="CP6" s="539"/>
      <c r="CQ6" s="539"/>
      <c r="CR6" s="539"/>
      <c r="CS6" s="539"/>
      <c r="CT6" s="539"/>
      <c r="CU6" s="539"/>
      <c r="CV6" s="539"/>
      <c r="CW6" s="539"/>
      <c r="CX6" s="539"/>
      <c r="CY6" s="539"/>
      <c r="CZ6" s="539"/>
      <c r="DA6" s="539"/>
      <c r="DB6" s="539"/>
      <c r="DC6" s="539"/>
      <c r="DD6" s="539"/>
      <c r="DE6" s="539"/>
      <c r="DF6" s="539"/>
      <c r="DG6" s="539"/>
      <c r="DH6" s="539"/>
      <c r="DI6" s="539"/>
      <c r="DJ6" s="539"/>
      <c r="DK6" s="539"/>
      <c r="DL6" s="539"/>
      <c r="DM6" s="539"/>
      <c r="DN6" s="539"/>
      <c r="DO6" s="539"/>
      <c r="DP6" s="539"/>
      <c r="DQ6" s="539"/>
      <c r="DR6" s="539"/>
      <c r="DS6" s="539"/>
      <c r="DT6" s="539"/>
      <c r="DU6" s="539"/>
      <c r="DV6" s="539"/>
      <c r="DW6" s="539"/>
      <c r="DX6" s="539"/>
      <c r="DY6" s="539"/>
      <c r="DZ6" s="539"/>
      <c r="EA6" s="539"/>
      <c r="EB6" s="539"/>
      <c r="EC6" s="539"/>
      <c r="ED6" s="539"/>
    </row>
    <row r="7" spans="1:134" ht="13.5" hidden="1" customHeight="1">
      <c r="A7" s="543"/>
      <c r="B7" s="4" t="e">
        <f>+#REF!</f>
        <v>#REF!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539"/>
      <c r="AR7" s="539"/>
      <c r="AS7" s="539"/>
      <c r="AT7" s="539"/>
      <c r="AU7" s="539"/>
      <c r="AV7" s="539"/>
      <c r="AW7" s="539"/>
      <c r="AX7" s="539"/>
      <c r="AY7" s="539"/>
      <c r="AZ7" s="539"/>
      <c r="BA7" s="539"/>
      <c r="BB7" s="539"/>
      <c r="BC7" s="539"/>
      <c r="BD7" s="539"/>
      <c r="BE7" s="539"/>
      <c r="BF7" s="539"/>
      <c r="BG7" s="539"/>
      <c r="BH7" s="539"/>
      <c r="BI7" s="539"/>
      <c r="BJ7" s="539"/>
      <c r="BK7" s="539"/>
      <c r="BL7" s="539"/>
      <c r="BM7" s="539"/>
      <c r="BN7" s="539"/>
      <c r="BO7" s="539"/>
      <c r="BP7" s="539"/>
      <c r="BQ7" s="539"/>
      <c r="BR7" s="539"/>
      <c r="BS7" s="539"/>
      <c r="BT7" s="539"/>
      <c r="BU7" s="539"/>
      <c r="BV7" s="539"/>
      <c r="BW7" s="539"/>
      <c r="BX7" s="539"/>
      <c r="BY7" s="539"/>
      <c r="BZ7" s="539"/>
      <c r="CA7" s="539"/>
      <c r="CB7" s="539"/>
      <c r="CC7" s="539"/>
      <c r="CD7" s="539"/>
      <c r="CE7" s="539"/>
      <c r="CF7" s="539"/>
      <c r="CG7" s="539"/>
      <c r="CH7" s="539"/>
      <c r="CI7" s="539"/>
      <c r="CJ7" s="539"/>
      <c r="CK7" s="539"/>
      <c r="CL7" s="539"/>
      <c r="CM7" s="539"/>
      <c r="CN7" s="539"/>
      <c r="CO7" s="539"/>
      <c r="CP7" s="539"/>
      <c r="CQ7" s="539"/>
      <c r="CR7" s="539"/>
      <c r="CS7" s="539"/>
      <c r="CT7" s="539"/>
      <c r="CU7" s="539"/>
      <c r="CV7" s="539"/>
      <c r="CW7" s="539"/>
      <c r="CX7" s="539"/>
      <c r="CY7" s="539"/>
      <c r="CZ7" s="539"/>
      <c r="DA7" s="539"/>
      <c r="DB7" s="539"/>
      <c r="DC7" s="539"/>
      <c r="DD7" s="539"/>
      <c r="DE7" s="539"/>
      <c r="DF7" s="539"/>
      <c r="DG7" s="539"/>
      <c r="DH7" s="539"/>
      <c r="DI7" s="539"/>
      <c r="DJ7" s="539"/>
      <c r="DK7" s="539"/>
      <c r="DL7" s="539"/>
      <c r="DM7" s="539"/>
      <c r="DN7" s="539"/>
      <c r="DO7" s="539"/>
      <c r="DP7" s="539"/>
      <c r="DQ7" s="539"/>
      <c r="DR7" s="539"/>
      <c r="DS7" s="539"/>
      <c r="DT7" s="539"/>
      <c r="DU7" s="539"/>
      <c r="DV7" s="539"/>
      <c r="DW7" s="539"/>
      <c r="DX7" s="539"/>
      <c r="DY7" s="539"/>
      <c r="DZ7" s="539"/>
      <c r="EA7" s="539"/>
      <c r="EB7" s="539"/>
      <c r="EC7" s="539"/>
      <c r="ED7" s="539"/>
    </row>
    <row r="8" spans="1:134" ht="13.5" hidden="1" customHeight="1">
      <c r="A8" s="543"/>
      <c r="B8" s="4" t="e">
        <f>+#REF!</f>
        <v>#REF!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39"/>
      <c r="AR8" s="539"/>
      <c r="AS8" s="539"/>
      <c r="AT8" s="539"/>
      <c r="AU8" s="539"/>
      <c r="AV8" s="539"/>
      <c r="AW8" s="539"/>
      <c r="AX8" s="539"/>
      <c r="AY8" s="539"/>
      <c r="AZ8" s="539"/>
      <c r="BA8" s="539"/>
      <c r="BB8" s="539"/>
      <c r="BC8" s="539"/>
      <c r="BD8" s="539"/>
      <c r="BE8" s="539"/>
      <c r="BF8" s="539"/>
      <c r="BG8" s="539"/>
      <c r="BH8" s="539"/>
      <c r="BI8" s="539"/>
      <c r="BJ8" s="539"/>
      <c r="BK8" s="539"/>
      <c r="BL8" s="539"/>
      <c r="BM8" s="539"/>
      <c r="BN8" s="539"/>
      <c r="BO8" s="539"/>
      <c r="BP8" s="539"/>
      <c r="BQ8" s="539"/>
      <c r="BR8" s="539"/>
      <c r="BS8" s="539"/>
      <c r="BT8" s="539"/>
      <c r="BU8" s="539"/>
      <c r="BV8" s="539"/>
      <c r="BW8" s="539"/>
      <c r="BX8" s="539"/>
      <c r="BY8" s="539"/>
      <c r="BZ8" s="539"/>
      <c r="CA8" s="539"/>
      <c r="CB8" s="539"/>
      <c r="CC8" s="539"/>
      <c r="CD8" s="539"/>
      <c r="CE8" s="539"/>
      <c r="CF8" s="539"/>
      <c r="CG8" s="539"/>
      <c r="CH8" s="539"/>
      <c r="CI8" s="539"/>
      <c r="CJ8" s="539"/>
      <c r="CK8" s="539"/>
      <c r="CL8" s="539"/>
      <c r="CM8" s="539"/>
      <c r="CN8" s="539"/>
      <c r="CO8" s="539"/>
      <c r="CP8" s="539"/>
      <c r="CQ8" s="539"/>
      <c r="CR8" s="539"/>
      <c r="CS8" s="539"/>
      <c r="CT8" s="539"/>
      <c r="CU8" s="539"/>
      <c r="CV8" s="539"/>
      <c r="CW8" s="539"/>
      <c r="CX8" s="539"/>
      <c r="CY8" s="539"/>
      <c r="CZ8" s="539"/>
      <c r="DA8" s="539"/>
      <c r="DB8" s="539"/>
      <c r="DC8" s="539"/>
      <c r="DD8" s="539"/>
      <c r="DE8" s="539"/>
      <c r="DF8" s="539"/>
      <c r="DG8" s="539"/>
      <c r="DH8" s="539"/>
      <c r="DI8" s="539"/>
      <c r="DJ8" s="539"/>
      <c r="DK8" s="539"/>
      <c r="DL8" s="539"/>
      <c r="DM8" s="539"/>
      <c r="DN8" s="539"/>
      <c r="DO8" s="539"/>
      <c r="DP8" s="539"/>
      <c r="DQ8" s="539"/>
      <c r="DR8" s="539"/>
      <c r="DS8" s="539"/>
      <c r="DT8" s="539"/>
      <c r="DU8" s="539"/>
      <c r="DV8" s="539"/>
      <c r="DW8" s="539"/>
      <c r="DX8" s="539"/>
      <c r="DY8" s="539"/>
      <c r="DZ8" s="539"/>
      <c r="EA8" s="539"/>
      <c r="EB8" s="539"/>
      <c r="EC8" s="539"/>
      <c r="ED8" s="539"/>
    </row>
    <row r="9" spans="1:134" ht="13.5" hidden="1" customHeight="1">
      <c r="A9" s="543"/>
      <c r="B9" s="4" t="e">
        <f>+#REF!</f>
        <v>#REF!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539"/>
      <c r="AR9" s="539"/>
      <c r="AS9" s="539"/>
      <c r="AT9" s="539"/>
      <c r="AU9" s="539"/>
      <c r="AV9" s="539"/>
      <c r="AW9" s="539"/>
      <c r="AX9" s="539"/>
      <c r="AY9" s="539"/>
      <c r="AZ9" s="539"/>
      <c r="BA9" s="539"/>
      <c r="BB9" s="539"/>
      <c r="BC9" s="539"/>
      <c r="BD9" s="539"/>
      <c r="BE9" s="539"/>
      <c r="BF9" s="539"/>
      <c r="BG9" s="539"/>
      <c r="BH9" s="539"/>
      <c r="BI9" s="539"/>
      <c r="BJ9" s="539"/>
      <c r="BK9" s="539"/>
      <c r="BL9" s="539"/>
      <c r="BM9" s="539"/>
      <c r="BN9" s="539"/>
      <c r="BO9" s="539"/>
      <c r="BP9" s="539"/>
      <c r="BQ9" s="539"/>
      <c r="BR9" s="539"/>
      <c r="BS9" s="539"/>
      <c r="BT9" s="539"/>
      <c r="BU9" s="539"/>
      <c r="BV9" s="539"/>
      <c r="BW9" s="539"/>
      <c r="BX9" s="539"/>
      <c r="BY9" s="539"/>
      <c r="BZ9" s="539"/>
      <c r="CA9" s="539"/>
      <c r="CB9" s="539"/>
      <c r="CC9" s="539"/>
      <c r="CD9" s="539"/>
      <c r="CE9" s="539"/>
      <c r="CF9" s="539"/>
      <c r="CG9" s="539"/>
      <c r="CH9" s="539"/>
      <c r="CI9" s="539"/>
      <c r="CJ9" s="539"/>
      <c r="CK9" s="539"/>
      <c r="CL9" s="539"/>
      <c r="CM9" s="539"/>
      <c r="CN9" s="539"/>
      <c r="CO9" s="539"/>
      <c r="CP9" s="539"/>
      <c r="CQ9" s="539"/>
      <c r="CR9" s="539"/>
      <c r="CS9" s="539"/>
      <c r="CT9" s="539"/>
      <c r="CU9" s="539"/>
      <c r="CV9" s="539"/>
      <c r="CW9" s="539"/>
      <c r="CX9" s="539"/>
      <c r="CY9" s="539"/>
      <c r="CZ9" s="539"/>
      <c r="DA9" s="539"/>
      <c r="DB9" s="539"/>
      <c r="DC9" s="539"/>
      <c r="DD9" s="539"/>
      <c r="DE9" s="539"/>
      <c r="DF9" s="539"/>
      <c r="DG9" s="539"/>
      <c r="DH9" s="539"/>
      <c r="DI9" s="539"/>
      <c r="DJ9" s="539"/>
      <c r="DK9" s="539"/>
      <c r="DL9" s="539"/>
      <c r="DM9" s="539"/>
      <c r="DN9" s="539"/>
      <c r="DO9" s="539"/>
      <c r="DP9" s="539"/>
      <c r="DQ9" s="539"/>
      <c r="DR9" s="539"/>
      <c r="DS9" s="539"/>
      <c r="DT9" s="539"/>
      <c r="DU9" s="539"/>
      <c r="DV9" s="539"/>
      <c r="DW9" s="539"/>
      <c r="DX9" s="539"/>
      <c r="DY9" s="539"/>
      <c r="DZ9" s="539"/>
      <c r="EA9" s="539"/>
      <c r="EB9" s="539"/>
      <c r="EC9" s="539"/>
      <c r="ED9" s="539"/>
    </row>
    <row r="10" spans="1:134" ht="13.5" hidden="1" customHeight="1">
      <c r="A10" s="543"/>
      <c r="B10" s="4" t="e">
        <f>+#REF!</f>
        <v>#REF!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539"/>
      <c r="AR10" s="539"/>
      <c r="AS10" s="539"/>
      <c r="AT10" s="539"/>
      <c r="AU10" s="539"/>
      <c r="AV10" s="539"/>
      <c r="AW10" s="539"/>
      <c r="AX10" s="539"/>
      <c r="AY10" s="539"/>
      <c r="AZ10" s="539"/>
      <c r="BA10" s="539"/>
      <c r="BB10" s="539"/>
      <c r="BC10" s="539"/>
      <c r="BD10" s="539"/>
      <c r="BE10" s="539"/>
      <c r="BF10" s="539"/>
      <c r="BG10" s="539"/>
      <c r="BH10" s="539"/>
      <c r="BI10" s="539"/>
      <c r="BJ10" s="539"/>
      <c r="BK10" s="539"/>
      <c r="BL10" s="539"/>
      <c r="BM10" s="539"/>
      <c r="BN10" s="539"/>
      <c r="BO10" s="539"/>
      <c r="BP10" s="539"/>
      <c r="BQ10" s="539"/>
      <c r="BR10" s="539"/>
      <c r="BS10" s="539"/>
      <c r="BT10" s="539"/>
      <c r="BU10" s="539"/>
      <c r="BV10" s="539"/>
      <c r="BW10" s="539"/>
      <c r="BX10" s="539"/>
      <c r="BY10" s="539"/>
      <c r="BZ10" s="539"/>
      <c r="CA10" s="539"/>
      <c r="CB10" s="539"/>
      <c r="CC10" s="539"/>
      <c r="CD10" s="539"/>
      <c r="CE10" s="539"/>
      <c r="CF10" s="539"/>
      <c r="CG10" s="539"/>
      <c r="CH10" s="539"/>
      <c r="CI10" s="539"/>
      <c r="CJ10" s="539"/>
      <c r="CK10" s="539"/>
      <c r="CL10" s="539"/>
      <c r="CM10" s="539"/>
      <c r="CN10" s="539"/>
      <c r="CO10" s="539"/>
      <c r="CP10" s="539"/>
      <c r="CQ10" s="539"/>
      <c r="CR10" s="539"/>
      <c r="CS10" s="539"/>
      <c r="CT10" s="539"/>
      <c r="CU10" s="539"/>
      <c r="CV10" s="539"/>
      <c r="CW10" s="539"/>
      <c r="CX10" s="539"/>
      <c r="CY10" s="539"/>
      <c r="CZ10" s="539"/>
      <c r="DA10" s="539"/>
      <c r="DB10" s="539"/>
      <c r="DC10" s="539"/>
      <c r="DD10" s="539"/>
      <c r="DE10" s="539"/>
      <c r="DF10" s="539"/>
      <c r="DG10" s="539"/>
      <c r="DH10" s="539"/>
      <c r="DI10" s="539"/>
      <c r="DJ10" s="539"/>
      <c r="DK10" s="539"/>
      <c r="DL10" s="539"/>
      <c r="DM10" s="539"/>
      <c r="DN10" s="539"/>
      <c r="DO10" s="539"/>
      <c r="DP10" s="539"/>
      <c r="DQ10" s="539"/>
      <c r="DR10" s="539"/>
      <c r="DS10" s="539"/>
      <c r="DT10" s="539"/>
      <c r="DU10" s="539"/>
      <c r="DV10" s="539"/>
      <c r="DW10" s="539"/>
      <c r="DX10" s="539"/>
      <c r="DY10" s="539"/>
      <c r="DZ10" s="539"/>
      <c r="EA10" s="539"/>
      <c r="EB10" s="539"/>
      <c r="EC10" s="539"/>
      <c r="ED10" s="539"/>
    </row>
    <row r="11" spans="1:134" ht="13.5" hidden="1" customHeight="1">
      <c r="A11" s="543"/>
      <c r="B11" s="4" t="e">
        <f>+#REF!</f>
        <v>#REF!</v>
      </c>
      <c r="C11" s="544"/>
      <c r="D11" s="544"/>
      <c r="E11" s="544"/>
      <c r="F11" s="544"/>
      <c r="G11" s="544"/>
      <c r="H11" s="544"/>
      <c r="I11" s="544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  <c r="AC11" s="544"/>
      <c r="AD11" s="544"/>
      <c r="AE11" s="544"/>
      <c r="AF11" s="544"/>
      <c r="AG11" s="544"/>
      <c r="AH11" s="544"/>
      <c r="AI11" s="544"/>
      <c r="AJ11" s="544"/>
      <c r="AK11" s="544"/>
      <c r="AL11" s="544"/>
      <c r="AM11" s="544"/>
      <c r="AN11" s="544"/>
      <c r="AO11" s="544"/>
      <c r="AP11" s="544"/>
      <c r="AQ11" s="539"/>
      <c r="AR11" s="539"/>
      <c r="AS11" s="539"/>
      <c r="AT11" s="539"/>
      <c r="AU11" s="539"/>
      <c r="AV11" s="539"/>
      <c r="AW11" s="539"/>
      <c r="AX11" s="539"/>
      <c r="AY11" s="539"/>
      <c r="AZ11" s="539"/>
      <c r="BA11" s="539"/>
      <c r="BB11" s="539"/>
      <c r="BC11" s="539"/>
      <c r="BD11" s="539"/>
      <c r="BE11" s="539"/>
      <c r="BF11" s="539"/>
      <c r="BG11" s="539"/>
      <c r="BH11" s="539"/>
      <c r="BI11" s="539"/>
      <c r="BJ11" s="539"/>
      <c r="BK11" s="539"/>
      <c r="BL11" s="539"/>
      <c r="BM11" s="539"/>
      <c r="BN11" s="539"/>
      <c r="BO11" s="539"/>
      <c r="BP11" s="539"/>
      <c r="BQ11" s="539"/>
      <c r="BR11" s="539"/>
      <c r="BS11" s="539"/>
      <c r="BT11" s="539"/>
      <c r="BU11" s="539"/>
      <c r="BV11" s="539"/>
      <c r="BW11" s="539"/>
      <c r="BX11" s="539"/>
      <c r="BY11" s="539"/>
      <c r="BZ11" s="539"/>
      <c r="CA11" s="539"/>
      <c r="CB11" s="539"/>
      <c r="CC11" s="539"/>
      <c r="CD11" s="539"/>
      <c r="CE11" s="539"/>
      <c r="CF11" s="539"/>
      <c r="CG11" s="539"/>
      <c r="CH11" s="539"/>
      <c r="CI11" s="539"/>
      <c r="CJ11" s="539"/>
      <c r="CK11" s="539"/>
      <c r="CL11" s="539"/>
      <c r="CM11" s="539"/>
      <c r="CN11" s="539"/>
      <c r="CO11" s="539"/>
      <c r="CP11" s="539"/>
      <c r="CQ11" s="539"/>
      <c r="CR11" s="539"/>
      <c r="CS11" s="539"/>
      <c r="CT11" s="539"/>
      <c r="CU11" s="539"/>
      <c r="CV11" s="539"/>
      <c r="CW11" s="539"/>
      <c r="CX11" s="539"/>
      <c r="CY11" s="539"/>
      <c r="CZ11" s="539"/>
      <c r="DA11" s="539"/>
      <c r="DB11" s="539"/>
      <c r="DC11" s="539"/>
      <c r="DD11" s="539"/>
      <c r="DE11" s="539"/>
      <c r="DF11" s="539"/>
      <c r="DG11" s="539"/>
      <c r="DH11" s="539"/>
      <c r="DI11" s="539"/>
      <c r="DJ11" s="539"/>
      <c r="DK11" s="539"/>
      <c r="DL11" s="539"/>
      <c r="DM11" s="539"/>
      <c r="DN11" s="539"/>
      <c r="DO11" s="539"/>
      <c r="DP11" s="539"/>
      <c r="DQ11" s="539"/>
      <c r="DR11" s="539"/>
      <c r="DS11" s="539"/>
      <c r="DT11" s="539"/>
      <c r="DU11" s="539"/>
      <c r="DV11" s="539"/>
      <c r="DW11" s="539"/>
      <c r="DX11" s="539"/>
      <c r="DY11" s="539"/>
      <c r="DZ11" s="539"/>
      <c r="EA11" s="539"/>
      <c r="EB11" s="539"/>
      <c r="EC11" s="539"/>
      <c r="ED11" s="539"/>
    </row>
    <row r="12" spans="1:134" ht="13.5" hidden="1" customHeight="1">
      <c r="A12" s="543"/>
      <c r="B12" s="4" t="e">
        <f>+#REF!</f>
        <v>#REF!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539"/>
      <c r="AR12" s="539"/>
      <c r="AS12" s="539"/>
      <c r="AT12" s="539"/>
      <c r="AU12" s="539"/>
      <c r="AV12" s="539"/>
      <c r="AW12" s="539"/>
      <c r="AX12" s="539"/>
      <c r="AY12" s="539"/>
      <c r="AZ12" s="539"/>
      <c r="BA12" s="539"/>
      <c r="BB12" s="539"/>
      <c r="BC12" s="539"/>
      <c r="BD12" s="539"/>
      <c r="BE12" s="539"/>
      <c r="BF12" s="539"/>
      <c r="BG12" s="539"/>
      <c r="BH12" s="539"/>
      <c r="BI12" s="539"/>
      <c r="BJ12" s="539"/>
      <c r="BK12" s="539"/>
      <c r="BL12" s="539"/>
      <c r="BM12" s="539"/>
      <c r="BN12" s="539"/>
      <c r="BO12" s="539"/>
      <c r="BP12" s="539"/>
      <c r="BQ12" s="539"/>
      <c r="BR12" s="539"/>
      <c r="BS12" s="539"/>
      <c r="BT12" s="539"/>
      <c r="BU12" s="539"/>
      <c r="BV12" s="539"/>
      <c r="BW12" s="539"/>
      <c r="BX12" s="539"/>
      <c r="BY12" s="539"/>
      <c r="BZ12" s="539"/>
      <c r="CA12" s="539"/>
      <c r="CB12" s="539"/>
      <c r="CC12" s="539"/>
      <c r="CD12" s="539"/>
      <c r="CE12" s="539"/>
      <c r="CF12" s="539"/>
      <c r="CG12" s="539"/>
      <c r="CH12" s="539"/>
      <c r="CI12" s="539"/>
      <c r="CJ12" s="539"/>
      <c r="CK12" s="539"/>
      <c r="CL12" s="539"/>
      <c r="CM12" s="539"/>
      <c r="CN12" s="539"/>
      <c r="CO12" s="539"/>
      <c r="CP12" s="539"/>
      <c r="CQ12" s="539"/>
      <c r="CR12" s="539"/>
      <c r="CS12" s="539"/>
      <c r="CT12" s="539"/>
      <c r="CU12" s="539"/>
      <c r="CV12" s="539"/>
      <c r="CW12" s="539"/>
      <c r="CX12" s="539"/>
      <c r="CY12" s="539"/>
      <c r="CZ12" s="539"/>
      <c r="DA12" s="539"/>
      <c r="DB12" s="539"/>
      <c r="DC12" s="539"/>
      <c r="DD12" s="539"/>
      <c r="DE12" s="539"/>
      <c r="DF12" s="539"/>
      <c r="DG12" s="539"/>
      <c r="DH12" s="539"/>
      <c r="DI12" s="539"/>
      <c r="DJ12" s="539"/>
      <c r="DK12" s="539"/>
      <c r="DL12" s="539"/>
      <c r="DM12" s="539"/>
      <c r="DN12" s="539"/>
      <c r="DO12" s="539"/>
      <c r="DP12" s="539"/>
      <c r="DQ12" s="539"/>
      <c r="DR12" s="539"/>
      <c r="DS12" s="539"/>
      <c r="DT12" s="539"/>
      <c r="DU12" s="539"/>
      <c r="DV12" s="539"/>
      <c r="DW12" s="539"/>
      <c r="DX12" s="539"/>
      <c r="DY12" s="539"/>
      <c r="DZ12" s="539"/>
      <c r="EA12" s="539"/>
      <c r="EB12" s="539"/>
      <c r="EC12" s="539"/>
      <c r="ED12" s="539"/>
    </row>
    <row r="13" spans="1:134" ht="13.5" hidden="1" customHeight="1">
      <c r="A13" s="543"/>
      <c r="B13" s="4" t="e">
        <f>+#REF!</f>
        <v>#REF!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539"/>
      <c r="AR13" s="539"/>
      <c r="AS13" s="539"/>
      <c r="AT13" s="539"/>
      <c r="AU13" s="539"/>
      <c r="AV13" s="539"/>
      <c r="AW13" s="539"/>
      <c r="AX13" s="539"/>
      <c r="AY13" s="539"/>
      <c r="AZ13" s="539"/>
      <c r="BA13" s="539"/>
      <c r="BB13" s="539"/>
      <c r="BC13" s="539"/>
      <c r="BD13" s="539"/>
      <c r="BE13" s="539"/>
      <c r="BF13" s="539"/>
      <c r="BG13" s="539"/>
      <c r="BH13" s="539"/>
      <c r="BI13" s="539"/>
      <c r="BJ13" s="539"/>
      <c r="BK13" s="539"/>
      <c r="BL13" s="539"/>
      <c r="BM13" s="539"/>
      <c r="BN13" s="539"/>
      <c r="BO13" s="539"/>
      <c r="BP13" s="539"/>
      <c r="BQ13" s="539"/>
      <c r="BR13" s="539"/>
      <c r="BS13" s="539"/>
      <c r="BT13" s="539"/>
      <c r="BU13" s="539"/>
      <c r="BV13" s="539"/>
      <c r="BW13" s="539"/>
      <c r="BX13" s="539"/>
      <c r="BY13" s="539"/>
      <c r="BZ13" s="539"/>
      <c r="CA13" s="539"/>
      <c r="CB13" s="539"/>
      <c r="CC13" s="539"/>
      <c r="CD13" s="539"/>
      <c r="CE13" s="539"/>
      <c r="CF13" s="539"/>
      <c r="CG13" s="539"/>
      <c r="CH13" s="539"/>
      <c r="CI13" s="539"/>
      <c r="CJ13" s="539"/>
      <c r="CK13" s="539"/>
      <c r="CL13" s="539"/>
      <c r="CM13" s="539"/>
      <c r="CN13" s="539"/>
      <c r="CO13" s="539"/>
      <c r="CP13" s="539"/>
      <c r="CQ13" s="539"/>
      <c r="CR13" s="539"/>
      <c r="CS13" s="539"/>
      <c r="CT13" s="539"/>
      <c r="CU13" s="539"/>
      <c r="CV13" s="539"/>
      <c r="CW13" s="539"/>
      <c r="CX13" s="539"/>
      <c r="CY13" s="539"/>
      <c r="CZ13" s="539"/>
      <c r="DA13" s="539"/>
      <c r="DB13" s="539"/>
      <c r="DC13" s="539"/>
      <c r="DD13" s="539"/>
      <c r="DE13" s="539"/>
      <c r="DF13" s="539"/>
      <c r="DG13" s="539"/>
      <c r="DH13" s="539"/>
      <c r="DI13" s="539"/>
      <c r="DJ13" s="539"/>
      <c r="DK13" s="539"/>
      <c r="DL13" s="539"/>
      <c r="DM13" s="539"/>
      <c r="DN13" s="539"/>
      <c r="DO13" s="539"/>
      <c r="DP13" s="539"/>
      <c r="DQ13" s="539"/>
      <c r="DR13" s="539"/>
      <c r="DS13" s="539"/>
      <c r="DT13" s="539"/>
      <c r="DU13" s="539"/>
      <c r="DV13" s="539"/>
      <c r="DW13" s="539"/>
      <c r="DX13" s="539"/>
      <c r="DY13" s="539"/>
      <c r="DZ13" s="539"/>
      <c r="EA13" s="539"/>
      <c r="EB13" s="539"/>
      <c r="EC13" s="539"/>
      <c r="ED13" s="539"/>
    </row>
    <row r="14" spans="1:134" ht="13.5" hidden="1" customHeight="1">
      <c r="A14" s="543"/>
      <c r="B14" s="4" t="e">
        <f>+#REF!</f>
        <v>#REF!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539"/>
      <c r="AR14" s="539"/>
      <c r="AS14" s="539"/>
      <c r="AT14" s="539"/>
      <c r="AU14" s="539"/>
      <c r="AV14" s="539"/>
      <c r="AW14" s="539"/>
      <c r="AX14" s="539"/>
      <c r="AY14" s="539"/>
      <c r="AZ14" s="539"/>
      <c r="BA14" s="539"/>
      <c r="BB14" s="539"/>
      <c r="BC14" s="539"/>
      <c r="BD14" s="539"/>
      <c r="BE14" s="539"/>
      <c r="BF14" s="539"/>
      <c r="BG14" s="539"/>
      <c r="BH14" s="539"/>
      <c r="BI14" s="539"/>
      <c r="BJ14" s="539"/>
      <c r="BK14" s="539"/>
      <c r="BL14" s="539"/>
      <c r="BM14" s="539"/>
      <c r="BN14" s="539"/>
      <c r="BO14" s="539"/>
      <c r="BP14" s="539"/>
      <c r="BQ14" s="539"/>
      <c r="BR14" s="539"/>
      <c r="BS14" s="539"/>
      <c r="BT14" s="539"/>
      <c r="BU14" s="539"/>
      <c r="BV14" s="539"/>
      <c r="BW14" s="539"/>
      <c r="BX14" s="539"/>
      <c r="BY14" s="539"/>
      <c r="BZ14" s="539"/>
      <c r="CA14" s="539"/>
      <c r="CB14" s="539"/>
      <c r="CC14" s="539"/>
      <c r="CD14" s="539"/>
      <c r="CE14" s="539"/>
      <c r="CF14" s="539"/>
      <c r="CG14" s="539"/>
      <c r="CH14" s="539"/>
      <c r="CI14" s="539"/>
      <c r="CJ14" s="539"/>
      <c r="CK14" s="539"/>
      <c r="CL14" s="539"/>
      <c r="CM14" s="539"/>
      <c r="CN14" s="539"/>
      <c r="CO14" s="539"/>
      <c r="CP14" s="539"/>
      <c r="CQ14" s="539"/>
      <c r="CR14" s="539"/>
      <c r="CS14" s="539"/>
      <c r="CT14" s="539"/>
      <c r="CU14" s="539"/>
      <c r="CV14" s="539"/>
      <c r="CW14" s="539"/>
      <c r="CX14" s="539"/>
      <c r="CY14" s="539"/>
      <c r="CZ14" s="539"/>
      <c r="DA14" s="539"/>
      <c r="DB14" s="539"/>
      <c r="DC14" s="539"/>
      <c r="DD14" s="539"/>
      <c r="DE14" s="539"/>
      <c r="DF14" s="539"/>
      <c r="DG14" s="539"/>
      <c r="DH14" s="539"/>
      <c r="DI14" s="539"/>
      <c r="DJ14" s="539"/>
      <c r="DK14" s="539"/>
      <c r="DL14" s="539"/>
      <c r="DM14" s="539"/>
      <c r="DN14" s="539"/>
      <c r="DO14" s="539"/>
      <c r="DP14" s="539"/>
      <c r="DQ14" s="539"/>
      <c r="DR14" s="539"/>
      <c r="DS14" s="539"/>
      <c r="DT14" s="539"/>
      <c r="DU14" s="539"/>
      <c r="DV14" s="539"/>
      <c r="DW14" s="539"/>
      <c r="DX14" s="539"/>
      <c r="DY14" s="539"/>
      <c r="DZ14" s="539"/>
      <c r="EA14" s="539"/>
      <c r="EB14" s="539"/>
      <c r="EC14" s="539"/>
      <c r="ED14" s="539"/>
    </row>
    <row r="15" spans="1:134" ht="13.5" hidden="1" customHeight="1">
      <c r="A15" s="543"/>
      <c r="B15" s="4" t="e">
        <f>+#REF!</f>
        <v>#REF!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539"/>
      <c r="AR15" s="539"/>
      <c r="AS15" s="539"/>
      <c r="AT15" s="539"/>
      <c r="AU15" s="539"/>
      <c r="AV15" s="539"/>
      <c r="AW15" s="539"/>
      <c r="AX15" s="539"/>
      <c r="AY15" s="539"/>
      <c r="AZ15" s="539"/>
      <c r="BA15" s="539"/>
      <c r="BB15" s="539"/>
      <c r="BC15" s="539"/>
      <c r="BD15" s="539"/>
      <c r="BE15" s="539"/>
      <c r="BF15" s="539"/>
      <c r="BG15" s="539"/>
      <c r="BH15" s="539"/>
      <c r="BI15" s="539"/>
      <c r="BJ15" s="539"/>
      <c r="BK15" s="539"/>
      <c r="BL15" s="539"/>
      <c r="BM15" s="539"/>
      <c r="BN15" s="539"/>
      <c r="BO15" s="539"/>
      <c r="BP15" s="539"/>
      <c r="BQ15" s="539"/>
      <c r="BR15" s="539"/>
      <c r="BS15" s="539"/>
      <c r="BT15" s="539"/>
      <c r="BU15" s="539"/>
      <c r="BV15" s="539"/>
      <c r="BW15" s="539"/>
      <c r="BX15" s="539"/>
      <c r="BY15" s="539"/>
      <c r="BZ15" s="539"/>
      <c r="CA15" s="539"/>
      <c r="CB15" s="539"/>
      <c r="CC15" s="539"/>
      <c r="CD15" s="539"/>
      <c r="CE15" s="539"/>
      <c r="CF15" s="539"/>
      <c r="CG15" s="539"/>
      <c r="CH15" s="539"/>
      <c r="CI15" s="539"/>
      <c r="CJ15" s="539"/>
      <c r="CK15" s="539"/>
      <c r="CL15" s="539"/>
      <c r="CM15" s="539"/>
      <c r="CN15" s="539"/>
      <c r="CO15" s="539"/>
      <c r="CP15" s="539"/>
      <c r="CQ15" s="539"/>
      <c r="CR15" s="539"/>
      <c r="CS15" s="539"/>
      <c r="CT15" s="539"/>
      <c r="CU15" s="539"/>
      <c r="CV15" s="539"/>
      <c r="CW15" s="539"/>
      <c r="CX15" s="539"/>
      <c r="CY15" s="539"/>
      <c r="CZ15" s="539"/>
      <c r="DA15" s="539"/>
      <c r="DB15" s="539"/>
      <c r="DC15" s="539"/>
      <c r="DD15" s="539"/>
      <c r="DE15" s="539"/>
      <c r="DF15" s="539"/>
      <c r="DG15" s="539"/>
      <c r="DH15" s="539"/>
      <c r="DI15" s="539"/>
      <c r="DJ15" s="539"/>
      <c r="DK15" s="539"/>
      <c r="DL15" s="539"/>
      <c r="DM15" s="539"/>
      <c r="DN15" s="539"/>
      <c r="DO15" s="539"/>
      <c r="DP15" s="539"/>
      <c r="DQ15" s="539"/>
      <c r="DR15" s="539"/>
      <c r="DS15" s="539"/>
      <c r="DT15" s="539"/>
      <c r="DU15" s="539"/>
      <c r="DV15" s="539"/>
      <c r="DW15" s="539"/>
      <c r="DX15" s="539"/>
      <c r="DY15" s="539"/>
      <c r="DZ15" s="539"/>
      <c r="EA15" s="539"/>
      <c r="EB15" s="539"/>
      <c r="EC15" s="539"/>
      <c r="ED15" s="539"/>
    </row>
    <row r="16" spans="1:134" ht="13.5" hidden="1" customHeight="1">
      <c r="A16" s="543"/>
      <c r="B16" s="4" t="e">
        <f>+#REF!</f>
        <v>#REF!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539"/>
      <c r="AR16" s="539"/>
      <c r="AS16" s="539"/>
      <c r="AT16" s="539"/>
      <c r="AU16" s="539"/>
      <c r="AV16" s="539"/>
      <c r="AW16" s="539"/>
      <c r="AX16" s="539"/>
      <c r="AY16" s="539"/>
      <c r="AZ16" s="539"/>
      <c r="BA16" s="539"/>
      <c r="BB16" s="539"/>
      <c r="BC16" s="539"/>
      <c r="BD16" s="539"/>
      <c r="BE16" s="539"/>
      <c r="BF16" s="539"/>
      <c r="BG16" s="539"/>
      <c r="BH16" s="539"/>
      <c r="BI16" s="539"/>
      <c r="BJ16" s="539"/>
      <c r="BK16" s="539"/>
      <c r="BL16" s="539"/>
      <c r="BM16" s="539"/>
      <c r="BN16" s="539"/>
      <c r="BO16" s="539"/>
      <c r="BP16" s="539"/>
      <c r="BQ16" s="539"/>
      <c r="BR16" s="539"/>
      <c r="BS16" s="539"/>
      <c r="BT16" s="539"/>
      <c r="BU16" s="539"/>
      <c r="BV16" s="539"/>
      <c r="BW16" s="539"/>
      <c r="BX16" s="539"/>
      <c r="BY16" s="539"/>
      <c r="BZ16" s="539"/>
      <c r="CA16" s="539"/>
      <c r="CB16" s="539"/>
      <c r="CC16" s="539"/>
      <c r="CD16" s="539"/>
      <c r="CE16" s="539"/>
      <c r="CF16" s="539"/>
      <c r="CG16" s="539"/>
      <c r="CH16" s="539"/>
      <c r="CI16" s="539"/>
      <c r="CJ16" s="539"/>
      <c r="CK16" s="539"/>
      <c r="CL16" s="539"/>
      <c r="CM16" s="539"/>
      <c r="CN16" s="539"/>
      <c r="CO16" s="539"/>
      <c r="CP16" s="539"/>
      <c r="CQ16" s="539"/>
      <c r="CR16" s="539"/>
      <c r="CS16" s="539"/>
      <c r="CT16" s="539"/>
      <c r="CU16" s="539"/>
      <c r="CV16" s="539"/>
      <c r="CW16" s="539"/>
      <c r="CX16" s="539"/>
      <c r="CY16" s="539"/>
      <c r="CZ16" s="539"/>
      <c r="DA16" s="539"/>
      <c r="DB16" s="539"/>
      <c r="DC16" s="539"/>
      <c r="DD16" s="539"/>
      <c r="DE16" s="539"/>
      <c r="DF16" s="539"/>
      <c r="DG16" s="539"/>
      <c r="DH16" s="539"/>
      <c r="DI16" s="539"/>
      <c r="DJ16" s="539"/>
      <c r="DK16" s="539"/>
      <c r="DL16" s="539"/>
      <c r="DM16" s="539"/>
      <c r="DN16" s="539"/>
      <c r="DO16" s="539"/>
      <c r="DP16" s="539"/>
      <c r="DQ16" s="539"/>
      <c r="DR16" s="539"/>
      <c r="DS16" s="539"/>
      <c r="DT16" s="539"/>
      <c r="DU16" s="539"/>
      <c r="DV16" s="539"/>
      <c r="DW16" s="539"/>
      <c r="DX16" s="539"/>
      <c r="DY16" s="539"/>
      <c r="DZ16" s="539"/>
      <c r="EA16" s="539"/>
      <c r="EB16" s="539"/>
      <c r="EC16" s="539"/>
      <c r="ED16" s="539"/>
    </row>
    <row r="17" spans="1:134" ht="13.5" hidden="1" customHeight="1">
      <c r="A17" s="543"/>
      <c r="B17" s="4" t="e">
        <f>+#REF!</f>
        <v>#REF!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539"/>
      <c r="AR17" s="539"/>
      <c r="AS17" s="539"/>
      <c r="AT17" s="539"/>
      <c r="AU17" s="539"/>
      <c r="AV17" s="539"/>
      <c r="AW17" s="539"/>
      <c r="AX17" s="539"/>
      <c r="AY17" s="539"/>
      <c r="AZ17" s="539"/>
      <c r="BA17" s="539"/>
      <c r="BB17" s="539"/>
      <c r="BC17" s="539"/>
      <c r="BD17" s="539"/>
      <c r="BE17" s="539"/>
      <c r="BF17" s="539"/>
      <c r="BG17" s="539"/>
      <c r="BH17" s="539"/>
      <c r="BI17" s="539"/>
      <c r="BJ17" s="539"/>
      <c r="BK17" s="539"/>
      <c r="BL17" s="539"/>
      <c r="BM17" s="539"/>
      <c r="BN17" s="539"/>
      <c r="BO17" s="539"/>
      <c r="BP17" s="539"/>
      <c r="BQ17" s="539"/>
      <c r="BR17" s="539"/>
      <c r="BS17" s="539"/>
      <c r="BT17" s="539"/>
      <c r="BU17" s="539"/>
      <c r="BV17" s="539"/>
      <c r="BW17" s="539"/>
      <c r="BX17" s="539"/>
      <c r="BY17" s="539"/>
      <c r="BZ17" s="539"/>
      <c r="CA17" s="539"/>
      <c r="CB17" s="539"/>
      <c r="CC17" s="539"/>
      <c r="CD17" s="539"/>
      <c r="CE17" s="539"/>
      <c r="CF17" s="539"/>
      <c r="CG17" s="539"/>
      <c r="CH17" s="539"/>
      <c r="CI17" s="539"/>
      <c r="CJ17" s="539"/>
      <c r="CK17" s="539"/>
      <c r="CL17" s="539"/>
      <c r="CM17" s="539"/>
      <c r="CN17" s="539"/>
      <c r="CO17" s="539"/>
      <c r="CP17" s="539"/>
      <c r="CQ17" s="539"/>
      <c r="CR17" s="539"/>
      <c r="CS17" s="539"/>
      <c r="CT17" s="539"/>
      <c r="CU17" s="539"/>
      <c r="CV17" s="539"/>
      <c r="CW17" s="539"/>
      <c r="CX17" s="539"/>
      <c r="CY17" s="539"/>
      <c r="CZ17" s="539"/>
      <c r="DA17" s="539"/>
      <c r="DB17" s="539"/>
      <c r="DC17" s="539"/>
      <c r="DD17" s="539"/>
      <c r="DE17" s="539"/>
      <c r="DF17" s="539"/>
      <c r="DG17" s="539"/>
      <c r="DH17" s="539"/>
      <c r="DI17" s="539"/>
      <c r="DJ17" s="539"/>
      <c r="DK17" s="539"/>
      <c r="DL17" s="539"/>
      <c r="DM17" s="539"/>
      <c r="DN17" s="539"/>
      <c r="DO17" s="539"/>
      <c r="DP17" s="539"/>
      <c r="DQ17" s="539"/>
      <c r="DR17" s="539"/>
      <c r="DS17" s="539"/>
      <c r="DT17" s="539"/>
      <c r="DU17" s="539"/>
      <c r="DV17" s="539"/>
      <c r="DW17" s="539"/>
      <c r="DX17" s="539"/>
      <c r="DY17" s="539"/>
      <c r="DZ17" s="539"/>
      <c r="EA17" s="539"/>
      <c r="EB17" s="539"/>
      <c r="EC17" s="539"/>
      <c r="ED17" s="539"/>
    </row>
    <row r="18" spans="1:134" ht="13.5" hidden="1" customHeight="1">
      <c r="A18" s="543"/>
      <c r="B18" s="4" t="e">
        <f>+#REF!</f>
        <v>#REF!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539"/>
      <c r="AR18" s="539"/>
      <c r="AS18" s="539"/>
      <c r="AT18" s="539"/>
      <c r="AU18" s="539"/>
      <c r="AV18" s="539"/>
      <c r="AW18" s="539"/>
      <c r="AX18" s="539"/>
      <c r="AY18" s="539"/>
      <c r="AZ18" s="539"/>
      <c r="BA18" s="539"/>
      <c r="BB18" s="539"/>
      <c r="BC18" s="539"/>
      <c r="BD18" s="539"/>
      <c r="BE18" s="539"/>
      <c r="BF18" s="539"/>
      <c r="BG18" s="539"/>
      <c r="BH18" s="539"/>
      <c r="BI18" s="539"/>
      <c r="BJ18" s="539"/>
      <c r="BK18" s="539"/>
      <c r="BL18" s="539"/>
      <c r="BM18" s="539"/>
      <c r="BN18" s="539"/>
      <c r="BO18" s="539"/>
      <c r="BP18" s="539"/>
      <c r="BQ18" s="539"/>
      <c r="BR18" s="539"/>
      <c r="BS18" s="539"/>
      <c r="BT18" s="539"/>
      <c r="BU18" s="539"/>
      <c r="BV18" s="539"/>
      <c r="BW18" s="539"/>
      <c r="BX18" s="539"/>
      <c r="BY18" s="539"/>
      <c r="BZ18" s="539"/>
      <c r="CA18" s="539"/>
      <c r="CB18" s="539"/>
      <c r="CC18" s="539"/>
      <c r="CD18" s="539"/>
      <c r="CE18" s="539"/>
      <c r="CF18" s="539"/>
      <c r="CG18" s="539"/>
      <c r="CH18" s="539"/>
      <c r="CI18" s="539"/>
      <c r="CJ18" s="539"/>
      <c r="CK18" s="539"/>
      <c r="CL18" s="539"/>
      <c r="CM18" s="539"/>
      <c r="CN18" s="539"/>
      <c r="CO18" s="539"/>
      <c r="CP18" s="539"/>
      <c r="CQ18" s="539"/>
      <c r="CR18" s="539"/>
      <c r="CS18" s="539"/>
      <c r="CT18" s="539"/>
      <c r="CU18" s="539"/>
      <c r="CV18" s="539"/>
      <c r="CW18" s="539"/>
      <c r="CX18" s="539"/>
      <c r="CY18" s="539"/>
      <c r="CZ18" s="539"/>
      <c r="DA18" s="539"/>
      <c r="DB18" s="539"/>
      <c r="DC18" s="539"/>
      <c r="DD18" s="539"/>
      <c r="DE18" s="539"/>
      <c r="DF18" s="539"/>
      <c r="DG18" s="539"/>
      <c r="DH18" s="539"/>
      <c r="DI18" s="539"/>
      <c r="DJ18" s="539"/>
      <c r="DK18" s="539"/>
      <c r="DL18" s="539"/>
      <c r="DM18" s="539"/>
      <c r="DN18" s="539"/>
      <c r="DO18" s="539"/>
      <c r="DP18" s="539"/>
      <c r="DQ18" s="539"/>
      <c r="DR18" s="539"/>
      <c r="DS18" s="539"/>
      <c r="DT18" s="539"/>
      <c r="DU18" s="539"/>
      <c r="DV18" s="539"/>
      <c r="DW18" s="539"/>
      <c r="DX18" s="539"/>
      <c r="DY18" s="539"/>
      <c r="DZ18" s="539"/>
      <c r="EA18" s="539"/>
      <c r="EB18" s="539"/>
      <c r="EC18" s="539"/>
      <c r="ED18" s="539"/>
    </row>
    <row r="19" spans="1:134" ht="13.5" customHeight="1">
      <c r="A19" s="539"/>
      <c r="B19" s="3" t="e">
        <f>+#REF!</f>
        <v>#REF!</v>
      </c>
      <c r="C19" s="3">
        <v>5524.5093889999998</v>
      </c>
      <c r="D19" s="3">
        <v>207297.76340900001</v>
      </c>
      <c r="E19" s="3">
        <v>4434.7246869999999</v>
      </c>
      <c r="F19" s="3">
        <v>366041.15007799998</v>
      </c>
      <c r="G19" s="3">
        <v>775480.22509536566</v>
      </c>
      <c r="H19" s="3">
        <v>823925.26470680744</v>
      </c>
      <c r="I19" s="3">
        <v>870663.86248343554</v>
      </c>
      <c r="J19" s="3">
        <v>914153.37032630364</v>
      </c>
      <c r="K19" s="3">
        <v>959817.34965069895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539"/>
      <c r="AR19" s="539"/>
      <c r="AS19" s="539"/>
      <c r="AT19" s="539"/>
      <c r="AU19" s="539"/>
      <c r="AV19" s="539"/>
      <c r="AW19" s="539"/>
      <c r="AX19" s="539"/>
      <c r="AY19" s="539"/>
      <c r="AZ19" s="539"/>
      <c r="BA19" s="539"/>
      <c r="BB19" s="539"/>
      <c r="BC19" s="539"/>
      <c r="BD19" s="539"/>
      <c r="BE19" s="539"/>
      <c r="BF19" s="539"/>
      <c r="BG19" s="539"/>
      <c r="BH19" s="539"/>
      <c r="BI19" s="539"/>
      <c r="BJ19" s="539"/>
      <c r="BK19" s="539"/>
      <c r="BL19" s="539"/>
      <c r="BM19" s="539"/>
      <c r="BN19" s="539"/>
      <c r="BO19" s="539"/>
      <c r="BP19" s="539"/>
      <c r="BQ19" s="539"/>
      <c r="BR19" s="539"/>
      <c r="BS19" s="539"/>
      <c r="BT19" s="539"/>
      <c r="BU19" s="539"/>
      <c r="BV19" s="539"/>
      <c r="BW19" s="539"/>
      <c r="BX19" s="539"/>
      <c r="BY19" s="539"/>
      <c r="BZ19" s="539"/>
      <c r="CA19" s="539"/>
      <c r="CB19" s="539"/>
      <c r="CC19" s="539"/>
      <c r="CD19" s="539"/>
      <c r="CE19" s="539"/>
      <c r="CF19" s="539"/>
      <c r="CG19" s="539"/>
      <c r="CH19" s="539"/>
      <c r="CI19" s="539"/>
      <c r="CJ19" s="539"/>
      <c r="CK19" s="539"/>
      <c r="CL19" s="539"/>
      <c r="CM19" s="539"/>
      <c r="CN19" s="539"/>
      <c r="CO19" s="539"/>
      <c r="CP19" s="539"/>
      <c r="CQ19" s="539"/>
      <c r="CR19" s="539"/>
      <c r="CS19" s="539"/>
      <c r="CT19" s="539"/>
      <c r="CU19" s="539"/>
      <c r="CV19" s="539"/>
      <c r="CW19" s="539"/>
      <c r="CX19" s="539"/>
      <c r="CY19" s="539"/>
      <c r="CZ19" s="539"/>
      <c r="DA19" s="539"/>
      <c r="DB19" s="539"/>
      <c r="DC19" s="539"/>
      <c r="DD19" s="539"/>
      <c r="DE19" s="539"/>
      <c r="DF19" s="539"/>
      <c r="DG19" s="539"/>
      <c r="DH19" s="539"/>
      <c r="DI19" s="539"/>
      <c r="DJ19" s="539"/>
      <c r="DK19" s="539"/>
      <c r="DL19" s="539"/>
      <c r="DM19" s="539"/>
      <c r="DN19" s="539"/>
      <c r="DO19" s="539"/>
      <c r="DP19" s="539"/>
      <c r="DQ19" s="539"/>
      <c r="DR19" s="539"/>
      <c r="DS19" s="539"/>
      <c r="DT19" s="539"/>
      <c r="DU19" s="539"/>
      <c r="DV19" s="539"/>
      <c r="DW19" s="539"/>
      <c r="DX19" s="539"/>
      <c r="DY19" s="539"/>
      <c r="DZ19" s="539"/>
      <c r="EA19" s="539"/>
      <c r="EB19" s="539"/>
      <c r="EC19" s="539"/>
      <c r="ED19" s="539"/>
    </row>
    <row r="20" spans="1:134" ht="13.5" hidden="1" customHeight="1">
      <c r="A20" s="543"/>
      <c r="B20" s="5" t="e">
        <f>+#REF!</f>
        <v>#REF!</v>
      </c>
      <c r="C20" s="4">
        <f>IF(ISNUMBER(Historical!E106),Historical!E106, )</f>
        <v>80000</v>
      </c>
      <c r="D20" s="4">
        <f>IF(ISNUMBER(Historical!G106),Historical!G106, )</f>
        <v>81000</v>
      </c>
      <c r="E20" s="4">
        <f>IF(ISNUMBER(Historical!I106),Historical!I106, )</f>
        <v>82000</v>
      </c>
      <c r="F20" s="4">
        <f>IF(ISNUMBER(Projection!H7),IF(MONTH(Projection!H7)&lt;&gt;12,IF(ISNUMBER(Projection!L75),Projection!L75, ),IF(ISNUMBER(Historical!K106),Historical!K106, )), )</f>
        <v>95040</v>
      </c>
      <c r="G20" s="4">
        <f>IF(ISNUMBER(Projection!H7),IF(MONTH(Projection!$H$7)&lt;&gt;12,IF(ISNUMBER(Projection!N75),Projection!N75, ),IF(ISNUMBER(Projection!L75),Projection!L75, )), )</f>
        <v>113256</v>
      </c>
      <c r="H20" s="4">
        <f>IF(ISNUMBER(Projection!H7),IF(MONTH(Projection!$H$7)&lt;&gt;12,IF(ISNUMBER(Projection!P75),Projection!P75, ),IF(ISNUMBER(Projection!N75),Projection!N75, )), )</f>
        <v>124581.59999999999</v>
      </c>
      <c r="I20" s="4">
        <f>IF(ISNUMBER(Projection!$H$7),IF(MONTH(Projection!$H$7)&lt;&gt;12,IF(ISNUMBER(Projection!R75),Projection!R75, ),IF(ISNUMBER(Projection!P75),Projection!P75, )), )</f>
        <v>137039.76</v>
      </c>
      <c r="J20" s="4">
        <f>IF(ISNUMBER(Projection!H7),IF(MONTH(Projection!$H$7)&lt;&gt;12,IF(ISNUMBER(Projection!T75),Projection!T75, ),IF(ISNUMBER(Projection!R75),Projection!R75, )), )</f>
        <v>150743.736</v>
      </c>
      <c r="K20" s="4">
        <f>IF(ISNUMBER(Projection!H7),IF(MONTH(Projection!$H$7)&lt;&gt;12,IF(ISNUMBER(Projection!Z75),Projection!Z75, ),IF(ISNUMBER(Projection!T75),Projection!T75, )), )</f>
        <v>189937.10736000002</v>
      </c>
      <c r="L20" s="4">
        <f>IF(ISNUMBER(Projection!$H$7),IF(MONTH(Projection!$H$7)&lt;&gt;12,IF(ISNUMBER(Projection!AB75),Projection!AB75, ),IF(ISNUMBER(Projection!Z75),Projection!Z75, )), )</f>
        <v>189937.10736000002</v>
      </c>
      <c r="M20" s="4">
        <f>IF(ISNUMBER(Projection!$H$7),IF(MONTH(Projection!$H$7)&lt;&gt;12,IF(ISNUMBER(Projection!AD75),Projection!AD75, ),IF(ISNUMBER(Projection!AB75),Projection!AB75, )), )</f>
        <v>189937.10736000002</v>
      </c>
      <c r="N20" s="4">
        <f>IF(ISNUMBER(Projection!$H$7),IF(MONTH(Projection!$H$7)&lt;&gt;12,IF(ISNUMBER(Projection!AF75),Projection!AF75, ),IF(ISNUMBER(Projection!AD75),Projection!AD75, )), )</f>
        <v>189937.10736000002</v>
      </c>
      <c r="O20" s="4">
        <f>IF(ISNUMBER(Projection!$H$7),IF(MONTH(Projection!$H$7)&lt;&gt;12,IF(ISNUMBER(Projection!AH75),Projection!AH75, ),IF(ISNUMBER(Projection!AF75),Projection!AF75, )), )</f>
        <v>189937.10736000002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539"/>
      <c r="AR20" s="539"/>
      <c r="AS20" s="539"/>
      <c r="AT20" s="539"/>
      <c r="AU20" s="539"/>
      <c r="AV20" s="539"/>
      <c r="AW20" s="539"/>
      <c r="AX20" s="539"/>
      <c r="AY20" s="539"/>
      <c r="AZ20" s="539"/>
      <c r="BA20" s="539"/>
      <c r="BB20" s="539"/>
      <c r="BC20" s="539"/>
      <c r="BD20" s="539"/>
      <c r="BE20" s="539"/>
      <c r="BF20" s="539"/>
      <c r="BG20" s="539"/>
      <c r="BH20" s="539"/>
      <c r="BI20" s="539"/>
      <c r="BJ20" s="539"/>
      <c r="BK20" s="539"/>
      <c r="BL20" s="539"/>
      <c r="BM20" s="539"/>
      <c r="BN20" s="539"/>
      <c r="BO20" s="539"/>
      <c r="BP20" s="539"/>
      <c r="BQ20" s="539"/>
      <c r="BR20" s="539"/>
      <c r="BS20" s="539"/>
      <c r="BT20" s="539"/>
      <c r="BU20" s="539"/>
      <c r="BV20" s="539"/>
      <c r="BW20" s="539"/>
      <c r="BX20" s="539"/>
      <c r="BY20" s="539"/>
      <c r="BZ20" s="539"/>
      <c r="CA20" s="539"/>
      <c r="CB20" s="539"/>
      <c r="CC20" s="539"/>
      <c r="CD20" s="539"/>
      <c r="CE20" s="539"/>
      <c r="CF20" s="539"/>
      <c r="CG20" s="539"/>
      <c r="CH20" s="539"/>
      <c r="CI20" s="539"/>
      <c r="CJ20" s="539"/>
      <c r="CK20" s="539"/>
      <c r="CL20" s="539"/>
      <c r="CM20" s="539"/>
      <c r="CN20" s="539"/>
      <c r="CO20" s="539"/>
      <c r="CP20" s="539"/>
      <c r="CQ20" s="539"/>
      <c r="CR20" s="539"/>
      <c r="CS20" s="539"/>
      <c r="CT20" s="539"/>
      <c r="CU20" s="539"/>
      <c r="CV20" s="539"/>
      <c r="CW20" s="539"/>
      <c r="CX20" s="539"/>
      <c r="CY20" s="539"/>
      <c r="CZ20" s="539"/>
      <c r="DA20" s="539"/>
      <c r="DB20" s="539"/>
      <c r="DC20" s="539"/>
      <c r="DD20" s="539"/>
      <c r="DE20" s="539"/>
      <c r="DF20" s="539"/>
      <c r="DG20" s="539"/>
      <c r="DH20" s="539"/>
      <c r="DI20" s="539"/>
      <c r="DJ20" s="539"/>
      <c r="DK20" s="539"/>
      <c r="DL20" s="539"/>
      <c r="DM20" s="539"/>
      <c r="DN20" s="539"/>
      <c r="DO20" s="539"/>
      <c r="DP20" s="539"/>
      <c r="DQ20" s="539"/>
      <c r="DR20" s="539"/>
      <c r="DS20" s="539"/>
      <c r="DT20" s="539"/>
      <c r="DU20" s="539"/>
      <c r="DV20" s="539"/>
      <c r="DW20" s="539"/>
      <c r="DX20" s="539"/>
      <c r="DY20" s="539"/>
      <c r="DZ20" s="539"/>
      <c r="EA20" s="539"/>
      <c r="EB20" s="539"/>
      <c r="EC20" s="539"/>
      <c r="ED20" s="539"/>
    </row>
    <row r="21" spans="1:134" ht="13.5" hidden="1" customHeight="1">
      <c r="A21" s="543"/>
      <c r="B21" s="5" t="e">
        <f>+#REF!</f>
        <v>#REF!</v>
      </c>
      <c r="C21" s="4">
        <f>IF(ISNUMBER(Historical!E110),Historical!E110, )*Projection!$I$129</f>
        <v>0</v>
      </c>
      <c r="D21" s="4">
        <f>IF(ISNUMBER(Historical!G110),Historical!G110, )*Projection!$I$129</f>
        <v>0</v>
      </c>
      <c r="E21" s="4">
        <f>IF(ISNUMBER(Historical!I110),Historical!I110, )*Projection!$I$129</f>
        <v>0</v>
      </c>
      <c r="F21" s="4">
        <f>IF(ISNUMBER(Projection!H7),IF(MONTH(Projection!H7)&lt;&gt;12,IF(ISNUMBER(Projection!L79),Projection!L79, ),IF(ISNUMBER(Historical!K110),Historical!K110, )), )*Projection!$I$129</f>
        <v>0</v>
      </c>
      <c r="G21" s="4">
        <f>IF(ISNUMBER(Projection!$H$7),IF(MONTH(Projection!$H$7)&lt;&gt;12,IF(ISNUMBER(Projection!N137),Projection!N137, ),IF(ISNUMBER(Projection!L137),Projection!L137, )), )</f>
        <v>0</v>
      </c>
      <c r="H21" s="4">
        <f>IF(ISNUMBER(Projection!$H$7),IF(MONTH(Projection!$H$7)&lt;&gt;12,IF(ISNUMBER(Projection!P137),Projection!P137, ),IF(ISNUMBER(Projection!N137),Projection!N137, )), )</f>
        <v>0</v>
      </c>
      <c r="I21" s="4">
        <f>IF(ISNUMBER(Projection!$H$7),IF(MONTH(Projection!$H$7)&lt;&gt;12,IF(ISNUMBER(Projection!R137),Projection!R137, ),IF(ISNUMBER(Projection!P137),Projection!P137, )), )</f>
        <v>0</v>
      </c>
      <c r="J21" s="4">
        <f>IF(ISNUMBER(Projection!$H$7),IF(MONTH(Projection!$H$7)&lt;&gt;12,IF(ISNUMBER(Projection!T137),Projection!T137, ),IF(ISNUMBER(Projection!R137),Projection!R137, )), )</f>
        <v>0</v>
      </c>
      <c r="K21" s="4">
        <f>IF(ISNUMBER(Projection!$H$7),IF(MONTH(Projection!$H$7)&lt;&gt;12,IF(ISNUMBER(Projection!Z137),Projection!Z137, ),IF(ISNUMBER(Projection!T137),Projection!T137, )), )</f>
        <v>0</v>
      </c>
      <c r="L21" s="4">
        <f>IF(ISNUMBER(Projection!$H$7),IF(MONTH(Projection!$H$7)&lt;&gt;12,IF(ISNUMBER(Projection!AB137),Projection!AB137, ),IF(ISNUMBER(Projection!Z137),Projection!Z137, )), )</f>
        <v>0</v>
      </c>
      <c r="M21" s="4">
        <f>IF(ISNUMBER(Projection!$H$7),IF(MONTH(Projection!$H$7)&lt;&gt;12,IF(ISNUMBER(Projection!AD137),Projection!AD137, ),IF(ISNUMBER(Projection!AB137),Projection!AB137, )), )</f>
        <v>0</v>
      </c>
      <c r="N21" s="4">
        <f>IF(ISNUMBER(Projection!$H$7),IF(MONTH(Projection!$H$7)&lt;&gt;12,IF(ISNUMBER(Projection!AF137),Projection!AF137, ),IF(ISNUMBER(Projection!AD137),Projection!AD137, )), )</f>
        <v>0</v>
      </c>
      <c r="O21" s="4">
        <f>IF(ISNUMBER(Projection!$H$7),IF(MONTH(Projection!$H$7)&lt;&gt;12,IF(ISNUMBER(Projection!AH137),Projection!AH137, ),IF(ISNUMBER(Projection!AF137),Projection!AF137, )), )</f>
        <v>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539"/>
      <c r="AR21" s="539"/>
      <c r="AS21" s="539"/>
      <c r="AT21" s="539"/>
      <c r="AU21" s="539"/>
      <c r="AV21" s="539"/>
      <c r="AW21" s="539"/>
      <c r="AX21" s="539"/>
      <c r="AY21" s="539"/>
      <c r="AZ21" s="539"/>
      <c r="BA21" s="539"/>
      <c r="BB21" s="539"/>
      <c r="BC21" s="539"/>
      <c r="BD21" s="539"/>
      <c r="BE21" s="539"/>
      <c r="BF21" s="539"/>
      <c r="BG21" s="539"/>
      <c r="BH21" s="539"/>
      <c r="BI21" s="539"/>
      <c r="BJ21" s="539"/>
      <c r="BK21" s="539"/>
      <c r="BL21" s="539"/>
      <c r="BM21" s="539"/>
      <c r="BN21" s="539"/>
      <c r="BO21" s="539"/>
      <c r="BP21" s="539"/>
      <c r="BQ21" s="539"/>
      <c r="BR21" s="539"/>
      <c r="BS21" s="539"/>
      <c r="BT21" s="539"/>
      <c r="BU21" s="539"/>
      <c r="BV21" s="539"/>
      <c r="BW21" s="539"/>
      <c r="BX21" s="539"/>
      <c r="BY21" s="539"/>
      <c r="BZ21" s="539"/>
      <c r="CA21" s="539"/>
      <c r="CB21" s="539"/>
      <c r="CC21" s="539"/>
      <c r="CD21" s="539"/>
      <c r="CE21" s="539"/>
      <c r="CF21" s="539"/>
      <c r="CG21" s="539"/>
      <c r="CH21" s="539"/>
      <c r="CI21" s="539"/>
      <c r="CJ21" s="539"/>
      <c r="CK21" s="539"/>
      <c r="CL21" s="539"/>
      <c r="CM21" s="539"/>
      <c r="CN21" s="539"/>
      <c r="CO21" s="539"/>
      <c r="CP21" s="539"/>
      <c r="CQ21" s="539"/>
      <c r="CR21" s="539"/>
      <c r="CS21" s="539"/>
      <c r="CT21" s="539"/>
      <c r="CU21" s="539"/>
      <c r="CV21" s="539"/>
      <c r="CW21" s="539"/>
      <c r="CX21" s="539"/>
      <c r="CY21" s="539"/>
      <c r="CZ21" s="539"/>
      <c r="DA21" s="539"/>
      <c r="DB21" s="539"/>
      <c r="DC21" s="539"/>
      <c r="DD21" s="539"/>
      <c r="DE21" s="539"/>
      <c r="DF21" s="539"/>
      <c r="DG21" s="539"/>
      <c r="DH21" s="539"/>
      <c r="DI21" s="539"/>
      <c r="DJ21" s="539"/>
      <c r="DK21" s="539"/>
      <c r="DL21" s="539"/>
      <c r="DM21" s="539"/>
      <c r="DN21" s="539"/>
      <c r="DO21" s="539"/>
      <c r="DP21" s="539"/>
      <c r="DQ21" s="539"/>
      <c r="DR21" s="539"/>
      <c r="DS21" s="539"/>
      <c r="DT21" s="539"/>
      <c r="DU21" s="539"/>
      <c r="DV21" s="539"/>
      <c r="DW21" s="539"/>
      <c r="DX21" s="539"/>
      <c r="DY21" s="539"/>
      <c r="DZ21" s="539"/>
      <c r="EA21" s="539"/>
      <c r="EB21" s="539"/>
      <c r="EC21" s="539"/>
      <c r="ED21" s="539"/>
    </row>
    <row r="22" spans="1:134" ht="13.5" hidden="1" customHeight="1">
      <c r="A22" s="543"/>
      <c r="B22" s="5" t="e">
        <f>+#REF!</f>
        <v>#REF!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539"/>
      <c r="AR22" s="539"/>
      <c r="AS22" s="539"/>
      <c r="AT22" s="539"/>
      <c r="AU22" s="539"/>
      <c r="AV22" s="539"/>
      <c r="AW22" s="539"/>
      <c r="AX22" s="539"/>
      <c r="AY22" s="539"/>
      <c r="AZ22" s="539"/>
      <c r="BA22" s="539"/>
      <c r="BB22" s="539"/>
      <c r="BC22" s="539"/>
      <c r="BD22" s="539"/>
      <c r="BE22" s="539"/>
      <c r="BF22" s="539"/>
      <c r="BG22" s="539"/>
      <c r="BH22" s="539"/>
      <c r="BI22" s="539"/>
      <c r="BJ22" s="539"/>
      <c r="BK22" s="539"/>
      <c r="BL22" s="539"/>
      <c r="BM22" s="539"/>
      <c r="BN22" s="539"/>
      <c r="BO22" s="539"/>
      <c r="BP22" s="539"/>
      <c r="BQ22" s="539"/>
      <c r="BR22" s="539"/>
      <c r="BS22" s="539"/>
      <c r="BT22" s="539"/>
      <c r="BU22" s="539"/>
      <c r="BV22" s="539"/>
      <c r="BW22" s="539"/>
      <c r="BX22" s="539"/>
      <c r="BY22" s="539"/>
      <c r="BZ22" s="539"/>
      <c r="CA22" s="539"/>
      <c r="CB22" s="539"/>
      <c r="CC22" s="539"/>
      <c r="CD22" s="539"/>
      <c r="CE22" s="539"/>
      <c r="CF22" s="539"/>
      <c r="CG22" s="539"/>
      <c r="CH22" s="539"/>
      <c r="CI22" s="539"/>
      <c r="CJ22" s="539"/>
      <c r="CK22" s="539"/>
      <c r="CL22" s="539"/>
      <c r="CM22" s="539"/>
      <c r="CN22" s="539"/>
      <c r="CO22" s="539"/>
      <c r="CP22" s="539"/>
      <c r="CQ22" s="539"/>
      <c r="CR22" s="539"/>
      <c r="CS22" s="539"/>
      <c r="CT22" s="539"/>
      <c r="CU22" s="539"/>
      <c r="CV22" s="539"/>
      <c r="CW22" s="539"/>
      <c r="CX22" s="539"/>
      <c r="CY22" s="539"/>
      <c r="CZ22" s="539"/>
      <c r="DA22" s="539"/>
      <c r="DB22" s="539"/>
      <c r="DC22" s="539"/>
      <c r="DD22" s="539"/>
      <c r="DE22" s="539"/>
      <c r="DF22" s="539"/>
      <c r="DG22" s="539"/>
      <c r="DH22" s="539"/>
      <c r="DI22" s="539"/>
      <c r="DJ22" s="539"/>
      <c r="DK22" s="539"/>
      <c r="DL22" s="539"/>
      <c r="DM22" s="539"/>
      <c r="DN22" s="539"/>
      <c r="DO22" s="539"/>
      <c r="DP22" s="539"/>
      <c r="DQ22" s="539"/>
      <c r="DR22" s="539"/>
      <c r="DS22" s="539"/>
      <c r="DT22" s="539"/>
      <c r="DU22" s="539"/>
      <c r="DV22" s="539"/>
      <c r="DW22" s="539"/>
      <c r="DX22" s="539"/>
      <c r="DY22" s="539"/>
      <c r="DZ22" s="539"/>
      <c r="EA22" s="539"/>
      <c r="EB22" s="539"/>
      <c r="EC22" s="539"/>
      <c r="ED22" s="539"/>
    </row>
    <row r="23" spans="1:134" ht="13.5" hidden="1" customHeight="1">
      <c r="A23" s="543"/>
      <c r="B23" s="5" t="e">
        <f>+#REF!</f>
        <v>#REF!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539"/>
      <c r="AR23" s="539"/>
      <c r="AS23" s="539"/>
      <c r="AT23" s="539"/>
      <c r="AU23" s="539"/>
      <c r="AV23" s="539"/>
      <c r="AW23" s="539"/>
      <c r="AX23" s="539"/>
      <c r="AY23" s="539"/>
      <c r="AZ23" s="539"/>
      <c r="BA23" s="539"/>
      <c r="BB23" s="539"/>
      <c r="BC23" s="539"/>
      <c r="BD23" s="539"/>
      <c r="BE23" s="539"/>
      <c r="BF23" s="539"/>
      <c r="BG23" s="539"/>
      <c r="BH23" s="539"/>
      <c r="BI23" s="539"/>
      <c r="BJ23" s="539"/>
      <c r="BK23" s="539"/>
      <c r="BL23" s="539"/>
      <c r="BM23" s="539"/>
      <c r="BN23" s="539"/>
      <c r="BO23" s="539"/>
      <c r="BP23" s="539"/>
      <c r="BQ23" s="539"/>
      <c r="BR23" s="539"/>
      <c r="BS23" s="539"/>
      <c r="BT23" s="539"/>
      <c r="BU23" s="539"/>
      <c r="BV23" s="539"/>
      <c r="BW23" s="539"/>
      <c r="BX23" s="539"/>
      <c r="BY23" s="539"/>
      <c r="BZ23" s="539"/>
      <c r="CA23" s="539"/>
      <c r="CB23" s="539"/>
      <c r="CC23" s="539"/>
      <c r="CD23" s="539"/>
      <c r="CE23" s="539"/>
      <c r="CF23" s="539"/>
      <c r="CG23" s="539"/>
      <c r="CH23" s="539"/>
      <c r="CI23" s="539"/>
      <c r="CJ23" s="539"/>
      <c r="CK23" s="539"/>
      <c r="CL23" s="539"/>
      <c r="CM23" s="539"/>
      <c r="CN23" s="539"/>
      <c r="CO23" s="539"/>
      <c r="CP23" s="539"/>
      <c r="CQ23" s="539"/>
      <c r="CR23" s="539"/>
      <c r="CS23" s="539"/>
      <c r="CT23" s="539"/>
      <c r="CU23" s="539"/>
      <c r="CV23" s="539"/>
      <c r="CW23" s="539"/>
      <c r="CX23" s="539"/>
      <c r="CY23" s="539"/>
      <c r="CZ23" s="539"/>
      <c r="DA23" s="539"/>
      <c r="DB23" s="539"/>
      <c r="DC23" s="539"/>
      <c r="DD23" s="539"/>
      <c r="DE23" s="539"/>
      <c r="DF23" s="539"/>
      <c r="DG23" s="539"/>
      <c r="DH23" s="539"/>
      <c r="DI23" s="539"/>
      <c r="DJ23" s="539"/>
      <c r="DK23" s="539"/>
      <c r="DL23" s="539"/>
      <c r="DM23" s="539"/>
      <c r="DN23" s="539"/>
      <c r="DO23" s="539"/>
      <c r="DP23" s="539"/>
      <c r="DQ23" s="539"/>
      <c r="DR23" s="539"/>
      <c r="DS23" s="539"/>
      <c r="DT23" s="539"/>
      <c r="DU23" s="539"/>
      <c r="DV23" s="539"/>
      <c r="DW23" s="539"/>
      <c r="DX23" s="539"/>
      <c r="DY23" s="539"/>
      <c r="DZ23" s="539"/>
      <c r="EA23" s="539"/>
      <c r="EB23" s="539"/>
      <c r="EC23" s="539"/>
      <c r="ED23" s="539"/>
    </row>
    <row r="24" spans="1:134" ht="13.5" hidden="1" customHeight="1">
      <c r="A24" s="543"/>
      <c r="B24" s="5" t="e">
        <f>+#REF!</f>
        <v>#REF!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539"/>
      <c r="AR24" s="539"/>
      <c r="AS24" s="539"/>
      <c r="AT24" s="539"/>
      <c r="AU24" s="539"/>
      <c r="AV24" s="539"/>
      <c r="AW24" s="539"/>
      <c r="AX24" s="539"/>
      <c r="AY24" s="539"/>
      <c r="AZ24" s="539"/>
      <c r="BA24" s="539"/>
      <c r="BB24" s="539"/>
      <c r="BC24" s="539"/>
      <c r="BD24" s="539"/>
      <c r="BE24" s="539"/>
      <c r="BF24" s="539"/>
      <c r="BG24" s="539"/>
      <c r="BH24" s="539"/>
      <c r="BI24" s="539"/>
      <c r="BJ24" s="539"/>
      <c r="BK24" s="539"/>
      <c r="BL24" s="539"/>
      <c r="BM24" s="539"/>
      <c r="BN24" s="539"/>
      <c r="BO24" s="539"/>
      <c r="BP24" s="539"/>
      <c r="BQ24" s="539"/>
      <c r="BR24" s="539"/>
      <c r="BS24" s="539"/>
      <c r="BT24" s="539"/>
      <c r="BU24" s="539"/>
      <c r="BV24" s="539"/>
      <c r="BW24" s="539"/>
      <c r="BX24" s="539"/>
      <c r="BY24" s="539"/>
      <c r="BZ24" s="539"/>
      <c r="CA24" s="539"/>
      <c r="CB24" s="539"/>
      <c r="CC24" s="539"/>
      <c r="CD24" s="539"/>
      <c r="CE24" s="539"/>
      <c r="CF24" s="539"/>
      <c r="CG24" s="539"/>
      <c r="CH24" s="539"/>
      <c r="CI24" s="539"/>
      <c r="CJ24" s="539"/>
      <c r="CK24" s="539"/>
      <c r="CL24" s="539"/>
      <c r="CM24" s="539"/>
      <c r="CN24" s="539"/>
      <c r="CO24" s="539"/>
      <c r="CP24" s="539"/>
      <c r="CQ24" s="539"/>
      <c r="CR24" s="539"/>
      <c r="CS24" s="539"/>
      <c r="CT24" s="539"/>
      <c r="CU24" s="539"/>
      <c r="CV24" s="539"/>
      <c r="CW24" s="539"/>
      <c r="CX24" s="539"/>
      <c r="CY24" s="539"/>
      <c r="CZ24" s="539"/>
      <c r="DA24" s="539"/>
      <c r="DB24" s="539"/>
      <c r="DC24" s="539"/>
      <c r="DD24" s="539"/>
      <c r="DE24" s="539"/>
      <c r="DF24" s="539"/>
      <c r="DG24" s="539"/>
      <c r="DH24" s="539"/>
      <c r="DI24" s="539"/>
      <c r="DJ24" s="539"/>
      <c r="DK24" s="539"/>
      <c r="DL24" s="539"/>
      <c r="DM24" s="539"/>
      <c r="DN24" s="539"/>
      <c r="DO24" s="539"/>
      <c r="DP24" s="539"/>
      <c r="DQ24" s="539"/>
      <c r="DR24" s="539"/>
      <c r="DS24" s="539"/>
      <c r="DT24" s="539"/>
      <c r="DU24" s="539"/>
      <c r="DV24" s="539"/>
      <c r="DW24" s="539"/>
      <c r="DX24" s="539"/>
      <c r="DY24" s="539"/>
      <c r="DZ24" s="539"/>
      <c r="EA24" s="539"/>
      <c r="EB24" s="539"/>
      <c r="EC24" s="539"/>
      <c r="ED24" s="539"/>
    </row>
    <row r="25" spans="1:134" ht="13.5" hidden="1" customHeight="1">
      <c r="A25" s="543"/>
      <c r="B25" s="5" t="e">
        <f>+#REF!</f>
        <v>#REF!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539"/>
      <c r="AR25" s="539"/>
      <c r="AS25" s="539"/>
      <c r="AT25" s="539"/>
      <c r="AU25" s="539"/>
      <c r="AV25" s="539"/>
      <c r="AW25" s="539"/>
      <c r="AX25" s="539"/>
      <c r="AY25" s="539"/>
      <c r="AZ25" s="539"/>
      <c r="BA25" s="539"/>
      <c r="BB25" s="539"/>
      <c r="BC25" s="539"/>
      <c r="BD25" s="539"/>
      <c r="BE25" s="539"/>
      <c r="BF25" s="539"/>
      <c r="BG25" s="539"/>
      <c r="BH25" s="539"/>
      <c r="BI25" s="539"/>
      <c r="BJ25" s="539"/>
      <c r="BK25" s="539"/>
      <c r="BL25" s="539"/>
      <c r="BM25" s="539"/>
      <c r="BN25" s="539"/>
      <c r="BO25" s="539"/>
      <c r="BP25" s="539"/>
      <c r="BQ25" s="539"/>
      <c r="BR25" s="539"/>
      <c r="BS25" s="539"/>
      <c r="BT25" s="539"/>
      <c r="BU25" s="539"/>
      <c r="BV25" s="539"/>
      <c r="BW25" s="539"/>
      <c r="BX25" s="539"/>
      <c r="BY25" s="539"/>
      <c r="BZ25" s="539"/>
      <c r="CA25" s="539"/>
      <c r="CB25" s="539"/>
      <c r="CC25" s="539"/>
      <c r="CD25" s="539"/>
      <c r="CE25" s="539"/>
      <c r="CF25" s="539"/>
      <c r="CG25" s="539"/>
      <c r="CH25" s="539"/>
      <c r="CI25" s="539"/>
      <c r="CJ25" s="539"/>
      <c r="CK25" s="539"/>
      <c r="CL25" s="539"/>
      <c r="CM25" s="539"/>
      <c r="CN25" s="539"/>
      <c r="CO25" s="539"/>
      <c r="CP25" s="539"/>
      <c r="CQ25" s="539"/>
      <c r="CR25" s="539"/>
      <c r="CS25" s="539"/>
      <c r="CT25" s="539"/>
      <c r="CU25" s="539"/>
      <c r="CV25" s="539"/>
      <c r="CW25" s="539"/>
      <c r="CX25" s="539"/>
      <c r="CY25" s="539"/>
      <c r="CZ25" s="539"/>
      <c r="DA25" s="539"/>
      <c r="DB25" s="539"/>
      <c r="DC25" s="539"/>
      <c r="DD25" s="539"/>
      <c r="DE25" s="539"/>
      <c r="DF25" s="539"/>
      <c r="DG25" s="539"/>
      <c r="DH25" s="539"/>
      <c r="DI25" s="539"/>
      <c r="DJ25" s="539"/>
      <c r="DK25" s="539"/>
      <c r="DL25" s="539"/>
      <c r="DM25" s="539"/>
      <c r="DN25" s="539"/>
      <c r="DO25" s="539"/>
      <c r="DP25" s="539"/>
      <c r="DQ25" s="539"/>
      <c r="DR25" s="539"/>
      <c r="DS25" s="539"/>
      <c r="DT25" s="539"/>
      <c r="DU25" s="539"/>
      <c r="DV25" s="539"/>
      <c r="DW25" s="539"/>
      <c r="DX25" s="539"/>
      <c r="DY25" s="539"/>
      <c r="DZ25" s="539"/>
      <c r="EA25" s="539"/>
      <c r="EB25" s="539"/>
      <c r="EC25" s="539"/>
      <c r="ED25" s="539"/>
    </row>
    <row r="26" spans="1:134" ht="13.5" hidden="1" customHeight="1">
      <c r="A26" s="543">
        <v>0</v>
      </c>
      <c r="B26" s="5" t="e">
        <f>+#REF!</f>
        <v>#REF!</v>
      </c>
      <c r="C26" s="544"/>
      <c r="D26" s="544"/>
      <c r="E26" s="544"/>
      <c r="F26" s="544"/>
      <c r="G26" s="544"/>
      <c r="H26" s="544"/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  <c r="AC26" s="544"/>
      <c r="AD26" s="544"/>
      <c r="AE26" s="544"/>
      <c r="AF26" s="544"/>
      <c r="AG26" s="544"/>
      <c r="AH26" s="544"/>
      <c r="AI26" s="544"/>
      <c r="AJ26" s="544"/>
      <c r="AK26" s="544"/>
      <c r="AL26" s="544"/>
      <c r="AM26" s="544"/>
      <c r="AN26" s="544"/>
      <c r="AO26" s="544"/>
      <c r="AP26" s="544"/>
      <c r="AQ26" s="539"/>
      <c r="AR26" s="539"/>
      <c r="AS26" s="539"/>
      <c r="AT26" s="539"/>
      <c r="AU26" s="539"/>
      <c r="AV26" s="539"/>
      <c r="AW26" s="539"/>
      <c r="AX26" s="539"/>
      <c r="AY26" s="539"/>
      <c r="AZ26" s="539"/>
      <c r="BA26" s="539"/>
      <c r="BB26" s="539"/>
      <c r="BC26" s="539"/>
      <c r="BD26" s="539"/>
      <c r="BE26" s="539"/>
      <c r="BF26" s="539"/>
      <c r="BG26" s="539"/>
      <c r="BH26" s="539"/>
      <c r="BI26" s="539"/>
      <c r="BJ26" s="539"/>
      <c r="BK26" s="539"/>
      <c r="BL26" s="539"/>
      <c r="BM26" s="539"/>
      <c r="BN26" s="539"/>
      <c r="BO26" s="539"/>
      <c r="BP26" s="539"/>
      <c r="BQ26" s="539"/>
      <c r="BR26" s="539"/>
      <c r="BS26" s="539"/>
      <c r="BT26" s="539"/>
      <c r="BU26" s="539"/>
      <c r="BV26" s="539"/>
      <c r="BW26" s="539"/>
      <c r="BX26" s="539"/>
      <c r="BY26" s="539"/>
      <c r="BZ26" s="539"/>
      <c r="CA26" s="539"/>
      <c r="CB26" s="539"/>
      <c r="CC26" s="539"/>
      <c r="CD26" s="539"/>
      <c r="CE26" s="539"/>
      <c r="CF26" s="539"/>
      <c r="CG26" s="539"/>
      <c r="CH26" s="539"/>
      <c r="CI26" s="539"/>
      <c r="CJ26" s="539"/>
      <c r="CK26" s="539"/>
      <c r="CL26" s="539"/>
      <c r="CM26" s="539"/>
      <c r="CN26" s="539"/>
      <c r="CO26" s="539"/>
      <c r="CP26" s="539"/>
      <c r="CQ26" s="539"/>
      <c r="CR26" s="539"/>
      <c r="CS26" s="539"/>
      <c r="CT26" s="539"/>
      <c r="CU26" s="539"/>
      <c r="CV26" s="539"/>
      <c r="CW26" s="539"/>
      <c r="CX26" s="539"/>
      <c r="CY26" s="539"/>
      <c r="CZ26" s="539"/>
      <c r="DA26" s="539"/>
      <c r="DB26" s="539"/>
      <c r="DC26" s="539"/>
      <c r="DD26" s="539"/>
      <c r="DE26" s="539"/>
      <c r="DF26" s="539"/>
      <c r="DG26" s="539"/>
      <c r="DH26" s="539"/>
      <c r="DI26" s="539"/>
      <c r="DJ26" s="539"/>
      <c r="DK26" s="539"/>
      <c r="DL26" s="539"/>
      <c r="DM26" s="539"/>
      <c r="DN26" s="539"/>
      <c r="DO26" s="539"/>
      <c r="DP26" s="539"/>
      <c r="DQ26" s="539"/>
      <c r="DR26" s="539"/>
      <c r="DS26" s="539"/>
      <c r="DT26" s="539"/>
      <c r="DU26" s="539"/>
      <c r="DV26" s="539"/>
      <c r="DW26" s="539"/>
      <c r="DX26" s="539"/>
      <c r="DY26" s="539"/>
      <c r="DZ26" s="539"/>
      <c r="EA26" s="539"/>
      <c r="EB26" s="539"/>
      <c r="EC26" s="539"/>
      <c r="ED26" s="539"/>
    </row>
    <row r="27" spans="1:134" ht="13.5" hidden="1" customHeight="1">
      <c r="A27" s="543"/>
      <c r="B27" s="5" t="e">
        <f>+#REF!</f>
        <v>#REF!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539"/>
      <c r="AR27" s="539"/>
      <c r="AS27" s="539"/>
      <c r="AT27" s="539"/>
      <c r="AU27" s="539"/>
      <c r="AV27" s="539"/>
      <c r="AW27" s="539"/>
      <c r="AX27" s="539"/>
      <c r="AY27" s="539"/>
      <c r="AZ27" s="539"/>
      <c r="BA27" s="539"/>
      <c r="BB27" s="539"/>
      <c r="BC27" s="539"/>
      <c r="BD27" s="539"/>
      <c r="BE27" s="539"/>
      <c r="BF27" s="539"/>
      <c r="BG27" s="539"/>
      <c r="BH27" s="539"/>
      <c r="BI27" s="539"/>
      <c r="BJ27" s="539"/>
      <c r="BK27" s="539"/>
      <c r="BL27" s="539"/>
      <c r="BM27" s="539"/>
      <c r="BN27" s="539"/>
      <c r="BO27" s="539"/>
      <c r="BP27" s="539"/>
      <c r="BQ27" s="539"/>
      <c r="BR27" s="539"/>
      <c r="BS27" s="539"/>
      <c r="BT27" s="539"/>
      <c r="BU27" s="539"/>
      <c r="BV27" s="539"/>
      <c r="BW27" s="539"/>
      <c r="BX27" s="539"/>
      <c r="BY27" s="539"/>
      <c r="BZ27" s="539"/>
      <c r="CA27" s="539"/>
      <c r="CB27" s="539"/>
      <c r="CC27" s="539"/>
      <c r="CD27" s="539"/>
      <c r="CE27" s="539"/>
      <c r="CF27" s="539"/>
      <c r="CG27" s="539"/>
      <c r="CH27" s="539"/>
      <c r="CI27" s="539"/>
      <c r="CJ27" s="539"/>
      <c r="CK27" s="539"/>
      <c r="CL27" s="539"/>
      <c r="CM27" s="539"/>
      <c r="CN27" s="539"/>
      <c r="CO27" s="539"/>
      <c r="CP27" s="539"/>
      <c r="CQ27" s="539"/>
      <c r="CR27" s="539"/>
      <c r="CS27" s="539"/>
      <c r="CT27" s="539"/>
      <c r="CU27" s="539"/>
      <c r="CV27" s="539"/>
      <c r="CW27" s="539"/>
      <c r="CX27" s="539"/>
      <c r="CY27" s="539"/>
      <c r="CZ27" s="539"/>
      <c r="DA27" s="539"/>
      <c r="DB27" s="539"/>
      <c r="DC27" s="539"/>
      <c r="DD27" s="539"/>
      <c r="DE27" s="539"/>
      <c r="DF27" s="539"/>
      <c r="DG27" s="539"/>
      <c r="DH27" s="539"/>
      <c r="DI27" s="539"/>
      <c r="DJ27" s="539"/>
      <c r="DK27" s="539"/>
      <c r="DL27" s="539"/>
      <c r="DM27" s="539"/>
      <c r="DN27" s="539"/>
      <c r="DO27" s="539"/>
      <c r="DP27" s="539"/>
      <c r="DQ27" s="539"/>
      <c r="DR27" s="539"/>
      <c r="DS27" s="539"/>
      <c r="DT27" s="539"/>
      <c r="DU27" s="539"/>
      <c r="DV27" s="539"/>
      <c r="DW27" s="539"/>
      <c r="DX27" s="539"/>
      <c r="DY27" s="539"/>
      <c r="DZ27" s="539"/>
      <c r="EA27" s="539"/>
      <c r="EB27" s="539"/>
      <c r="EC27" s="539"/>
      <c r="ED27" s="539"/>
    </row>
    <row r="28" spans="1:134" ht="13.5" hidden="1" customHeight="1">
      <c r="A28" s="543"/>
      <c r="B28" s="5" t="e">
        <f>+#REF!</f>
        <v>#REF!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539"/>
      <c r="AR28" s="539"/>
      <c r="AS28" s="539"/>
      <c r="AT28" s="539"/>
      <c r="AU28" s="539"/>
      <c r="AV28" s="539"/>
      <c r="AW28" s="539"/>
      <c r="AX28" s="539"/>
      <c r="AY28" s="539"/>
      <c r="AZ28" s="539"/>
      <c r="BA28" s="539"/>
      <c r="BB28" s="539"/>
      <c r="BC28" s="539"/>
      <c r="BD28" s="539"/>
      <c r="BE28" s="539"/>
      <c r="BF28" s="539"/>
      <c r="BG28" s="539"/>
      <c r="BH28" s="539"/>
      <c r="BI28" s="539"/>
      <c r="BJ28" s="539"/>
      <c r="BK28" s="539"/>
      <c r="BL28" s="539"/>
      <c r="BM28" s="539"/>
      <c r="BN28" s="539"/>
      <c r="BO28" s="539"/>
      <c r="BP28" s="539"/>
      <c r="BQ28" s="539"/>
      <c r="BR28" s="539"/>
      <c r="BS28" s="539"/>
      <c r="BT28" s="539"/>
      <c r="BU28" s="539"/>
      <c r="BV28" s="539"/>
      <c r="BW28" s="539"/>
      <c r="BX28" s="539"/>
      <c r="BY28" s="539"/>
      <c r="BZ28" s="539"/>
      <c r="CA28" s="539"/>
      <c r="CB28" s="539"/>
      <c r="CC28" s="539"/>
      <c r="CD28" s="539"/>
      <c r="CE28" s="539"/>
      <c r="CF28" s="539"/>
      <c r="CG28" s="539"/>
      <c r="CH28" s="539"/>
      <c r="CI28" s="539"/>
      <c r="CJ28" s="539"/>
      <c r="CK28" s="539"/>
      <c r="CL28" s="539"/>
      <c r="CM28" s="539"/>
      <c r="CN28" s="539"/>
      <c r="CO28" s="539"/>
      <c r="CP28" s="539"/>
      <c r="CQ28" s="539"/>
      <c r="CR28" s="539"/>
      <c r="CS28" s="539"/>
      <c r="CT28" s="539"/>
      <c r="CU28" s="539"/>
      <c r="CV28" s="539"/>
      <c r="CW28" s="539"/>
      <c r="CX28" s="539"/>
      <c r="CY28" s="539"/>
      <c r="CZ28" s="539"/>
      <c r="DA28" s="539"/>
      <c r="DB28" s="539"/>
      <c r="DC28" s="539"/>
      <c r="DD28" s="539"/>
      <c r="DE28" s="539"/>
      <c r="DF28" s="539"/>
      <c r="DG28" s="539"/>
      <c r="DH28" s="539"/>
      <c r="DI28" s="539"/>
      <c r="DJ28" s="539"/>
      <c r="DK28" s="539"/>
      <c r="DL28" s="539"/>
      <c r="DM28" s="539"/>
      <c r="DN28" s="539"/>
      <c r="DO28" s="539"/>
      <c r="DP28" s="539"/>
      <c r="DQ28" s="539"/>
      <c r="DR28" s="539"/>
      <c r="DS28" s="539"/>
      <c r="DT28" s="539"/>
      <c r="DU28" s="539"/>
      <c r="DV28" s="539"/>
      <c r="DW28" s="539"/>
      <c r="DX28" s="539"/>
      <c r="DY28" s="539"/>
      <c r="DZ28" s="539"/>
      <c r="EA28" s="539"/>
      <c r="EB28" s="539"/>
      <c r="EC28" s="539"/>
      <c r="ED28" s="539"/>
    </row>
    <row r="29" spans="1:134" ht="13.5" hidden="1" customHeight="1">
      <c r="A29" s="543"/>
      <c r="B29" s="5" t="e">
        <f>+#REF!</f>
        <v>#REF!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539"/>
      <c r="AR29" s="539"/>
      <c r="AS29" s="539"/>
      <c r="AT29" s="539"/>
      <c r="AU29" s="539"/>
      <c r="AV29" s="539"/>
      <c r="AW29" s="539"/>
      <c r="AX29" s="539"/>
      <c r="AY29" s="539"/>
      <c r="AZ29" s="539"/>
      <c r="BA29" s="539"/>
      <c r="BB29" s="539"/>
      <c r="BC29" s="539"/>
      <c r="BD29" s="539"/>
      <c r="BE29" s="539"/>
      <c r="BF29" s="539"/>
      <c r="BG29" s="539"/>
      <c r="BH29" s="539"/>
      <c r="BI29" s="539"/>
      <c r="BJ29" s="539"/>
      <c r="BK29" s="539"/>
      <c r="BL29" s="539"/>
      <c r="BM29" s="539"/>
      <c r="BN29" s="539"/>
      <c r="BO29" s="539"/>
      <c r="BP29" s="539"/>
      <c r="BQ29" s="539"/>
      <c r="BR29" s="539"/>
      <c r="BS29" s="539"/>
      <c r="BT29" s="539"/>
      <c r="BU29" s="539"/>
      <c r="BV29" s="539"/>
      <c r="BW29" s="539"/>
      <c r="BX29" s="539"/>
      <c r="BY29" s="539"/>
      <c r="BZ29" s="539"/>
      <c r="CA29" s="539"/>
      <c r="CB29" s="539"/>
      <c r="CC29" s="539"/>
      <c r="CD29" s="539"/>
      <c r="CE29" s="539"/>
      <c r="CF29" s="539"/>
      <c r="CG29" s="539"/>
      <c r="CH29" s="539"/>
      <c r="CI29" s="539"/>
      <c r="CJ29" s="539"/>
      <c r="CK29" s="539"/>
      <c r="CL29" s="539"/>
      <c r="CM29" s="539"/>
      <c r="CN29" s="539"/>
      <c r="CO29" s="539"/>
      <c r="CP29" s="539"/>
      <c r="CQ29" s="539"/>
      <c r="CR29" s="539"/>
      <c r="CS29" s="539"/>
      <c r="CT29" s="539"/>
      <c r="CU29" s="539"/>
      <c r="CV29" s="539"/>
      <c r="CW29" s="539"/>
      <c r="CX29" s="539"/>
      <c r="CY29" s="539"/>
      <c r="CZ29" s="539"/>
      <c r="DA29" s="539"/>
      <c r="DB29" s="539"/>
      <c r="DC29" s="539"/>
      <c r="DD29" s="539"/>
      <c r="DE29" s="539"/>
      <c r="DF29" s="539"/>
      <c r="DG29" s="539"/>
      <c r="DH29" s="539"/>
      <c r="DI29" s="539"/>
      <c r="DJ29" s="539"/>
      <c r="DK29" s="539"/>
      <c r="DL29" s="539"/>
      <c r="DM29" s="539"/>
      <c r="DN29" s="539"/>
      <c r="DO29" s="539"/>
      <c r="DP29" s="539"/>
      <c r="DQ29" s="539"/>
      <c r="DR29" s="539"/>
      <c r="DS29" s="539"/>
      <c r="DT29" s="539"/>
      <c r="DU29" s="539"/>
      <c r="DV29" s="539"/>
      <c r="DW29" s="539"/>
      <c r="DX29" s="539"/>
      <c r="DY29" s="539"/>
      <c r="DZ29" s="539"/>
      <c r="EA29" s="539"/>
      <c r="EB29" s="539"/>
      <c r="EC29" s="539"/>
      <c r="ED29" s="539"/>
    </row>
    <row r="30" spans="1:134" ht="13.5" hidden="1" customHeight="1">
      <c r="A30" s="543"/>
      <c r="B30" s="5" t="e">
        <f>+#REF!</f>
        <v>#REF!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539"/>
      <c r="AR30" s="539"/>
      <c r="AS30" s="539"/>
      <c r="AT30" s="539"/>
      <c r="AU30" s="539"/>
      <c r="AV30" s="539"/>
      <c r="AW30" s="539"/>
      <c r="AX30" s="539"/>
      <c r="AY30" s="539"/>
      <c r="AZ30" s="539"/>
      <c r="BA30" s="539"/>
      <c r="BB30" s="539"/>
      <c r="BC30" s="539"/>
      <c r="BD30" s="539"/>
      <c r="BE30" s="539"/>
      <c r="BF30" s="539"/>
      <c r="BG30" s="539"/>
      <c r="BH30" s="539"/>
      <c r="BI30" s="539"/>
      <c r="BJ30" s="539"/>
      <c r="BK30" s="539"/>
      <c r="BL30" s="539"/>
      <c r="BM30" s="539"/>
      <c r="BN30" s="539"/>
      <c r="BO30" s="539"/>
      <c r="BP30" s="539"/>
      <c r="BQ30" s="539"/>
      <c r="BR30" s="539"/>
      <c r="BS30" s="539"/>
      <c r="BT30" s="539"/>
      <c r="BU30" s="539"/>
      <c r="BV30" s="539"/>
      <c r="BW30" s="539"/>
      <c r="BX30" s="539"/>
      <c r="BY30" s="539"/>
      <c r="BZ30" s="539"/>
      <c r="CA30" s="539"/>
      <c r="CB30" s="539"/>
      <c r="CC30" s="539"/>
      <c r="CD30" s="539"/>
      <c r="CE30" s="539"/>
      <c r="CF30" s="539"/>
      <c r="CG30" s="539"/>
      <c r="CH30" s="539"/>
      <c r="CI30" s="539"/>
      <c r="CJ30" s="539"/>
      <c r="CK30" s="539"/>
      <c r="CL30" s="539"/>
      <c r="CM30" s="539"/>
      <c r="CN30" s="539"/>
      <c r="CO30" s="539"/>
      <c r="CP30" s="539"/>
      <c r="CQ30" s="539"/>
      <c r="CR30" s="539"/>
      <c r="CS30" s="539"/>
      <c r="CT30" s="539"/>
      <c r="CU30" s="539"/>
      <c r="CV30" s="539"/>
      <c r="CW30" s="539"/>
      <c r="CX30" s="539"/>
      <c r="CY30" s="539"/>
      <c r="CZ30" s="539"/>
      <c r="DA30" s="539"/>
      <c r="DB30" s="539"/>
      <c r="DC30" s="539"/>
      <c r="DD30" s="539"/>
      <c r="DE30" s="539"/>
      <c r="DF30" s="539"/>
      <c r="DG30" s="539"/>
      <c r="DH30" s="539"/>
      <c r="DI30" s="539"/>
      <c r="DJ30" s="539"/>
      <c r="DK30" s="539"/>
      <c r="DL30" s="539"/>
      <c r="DM30" s="539"/>
      <c r="DN30" s="539"/>
      <c r="DO30" s="539"/>
      <c r="DP30" s="539"/>
      <c r="DQ30" s="539"/>
      <c r="DR30" s="539"/>
      <c r="DS30" s="539"/>
      <c r="DT30" s="539"/>
      <c r="DU30" s="539"/>
      <c r="DV30" s="539"/>
      <c r="DW30" s="539"/>
      <c r="DX30" s="539"/>
      <c r="DY30" s="539"/>
      <c r="DZ30" s="539"/>
      <c r="EA30" s="539"/>
      <c r="EB30" s="539"/>
      <c r="EC30" s="539"/>
      <c r="ED30" s="539"/>
    </row>
    <row r="31" spans="1:134" ht="13.5" hidden="1" customHeight="1">
      <c r="A31" s="543"/>
      <c r="B31" s="5" t="e">
        <f>+#REF!</f>
        <v>#REF!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539"/>
      <c r="AR31" s="539"/>
      <c r="AS31" s="539"/>
      <c r="AT31" s="539"/>
      <c r="AU31" s="539"/>
      <c r="AV31" s="539"/>
      <c r="AW31" s="539"/>
      <c r="AX31" s="539"/>
      <c r="AY31" s="539"/>
      <c r="AZ31" s="539"/>
      <c r="BA31" s="539"/>
      <c r="BB31" s="539"/>
      <c r="BC31" s="539"/>
      <c r="BD31" s="539"/>
      <c r="BE31" s="539"/>
      <c r="BF31" s="539"/>
      <c r="BG31" s="539"/>
      <c r="BH31" s="539"/>
      <c r="BI31" s="539"/>
      <c r="BJ31" s="539"/>
      <c r="BK31" s="539"/>
      <c r="BL31" s="539"/>
      <c r="BM31" s="539"/>
      <c r="BN31" s="539"/>
      <c r="BO31" s="539"/>
      <c r="BP31" s="539"/>
      <c r="BQ31" s="539"/>
      <c r="BR31" s="539"/>
      <c r="BS31" s="539"/>
      <c r="BT31" s="539"/>
      <c r="BU31" s="539"/>
      <c r="BV31" s="539"/>
      <c r="BW31" s="539"/>
      <c r="BX31" s="539"/>
      <c r="BY31" s="539"/>
      <c r="BZ31" s="539"/>
      <c r="CA31" s="539"/>
      <c r="CB31" s="539"/>
      <c r="CC31" s="539"/>
      <c r="CD31" s="539"/>
      <c r="CE31" s="539"/>
      <c r="CF31" s="539"/>
      <c r="CG31" s="539"/>
      <c r="CH31" s="539"/>
      <c r="CI31" s="539"/>
      <c r="CJ31" s="539"/>
      <c r="CK31" s="539"/>
      <c r="CL31" s="539"/>
      <c r="CM31" s="539"/>
      <c r="CN31" s="539"/>
      <c r="CO31" s="539"/>
      <c r="CP31" s="539"/>
      <c r="CQ31" s="539"/>
      <c r="CR31" s="539"/>
      <c r="CS31" s="539"/>
      <c r="CT31" s="539"/>
      <c r="CU31" s="539"/>
      <c r="CV31" s="539"/>
      <c r="CW31" s="539"/>
      <c r="CX31" s="539"/>
      <c r="CY31" s="539"/>
      <c r="CZ31" s="539"/>
      <c r="DA31" s="539"/>
      <c r="DB31" s="539"/>
      <c r="DC31" s="539"/>
      <c r="DD31" s="539"/>
      <c r="DE31" s="539"/>
      <c r="DF31" s="539"/>
      <c r="DG31" s="539"/>
      <c r="DH31" s="539"/>
      <c r="DI31" s="539"/>
      <c r="DJ31" s="539"/>
      <c r="DK31" s="539"/>
      <c r="DL31" s="539"/>
      <c r="DM31" s="539"/>
      <c r="DN31" s="539"/>
      <c r="DO31" s="539"/>
      <c r="DP31" s="539"/>
      <c r="DQ31" s="539"/>
      <c r="DR31" s="539"/>
      <c r="DS31" s="539"/>
      <c r="DT31" s="539"/>
      <c r="DU31" s="539"/>
      <c r="DV31" s="539"/>
      <c r="DW31" s="539"/>
      <c r="DX31" s="539"/>
      <c r="DY31" s="539"/>
      <c r="DZ31" s="539"/>
      <c r="EA31" s="539"/>
      <c r="EB31" s="539"/>
      <c r="EC31" s="539"/>
      <c r="ED31" s="539"/>
    </row>
    <row r="32" spans="1:134" ht="13.5" hidden="1" customHeight="1">
      <c r="A32" s="543"/>
      <c r="B32" s="5" t="e">
        <f>+#REF!</f>
        <v>#REF!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539"/>
      <c r="AR32" s="539"/>
      <c r="AS32" s="539"/>
      <c r="AT32" s="539"/>
      <c r="AU32" s="539"/>
      <c r="AV32" s="539"/>
      <c r="AW32" s="539"/>
      <c r="AX32" s="539"/>
      <c r="AY32" s="539"/>
      <c r="AZ32" s="539"/>
      <c r="BA32" s="539"/>
      <c r="BB32" s="539"/>
      <c r="BC32" s="539"/>
      <c r="BD32" s="539"/>
      <c r="BE32" s="539"/>
      <c r="BF32" s="539"/>
      <c r="BG32" s="539"/>
      <c r="BH32" s="539"/>
      <c r="BI32" s="539"/>
      <c r="BJ32" s="539"/>
      <c r="BK32" s="539"/>
      <c r="BL32" s="539"/>
      <c r="BM32" s="539"/>
      <c r="BN32" s="539"/>
      <c r="BO32" s="539"/>
      <c r="BP32" s="539"/>
      <c r="BQ32" s="539"/>
      <c r="BR32" s="539"/>
      <c r="BS32" s="539"/>
      <c r="BT32" s="539"/>
      <c r="BU32" s="539"/>
      <c r="BV32" s="539"/>
      <c r="BW32" s="539"/>
      <c r="BX32" s="539"/>
      <c r="BY32" s="539"/>
      <c r="BZ32" s="539"/>
      <c r="CA32" s="539"/>
      <c r="CB32" s="539"/>
      <c r="CC32" s="539"/>
      <c r="CD32" s="539"/>
      <c r="CE32" s="539"/>
      <c r="CF32" s="539"/>
      <c r="CG32" s="539"/>
      <c r="CH32" s="539"/>
      <c r="CI32" s="539"/>
      <c r="CJ32" s="539"/>
      <c r="CK32" s="539"/>
      <c r="CL32" s="539"/>
      <c r="CM32" s="539"/>
      <c r="CN32" s="539"/>
      <c r="CO32" s="539"/>
      <c r="CP32" s="539"/>
      <c r="CQ32" s="539"/>
      <c r="CR32" s="539"/>
      <c r="CS32" s="539"/>
      <c r="CT32" s="539"/>
      <c r="CU32" s="539"/>
      <c r="CV32" s="539"/>
      <c r="CW32" s="539"/>
      <c r="CX32" s="539"/>
      <c r="CY32" s="539"/>
      <c r="CZ32" s="539"/>
      <c r="DA32" s="539"/>
      <c r="DB32" s="539"/>
      <c r="DC32" s="539"/>
      <c r="DD32" s="539"/>
      <c r="DE32" s="539"/>
      <c r="DF32" s="539"/>
      <c r="DG32" s="539"/>
      <c r="DH32" s="539"/>
      <c r="DI32" s="539"/>
      <c r="DJ32" s="539"/>
      <c r="DK32" s="539"/>
      <c r="DL32" s="539"/>
      <c r="DM32" s="539"/>
      <c r="DN32" s="539"/>
      <c r="DO32" s="539"/>
      <c r="DP32" s="539"/>
      <c r="DQ32" s="539"/>
      <c r="DR32" s="539"/>
      <c r="DS32" s="539"/>
      <c r="DT32" s="539"/>
      <c r="DU32" s="539"/>
      <c r="DV32" s="539"/>
      <c r="DW32" s="539"/>
      <c r="DX32" s="539"/>
      <c r="DY32" s="539"/>
      <c r="DZ32" s="539"/>
      <c r="EA32" s="539"/>
      <c r="EB32" s="539"/>
      <c r="EC32" s="539"/>
      <c r="ED32" s="539"/>
    </row>
    <row r="33" spans="1:134" ht="13.5" hidden="1" customHeight="1">
      <c r="A33" s="543">
        <v>0</v>
      </c>
      <c r="B33" s="5" t="e">
        <f>+#REF!</f>
        <v>#REF!</v>
      </c>
      <c r="C33" s="544"/>
      <c r="D33" s="544"/>
      <c r="E33" s="544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  <c r="AC33" s="544"/>
      <c r="AD33" s="544"/>
      <c r="AE33" s="544"/>
      <c r="AF33" s="544"/>
      <c r="AG33" s="544"/>
      <c r="AH33" s="544"/>
      <c r="AI33" s="544"/>
      <c r="AJ33" s="544"/>
      <c r="AK33" s="544"/>
      <c r="AL33" s="544"/>
      <c r="AM33" s="544"/>
      <c r="AN33" s="544"/>
      <c r="AO33" s="544"/>
      <c r="AP33" s="544"/>
      <c r="AQ33" s="539"/>
      <c r="AR33" s="539"/>
      <c r="AS33" s="539"/>
      <c r="AT33" s="539"/>
      <c r="AU33" s="539"/>
      <c r="AV33" s="539"/>
      <c r="AW33" s="539"/>
      <c r="AX33" s="539"/>
      <c r="AY33" s="539"/>
      <c r="AZ33" s="539"/>
      <c r="BA33" s="539"/>
      <c r="BB33" s="539"/>
      <c r="BC33" s="539"/>
      <c r="BD33" s="539"/>
      <c r="BE33" s="539"/>
      <c r="BF33" s="539"/>
      <c r="BG33" s="539"/>
      <c r="BH33" s="539"/>
      <c r="BI33" s="539"/>
      <c r="BJ33" s="539"/>
      <c r="BK33" s="539"/>
      <c r="BL33" s="539"/>
      <c r="BM33" s="539"/>
      <c r="BN33" s="539"/>
      <c r="BO33" s="539"/>
      <c r="BP33" s="539"/>
      <c r="BQ33" s="539"/>
      <c r="BR33" s="539"/>
      <c r="BS33" s="539"/>
      <c r="BT33" s="539"/>
      <c r="BU33" s="539"/>
      <c r="BV33" s="539"/>
      <c r="BW33" s="539"/>
      <c r="BX33" s="539"/>
      <c r="BY33" s="539"/>
      <c r="BZ33" s="539"/>
      <c r="CA33" s="539"/>
      <c r="CB33" s="539"/>
      <c r="CC33" s="539"/>
      <c r="CD33" s="539"/>
      <c r="CE33" s="539"/>
      <c r="CF33" s="539"/>
      <c r="CG33" s="539"/>
      <c r="CH33" s="539"/>
      <c r="CI33" s="539"/>
      <c r="CJ33" s="539"/>
      <c r="CK33" s="539"/>
      <c r="CL33" s="539"/>
      <c r="CM33" s="539"/>
      <c r="CN33" s="539"/>
      <c r="CO33" s="539"/>
      <c r="CP33" s="539"/>
      <c r="CQ33" s="539"/>
      <c r="CR33" s="539"/>
      <c r="CS33" s="539"/>
      <c r="CT33" s="539"/>
      <c r="CU33" s="539"/>
      <c r="CV33" s="539"/>
      <c r="CW33" s="539"/>
      <c r="CX33" s="539"/>
      <c r="CY33" s="539"/>
      <c r="CZ33" s="539"/>
      <c r="DA33" s="539"/>
      <c r="DB33" s="539"/>
      <c r="DC33" s="539"/>
      <c r="DD33" s="539"/>
      <c r="DE33" s="539"/>
      <c r="DF33" s="539"/>
      <c r="DG33" s="539"/>
      <c r="DH33" s="539"/>
      <c r="DI33" s="539"/>
      <c r="DJ33" s="539"/>
      <c r="DK33" s="539"/>
      <c r="DL33" s="539"/>
      <c r="DM33" s="539"/>
      <c r="DN33" s="539"/>
      <c r="DO33" s="539"/>
      <c r="DP33" s="539"/>
      <c r="DQ33" s="539"/>
      <c r="DR33" s="539"/>
      <c r="DS33" s="539"/>
      <c r="DT33" s="539"/>
      <c r="DU33" s="539"/>
      <c r="DV33" s="539"/>
      <c r="DW33" s="539"/>
      <c r="DX33" s="539"/>
      <c r="DY33" s="539"/>
      <c r="DZ33" s="539"/>
      <c r="EA33" s="539"/>
      <c r="EB33" s="539"/>
      <c r="EC33" s="539"/>
      <c r="ED33" s="539"/>
    </row>
    <row r="34" spans="1:134" ht="13.5" hidden="1" customHeight="1">
      <c r="A34" s="543"/>
      <c r="B34" s="5" t="e">
        <f>+#REF!</f>
        <v>#REF!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539"/>
      <c r="AR34" s="539"/>
      <c r="AS34" s="539"/>
      <c r="AT34" s="539"/>
      <c r="AU34" s="539"/>
      <c r="AV34" s="539"/>
      <c r="AW34" s="539"/>
      <c r="AX34" s="539"/>
      <c r="AY34" s="539"/>
      <c r="AZ34" s="539"/>
      <c r="BA34" s="539"/>
      <c r="BB34" s="539"/>
      <c r="BC34" s="539"/>
      <c r="BD34" s="539"/>
      <c r="BE34" s="539"/>
      <c r="BF34" s="539"/>
      <c r="BG34" s="539"/>
      <c r="BH34" s="539"/>
      <c r="BI34" s="539"/>
      <c r="BJ34" s="539"/>
      <c r="BK34" s="539"/>
      <c r="BL34" s="539"/>
      <c r="BM34" s="539"/>
      <c r="BN34" s="539"/>
      <c r="BO34" s="539"/>
      <c r="BP34" s="539"/>
      <c r="BQ34" s="539"/>
      <c r="BR34" s="539"/>
      <c r="BS34" s="539"/>
      <c r="BT34" s="539"/>
      <c r="BU34" s="539"/>
      <c r="BV34" s="539"/>
      <c r="BW34" s="539"/>
      <c r="BX34" s="539"/>
      <c r="BY34" s="539"/>
      <c r="BZ34" s="539"/>
      <c r="CA34" s="539"/>
      <c r="CB34" s="539"/>
      <c r="CC34" s="539"/>
      <c r="CD34" s="539"/>
      <c r="CE34" s="539"/>
      <c r="CF34" s="539"/>
      <c r="CG34" s="539"/>
      <c r="CH34" s="539"/>
      <c r="CI34" s="539"/>
      <c r="CJ34" s="539"/>
      <c r="CK34" s="539"/>
      <c r="CL34" s="539"/>
      <c r="CM34" s="539"/>
      <c r="CN34" s="539"/>
      <c r="CO34" s="539"/>
      <c r="CP34" s="539"/>
      <c r="CQ34" s="539"/>
      <c r="CR34" s="539"/>
      <c r="CS34" s="539"/>
      <c r="CT34" s="539"/>
      <c r="CU34" s="539"/>
      <c r="CV34" s="539"/>
      <c r="CW34" s="539"/>
      <c r="CX34" s="539"/>
      <c r="CY34" s="539"/>
      <c r="CZ34" s="539"/>
      <c r="DA34" s="539"/>
      <c r="DB34" s="539"/>
      <c r="DC34" s="539"/>
      <c r="DD34" s="539"/>
      <c r="DE34" s="539"/>
      <c r="DF34" s="539"/>
      <c r="DG34" s="539"/>
      <c r="DH34" s="539"/>
      <c r="DI34" s="539"/>
      <c r="DJ34" s="539"/>
      <c r="DK34" s="539"/>
      <c r="DL34" s="539"/>
      <c r="DM34" s="539"/>
      <c r="DN34" s="539"/>
      <c r="DO34" s="539"/>
      <c r="DP34" s="539"/>
      <c r="DQ34" s="539"/>
      <c r="DR34" s="539"/>
      <c r="DS34" s="539"/>
      <c r="DT34" s="539"/>
      <c r="DU34" s="539"/>
      <c r="DV34" s="539"/>
      <c r="DW34" s="539"/>
      <c r="DX34" s="539"/>
      <c r="DY34" s="539"/>
      <c r="DZ34" s="539"/>
      <c r="EA34" s="539"/>
      <c r="EB34" s="539"/>
      <c r="EC34" s="539"/>
      <c r="ED34" s="539"/>
    </row>
    <row r="35" spans="1:134" ht="13.5" customHeight="1">
      <c r="A35" s="545"/>
      <c r="B35" s="6" t="e">
        <f>+#REF!</f>
        <v>#REF!</v>
      </c>
      <c r="C35" s="7">
        <f t="shared" ref="C35:AP35" si="0">C3-C19</f>
        <v>9814.7286019999992</v>
      </c>
      <c r="D35" s="7">
        <f t="shared" si="0"/>
        <v>10205.272427999997</v>
      </c>
      <c r="E35" s="7">
        <f t="shared" si="0"/>
        <v>14621.698517999999</v>
      </c>
      <c r="F35" s="7">
        <f t="shared" si="0"/>
        <v>41687.164461000008</v>
      </c>
      <c r="G35" s="7">
        <f t="shared" si="0"/>
        <v>81038.854502400383</v>
      </c>
      <c r="H35" s="7">
        <f t="shared" si="0"/>
        <v>85898.138419200084</v>
      </c>
      <c r="I35" s="7">
        <f t="shared" si="0"/>
        <v>90354.54888863978</v>
      </c>
      <c r="J35" s="7">
        <f t="shared" si="0"/>
        <v>94159.983575039776</v>
      </c>
      <c r="K35" s="7">
        <f t="shared" si="0"/>
        <v>98155.689697920112</v>
      </c>
      <c r="L35" s="7">
        <f t="shared" si="0"/>
        <v>1057973.0393486191</v>
      </c>
      <c r="M35" s="7">
        <f t="shared" si="0"/>
        <v>1057973.0393486191</v>
      </c>
      <c r="N35" s="7">
        <f t="shared" si="0"/>
        <v>1057973.0393486191</v>
      </c>
      <c r="O35" s="7">
        <f t="shared" si="0"/>
        <v>1057973.0393486191</v>
      </c>
      <c r="P35" s="7">
        <f t="shared" si="0"/>
        <v>0</v>
      </c>
      <c r="Q35" s="7">
        <f t="shared" si="0"/>
        <v>0</v>
      </c>
      <c r="R35" s="7">
        <f t="shared" si="0"/>
        <v>0</v>
      </c>
      <c r="S35" s="7">
        <f t="shared" si="0"/>
        <v>0</v>
      </c>
      <c r="T35" s="7">
        <f t="shared" si="0"/>
        <v>0</v>
      </c>
      <c r="U35" s="7">
        <f t="shared" si="0"/>
        <v>0</v>
      </c>
      <c r="V35" s="7">
        <f t="shared" si="0"/>
        <v>0</v>
      </c>
      <c r="W35" s="7">
        <f t="shared" si="0"/>
        <v>0</v>
      </c>
      <c r="X35" s="7">
        <f t="shared" si="0"/>
        <v>0</v>
      </c>
      <c r="Y35" s="7">
        <f t="shared" si="0"/>
        <v>0</v>
      </c>
      <c r="Z35" s="7">
        <f t="shared" si="0"/>
        <v>0</v>
      </c>
      <c r="AA35" s="7">
        <f t="shared" si="0"/>
        <v>0</v>
      </c>
      <c r="AB35" s="7">
        <f t="shared" si="0"/>
        <v>0</v>
      </c>
      <c r="AC35" s="7">
        <f t="shared" si="0"/>
        <v>0</v>
      </c>
      <c r="AD35" s="7">
        <f t="shared" si="0"/>
        <v>0</v>
      </c>
      <c r="AE35" s="7">
        <f t="shared" si="0"/>
        <v>0</v>
      </c>
      <c r="AF35" s="7">
        <f t="shared" si="0"/>
        <v>0</v>
      </c>
      <c r="AG35" s="7">
        <f t="shared" si="0"/>
        <v>0</v>
      </c>
      <c r="AH35" s="7">
        <f t="shared" si="0"/>
        <v>0</v>
      </c>
      <c r="AI35" s="7">
        <f t="shared" si="0"/>
        <v>0</v>
      </c>
      <c r="AJ35" s="7">
        <f t="shared" si="0"/>
        <v>0</v>
      </c>
      <c r="AK35" s="7">
        <f t="shared" si="0"/>
        <v>0</v>
      </c>
      <c r="AL35" s="7">
        <f t="shared" si="0"/>
        <v>0</v>
      </c>
      <c r="AM35" s="7">
        <f t="shared" si="0"/>
        <v>0</v>
      </c>
      <c r="AN35" s="7">
        <f t="shared" si="0"/>
        <v>0</v>
      </c>
      <c r="AO35" s="7">
        <f t="shared" si="0"/>
        <v>0</v>
      </c>
      <c r="AP35" s="7">
        <f t="shared" si="0"/>
        <v>0</v>
      </c>
      <c r="AQ35" s="539"/>
      <c r="AR35" s="539"/>
      <c r="AS35" s="539"/>
      <c r="AT35" s="539"/>
      <c r="AU35" s="539"/>
      <c r="AV35" s="539"/>
      <c r="AW35" s="539"/>
      <c r="AX35" s="539"/>
      <c r="AY35" s="539"/>
      <c r="AZ35" s="539"/>
      <c r="BA35" s="539"/>
      <c r="BB35" s="539"/>
      <c r="BC35" s="539"/>
      <c r="BD35" s="539"/>
      <c r="BE35" s="539"/>
      <c r="BF35" s="539"/>
      <c r="BG35" s="539"/>
      <c r="BH35" s="539"/>
      <c r="BI35" s="539"/>
      <c r="BJ35" s="539"/>
      <c r="BK35" s="539"/>
      <c r="BL35" s="539"/>
      <c r="BM35" s="539"/>
      <c r="BN35" s="539"/>
      <c r="BO35" s="539"/>
      <c r="BP35" s="539"/>
      <c r="BQ35" s="539"/>
      <c r="BR35" s="539"/>
      <c r="BS35" s="539"/>
      <c r="BT35" s="539"/>
      <c r="BU35" s="539"/>
      <c r="BV35" s="539"/>
      <c r="BW35" s="539"/>
      <c r="BX35" s="539"/>
      <c r="BY35" s="539"/>
      <c r="BZ35" s="539"/>
      <c r="CA35" s="539"/>
      <c r="CB35" s="539"/>
      <c r="CC35" s="539"/>
      <c r="CD35" s="539"/>
      <c r="CE35" s="539"/>
      <c r="CF35" s="539"/>
      <c r="CG35" s="539"/>
      <c r="CH35" s="539"/>
      <c r="CI35" s="539"/>
      <c r="CJ35" s="539"/>
      <c r="CK35" s="539"/>
      <c r="CL35" s="539"/>
      <c r="CM35" s="539"/>
      <c r="CN35" s="539"/>
      <c r="CO35" s="539"/>
      <c r="CP35" s="539"/>
      <c r="CQ35" s="539"/>
      <c r="CR35" s="539"/>
      <c r="CS35" s="539"/>
      <c r="CT35" s="539"/>
      <c r="CU35" s="539"/>
      <c r="CV35" s="539"/>
      <c r="CW35" s="539"/>
      <c r="CX35" s="539"/>
      <c r="CY35" s="539"/>
      <c r="CZ35" s="539"/>
      <c r="DA35" s="539"/>
      <c r="DB35" s="539"/>
      <c r="DC35" s="539"/>
      <c r="DD35" s="539"/>
      <c r="DE35" s="539"/>
      <c r="DF35" s="539"/>
      <c r="DG35" s="539"/>
      <c r="DH35" s="539"/>
      <c r="DI35" s="539"/>
      <c r="DJ35" s="539"/>
      <c r="DK35" s="539"/>
      <c r="DL35" s="539"/>
      <c r="DM35" s="539"/>
      <c r="DN35" s="539"/>
      <c r="DO35" s="539"/>
      <c r="DP35" s="539"/>
      <c r="DQ35" s="539"/>
      <c r="DR35" s="539"/>
      <c r="DS35" s="539"/>
      <c r="DT35" s="539"/>
      <c r="DU35" s="539"/>
      <c r="DV35" s="539"/>
      <c r="DW35" s="539"/>
      <c r="DX35" s="539"/>
      <c r="DY35" s="539"/>
      <c r="DZ35" s="539"/>
      <c r="EA35" s="539"/>
      <c r="EB35" s="539"/>
      <c r="EC35" s="539"/>
      <c r="ED35" s="539"/>
    </row>
    <row r="36" spans="1:134" ht="13.5" customHeight="1">
      <c r="A36" s="539"/>
      <c r="B36" s="3" t="e">
        <f>+#REF!</f>
        <v>#REF!</v>
      </c>
      <c r="C36" s="3">
        <v>59742.617818999999</v>
      </c>
      <c r="D36" s="3">
        <v>6119.1910170000001</v>
      </c>
      <c r="E36" s="3">
        <v>5670.4058810000006</v>
      </c>
      <c r="F36" s="3">
        <v>8134.251346</v>
      </c>
      <c r="G36" s="3">
        <v>14892.779029646597</v>
      </c>
      <c r="H36" s="3">
        <v>16150.422815450467</v>
      </c>
      <c r="I36" s="3">
        <v>17427.496549169351</v>
      </c>
      <c r="J36" s="3">
        <v>18691.182473066587</v>
      </c>
      <c r="K36" s="3">
        <v>20042.504477173061</v>
      </c>
      <c r="L36" s="3">
        <v>1994.100265</v>
      </c>
      <c r="M36" s="3">
        <v>1994.100265</v>
      </c>
      <c r="N36" s="3">
        <v>1994.100265</v>
      </c>
      <c r="O36" s="3">
        <v>1994.100265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539"/>
      <c r="AR36" s="539"/>
      <c r="AS36" s="539"/>
      <c r="AT36" s="539"/>
      <c r="AU36" s="539"/>
      <c r="AV36" s="539"/>
      <c r="AW36" s="539"/>
      <c r="AX36" s="539"/>
      <c r="AY36" s="539"/>
      <c r="AZ36" s="539"/>
      <c r="BA36" s="539"/>
      <c r="BB36" s="539"/>
      <c r="BC36" s="539"/>
      <c r="BD36" s="539"/>
      <c r="BE36" s="539"/>
      <c r="BF36" s="539"/>
      <c r="BG36" s="539"/>
      <c r="BH36" s="539"/>
      <c r="BI36" s="539"/>
      <c r="BJ36" s="539"/>
      <c r="BK36" s="539"/>
      <c r="BL36" s="539"/>
      <c r="BM36" s="539"/>
      <c r="BN36" s="539"/>
      <c r="BO36" s="539"/>
      <c r="BP36" s="539"/>
      <c r="BQ36" s="539"/>
      <c r="BR36" s="539"/>
      <c r="BS36" s="539"/>
      <c r="BT36" s="539"/>
      <c r="BU36" s="539"/>
      <c r="BV36" s="539"/>
      <c r="BW36" s="539"/>
      <c r="BX36" s="539"/>
      <c r="BY36" s="539"/>
      <c r="BZ36" s="539"/>
      <c r="CA36" s="539"/>
      <c r="CB36" s="539"/>
      <c r="CC36" s="539"/>
      <c r="CD36" s="539"/>
      <c r="CE36" s="539"/>
      <c r="CF36" s="539"/>
      <c r="CG36" s="539"/>
      <c r="CH36" s="539"/>
      <c r="CI36" s="539"/>
      <c r="CJ36" s="539"/>
      <c r="CK36" s="539"/>
      <c r="CL36" s="539"/>
      <c r="CM36" s="539"/>
      <c r="CN36" s="539"/>
      <c r="CO36" s="539"/>
      <c r="CP36" s="539"/>
      <c r="CQ36" s="539"/>
      <c r="CR36" s="539"/>
      <c r="CS36" s="539"/>
      <c r="CT36" s="539"/>
      <c r="CU36" s="539"/>
      <c r="CV36" s="539"/>
      <c r="CW36" s="539"/>
      <c r="CX36" s="539"/>
      <c r="CY36" s="539"/>
      <c r="CZ36" s="539"/>
      <c r="DA36" s="539"/>
      <c r="DB36" s="539"/>
      <c r="DC36" s="539"/>
      <c r="DD36" s="539"/>
      <c r="DE36" s="539"/>
      <c r="DF36" s="539"/>
      <c r="DG36" s="539"/>
      <c r="DH36" s="539"/>
      <c r="DI36" s="539"/>
      <c r="DJ36" s="539"/>
      <c r="DK36" s="539"/>
      <c r="DL36" s="539"/>
      <c r="DM36" s="539"/>
      <c r="DN36" s="539"/>
      <c r="DO36" s="539"/>
      <c r="DP36" s="539"/>
      <c r="DQ36" s="539"/>
      <c r="DR36" s="539"/>
      <c r="DS36" s="539"/>
      <c r="DT36" s="539"/>
      <c r="DU36" s="539"/>
      <c r="DV36" s="539"/>
      <c r="DW36" s="539"/>
      <c r="DX36" s="539"/>
      <c r="DY36" s="539"/>
      <c r="DZ36" s="539"/>
      <c r="EA36" s="539"/>
      <c r="EB36" s="539"/>
      <c r="EC36" s="539"/>
      <c r="ED36" s="539"/>
    </row>
    <row r="37" spans="1:134" ht="13.5" hidden="1" customHeight="1">
      <c r="A37" s="543">
        <v>0</v>
      </c>
      <c r="B37" s="5" t="e">
        <f>+#REF!</f>
        <v>#REF!</v>
      </c>
      <c r="C37" s="4">
        <f>IF(ISNUMBER(Historical!E108),Historical!E108, )</f>
        <v>5000</v>
      </c>
      <c r="D37" s="4">
        <f>IF(ISNUMBER(Historical!G108),Historical!G108, )</f>
        <v>5100</v>
      </c>
      <c r="E37" s="4">
        <f>IF(ISNUMBER(Historical!I108),Historical!I108, )</f>
        <v>5200</v>
      </c>
      <c r="F37" s="4">
        <f>IF(ISNUMBER(Projection!H7),IF(MONTH(Projection!H7)&lt;&gt;12,IF(ISNUMBER(Projection!L77),Projection!L77, ),IF(ISNUMBER(Historical!K108),Historical!K108, )), )</f>
        <v>6600</v>
      </c>
      <c r="G37" s="4">
        <f>IF(ISNUMBER(Projection!H7),IF(MONTH(Projection!$H$7)&lt;&gt;12,IF(ISNUMBER(Projection!N77),Projection!N77, ),IF(ISNUMBER(Projection!L77),Projection!L77, )), )</f>
        <v>7865.0000000000009</v>
      </c>
      <c r="H37" s="4">
        <f>IF(ISNUMBER(Projection!H7),IF(MONTH(Projection!$H$7)&lt;&gt;12,IF(ISNUMBER(Projection!P77),Projection!P77, ),IF(ISNUMBER(Projection!N77),Projection!N77, )), )</f>
        <v>8651.4999999999982</v>
      </c>
      <c r="I37" s="4">
        <f>IF(ISNUMBER(Projection!H7),IF(MONTH(Projection!$H$7)&lt;&gt;12,IF(ISNUMBER(Projection!R77),Projection!R77, ),IF(ISNUMBER(Projection!P77),Projection!P77, )), )</f>
        <v>9516.6500000000015</v>
      </c>
      <c r="J37" s="4">
        <f>IF(ISNUMBER(Projection!H7),IF(MONTH(Projection!$H$7)&lt;&gt;12,IF(ISNUMBER(Projection!T77),Projection!T77, ),IF(ISNUMBER(Projection!R77),Projection!R77, )), )</f>
        <v>10468.315000000002</v>
      </c>
      <c r="K37" s="4">
        <f>IF(ISNUMBER(Projection!H7),IF(MONTH(Projection!$H$7)&lt;&gt;12,IF(ISNUMBER(Projection!Z77),Projection!Z77, ),IF(ISNUMBER(Projection!T77),Projection!T77, )), )</f>
        <v>3650.940784021343</v>
      </c>
      <c r="L37" s="4">
        <f>IF(ISNUMBER(Projection!H7),IF(MONTH(Projection!$H$7)&lt;&gt;12,IF(ISNUMBER(Projection!AB77),Projection!AB77, ),IF(ISNUMBER(Projection!Z77),Projection!Z77, )), )</f>
        <v>3650.940784021343</v>
      </c>
      <c r="M37" s="4">
        <f>IF(ISNUMBER(Projection!$H$7),IF(MONTH(Projection!$H$7)&lt;&gt;12,IF(ISNUMBER(Projection!AD77),Projection!AD77, ),IF(ISNUMBER(Projection!AB77),Projection!AB77, )), )</f>
        <v>3650.940784021343</v>
      </c>
      <c r="N37" s="4">
        <f>IF(ISNUMBER(Projection!$H$7),IF(MONTH(Projection!$H$7)&lt;&gt;12,IF(ISNUMBER(Projection!AF77),Projection!AF77, ),IF(ISNUMBER(Projection!AD77),Projection!AD77, )), )</f>
        <v>3650.940784021343</v>
      </c>
      <c r="O37" s="4">
        <f>IF(ISNUMBER(Projection!$H$7),IF(MONTH(Projection!$H$7)&lt;&gt;12,IF(ISNUMBER(Projection!AH77),Projection!AH77, ),IF(ISNUMBER(Projection!AF77),Projection!AF77, )), )</f>
        <v>3650.940784021343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539"/>
      <c r="AR37" s="539"/>
      <c r="AS37" s="539"/>
      <c r="AT37" s="539"/>
      <c r="AU37" s="539"/>
      <c r="AV37" s="539"/>
      <c r="AW37" s="539"/>
      <c r="AX37" s="539"/>
      <c r="AY37" s="539"/>
      <c r="AZ37" s="539"/>
      <c r="BA37" s="539"/>
      <c r="BB37" s="539"/>
      <c r="BC37" s="539"/>
      <c r="BD37" s="539"/>
      <c r="BE37" s="539"/>
      <c r="BF37" s="539"/>
      <c r="BG37" s="539"/>
      <c r="BH37" s="539"/>
      <c r="BI37" s="539"/>
      <c r="BJ37" s="539"/>
      <c r="BK37" s="539"/>
      <c r="BL37" s="539"/>
      <c r="BM37" s="539"/>
      <c r="BN37" s="539"/>
      <c r="BO37" s="539"/>
      <c r="BP37" s="539"/>
      <c r="BQ37" s="539"/>
      <c r="BR37" s="539"/>
      <c r="BS37" s="539"/>
      <c r="BT37" s="539"/>
      <c r="BU37" s="539"/>
      <c r="BV37" s="539"/>
      <c r="BW37" s="539"/>
      <c r="BX37" s="539"/>
      <c r="BY37" s="539"/>
      <c r="BZ37" s="539"/>
      <c r="CA37" s="539"/>
      <c r="CB37" s="539"/>
      <c r="CC37" s="539"/>
      <c r="CD37" s="539"/>
      <c r="CE37" s="539"/>
      <c r="CF37" s="539"/>
      <c r="CG37" s="539"/>
      <c r="CH37" s="539"/>
      <c r="CI37" s="539"/>
      <c r="CJ37" s="539"/>
      <c r="CK37" s="539"/>
      <c r="CL37" s="539"/>
      <c r="CM37" s="539"/>
      <c r="CN37" s="539"/>
      <c r="CO37" s="539"/>
      <c r="CP37" s="539"/>
      <c r="CQ37" s="539"/>
      <c r="CR37" s="539"/>
      <c r="CS37" s="539"/>
      <c r="CT37" s="539"/>
      <c r="CU37" s="539"/>
      <c r="CV37" s="539"/>
      <c r="CW37" s="539"/>
      <c r="CX37" s="539"/>
      <c r="CY37" s="539"/>
      <c r="CZ37" s="539"/>
      <c r="DA37" s="539"/>
      <c r="DB37" s="539"/>
      <c r="DC37" s="539"/>
      <c r="DD37" s="539"/>
      <c r="DE37" s="539"/>
      <c r="DF37" s="539"/>
      <c r="DG37" s="539"/>
      <c r="DH37" s="539"/>
      <c r="DI37" s="539"/>
      <c r="DJ37" s="539"/>
      <c r="DK37" s="539"/>
      <c r="DL37" s="539"/>
      <c r="DM37" s="539"/>
      <c r="DN37" s="539"/>
      <c r="DO37" s="539"/>
      <c r="DP37" s="539"/>
      <c r="DQ37" s="539"/>
      <c r="DR37" s="539"/>
      <c r="DS37" s="539"/>
      <c r="DT37" s="539"/>
      <c r="DU37" s="539"/>
      <c r="DV37" s="539"/>
      <c r="DW37" s="539"/>
      <c r="DX37" s="539"/>
      <c r="DY37" s="539"/>
      <c r="DZ37" s="539"/>
      <c r="EA37" s="539"/>
      <c r="EB37" s="539"/>
      <c r="EC37" s="539"/>
      <c r="ED37" s="539"/>
    </row>
    <row r="38" spans="1:134" ht="13.5" hidden="1" customHeight="1">
      <c r="A38" s="543"/>
      <c r="B38" s="5" t="e">
        <f>+#REF!</f>
        <v>#REF!</v>
      </c>
      <c r="C38" s="4">
        <f>IF(ISNUMBER(Historical!E111),Historical!E111, )</f>
        <v>100</v>
      </c>
      <c r="D38" s="4">
        <f>IF(ISNUMBER(Historical!G111),Historical!G111, )</f>
        <v>110</v>
      </c>
      <c r="E38" s="4">
        <f>IF(ISNUMBER(Historical!I111),Historical!I111, )</f>
        <v>120</v>
      </c>
      <c r="F38" s="4">
        <f>IF(ISNUMBER(Projection!H7),IF(MONTH(Projection!H7)&lt;&gt;12,IF(ISNUMBER(Projection!L80),Projection!L80, ),IF(ISNUMBER(Historical!K111),Historical!K111, )), )</f>
        <v>260</v>
      </c>
      <c r="G38" s="4">
        <f>IF(ISNUMBER(Projection!H7),IF(MONTH(Projection!$H$7)&lt;&gt;12,IF(ISNUMBER(Projection!N80),Projection!N80, ),IF(ISNUMBER(Projection!L80),Projection!L80, )), )</f>
        <v>260</v>
      </c>
      <c r="H38" s="4">
        <f>IF(ISNUMBER(Projection!H7),IF(MONTH(Projection!$H$7)&lt;&gt;12,IF(ISNUMBER(Projection!P80),Projection!P80, ),IF(ISNUMBER(Projection!N80),Projection!N80, )), )</f>
        <v>260</v>
      </c>
      <c r="I38" s="4">
        <f>IF(ISNUMBER(Projection!H7),IF(MONTH(Projection!$H$7)&lt;&gt;12,IF(ISNUMBER(Projection!R80),Projection!R80, ),IF(ISNUMBER(Projection!P80),Projection!P80, )), )</f>
        <v>260</v>
      </c>
      <c r="J38" s="4">
        <f>IF(ISNUMBER(Projection!H7),IF(MONTH(Projection!$H$7)&lt;&gt;12,IF(ISNUMBER(Projection!T80),Projection!T80, ),IF(ISNUMBER(Projection!R80),Projection!R80, )), )</f>
        <v>260</v>
      </c>
      <c r="K38" s="4">
        <f>IF(ISNUMBER(Projection!H7),IF(MONTH(Projection!$H$7)&lt;&gt;12,IF(ISNUMBER(Projection!Z80),Projection!Z80, ),IF(ISNUMBER(Projection!T80),Projection!T80, )), )</f>
        <v>260</v>
      </c>
      <c r="L38" s="4">
        <f>IF(ISNUMBER(Projection!H7),IF(MONTH(Projection!$H$7)&lt;&gt;12,IF(ISNUMBER(Projection!AB80),Projection!AB80, ),IF(ISNUMBER(Projection!Z80),Projection!Z80, )), )</f>
        <v>260</v>
      </c>
      <c r="M38" s="4">
        <f>IF(ISNUMBER(Projection!$H$7),IF(MONTH(Projection!$H$7)&lt;&gt;12,IF(ISNUMBER(Projection!AD80),Projection!AD80, ),IF(ISNUMBER(Projection!AB80),Projection!AB80, )), )</f>
        <v>260</v>
      </c>
      <c r="N38" s="4">
        <f>IF(ISNUMBER(Projection!$H$7),IF(MONTH(Projection!$H$7)&lt;&gt;12,IF(ISNUMBER(Projection!AF80),Projection!AF80, ),IF(ISNUMBER(Projection!AD80),Projection!AD80, )), )</f>
        <v>260</v>
      </c>
      <c r="O38" s="4">
        <f>IF(ISNUMBER(Projection!$H$7),IF(MONTH(Projection!$H$7)&lt;&gt;12,IF(ISNUMBER(Projection!AH80),Projection!AH80, ),IF(ISNUMBER(Projection!AF80),Projection!AF80, )), )</f>
        <v>260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39"/>
      <c r="AR38" s="539"/>
      <c r="AS38" s="539"/>
      <c r="AT38" s="539"/>
      <c r="AU38" s="539"/>
      <c r="AV38" s="539"/>
      <c r="AW38" s="539"/>
      <c r="AX38" s="539"/>
      <c r="AY38" s="539"/>
      <c r="AZ38" s="539"/>
      <c r="BA38" s="539"/>
      <c r="BB38" s="539"/>
      <c r="BC38" s="539"/>
      <c r="BD38" s="539"/>
      <c r="BE38" s="539"/>
      <c r="BF38" s="539"/>
      <c r="BG38" s="539"/>
      <c r="BH38" s="539"/>
      <c r="BI38" s="539"/>
      <c r="BJ38" s="539"/>
      <c r="BK38" s="539"/>
      <c r="BL38" s="539"/>
      <c r="BM38" s="539"/>
      <c r="BN38" s="539"/>
      <c r="BO38" s="539"/>
      <c r="BP38" s="539"/>
      <c r="BQ38" s="539"/>
      <c r="BR38" s="539"/>
      <c r="BS38" s="539"/>
      <c r="BT38" s="539"/>
      <c r="BU38" s="539"/>
      <c r="BV38" s="539"/>
      <c r="BW38" s="539"/>
      <c r="BX38" s="539"/>
      <c r="BY38" s="539"/>
      <c r="BZ38" s="539"/>
      <c r="CA38" s="539"/>
      <c r="CB38" s="539"/>
      <c r="CC38" s="539"/>
      <c r="CD38" s="539"/>
      <c r="CE38" s="539"/>
      <c r="CF38" s="539"/>
      <c r="CG38" s="539"/>
      <c r="CH38" s="539"/>
      <c r="CI38" s="539"/>
      <c r="CJ38" s="539"/>
      <c r="CK38" s="539"/>
      <c r="CL38" s="539"/>
      <c r="CM38" s="539"/>
      <c r="CN38" s="539"/>
      <c r="CO38" s="539"/>
      <c r="CP38" s="539"/>
      <c r="CQ38" s="539"/>
      <c r="CR38" s="539"/>
      <c r="CS38" s="539"/>
      <c r="CT38" s="539"/>
      <c r="CU38" s="539"/>
      <c r="CV38" s="539"/>
      <c r="CW38" s="539"/>
      <c r="CX38" s="539"/>
      <c r="CY38" s="539"/>
      <c r="CZ38" s="539"/>
      <c r="DA38" s="539"/>
      <c r="DB38" s="539"/>
      <c r="DC38" s="539"/>
      <c r="DD38" s="539"/>
      <c r="DE38" s="539"/>
      <c r="DF38" s="539"/>
      <c r="DG38" s="539"/>
      <c r="DH38" s="539"/>
      <c r="DI38" s="539"/>
      <c r="DJ38" s="539"/>
      <c r="DK38" s="539"/>
      <c r="DL38" s="539"/>
      <c r="DM38" s="539"/>
      <c r="DN38" s="539"/>
      <c r="DO38" s="539"/>
      <c r="DP38" s="539"/>
      <c r="DQ38" s="539"/>
      <c r="DR38" s="539"/>
      <c r="DS38" s="539"/>
      <c r="DT38" s="539"/>
      <c r="DU38" s="539"/>
      <c r="DV38" s="539"/>
      <c r="DW38" s="539"/>
      <c r="DX38" s="539"/>
      <c r="DY38" s="539"/>
      <c r="DZ38" s="539"/>
      <c r="EA38" s="539"/>
      <c r="EB38" s="539"/>
      <c r="EC38" s="539"/>
      <c r="ED38" s="539"/>
    </row>
    <row r="39" spans="1:134" ht="13.5" hidden="1" customHeight="1">
      <c r="A39" s="543"/>
      <c r="B39" s="5" t="e">
        <f>+#REF!</f>
        <v>#REF!</v>
      </c>
      <c r="C39" s="4">
        <f>IF(ISNUMBER(Historical!E110),Historical!E110, )*Projection!$I$131</f>
        <v>2000</v>
      </c>
      <c r="D39" s="4">
        <f>IF(ISNUMBER(Historical!G110),Historical!G110, )*Projection!$I$131</f>
        <v>2100</v>
      </c>
      <c r="E39" s="4">
        <f>IF(ISNUMBER(Historical!I110),Historical!I110, )*Projection!$I$131</f>
        <v>2200</v>
      </c>
      <c r="F39" s="4">
        <f>IF(ISNUMBER(Projection!H7),IF(MONTH(Projection!H7)&lt;&gt;12,IF(ISNUMBER(Projection!L79),Projection!L79, ),IF(ISNUMBER(Historical!K110),Historical!K110, )), )*Projection!$I$131</f>
        <v>4602</v>
      </c>
      <c r="G39" s="4">
        <f>IF(ISNUMBER(Projection!$H$7),IF(MONTH(Projection!$H$7)&lt;&gt;12,IF(ISNUMBER(Projection!N139),Projection!N139, ),IF(ISNUMBER(Projection!L139),Projection!L139, )), )</f>
        <v>6902</v>
      </c>
      <c r="H39" s="4">
        <f>IF(ISNUMBER(Projection!$H$7),IF(MONTH(Projection!$H$7)&lt;&gt;12,IF(ISNUMBER(Projection!P139),Projection!P139, ),IF(ISNUMBER(Projection!N139),Projection!N139, )), )</f>
        <v>6902</v>
      </c>
      <c r="I39" s="4">
        <f>IF(ISNUMBER(Projection!$H$7),IF(MONTH(Projection!$H$7)&lt;&gt;12,IF(ISNUMBER(Projection!R139),Projection!R139, ),IF(ISNUMBER(Projection!P139),Projection!P139, )), )</f>
        <v>6902</v>
      </c>
      <c r="J39" s="4">
        <f>IF(ISNUMBER(Projection!$H$7),IF(MONTH(Projection!$H$7)&lt;&gt;12,IF(ISNUMBER(Projection!T139),Projection!T139, ),IF(ISNUMBER(Projection!R139),Projection!R139, )), )</f>
        <v>6902</v>
      </c>
      <c r="K39" s="4">
        <f>IF(ISNUMBER(Projection!$H$7),IF(MONTH(Projection!$H$7)&lt;&gt;12,IF(ISNUMBER(Projection!Z139),Projection!Z139, ),IF(ISNUMBER(Projection!T139),Projection!T139, )), )</f>
        <v>4602</v>
      </c>
      <c r="L39" s="4">
        <f>IF(ISNUMBER(Projection!$H$7),IF(MONTH(Projection!$H$7)&lt;&gt;12,IF(ISNUMBER(Projection!AB139),Projection!AB139, ),IF(ISNUMBER(Projection!Z139),Projection!Z139, )), )</f>
        <v>4602</v>
      </c>
      <c r="M39" s="4">
        <f>IF(ISNUMBER(Projection!$H$7),IF(MONTH(Projection!$H$7)&lt;&gt;12,IF(ISNUMBER(Projection!AD139),Projection!AD139, ),IF(ISNUMBER(Projection!AB139),Projection!AB139, )), )</f>
        <v>4602</v>
      </c>
      <c r="N39" s="4">
        <f>IF(ISNUMBER(Projection!$H$7),IF(MONTH(Projection!$H$7)&lt;&gt;12,IF(ISNUMBER(Projection!AF139),Projection!AF139, ),IF(ISNUMBER(Projection!AD139),Projection!AD139, )), )</f>
        <v>4602</v>
      </c>
      <c r="O39" s="4">
        <f>IF(ISNUMBER(Projection!$H$7),IF(MONTH(Projection!$H$7)&lt;&gt;12,IF(ISNUMBER(Projection!AH139),Projection!AH139, ),IF(ISNUMBER(Projection!AF139),Projection!AF139, )), )</f>
        <v>4602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39"/>
      <c r="AR39" s="539"/>
      <c r="AS39" s="539"/>
      <c r="AT39" s="539"/>
      <c r="AU39" s="539"/>
      <c r="AV39" s="539"/>
      <c r="AW39" s="539"/>
      <c r="AX39" s="539"/>
      <c r="AY39" s="539"/>
      <c r="AZ39" s="539"/>
      <c r="BA39" s="539"/>
      <c r="BB39" s="539"/>
      <c r="BC39" s="539"/>
      <c r="BD39" s="539"/>
      <c r="BE39" s="539"/>
      <c r="BF39" s="539"/>
      <c r="BG39" s="539"/>
      <c r="BH39" s="539"/>
      <c r="BI39" s="539"/>
      <c r="BJ39" s="539"/>
      <c r="BK39" s="539"/>
      <c r="BL39" s="539"/>
      <c r="BM39" s="539"/>
      <c r="BN39" s="539"/>
      <c r="BO39" s="539"/>
      <c r="BP39" s="539"/>
      <c r="BQ39" s="539"/>
      <c r="BR39" s="539"/>
      <c r="BS39" s="539"/>
      <c r="BT39" s="539"/>
      <c r="BU39" s="539"/>
      <c r="BV39" s="539"/>
      <c r="BW39" s="539"/>
      <c r="BX39" s="539"/>
      <c r="BY39" s="539"/>
      <c r="BZ39" s="539"/>
      <c r="CA39" s="539"/>
      <c r="CB39" s="539"/>
      <c r="CC39" s="539"/>
      <c r="CD39" s="539"/>
      <c r="CE39" s="539"/>
      <c r="CF39" s="539"/>
      <c r="CG39" s="539"/>
      <c r="CH39" s="539"/>
      <c r="CI39" s="539"/>
      <c r="CJ39" s="539"/>
      <c r="CK39" s="539"/>
      <c r="CL39" s="539"/>
      <c r="CM39" s="539"/>
      <c r="CN39" s="539"/>
      <c r="CO39" s="539"/>
      <c r="CP39" s="539"/>
      <c r="CQ39" s="539"/>
      <c r="CR39" s="539"/>
      <c r="CS39" s="539"/>
      <c r="CT39" s="539"/>
      <c r="CU39" s="539"/>
      <c r="CV39" s="539"/>
      <c r="CW39" s="539"/>
      <c r="CX39" s="539"/>
      <c r="CY39" s="539"/>
      <c r="CZ39" s="539"/>
      <c r="DA39" s="539"/>
      <c r="DB39" s="539"/>
      <c r="DC39" s="539"/>
      <c r="DD39" s="539"/>
      <c r="DE39" s="539"/>
      <c r="DF39" s="539"/>
      <c r="DG39" s="539"/>
      <c r="DH39" s="539"/>
      <c r="DI39" s="539"/>
      <c r="DJ39" s="539"/>
      <c r="DK39" s="539"/>
      <c r="DL39" s="539"/>
      <c r="DM39" s="539"/>
      <c r="DN39" s="539"/>
      <c r="DO39" s="539"/>
      <c r="DP39" s="539"/>
      <c r="DQ39" s="539"/>
      <c r="DR39" s="539"/>
      <c r="DS39" s="539"/>
      <c r="DT39" s="539"/>
      <c r="DU39" s="539"/>
      <c r="DV39" s="539"/>
      <c r="DW39" s="539"/>
      <c r="DX39" s="539"/>
      <c r="DY39" s="539"/>
      <c r="DZ39" s="539"/>
      <c r="EA39" s="539"/>
      <c r="EB39" s="539"/>
      <c r="EC39" s="539"/>
      <c r="ED39" s="539"/>
    </row>
    <row r="40" spans="1:134" ht="13.5" hidden="1" customHeight="1">
      <c r="A40" s="543"/>
      <c r="B40" s="5" t="e">
        <f>+#REF!</f>
        <v>#REF!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39"/>
      <c r="AR40" s="539"/>
      <c r="AS40" s="539"/>
      <c r="AT40" s="539"/>
      <c r="AU40" s="539"/>
      <c r="AV40" s="539"/>
      <c r="AW40" s="539"/>
      <c r="AX40" s="539"/>
      <c r="AY40" s="539"/>
      <c r="AZ40" s="539"/>
      <c r="BA40" s="539"/>
      <c r="BB40" s="539"/>
      <c r="BC40" s="539"/>
      <c r="BD40" s="539"/>
      <c r="BE40" s="539"/>
      <c r="BF40" s="539"/>
      <c r="BG40" s="539"/>
      <c r="BH40" s="539"/>
      <c r="BI40" s="539"/>
      <c r="BJ40" s="539"/>
      <c r="BK40" s="539"/>
      <c r="BL40" s="539"/>
      <c r="BM40" s="539"/>
      <c r="BN40" s="539"/>
      <c r="BO40" s="539"/>
      <c r="BP40" s="539"/>
      <c r="BQ40" s="539"/>
      <c r="BR40" s="539"/>
      <c r="BS40" s="539"/>
      <c r="BT40" s="539"/>
      <c r="BU40" s="539"/>
      <c r="BV40" s="539"/>
      <c r="BW40" s="539"/>
      <c r="BX40" s="539"/>
      <c r="BY40" s="539"/>
      <c r="BZ40" s="539"/>
      <c r="CA40" s="539"/>
      <c r="CB40" s="539"/>
      <c r="CC40" s="539"/>
      <c r="CD40" s="539"/>
      <c r="CE40" s="539"/>
      <c r="CF40" s="539"/>
      <c r="CG40" s="539"/>
      <c r="CH40" s="539"/>
      <c r="CI40" s="539"/>
      <c r="CJ40" s="539"/>
      <c r="CK40" s="539"/>
      <c r="CL40" s="539"/>
      <c r="CM40" s="539"/>
      <c r="CN40" s="539"/>
      <c r="CO40" s="539"/>
      <c r="CP40" s="539"/>
      <c r="CQ40" s="539"/>
      <c r="CR40" s="539"/>
      <c r="CS40" s="539"/>
      <c r="CT40" s="539"/>
      <c r="CU40" s="539"/>
      <c r="CV40" s="539"/>
      <c r="CW40" s="539"/>
      <c r="CX40" s="539"/>
      <c r="CY40" s="539"/>
      <c r="CZ40" s="539"/>
      <c r="DA40" s="539"/>
      <c r="DB40" s="539"/>
      <c r="DC40" s="539"/>
      <c r="DD40" s="539"/>
      <c r="DE40" s="539"/>
      <c r="DF40" s="539"/>
      <c r="DG40" s="539"/>
      <c r="DH40" s="539"/>
      <c r="DI40" s="539"/>
      <c r="DJ40" s="539"/>
      <c r="DK40" s="539"/>
      <c r="DL40" s="539"/>
      <c r="DM40" s="539"/>
      <c r="DN40" s="539"/>
      <c r="DO40" s="539"/>
      <c r="DP40" s="539"/>
      <c r="DQ40" s="539"/>
      <c r="DR40" s="539"/>
      <c r="DS40" s="539"/>
      <c r="DT40" s="539"/>
      <c r="DU40" s="539"/>
      <c r="DV40" s="539"/>
      <c r="DW40" s="539"/>
      <c r="DX40" s="539"/>
      <c r="DY40" s="539"/>
      <c r="DZ40" s="539"/>
      <c r="EA40" s="539"/>
      <c r="EB40" s="539"/>
      <c r="EC40" s="539"/>
      <c r="ED40" s="539"/>
    </row>
    <row r="41" spans="1:134" ht="13.5" hidden="1" customHeight="1">
      <c r="A41" s="543"/>
      <c r="B41" s="5" t="e">
        <f>+#REF!</f>
        <v>#REF!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39"/>
      <c r="AR41" s="539"/>
      <c r="AS41" s="539"/>
      <c r="AT41" s="539"/>
      <c r="AU41" s="539"/>
      <c r="AV41" s="539"/>
      <c r="AW41" s="539"/>
      <c r="AX41" s="539"/>
      <c r="AY41" s="539"/>
      <c r="AZ41" s="539"/>
      <c r="BA41" s="539"/>
      <c r="BB41" s="539"/>
      <c r="BC41" s="539"/>
      <c r="BD41" s="539"/>
      <c r="BE41" s="539"/>
      <c r="BF41" s="539"/>
      <c r="BG41" s="539"/>
      <c r="BH41" s="539"/>
      <c r="BI41" s="539"/>
      <c r="BJ41" s="539"/>
      <c r="BK41" s="539"/>
      <c r="BL41" s="539"/>
      <c r="BM41" s="539"/>
      <c r="BN41" s="539"/>
      <c r="BO41" s="539"/>
      <c r="BP41" s="539"/>
      <c r="BQ41" s="539"/>
      <c r="BR41" s="539"/>
      <c r="BS41" s="539"/>
      <c r="BT41" s="539"/>
      <c r="BU41" s="539"/>
      <c r="BV41" s="539"/>
      <c r="BW41" s="539"/>
      <c r="BX41" s="539"/>
      <c r="BY41" s="539"/>
      <c r="BZ41" s="539"/>
      <c r="CA41" s="539"/>
      <c r="CB41" s="539"/>
      <c r="CC41" s="539"/>
      <c r="CD41" s="539"/>
      <c r="CE41" s="539"/>
      <c r="CF41" s="539"/>
      <c r="CG41" s="539"/>
      <c r="CH41" s="539"/>
      <c r="CI41" s="539"/>
      <c r="CJ41" s="539"/>
      <c r="CK41" s="539"/>
      <c r="CL41" s="539"/>
      <c r="CM41" s="539"/>
      <c r="CN41" s="539"/>
      <c r="CO41" s="539"/>
      <c r="CP41" s="539"/>
      <c r="CQ41" s="539"/>
      <c r="CR41" s="539"/>
      <c r="CS41" s="539"/>
      <c r="CT41" s="539"/>
      <c r="CU41" s="539"/>
      <c r="CV41" s="539"/>
      <c r="CW41" s="539"/>
      <c r="CX41" s="539"/>
      <c r="CY41" s="539"/>
      <c r="CZ41" s="539"/>
      <c r="DA41" s="539"/>
      <c r="DB41" s="539"/>
      <c r="DC41" s="539"/>
      <c r="DD41" s="539"/>
      <c r="DE41" s="539"/>
      <c r="DF41" s="539"/>
      <c r="DG41" s="539"/>
      <c r="DH41" s="539"/>
      <c r="DI41" s="539"/>
      <c r="DJ41" s="539"/>
      <c r="DK41" s="539"/>
      <c r="DL41" s="539"/>
      <c r="DM41" s="539"/>
      <c r="DN41" s="539"/>
      <c r="DO41" s="539"/>
      <c r="DP41" s="539"/>
      <c r="DQ41" s="539"/>
      <c r="DR41" s="539"/>
      <c r="DS41" s="539"/>
      <c r="DT41" s="539"/>
      <c r="DU41" s="539"/>
      <c r="DV41" s="539"/>
      <c r="DW41" s="539"/>
      <c r="DX41" s="539"/>
      <c r="DY41" s="539"/>
      <c r="DZ41" s="539"/>
      <c r="EA41" s="539"/>
      <c r="EB41" s="539"/>
      <c r="EC41" s="539"/>
      <c r="ED41" s="539"/>
    </row>
    <row r="42" spans="1:134" ht="13.5" hidden="1" customHeight="1">
      <c r="A42" s="543"/>
      <c r="B42" s="5" t="e">
        <f>+#REF!</f>
        <v>#REF!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39"/>
      <c r="AR42" s="539"/>
      <c r="AS42" s="539"/>
      <c r="AT42" s="539"/>
      <c r="AU42" s="539"/>
      <c r="AV42" s="539"/>
      <c r="AW42" s="539"/>
      <c r="AX42" s="539"/>
      <c r="AY42" s="539"/>
      <c r="AZ42" s="539"/>
      <c r="BA42" s="539"/>
      <c r="BB42" s="539"/>
      <c r="BC42" s="539"/>
      <c r="BD42" s="539"/>
      <c r="BE42" s="539"/>
      <c r="BF42" s="539"/>
      <c r="BG42" s="539"/>
      <c r="BH42" s="539"/>
      <c r="BI42" s="539"/>
      <c r="BJ42" s="539"/>
      <c r="BK42" s="539"/>
      <c r="BL42" s="539"/>
      <c r="BM42" s="539"/>
      <c r="BN42" s="539"/>
      <c r="BO42" s="539"/>
      <c r="BP42" s="539"/>
      <c r="BQ42" s="539"/>
      <c r="BR42" s="539"/>
      <c r="BS42" s="539"/>
      <c r="BT42" s="539"/>
      <c r="BU42" s="539"/>
      <c r="BV42" s="539"/>
      <c r="BW42" s="539"/>
      <c r="BX42" s="539"/>
      <c r="BY42" s="539"/>
      <c r="BZ42" s="539"/>
      <c r="CA42" s="539"/>
      <c r="CB42" s="539"/>
      <c r="CC42" s="539"/>
      <c r="CD42" s="539"/>
      <c r="CE42" s="539"/>
      <c r="CF42" s="539"/>
      <c r="CG42" s="539"/>
      <c r="CH42" s="539"/>
      <c r="CI42" s="539"/>
      <c r="CJ42" s="539"/>
      <c r="CK42" s="539"/>
      <c r="CL42" s="539"/>
      <c r="CM42" s="539"/>
      <c r="CN42" s="539"/>
      <c r="CO42" s="539"/>
      <c r="CP42" s="539"/>
      <c r="CQ42" s="539"/>
      <c r="CR42" s="539"/>
      <c r="CS42" s="539"/>
      <c r="CT42" s="539"/>
      <c r="CU42" s="539"/>
      <c r="CV42" s="539"/>
      <c r="CW42" s="539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39"/>
      <c r="DS42" s="539"/>
      <c r="DT42" s="539"/>
      <c r="DU42" s="539"/>
      <c r="DV42" s="539"/>
      <c r="DW42" s="539"/>
      <c r="DX42" s="539"/>
      <c r="DY42" s="539"/>
      <c r="DZ42" s="539"/>
      <c r="EA42" s="539"/>
      <c r="EB42" s="539"/>
      <c r="EC42" s="539"/>
      <c r="ED42" s="539"/>
    </row>
    <row r="43" spans="1:134" ht="13.5" hidden="1" customHeight="1">
      <c r="A43" s="543"/>
      <c r="B43" s="5" t="e">
        <f>+#REF!</f>
        <v>#REF!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39"/>
      <c r="AR43" s="539"/>
      <c r="AS43" s="539"/>
      <c r="AT43" s="539"/>
      <c r="AU43" s="539"/>
      <c r="AV43" s="539"/>
      <c r="AW43" s="539"/>
      <c r="AX43" s="539"/>
      <c r="AY43" s="539"/>
      <c r="AZ43" s="539"/>
      <c r="BA43" s="539"/>
      <c r="BB43" s="539"/>
      <c r="BC43" s="539"/>
      <c r="BD43" s="539"/>
      <c r="BE43" s="539"/>
      <c r="BF43" s="539"/>
      <c r="BG43" s="539"/>
      <c r="BH43" s="539"/>
      <c r="BI43" s="539"/>
      <c r="BJ43" s="539"/>
      <c r="BK43" s="539"/>
      <c r="BL43" s="539"/>
      <c r="BM43" s="539"/>
      <c r="BN43" s="539"/>
      <c r="BO43" s="539"/>
      <c r="BP43" s="539"/>
      <c r="BQ43" s="539"/>
      <c r="BR43" s="539"/>
      <c r="BS43" s="539"/>
      <c r="BT43" s="539"/>
      <c r="BU43" s="539"/>
      <c r="BV43" s="539"/>
      <c r="BW43" s="539"/>
      <c r="BX43" s="539"/>
      <c r="BY43" s="539"/>
      <c r="BZ43" s="539"/>
      <c r="CA43" s="539"/>
      <c r="CB43" s="539"/>
      <c r="CC43" s="539"/>
      <c r="CD43" s="539"/>
      <c r="CE43" s="539"/>
      <c r="CF43" s="539"/>
      <c r="CG43" s="539"/>
      <c r="CH43" s="539"/>
      <c r="CI43" s="539"/>
      <c r="CJ43" s="539"/>
      <c r="CK43" s="539"/>
      <c r="CL43" s="539"/>
      <c r="CM43" s="539"/>
      <c r="CN43" s="539"/>
      <c r="CO43" s="539"/>
      <c r="CP43" s="539"/>
      <c r="CQ43" s="539"/>
      <c r="CR43" s="539"/>
      <c r="CS43" s="539"/>
      <c r="CT43" s="539"/>
      <c r="CU43" s="539"/>
      <c r="CV43" s="539"/>
      <c r="CW43" s="539"/>
      <c r="CX43" s="539"/>
      <c r="CY43" s="539"/>
      <c r="CZ43" s="539"/>
      <c r="DA43" s="539"/>
      <c r="DB43" s="539"/>
      <c r="DC43" s="539"/>
      <c r="DD43" s="539"/>
      <c r="DE43" s="539"/>
      <c r="DF43" s="539"/>
      <c r="DG43" s="539"/>
      <c r="DH43" s="539"/>
      <c r="DI43" s="539"/>
      <c r="DJ43" s="539"/>
      <c r="DK43" s="539"/>
      <c r="DL43" s="539"/>
      <c r="DM43" s="539"/>
      <c r="DN43" s="539"/>
      <c r="DO43" s="539"/>
      <c r="DP43" s="539"/>
      <c r="DQ43" s="539"/>
      <c r="DR43" s="539"/>
      <c r="DS43" s="539"/>
      <c r="DT43" s="539"/>
      <c r="DU43" s="539"/>
      <c r="DV43" s="539"/>
      <c r="DW43" s="539"/>
      <c r="DX43" s="539"/>
      <c r="DY43" s="539"/>
      <c r="DZ43" s="539"/>
      <c r="EA43" s="539"/>
      <c r="EB43" s="539"/>
      <c r="EC43" s="539"/>
      <c r="ED43" s="539"/>
    </row>
    <row r="44" spans="1:134" ht="13.5" hidden="1" customHeight="1">
      <c r="A44" s="543"/>
      <c r="B44" s="5" t="e">
        <f>+#REF!</f>
        <v>#REF!</v>
      </c>
      <c r="C44" s="544"/>
      <c r="D44" s="544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  <c r="AC44" s="544"/>
      <c r="AD44" s="544"/>
      <c r="AE44" s="544"/>
      <c r="AF44" s="544"/>
      <c r="AG44" s="544"/>
      <c r="AH44" s="544"/>
      <c r="AI44" s="544"/>
      <c r="AJ44" s="544"/>
      <c r="AK44" s="544"/>
      <c r="AL44" s="544"/>
      <c r="AM44" s="544"/>
      <c r="AN44" s="544"/>
      <c r="AO44" s="544"/>
      <c r="AP44" s="544"/>
      <c r="AQ44" s="539"/>
      <c r="AR44" s="539"/>
      <c r="AS44" s="539"/>
      <c r="AT44" s="539"/>
      <c r="AU44" s="539"/>
      <c r="AV44" s="539"/>
      <c r="AW44" s="539"/>
      <c r="AX44" s="539"/>
      <c r="AY44" s="539"/>
      <c r="AZ44" s="539"/>
      <c r="BA44" s="539"/>
      <c r="BB44" s="539"/>
      <c r="BC44" s="539"/>
      <c r="BD44" s="539"/>
      <c r="BE44" s="539"/>
      <c r="BF44" s="539"/>
      <c r="BG44" s="539"/>
      <c r="BH44" s="539"/>
      <c r="BI44" s="539"/>
      <c r="BJ44" s="539"/>
      <c r="BK44" s="539"/>
      <c r="BL44" s="539"/>
      <c r="BM44" s="539"/>
      <c r="BN44" s="539"/>
      <c r="BO44" s="539"/>
      <c r="BP44" s="539"/>
      <c r="BQ44" s="539"/>
      <c r="BR44" s="539"/>
      <c r="BS44" s="539"/>
      <c r="BT44" s="539"/>
      <c r="BU44" s="539"/>
      <c r="BV44" s="539"/>
      <c r="BW44" s="539"/>
      <c r="BX44" s="539"/>
      <c r="BY44" s="539"/>
      <c r="BZ44" s="539"/>
      <c r="CA44" s="539"/>
      <c r="CB44" s="539"/>
      <c r="CC44" s="539"/>
      <c r="CD44" s="539"/>
      <c r="CE44" s="539"/>
      <c r="CF44" s="539"/>
      <c r="CG44" s="539"/>
      <c r="CH44" s="539"/>
      <c r="CI44" s="539"/>
      <c r="CJ44" s="539"/>
      <c r="CK44" s="539"/>
      <c r="CL44" s="539"/>
      <c r="CM44" s="539"/>
      <c r="CN44" s="539"/>
      <c r="CO44" s="539"/>
      <c r="CP44" s="539"/>
      <c r="CQ44" s="539"/>
      <c r="CR44" s="539"/>
      <c r="CS44" s="539"/>
      <c r="CT44" s="539"/>
      <c r="CU44" s="539"/>
      <c r="CV44" s="539"/>
      <c r="CW44" s="539"/>
      <c r="CX44" s="539"/>
      <c r="CY44" s="539"/>
      <c r="CZ44" s="539"/>
      <c r="DA44" s="539"/>
      <c r="DB44" s="539"/>
      <c r="DC44" s="539"/>
      <c r="DD44" s="539"/>
      <c r="DE44" s="539"/>
      <c r="DF44" s="539"/>
      <c r="DG44" s="539"/>
      <c r="DH44" s="539"/>
      <c r="DI44" s="539"/>
      <c r="DJ44" s="539"/>
      <c r="DK44" s="539"/>
      <c r="DL44" s="539"/>
      <c r="DM44" s="539"/>
      <c r="DN44" s="539"/>
      <c r="DO44" s="539"/>
      <c r="DP44" s="539"/>
      <c r="DQ44" s="539"/>
      <c r="DR44" s="539"/>
      <c r="DS44" s="539"/>
      <c r="DT44" s="539"/>
      <c r="DU44" s="539"/>
      <c r="DV44" s="539"/>
      <c r="DW44" s="539"/>
      <c r="DX44" s="539"/>
      <c r="DY44" s="539"/>
      <c r="DZ44" s="539"/>
      <c r="EA44" s="539"/>
      <c r="EB44" s="539"/>
      <c r="EC44" s="539"/>
      <c r="ED44" s="539"/>
    </row>
    <row r="45" spans="1:134" ht="13.5" hidden="1" customHeight="1">
      <c r="A45" s="543"/>
      <c r="B45" s="5" t="e">
        <f>+#REF!</f>
        <v>#REF!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539"/>
      <c r="AR45" s="539"/>
      <c r="AS45" s="539"/>
      <c r="AT45" s="539"/>
      <c r="AU45" s="539"/>
      <c r="AV45" s="539"/>
      <c r="AW45" s="539"/>
      <c r="AX45" s="539"/>
      <c r="AY45" s="539"/>
      <c r="AZ45" s="539"/>
      <c r="BA45" s="539"/>
      <c r="BB45" s="539"/>
      <c r="BC45" s="539"/>
      <c r="BD45" s="539"/>
      <c r="BE45" s="539"/>
      <c r="BF45" s="539"/>
      <c r="BG45" s="539"/>
      <c r="BH45" s="539"/>
      <c r="BI45" s="539"/>
      <c r="BJ45" s="539"/>
      <c r="BK45" s="539"/>
      <c r="BL45" s="539"/>
      <c r="BM45" s="539"/>
      <c r="BN45" s="539"/>
      <c r="BO45" s="539"/>
      <c r="BP45" s="539"/>
      <c r="BQ45" s="539"/>
      <c r="BR45" s="539"/>
      <c r="BS45" s="539"/>
      <c r="BT45" s="539"/>
      <c r="BU45" s="539"/>
      <c r="BV45" s="539"/>
      <c r="BW45" s="539"/>
      <c r="BX45" s="539"/>
      <c r="BY45" s="539"/>
      <c r="BZ45" s="539"/>
      <c r="CA45" s="539"/>
      <c r="CB45" s="539"/>
      <c r="CC45" s="539"/>
      <c r="CD45" s="539"/>
      <c r="CE45" s="539"/>
      <c r="CF45" s="539"/>
      <c r="CG45" s="539"/>
      <c r="CH45" s="539"/>
      <c r="CI45" s="539"/>
      <c r="CJ45" s="539"/>
      <c r="CK45" s="539"/>
      <c r="CL45" s="539"/>
      <c r="CM45" s="539"/>
      <c r="CN45" s="539"/>
      <c r="CO45" s="539"/>
      <c r="CP45" s="539"/>
      <c r="CQ45" s="539"/>
      <c r="CR45" s="539"/>
      <c r="CS45" s="539"/>
      <c r="CT45" s="539"/>
      <c r="CU45" s="539"/>
      <c r="CV45" s="539"/>
      <c r="CW45" s="539"/>
      <c r="CX45" s="539"/>
      <c r="CY45" s="539"/>
      <c r="CZ45" s="539"/>
      <c r="DA45" s="539"/>
      <c r="DB45" s="539"/>
      <c r="DC45" s="539"/>
      <c r="DD45" s="539"/>
      <c r="DE45" s="539"/>
      <c r="DF45" s="539"/>
      <c r="DG45" s="539"/>
      <c r="DH45" s="539"/>
      <c r="DI45" s="539"/>
      <c r="DJ45" s="539"/>
      <c r="DK45" s="539"/>
      <c r="DL45" s="539"/>
      <c r="DM45" s="539"/>
      <c r="DN45" s="539"/>
      <c r="DO45" s="539"/>
      <c r="DP45" s="539"/>
      <c r="DQ45" s="539"/>
      <c r="DR45" s="539"/>
      <c r="DS45" s="539"/>
      <c r="DT45" s="539"/>
      <c r="DU45" s="539"/>
      <c r="DV45" s="539"/>
      <c r="DW45" s="539"/>
      <c r="DX45" s="539"/>
      <c r="DY45" s="539"/>
      <c r="DZ45" s="539"/>
      <c r="EA45" s="539"/>
      <c r="EB45" s="539"/>
      <c r="EC45" s="539"/>
      <c r="ED45" s="539"/>
    </row>
    <row r="46" spans="1:134" ht="13.5" hidden="1" customHeight="1">
      <c r="A46" s="543"/>
      <c r="B46" s="5" t="e">
        <f>+#REF!</f>
        <v>#REF!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539"/>
      <c r="AR46" s="539"/>
      <c r="AS46" s="539"/>
      <c r="AT46" s="539"/>
      <c r="AU46" s="539"/>
      <c r="AV46" s="539"/>
      <c r="AW46" s="539"/>
      <c r="AX46" s="539"/>
      <c r="AY46" s="539"/>
      <c r="AZ46" s="539"/>
      <c r="BA46" s="539"/>
      <c r="BB46" s="539"/>
      <c r="BC46" s="539"/>
      <c r="BD46" s="539"/>
      <c r="BE46" s="539"/>
      <c r="BF46" s="539"/>
      <c r="BG46" s="539"/>
      <c r="BH46" s="539"/>
      <c r="BI46" s="539"/>
      <c r="BJ46" s="539"/>
      <c r="BK46" s="539"/>
      <c r="BL46" s="539"/>
      <c r="BM46" s="539"/>
      <c r="BN46" s="539"/>
      <c r="BO46" s="539"/>
      <c r="BP46" s="539"/>
      <c r="BQ46" s="539"/>
      <c r="BR46" s="539"/>
      <c r="BS46" s="539"/>
      <c r="BT46" s="539"/>
      <c r="BU46" s="539"/>
      <c r="BV46" s="539"/>
      <c r="BW46" s="539"/>
      <c r="BX46" s="539"/>
      <c r="BY46" s="539"/>
      <c r="BZ46" s="539"/>
      <c r="CA46" s="539"/>
      <c r="CB46" s="539"/>
      <c r="CC46" s="539"/>
      <c r="CD46" s="539"/>
      <c r="CE46" s="539"/>
      <c r="CF46" s="539"/>
      <c r="CG46" s="539"/>
      <c r="CH46" s="539"/>
      <c r="CI46" s="539"/>
      <c r="CJ46" s="539"/>
      <c r="CK46" s="539"/>
      <c r="CL46" s="539"/>
      <c r="CM46" s="539"/>
      <c r="CN46" s="539"/>
      <c r="CO46" s="539"/>
      <c r="CP46" s="539"/>
      <c r="CQ46" s="539"/>
      <c r="CR46" s="539"/>
      <c r="CS46" s="539"/>
      <c r="CT46" s="539"/>
      <c r="CU46" s="539"/>
      <c r="CV46" s="539"/>
      <c r="CW46" s="539"/>
      <c r="CX46" s="539"/>
      <c r="CY46" s="539"/>
      <c r="CZ46" s="539"/>
      <c r="DA46" s="539"/>
      <c r="DB46" s="539"/>
      <c r="DC46" s="539"/>
      <c r="DD46" s="539"/>
      <c r="DE46" s="539"/>
      <c r="DF46" s="539"/>
      <c r="DG46" s="539"/>
      <c r="DH46" s="539"/>
      <c r="DI46" s="539"/>
      <c r="DJ46" s="539"/>
      <c r="DK46" s="539"/>
      <c r="DL46" s="539"/>
      <c r="DM46" s="539"/>
      <c r="DN46" s="539"/>
      <c r="DO46" s="539"/>
      <c r="DP46" s="539"/>
      <c r="DQ46" s="539"/>
      <c r="DR46" s="539"/>
      <c r="DS46" s="539"/>
      <c r="DT46" s="539"/>
      <c r="DU46" s="539"/>
      <c r="DV46" s="539"/>
      <c r="DW46" s="539"/>
      <c r="DX46" s="539"/>
      <c r="DY46" s="539"/>
      <c r="DZ46" s="539"/>
      <c r="EA46" s="539"/>
      <c r="EB46" s="539"/>
      <c r="EC46" s="539"/>
      <c r="ED46" s="539"/>
    </row>
    <row r="47" spans="1:134" ht="13.5" hidden="1" customHeight="1">
      <c r="A47" s="543"/>
      <c r="B47" s="5" t="e">
        <f>+#REF!</f>
        <v>#REF!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539"/>
      <c r="AR47" s="539"/>
      <c r="AS47" s="539"/>
      <c r="AT47" s="539"/>
      <c r="AU47" s="539"/>
      <c r="AV47" s="539"/>
      <c r="AW47" s="539"/>
      <c r="AX47" s="539"/>
      <c r="AY47" s="539"/>
      <c r="AZ47" s="539"/>
      <c r="BA47" s="539"/>
      <c r="BB47" s="539"/>
      <c r="BC47" s="539"/>
      <c r="BD47" s="539"/>
      <c r="BE47" s="539"/>
      <c r="BF47" s="539"/>
      <c r="BG47" s="539"/>
      <c r="BH47" s="539"/>
      <c r="BI47" s="539"/>
      <c r="BJ47" s="539"/>
      <c r="BK47" s="539"/>
      <c r="BL47" s="539"/>
      <c r="BM47" s="539"/>
      <c r="BN47" s="539"/>
      <c r="BO47" s="539"/>
      <c r="BP47" s="539"/>
      <c r="BQ47" s="539"/>
      <c r="BR47" s="539"/>
      <c r="BS47" s="539"/>
      <c r="BT47" s="539"/>
      <c r="BU47" s="539"/>
      <c r="BV47" s="539"/>
      <c r="BW47" s="539"/>
      <c r="BX47" s="539"/>
      <c r="BY47" s="539"/>
      <c r="BZ47" s="539"/>
      <c r="CA47" s="539"/>
      <c r="CB47" s="539"/>
      <c r="CC47" s="539"/>
      <c r="CD47" s="539"/>
      <c r="CE47" s="539"/>
      <c r="CF47" s="539"/>
      <c r="CG47" s="539"/>
      <c r="CH47" s="539"/>
      <c r="CI47" s="539"/>
      <c r="CJ47" s="539"/>
      <c r="CK47" s="539"/>
      <c r="CL47" s="539"/>
      <c r="CM47" s="539"/>
      <c r="CN47" s="539"/>
      <c r="CO47" s="539"/>
      <c r="CP47" s="539"/>
      <c r="CQ47" s="539"/>
      <c r="CR47" s="539"/>
      <c r="CS47" s="539"/>
      <c r="CT47" s="539"/>
      <c r="CU47" s="539"/>
      <c r="CV47" s="539"/>
      <c r="CW47" s="539"/>
      <c r="CX47" s="539"/>
      <c r="CY47" s="539"/>
      <c r="CZ47" s="539"/>
      <c r="DA47" s="539"/>
      <c r="DB47" s="539"/>
      <c r="DC47" s="539"/>
      <c r="DD47" s="539"/>
      <c r="DE47" s="539"/>
      <c r="DF47" s="539"/>
      <c r="DG47" s="539"/>
      <c r="DH47" s="539"/>
      <c r="DI47" s="539"/>
      <c r="DJ47" s="539"/>
      <c r="DK47" s="539"/>
      <c r="DL47" s="539"/>
      <c r="DM47" s="539"/>
      <c r="DN47" s="539"/>
      <c r="DO47" s="539"/>
      <c r="DP47" s="539"/>
      <c r="DQ47" s="539"/>
      <c r="DR47" s="539"/>
      <c r="DS47" s="539"/>
      <c r="DT47" s="539"/>
      <c r="DU47" s="539"/>
      <c r="DV47" s="539"/>
      <c r="DW47" s="539"/>
      <c r="DX47" s="539"/>
      <c r="DY47" s="539"/>
      <c r="DZ47" s="539"/>
      <c r="EA47" s="539"/>
      <c r="EB47" s="539"/>
      <c r="EC47" s="539"/>
      <c r="ED47" s="539"/>
    </row>
    <row r="48" spans="1:134" ht="13.5" hidden="1" customHeight="1">
      <c r="A48" s="543"/>
      <c r="B48" s="5" t="e">
        <f>+#REF!</f>
        <v>#REF!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539"/>
      <c r="AR48" s="539"/>
      <c r="AS48" s="539"/>
      <c r="AT48" s="539"/>
      <c r="AU48" s="539"/>
      <c r="AV48" s="539"/>
      <c r="AW48" s="539"/>
      <c r="AX48" s="539"/>
      <c r="AY48" s="539"/>
      <c r="AZ48" s="539"/>
      <c r="BA48" s="539"/>
      <c r="BB48" s="539"/>
      <c r="BC48" s="539"/>
      <c r="BD48" s="539"/>
      <c r="BE48" s="539"/>
      <c r="BF48" s="539"/>
      <c r="BG48" s="539"/>
      <c r="BH48" s="539"/>
      <c r="BI48" s="539"/>
      <c r="BJ48" s="539"/>
      <c r="BK48" s="539"/>
      <c r="BL48" s="539"/>
      <c r="BM48" s="539"/>
      <c r="BN48" s="539"/>
      <c r="BO48" s="539"/>
      <c r="BP48" s="539"/>
      <c r="BQ48" s="539"/>
      <c r="BR48" s="539"/>
      <c r="BS48" s="539"/>
      <c r="BT48" s="539"/>
      <c r="BU48" s="539"/>
      <c r="BV48" s="539"/>
      <c r="BW48" s="539"/>
      <c r="BX48" s="539"/>
      <c r="BY48" s="539"/>
      <c r="BZ48" s="539"/>
      <c r="CA48" s="539"/>
      <c r="CB48" s="539"/>
      <c r="CC48" s="539"/>
      <c r="CD48" s="539"/>
      <c r="CE48" s="539"/>
      <c r="CF48" s="539"/>
      <c r="CG48" s="539"/>
      <c r="CH48" s="539"/>
      <c r="CI48" s="539"/>
      <c r="CJ48" s="539"/>
      <c r="CK48" s="539"/>
      <c r="CL48" s="539"/>
      <c r="CM48" s="539"/>
      <c r="CN48" s="539"/>
      <c r="CO48" s="539"/>
      <c r="CP48" s="539"/>
      <c r="CQ48" s="539"/>
      <c r="CR48" s="539"/>
      <c r="CS48" s="539"/>
      <c r="CT48" s="539"/>
      <c r="CU48" s="539"/>
      <c r="CV48" s="539"/>
      <c r="CW48" s="539"/>
      <c r="CX48" s="539"/>
      <c r="CY48" s="539"/>
      <c r="CZ48" s="539"/>
      <c r="DA48" s="539"/>
      <c r="DB48" s="539"/>
      <c r="DC48" s="539"/>
      <c r="DD48" s="539"/>
      <c r="DE48" s="539"/>
      <c r="DF48" s="539"/>
      <c r="DG48" s="539"/>
      <c r="DH48" s="539"/>
      <c r="DI48" s="539"/>
      <c r="DJ48" s="539"/>
      <c r="DK48" s="539"/>
      <c r="DL48" s="539"/>
      <c r="DM48" s="539"/>
      <c r="DN48" s="539"/>
      <c r="DO48" s="539"/>
      <c r="DP48" s="539"/>
      <c r="DQ48" s="539"/>
      <c r="DR48" s="539"/>
      <c r="DS48" s="539"/>
      <c r="DT48" s="539"/>
      <c r="DU48" s="539"/>
      <c r="DV48" s="539"/>
      <c r="DW48" s="539"/>
      <c r="DX48" s="539"/>
      <c r="DY48" s="539"/>
      <c r="DZ48" s="539"/>
      <c r="EA48" s="539"/>
      <c r="EB48" s="539"/>
      <c r="EC48" s="539"/>
      <c r="ED48" s="539"/>
    </row>
    <row r="49" spans="1:134" ht="13.5" hidden="1" customHeight="1">
      <c r="A49" s="543"/>
      <c r="B49" s="5" t="e">
        <f>+#REF!</f>
        <v>#REF!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539"/>
      <c r="AR49" s="539"/>
      <c r="AS49" s="539"/>
      <c r="AT49" s="539"/>
      <c r="AU49" s="539"/>
      <c r="AV49" s="539"/>
      <c r="AW49" s="539"/>
      <c r="AX49" s="539"/>
      <c r="AY49" s="539"/>
      <c r="AZ49" s="539"/>
      <c r="BA49" s="539"/>
      <c r="BB49" s="539"/>
      <c r="BC49" s="539"/>
      <c r="BD49" s="539"/>
      <c r="BE49" s="539"/>
      <c r="BF49" s="539"/>
      <c r="BG49" s="539"/>
      <c r="BH49" s="539"/>
      <c r="BI49" s="539"/>
      <c r="BJ49" s="539"/>
      <c r="BK49" s="539"/>
      <c r="BL49" s="539"/>
      <c r="BM49" s="539"/>
      <c r="BN49" s="539"/>
      <c r="BO49" s="539"/>
      <c r="BP49" s="539"/>
      <c r="BQ49" s="539"/>
      <c r="BR49" s="539"/>
      <c r="BS49" s="539"/>
      <c r="BT49" s="539"/>
      <c r="BU49" s="539"/>
      <c r="BV49" s="539"/>
      <c r="BW49" s="539"/>
      <c r="BX49" s="539"/>
      <c r="BY49" s="539"/>
      <c r="BZ49" s="539"/>
      <c r="CA49" s="539"/>
      <c r="CB49" s="539"/>
      <c r="CC49" s="539"/>
      <c r="CD49" s="539"/>
      <c r="CE49" s="539"/>
      <c r="CF49" s="539"/>
      <c r="CG49" s="539"/>
      <c r="CH49" s="539"/>
      <c r="CI49" s="539"/>
      <c r="CJ49" s="539"/>
      <c r="CK49" s="539"/>
      <c r="CL49" s="539"/>
      <c r="CM49" s="539"/>
      <c r="CN49" s="539"/>
      <c r="CO49" s="539"/>
      <c r="CP49" s="539"/>
      <c r="CQ49" s="539"/>
      <c r="CR49" s="539"/>
      <c r="CS49" s="539"/>
      <c r="CT49" s="539"/>
      <c r="CU49" s="539"/>
      <c r="CV49" s="539"/>
      <c r="CW49" s="539"/>
      <c r="CX49" s="539"/>
      <c r="CY49" s="539"/>
      <c r="CZ49" s="539"/>
      <c r="DA49" s="539"/>
      <c r="DB49" s="539"/>
      <c r="DC49" s="539"/>
      <c r="DD49" s="539"/>
      <c r="DE49" s="539"/>
      <c r="DF49" s="539"/>
      <c r="DG49" s="539"/>
      <c r="DH49" s="539"/>
      <c r="DI49" s="539"/>
      <c r="DJ49" s="539"/>
      <c r="DK49" s="539"/>
      <c r="DL49" s="539"/>
      <c r="DM49" s="539"/>
      <c r="DN49" s="539"/>
      <c r="DO49" s="539"/>
      <c r="DP49" s="539"/>
      <c r="DQ49" s="539"/>
      <c r="DR49" s="539"/>
      <c r="DS49" s="539"/>
      <c r="DT49" s="539"/>
      <c r="DU49" s="539"/>
      <c r="DV49" s="539"/>
      <c r="DW49" s="539"/>
      <c r="DX49" s="539"/>
      <c r="DY49" s="539"/>
      <c r="DZ49" s="539"/>
      <c r="EA49" s="539"/>
      <c r="EB49" s="539"/>
      <c r="EC49" s="539"/>
      <c r="ED49" s="539"/>
    </row>
    <row r="50" spans="1:134" ht="13.5" hidden="1" customHeight="1">
      <c r="A50" s="543"/>
      <c r="B50" s="5" t="e">
        <f>+#REF!</f>
        <v>#REF!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539"/>
      <c r="AR50" s="539"/>
      <c r="AS50" s="539"/>
      <c r="AT50" s="539"/>
      <c r="AU50" s="539"/>
      <c r="AV50" s="539"/>
      <c r="AW50" s="539"/>
      <c r="AX50" s="539"/>
      <c r="AY50" s="539"/>
      <c r="AZ50" s="539"/>
      <c r="BA50" s="539"/>
      <c r="BB50" s="539"/>
      <c r="BC50" s="539"/>
      <c r="BD50" s="539"/>
      <c r="BE50" s="539"/>
      <c r="BF50" s="539"/>
      <c r="BG50" s="539"/>
      <c r="BH50" s="539"/>
      <c r="BI50" s="539"/>
      <c r="BJ50" s="539"/>
      <c r="BK50" s="539"/>
      <c r="BL50" s="539"/>
      <c r="BM50" s="539"/>
      <c r="BN50" s="539"/>
      <c r="BO50" s="539"/>
      <c r="BP50" s="539"/>
      <c r="BQ50" s="539"/>
      <c r="BR50" s="539"/>
      <c r="BS50" s="539"/>
      <c r="BT50" s="539"/>
      <c r="BU50" s="539"/>
      <c r="BV50" s="539"/>
      <c r="BW50" s="539"/>
      <c r="BX50" s="539"/>
      <c r="BY50" s="539"/>
      <c r="BZ50" s="539"/>
      <c r="CA50" s="539"/>
      <c r="CB50" s="539"/>
      <c r="CC50" s="539"/>
      <c r="CD50" s="539"/>
      <c r="CE50" s="539"/>
      <c r="CF50" s="539"/>
      <c r="CG50" s="539"/>
      <c r="CH50" s="539"/>
      <c r="CI50" s="539"/>
      <c r="CJ50" s="539"/>
      <c r="CK50" s="539"/>
      <c r="CL50" s="539"/>
      <c r="CM50" s="539"/>
      <c r="CN50" s="539"/>
      <c r="CO50" s="539"/>
      <c r="CP50" s="539"/>
      <c r="CQ50" s="539"/>
      <c r="CR50" s="539"/>
      <c r="CS50" s="539"/>
      <c r="CT50" s="539"/>
      <c r="CU50" s="539"/>
      <c r="CV50" s="539"/>
      <c r="CW50" s="539"/>
      <c r="CX50" s="539"/>
      <c r="CY50" s="539"/>
      <c r="CZ50" s="539"/>
      <c r="DA50" s="539"/>
      <c r="DB50" s="539"/>
      <c r="DC50" s="539"/>
      <c r="DD50" s="539"/>
      <c r="DE50" s="539"/>
      <c r="DF50" s="539"/>
      <c r="DG50" s="539"/>
      <c r="DH50" s="539"/>
      <c r="DI50" s="539"/>
      <c r="DJ50" s="539"/>
      <c r="DK50" s="539"/>
      <c r="DL50" s="539"/>
      <c r="DM50" s="539"/>
      <c r="DN50" s="539"/>
      <c r="DO50" s="539"/>
      <c r="DP50" s="539"/>
      <c r="DQ50" s="539"/>
      <c r="DR50" s="539"/>
      <c r="DS50" s="539"/>
      <c r="DT50" s="539"/>
      <c r="DU50" s="539"/>
      <c r="DV50" s="539"/>
      <c r="DW50" s="539"/>
      <c r="DX50" s="539"/>
      <c r="DY50" s="539"/>
      <c r="DZ50" s="539"/>
      <c r="EA50" s="539"/>
      <c r="EB50" s="539"/>
      <c r="EC50" s="539"/>
      <c r="ED50" s="539"/>
    </row>
    <row r="51" spans="1:134" ht="13.5" hidden="1" customHeight="1">
      <c r="A51" s="543"/>
      <c r="B51" s="5" t="e">
        <f>+#REF!</f>
        <v>#REF!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539"/>
      <c r="AR51" s="539"/>
      <c r="AS51" s="539"/>
      <c r="AT51" s="539"/>
      <c r="AU51" s="539"/>
      <c r="AV51" s="539"/>
      <c r="AW51" s="539"/>
      <c r="AX51" s="539"/>
      <c r="AY51" s="539"/>
      <c r="AZ51" s="539"/>
      <c r="BA51" s="539"/>
      <c r="BB51" s="539"/>
      <c r="BC51" s="539"/>
      <c r="BD51" s="539"/>
      <c r="BE51" s="539"/>
      <c r="BF51" s="539"/>
      <c r="BG51" s="539"/>
      <c r="BH51" s="539"/>
      <c r="BI51" s="539"/>
      <c r="BJ51" s="539"/>
      <c r="BK51" s="539"/>
      <c r="BL51" s="539"/>
      <c r="BM51" s="539"/>
      <c r="BN51" s="539"/>
      <c r="BO51" s="539"/>
      <c r="BP51" s="539"/>
      <c r="BQ51" s="539"/>
      <c r="BR51" s="539"/>
      <c r="BS51" s="539"/>
      <c r="BT51" s="539"/>
      <c r="BU51" s="539"/>
      <c r="BV51" s="539"/>
      <c r="BW51" s="539"/>
      <c r="BX51" s="539"/>
      <c r="BY51" s="539"/>
      <c r="BZ51" s="539"/>
      <c r="CA51" s="539"/>
      <c r="CB51" s="539"/>
      <c r="CC51" s="539"/>
      <c r="CD51" s="539"/>
      <c r="CE51" s="539"/>
      <c r="CF51" s="539"/>
      <c r="CG51" s="539"/>
      <c r="CH51" s="539"/>
      <c r="CI51" s="539"/>
      <c r="CJ51" s="539"/>
      <c r="CK51" s="539"/>
      <c r="CL51" s="539"/>
      <c r="CM51" s="539"/>
      <c r="CN51" s="539"/>
      <c r="CO51" s="539"/>
      <c r="CP51" s="539"/>
      <c r="CQ51" s="539"/>
      <c r="CR51" s="539"/>
      <c r="CS51" s="539"/>
      <c r="CT51" s="539"/>
      <c r="CU51" s="539"/>
      <c r="CV51" s="539"/>
      <c r="CW51" s="539"/>
      <c r="CX51" s="539"/>
      <c r="CY51" s="539"/>
      <c r="CZ51" s="539"/>
      <c r="DA51" s="539"/>
      <c r="DB51" s="539"/>
      <c r="DC51" s="539"/>
      <c r="DD51" s="539"/>
      <c r="DE51" s="539"/>
      <c r="DF51" s="539"/>
      <c r="DG51" s="539"/>
      <c r="DH51" s="539"/>
      <c r="DI51" s="539"/>
      <c r="DJ51" s="539"/>
      <c r="DK51" s="539"/>
      <c r="DL51" s="539"/>
      <c r="DM51" s="539"/>
      <c r="DN51" s="539"/>
      <c r="DO51" s="539"/>
      <c r="DP51" s="539"/>
      <c r="DQ51" s="539"/>
      <c r="DR51" s="539"/>
      <c r="DS51" s="539"/>
      <c r="DT51" s="539"/>
      <c r="DU51" s="539"/>
      <c r="DV51" s="539"/>
      <c r="DW51" s="539"/>
      <c r="DX51" s="539"/>
      <c r="DY51" s="539"/>
      <c r="DZ51" s="539"/>
      <c r="EA51" s="539"/>
      <c r="EB51" s="539"/>
      <c r="EC51" s="539"/>
      <c r="ED51" s="539"/>
    </row>
    <row r="52" spans="1:134" ht="13.5" customHeight="1">
      <c r="A52" s="539"/>
      <c r="B52" s="3" t="e">
        <f>+#REF!</f>
        <v>#REF!</v>
      </c>
      <c r="C52" s="3">
        <v>-2919</v>
      </c>
      <c r="D52" s="3">
        <v>-61053</v>
      </c>
      <c r="E52" s="3">
        <v>151</v>
      </c>
      <c r="F52" s="3">
        <v>-1689</v>
      </c>
      <c r="G52" s="3">
        <v>-3548.0997366501283</v>
      </c>
      <c r="H52" s="3">
        <v>-3768.9109955910099</v>
      </c>
      <c r="I52" s="3">
        <v>-3980.9844912111876</v>
      </c>
      <c r="J52" s="3">
        <v>-4176.9021037082539</v>
      </c>
      <c r="K52" s="3">
        <v>-4382.6155793967946</v>
      </c>
      <c r="L52" s="3">
        <v>0</v>
      </c>
      <c r="M52" s="3">
        <v>0</v>
      </c>
      <c r="N52" s="3">
        <v>0</v>
      </c>
      <c r="O52" s="3">
        <v>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539"/>
      <c r="AR52" s="539"/>
      <c r="AS52" s="539"/>
      <c r="AT52" s="539"/>
      <c r="AU52" s="539"/>
      <c r="AV52" s="539"/>
      <c r="AW52" s="539"/>
      <c r="AX52" s="539"/>
      <c r="AY52" s="539"/>
      <c r="AZ52" s="539"/>
      <c r="BA52" s="539"/>
      <c r="BB52" s="539"/>
      <c r="BC52" s="539"/>
      <c r="BD52" s="539"/>
      <c r="BE52" s="539"/>
      <c r="BF52" s="539"/>
      <c r="BG52" s="539"/>
      <c r="BH52" s="539"/>
      <c r="BI52" s="539"/>
      <c r="BJ52" s="539"/>
      <c r="BK52" s="539"/>
      <c r="BL52" s="539"/>
      <c r="BM52" s="539"/>
      <c r="BN52" s="539"/>
      <c r="BO52" s="539"/>
      <c r="BP52" s="539"/>
      <c r="BQ52" s="539"/>
      <c r="BR52" s="539"/>
      <c r="BS52" s="539"/>
      <c r="BT52" s="539"/>
      <c r="BU52" s="539"/>
      <c r="BV52" s="539"/>
      <c r="BW52" s="539"/>
      <c r="BX52" s="539"/>
      <c r="BY52" s="539"/>
      <c r="BZ52" s="539"/>
      <c r="CA52" s="539"/>
      <c r="CB52" s="539"/>
      <c r="CC52" s="539"/>
      <c r="CD52" s="539"/>
      <c r="CE52" s="539"/>
      <c r="CF52" s="539"/>
      <c r="CG52" s="539"/>
      <c r="CH52" s="539"/>
      <c r="CI52" s="539"/>
      <c r="CJ52" s="539"/>
      <c r="CK52" s="539"/>
      <c r="CL52" s="539"/>
      <c r="CM52" s="539"/>
      <c r="CN52" s="539"/>
      <c r="CO52" s="539"/>
      <c r="CP52" s="539"/>
      <c r="CQ52" s="539"/>
      <c r="CR52" s="539"/>
      <c r="CS52" s="539"/>
      <c r="CT52" s="539"/>
      <c r="CU52" s="539"/>
      <c r="CV52" s="539"/>
      <c r="CW52" s="539"/>
      <c r="CX52" s="539"/>
      <c r="CY52" s="539"/>
      <c r="CZ52" s="539"/>
      <c r="DA52" s="539"/>
      <c r="DB52" s="539"/>
      <c r="DC52" s="539"/>
      <c r="DD52" s="539"/>
      <c r="DE52" s="539"/>
      <c r="DF52" s="539"/>
      <c r="DG52" s="539"/>
      <c r="DH52" s="539"/>
      <c r="DI52" s="539"/>
      <c r="DJ52" s="539"/>
      <c r="DK52" s="539"/>
      <c r="DL52" s="539"/>
      <c r="DM52" s="539"/>
      <c r="DN52" s="539"/>
      <c r="DO52" s="539"/>
      <c r="DP52" s="539"/>
      <c r="DQ52" s="539"/>
      <c r="DR52" s="539"/>
      <c r="DS52" s="539"/>
      <c r="DT52" s="539"/>
      <c r="DU52" s="539"/>
      <c r="DV52" s="539"/>
      <c r="DW52" s="539"/>
      <c r="DX52" s="539"/>
      <c r="DY52" s="539"/>
      <c r="DZ52" s="539"/>
      <c r="EA52" s="539"/>
      <c r="EB52" s="539"/>
      <c r="EC52" s="539"/>
      <c r="ED52" s="539"/>
    </row>
    <row r="53" spans="1:134" ht="13.5" hidden="1" customHeight="1">
      <c r="A53" s="543"/>
      <c r="B53" s="5" t="e">
        <f>+#REF!</f>
        <v>#REF!</v>
      </c>
      <c r="C53" s="4">
        <f>IF(ISNUMBER(Historical!E115),Historical!E115, )</f>
        <v>10</v>
      </c>
      <c r="D53" s="4">
        <f>IF(ISNUMBER(Historical!G115),Historical!G115, )</f>
        <v>-11</v>
      </c>
      <c r="E53" s="4">
        <f>IF(ISNUMBER(Historical!I115),Historical!I115, )</f>
        <v>12</v>
      </c>
      <c r="F53" s="4">
        <f>IF(ISNUMBER(Projection!H7),IF(MONTH(Projection!H7)&lt;&gt;12,IF(ISNUMBER(Projection!L84),Projection!L84, ),IF(ISNUMBER(Historical!K115),Historical!K115, )), )</f>
        <v>-23</v>
      </c>
      <c r="G53" s="4">
        <f>IF(ISNUMBER(Projection!H7),IF(MONTH(Projection!$H$7)&lt;&gt;12,IF(ISNUMBER(Projection!N84),Projection!N84, ),IF(ISNUMBER(Projection!L84),Projection!L84, )), )</f>
        <v>-786.5</v>
      </c>
      <c r="H53" s="4">
        <f>IF(ISNUMBER(Projection!H7),IF(MONTH(Projection!$H$7)&lt;&gt;12,IF(ISNUMBER(Projection!P84),Projection!P84, ),IF(ISNUMBER(Projection!N84),Projection!N84, )), )</f>
        <v>-865.15</v>
      </c>
      <c r="I53" s="4">
        <f>IF(ISNUMBER(Projection!H7),IF(MONTH(Projection!$H$7)&lt;&gt;12,IF(ISNUMBER(Projection!R84),Projection!R84, ),IF(ISNUMBER(Projection!P84),Projection!P84, )), )</f>
        <v>-951.66500000000019</v>
      </c>
      <c r="J53" s="4">
        <f>IF(ISNUMBER(Projection!H7),IF(MONTH(Projection!$H$7)&lt;&gt;12,IF(ISNUMBER(Projection!T84),Projection!T84, ),IF(ISNUMBER(Projection!R84),Projection!R84, )), )</f>
        <v>-1046.8315000000002</v>
      </c>
      <c r="K53" s="4">
        <f>IF(ISNUMBER(Projection!H7),IF(MONTH(Projection!$H$7)&lt;&gt;12,IF(ISNUMBER(Projection!Z84),Projection!Z84, ),IF(ISNUMBER(Projection!T84),Projection!T84, )), )</f>
        <v>-889.09858255848474</v>
      </c>
      <c r="L53" s="4">
        <f>IF(ISNUMBER(Projection!H7),IF(MONTH(Projection!$H$7)&lt;&gt;12,IF(ISNUMBER(Projection!AB84),Projection!AB84, ),IF(ISNUMBER(Projection!Z84),Projection!Z84, )), )</f>
        <v>-889.09858255848474</v>
      </c>
      <c r="M53" s="4">
        <f>IF(ISNUMBER(Projection!$H$7),IF(MONTH(Projection!$H$7)&lt;&gt;12,IF(ISNUMBER(Projection!AD84),Projection!AD84, ),IF(ISNUMBER(Projection!AB84),Projection!AB84, )), )</f>
        <v>-889.09858255848474</v>
      </c>
      <c r="N53" s="4">
        <f>IF(ISNUMBER(Projection!$H$7),IF(MONTH(Projection!$H$7)&lt;&gt;12,IF(ISNUMBER(Projection!AF84),Projection!AF84, ),IF(ISNUMBER(Projection!AD84),Projection!AD84, )), )</f>
        <v>-889.09858255848474</v>
      </c>
      <c r="O53" s="4">
        <f>IF(ISNUMBER(Projection!$H$7),IF(MONTH(Projection!$H$7)&lt;&gt;12,IF(ISNUMBER(Projection!AH84),Projection!AH84, ),IF(ISNUMBER(Projection!AF84),Projection!AF84, )), )</f>
        <v>-889.09858255848474</v>
      </c>
      <c r="P53" s="4"/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539"/>
      <c r="AR53" s="539"/>
      <c r="AS53" s="539"/>
      <c r="AT53" s="539"/>
      <c r="AU53" s="539"/>
      <c r="AV53" s="539"/>
      <c r="AW53" s="539"/>
      <c r="AX53" s="539"/>
      <c r="AY53" s="539"/>
      <c r="AZ53" s="539"/>
      <c r="BA53" s="539"/>
      <c r="BB53" s="539"/>
      <c r="BC53" s="539"/>
      <c r="BD53" s="539"/>
      <c r="BE53" s="539"/>
      <c r="BF53" s="539"/>
      <c r="BG53" s="539"/>
      <c r="BH53" s="539"/>
      <c r="BI53" s="539"/>
      <c r="BJ53" s="539"/>
      <c r="BK53" s="539"/>
      <c r="BL53" s="539"/>
      <c r="BM53" s="539"/>
      <c r="BN53" s="539"/>
      <c r="BO53" s="539"/>
      <c r="BP53" s="539"/>
      <c r="BQ53" s="539"/>
      <c r="BR53" s="539"/>
      <c r="BS53" s="539"/>
      <c r="BT53" s="539"/>
      <c r="BU53" s="539"/>
      <c r="BV53" s="539"/>
      <c r="BW53" s="539"/>
      <c r="BX53" s="539"/>
      <c r="BY53" s="539"/>
      <c r="BZ53" s="539"/>
      <c r="CA53" s="539"/>
      <c r="CB53" s="539"/>
      <c r="CC53" s="539"/>
      <c r="CD53" s="539"/>
      <c r="CE53" s="539"/>
      <c r="CF53" s="539"/>
      <c r="CG53" s="539"/>
      <c r="CH53" s="539"/>
      <c r="CI53" s="539"/>
      <c r="CJ53" s="539"/>
      <c r="CK53" s="539"/>
      <c r="CL53" s="539"/>
      <c r="CM53" s="539"/>
      <c r="CN53" s="539"/>
      <c r="CO53" s="539"/>
      <c r="CP53" s="539"/>
      <c r="CQ53" s="539"/>
      <c r="CR53" s="539"/>
      <c r="CS53" s="539"/>
      <c r="CT53" s="539"/>
      <c r="CU53" s="539"/>
      <c r="CV53" s="539"/>
      <c r="CW53" s="539"/>
      <c r="CX53" s="539"/>
      <c r="CY53" s="539"/>
      <c r="CZ53" s="539"/>
      <c r="DA53" s="539"/>
      <c r="DB53" s="539"/>
      <c r="DC53" s="539"/>
      <c r="DD53" s="539"/>
      <c r="DE53" s="539"/>
      <c r="DF53" s="539"/>
      <c r="DG53" s="539"/>
      <c r="DH53" s="539"/>
      <c r="DI53" s="539"/>
      <c r="DJ53" s="539"/>
      <c r="DK53" s="539"/>
      <c r="DL53" s="539"/>
      <c r="DM53" s="539"/>
      <c r="DN53" s="539"/>
      <c r="DO53" s="539"/>
      <c r="DP53" s="539"/>
      <c r="DQ53" s="539"/>
      <c r="DR53" s="539"/>
      <c r="DS53" s="539"/>
      <c r="DT53" s="539"/>
      <c r="DU53" s="539"/>
      <c r="DV53" s="539"/>
      <c r="DW53" s="539"/>
      <c r="DX53" s="539"/>
      <c r="DY53" s="539"/>
      <c r="DZ53" s="539"/>
      <c r="EA53" s="539"/>
      <c r="EB53" s="539"/>
      <c r="EC53" s="539"/>
      <c r="ED53" s="539"/>
    </row>
    <row r="54" spans="1:134" ht="13.5" hidden="1" customHeight="1">
      <c r="A54" s="543"/>
      <c r="B54" s="5" t="e">
        <f>+#REF!</f>
        <v>#REF!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539"/>
      <c r="AR54" s="539"/>
      <c r="AS54" s="539"/>
      <c r="AT54" s="539"/>
      <c r="AU54" s="539"/>
      <c r="AV54" s="539"/>
      <c r="AW54" s="539"/>
      <c r="AX54" s="539"/>
      <c r="AY54" s="539"/>
      <c r="AZ54" s="539"/>
      <c r="BA54" s="539"/>
      <c r="BB54" s="539"/>
      <c r="BC54" s="539"/>
      <c r="BD54" s="539"/>
      <c r="BE54" s="539"/>
      <c r="BF54" s="539"/>
      <c r="BG54" s="539"/>
      <c r="BH54" s="539"/>
      <c r="BI54" s="539"/>
      <c r="BJ54" s="539"/>
      <c r="BK54" s="539"/>
      <c r="BL54" s="539"/>
      <c r="BM54" s="539"/>
      <c r="BN54" s="539"/>
      <c r="BO54" s="539"/>
      <c r="BP54" s="539"/>
      <c r="BQ54" s="539"/>
      <c r="BR54" s="539"/>
      <c r="BS54" s="539"/>
      <c r="BT54" s="539"/>
      <c r="BU54" s="539"/>
      <c r="BV54" s="539"/>
      <c r="BW54" s="539"/>
      <c r="BX54" s="539"/>
      <c r="BY54" s="539"/>
      <c r="BZ54" s="539"/>
      <c r="CA54" s="539"/>
      <c r="CB54" s="539"/>
      <c r="CC54" s="539"/>
      <c r="CD54" s="539"/>
      <c r="CE54" s="539"/>
      <c r="CF54" s="539"/>
      <c r="CG54" s="539"/>
      <c r="CH54" s="539"/>
      <c r="CI54" s="539"/>
      <c r="CJ54" s="539"/>
      <c r="CK54" s="539"/>
      <c r="CL54" s="539"/>
      <c r="CM54" s="539"/>
      <c r="CN54" s="539"/>
      <c r="CO54" s="539"/>
      <c r="CP54" s="539"/>
      <c r="CQ54" s="539"/>
      <c r="CR54" s="539"/>
      <c r="CS54" s="539"/>
      <c r="CT54" s="539"/>
      <c r="CU54" s="539"/>
      <c r="CV54" s="539"/>
      <c r="CW54" s="539"/>
      <c r="CX54" s="539"/>
      <c r="CY54" s="539"/>
      <c r="CZ54" s="539"/>
      <c r="DA54" s="539"/>
      <c r="DB54" s="539"/>
      <c r="DC54" s="539"/>
      <c r="DD54" s="539"/>
      <c r="DE54" s="539"/>
      <c r="DF54" s="539"/>
      <c r="DG54" s="539"/>
      <c r="DH54" s="539"/>
      <c r="DI54" s="539"/>
      <c r="DJ54" s="539"/>
      <c r="DK54" s="539"/>
      <c r="DL54" s="539"/>
      <c r="DM54" s="539"/>
      <c r="DN54" s="539"/>
      <c r="DO54" s="539"/>
      <c r="DP54" s="539"/>
      <c r="DQ54" s="539"/>
      <c r="DR54" s="539"/>
      <c r="DS54" s="539"/>
      <c r="DT54" s="539"/>
      <c r="DU54" s="539"/>
      <c r="DV54" s="539"/>
      <c r="DW54" s="539"/>
      <c r="DX54" s="539"/>
      <c r="DY54" s="539"/>
      <c r="DZ54" s="539"/>
      <c r="EA54" s="539"/>
      <c r="EB54" s="539"/>
      <c r="EC54" s="539"/>
      <c r="ED54" s="539"/>
    </row>
    <row r="55" spans="1:134" ht="13.5" hidden="1" customHeight="1">
      <c r="A55" s="543"/>
      <c r="B55" s="5" t="e">
        <f>+#REF!</f>
        <v>#REF!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539"/>
      <c r="AR55" s="539"/>
      <c r="AS55" s="539"/>
      <c r="AT55" s="539"/>
      <c r="AU55" s="539"/>
      <c r="AV55" s="539"/>
      <c r="AW55" s="539"/>
      <c r="AX55" s="539"/>
      <c r="AY55" s="539"/>
      <c r="AZ55" s="539"/>
      <c r="BA55" s="539"/>
      <c r="BB55" s="539"/>
      <c r="BC55" s="539"/>
      <c r="BD55" s="539"/>
      <c r="BE55" s="539"/>
      <c r="BF55" s="539"/>
      <c r="BG55" s="539"/>
      <c r="BH55" s="539"/>
      <c r="BI55" s="539"/>
      <c r="BJ55" s="539"/>
      <c r="BK55" s="539"/>
      <c r="BL55" s="539"/>
      <c r="BM55" s="539"/>
      <c r="BN55" s="539"/>
      <c r="BO55" s="539"/>
      <c r="BP55" s="539"/>
      <c r="BQ55" s="539"/>
      <c r="BR55" s="539"/>
      <c r="BS55" s="539"/>
      <c r="BT55" s="539"/>
      <c r="BU55" s="539"/>
      <c r="BV55" s="539"/>
      <c r="BW55" s="539"/>
      <c r="BX55" s="539"/>
      <c r="BY55" s="539"/>
      <c r="BZ55" s="539"/>
      <c r="CA55" s="539"/>
      <c r="CB55" s="539"/>
      <c r="CC55" s="539"/>
      <c r="CD55" s="539"/>
      <c r="CE55" s="539"/>
      <c r="CF55" s="539"/>
      <c r="CG55" s="539"/>
      <c r="CH55" s="539"/>
      <c r="CI55" s="539"/>
      <c r="CJ55" s="539"/>
      <c r="CK55" s="539"/>
      <c r="CL55" s="539"/>
      <c r="CM55" s="539"/>
      <c r="CN55" s="539"/>
      <c r="CO55" s="539"/>
      <c r="CP55" s="539"/>
      <c r="CQ55" s="539"/>
      <c r="CR55" s="539"/>
      <c r="CS55" s="539"/>
      <c r="CT55" s="539"/>
      <c r="CU55" s="539"/>
      <c r="CV55" s="539"/>
      <c r="CW55" s="539"/>
      <c r="CX55" s="539"/>
      <c r="CY55" s="539"/>
      <c r="CZ55" s="539"/>
      <c r="DA55" s="539"/>
      <c r="DB55" s="539"/>
      <c r="DC55" s="539"/>
      <c r="DD55" s="539"/>
      <c r="DE55" s="539"/>
      <c r="DF55" s="539"/>
      <c r="DG55" s="539"/>
      <c r="DH55" s="539"/>
      <c r="DI55" s="539"/>
      <c r="DJ55" s="539"/>
      <c r="DK55" s="539"/>
      <c r="DL55" s="539"/>
      <c r="DM55" s="539"/>
      <c r="DN55" s="539"/>
      <c r="DO55" s="539"/>
      <c r="DP55" s="539"/>
      <c r="DQ55" s="539"/>
      <c r="DR55" s="539"/>
      <c r="DS55" s="539"/>
      <c r="DT55" s="539"/>
      <c r="DU55" s="539"/>
      <c r="DV55" s="539"/>
      <c r="DW55" s="539"/>
      <c r="DX55" s="539"/>
      <c r="DY55" s="539"/>
      <c r="DZ55" s="539"/>
      <c r="EA55" s="539"/>
      <c r="EB55" s="539"/>
      <c r="EC55" s="539"/>
      <c r="ED55" s="539"/>
    </row>
    <row r="56" spans="1:134" ht="13.5" hidden="1" customHeight="1">
      <c r="A56" s="543"/>
      <c r="B56" s="5" t="e">
        <f>+#REF!</f>
        <v>#REF!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539"/>
      <c r="AR56" s="539"/>
      <c r="AS56" s="539"/>
      <c r="AT56" s="539"/>
      <c r="AU56" s="539"/>
      <c r="AV56" s="539"/>
      <c r="AW56" s="539"/>
      <c r="AX56" s="539"/>
      <c r="AY56" s="539"/>
      <c r="AZ56" s="539"/>
      <c r="BA56" s="539"/>
      <c r="BB56" s="539"/>
      <c r="BC56" s="539"/>
      <c r="BD56" s="539"/>
      <c r="BE56" s="539"/>
      <c r="BF56" s="539"/>
      <c r="BG56" s="539"/>
      <c r="BH56" s="539"/>
      <c r="BI56" s="539"/>
      <c r="BJ56" s="539"/>
      <c r="BK56" s="539"/>
      <c r="BL56" s="539"/>
      <c r="BM56" s="539"/>
      <c r="BN56" s="539"/>
      <c r="BO56" s="539"/>
      <c r="BP56" s="539"/>
      <c r="BQ56" s="539"/>
      <c r="BR56" s="539"/>
      <c r="BS56" s="539"/>
      <c r="BT56" s="539"/>
      <c r="BU56" s="539"/>
      <c r="BV56" s="539"/>
      <c r="BW56" s="539"/>
      <c r="BX56" s="539"/>
      <c r="BY56" s="539"/>
      <c r="BZ56" s="539"/>
      <c r="CA56" s="539"/>
      <c r="CB56" s="539"/>
      <c r="CC56" s="539"/>
      <c r="CD56" s="539"/>
      <c r="CE56" s="539"/>
      <c r="CF56" s="539"/>
      <c r="CG56" s="539"/>
      <c r="CH56" s="539"/>
      <c r="CI56" s="539"/>
      <c r="CJ56" s="539"/>
      <c r="CK56" s="539"/>
      <c r="CL56" s="539"/>
      <c r="CM56" s="539"/>
      <c r="CN56" s="539"/>
      <c r="CO56" s="539"/>
      <c r="CP56" s="539"/>
      <c r="CQ56" s="539"/>
      <c r="CR56" s="539"/>
      <c r="CS56" s="539"/>
      <c r="CT56" s="539"/>
      <c r="CU56" s="539"/>
      <c r="CV56" s="539"/>
      <c r="CW56" s="539"/>
      <c r="CX56" s="539"/>
      <c r="CY56" s="539"/>
      <c r="CZ56" s="539"/>
      <c r="DA56" s="539"/>
      <c r="DB56" s="539"/>
      <c r="DC56" s="539"/>
      <c r="DD56" s="539"/>
      <c r="DE56" s="539"/>
      <c r="DF56" s="539"/>
      <c r="DG56" s="539"/>
      <c r="DH56" s="539"/>
      <c r="DI56" s="539"/>
      <c r="DJ56" s="539"/>
      <c r="DK56" s="539"/>
      <c r="DL56" s="539"/>
      <c r="DM56" s="539"/>
      <c r="DN56" s="539"/>
      <c r="DO56" s="539"/>
      <c r="DP56" s="539"/>
      <c r="DQ56" s="539"/>
      <c r="DR56" s="539"/>
      <c r="DS56" s="539"/>
      <c r="DT56" s="539"/>
      <c r="DU56" s="539"/>
      <c r="DV56" s="539"/>
      <c r="DW56" s="539"/>
      <c r="DX56" s="539"/>
      <c r="DY56" s="539"/>
      <c r="DZ56" s="539"/>
      <c r="EA56" s="539"/>
      <c r="EB56" s="539"/>
      <c r="EC56" s="539"/>
      <c r="ED56" s="539"/>
    </row>
    <row r="57" spans="1:134" ht="13.5" hidden="1" customHeight="1">
      <c r="A57" s="543"/>
      <c r="B57" s="5" t="e">
        <f>+#REF!</f>
        <v>#REF!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539"/>
      <c r="AR57" s="539"/>
      <c r="AS57" s="539"/>
      <c r="AT57" s="539"/>
      <c r="AU57" s="539"/>
      <c r="AV57" s="539"/>
      <c r="AW57" s="539"/>
      <c r="AX57" s="539"/>
      <c r="AY57" s="539"/>
      <c r="AZ57" s="539"/>
      <c r="BA57" s="539"/>
      <c r="BB57" s="539"/>
      <c r="BC57" s="539"/>
      <c r="BD57" s="539"/>
      <c r="BE57" s="539"/>
      <c r="BF57" s="539"/>
      <c r="BG57" s="539"/>
      <c r="BH57" s="539"/>
      <c r="BI57" s="539"/>
      <c r="BJ57" s="539"/>
      <c r="BK57" s="539"/>
      <c r="BL57" s="539"/>
      <c r="BM57" s="539"/>
      <c r="BN57" s="539"/>
      <c r="BO57" s="539"/>
      <c r="BP57" s="539"/>
      <c r="BQ57" s="539"/>
      <c r="BR57" s="539"/>
      <c r="BS57" s="539"/>
      <c r="BT57" s="539"/>
      <c r="BU57" s="539"/>
      <c r="BV57" s="539"/>
      <c r="BW57" s="539"/>
      <c r="BX57" s="539"/>
      <c r="BY57" s="539"/>
      <c r="BZ57" s="539"/>
      <c r="CA57" s="539"/>
      <c r="CB57" s="539"/>
      <c r="CC57" s="539"/>
      <c r="CD57" s="539"/>
      <c r="CE57" s="539"/>
      <c r="CF57" s="539"/>
      <c r="CG57" s="539"/>
      <c r="CH57" s="539"/>
      <c r="CI57" s="539"/>
      <c r="CJ57" s="539"/>
      <c r="CK57" s="539"/>
      <c r="CL57" s="539"/>
      <c r="CM57" s="539"/>
      <c r="CN57" s="539"/>
      <c r="CO57" s="539"/>
      <c r="CP57" s="539"/>
      <c r="CQ57" s="539"/>
      <c r="CR57" s="539"/>
      <c r="CS57" s="539"/>
      <c r="CT57" s="539"/>
      <c r="CU57" s="539"/>
      <c r="CV57" s="539"/>
      <c r="CW57" s="539"/>
      <c r="CX57" s="539"/>
      <c r="CY57" s="539"/>
      <c r="CZ57" s="539"/>
      <c r="DA57" s="539"/>
      <c r="DB57" s="539"/>
      <c r="DC57" s="539"/>
      <c r="DD57" s="539"/>
      <c r="DE57" s="539"/>
      <c r="DF57" s="539"/>
      <c r="DG57" s="539"/>
      <c r="DH57" s="539"/>
      <c r="DI57" s="539"/>
      <c r="DJ57" s="539"/>
      <c r="DK57" s="539"/>
      <c r="DL57" s="539"/>
      <c r="DM57" s="539"/>
      <c r="DN57" s="539"/>
      <c r="DO57" s="539"/>
      <c r="DP57" s="539"/>
      <c r="DQ57" s="539"/>
      <c r="DR57" s="539"/>
      <c r="DS57" s="539"/>
      <c r="DT57" s="539"/>
      <c r="DU57" s="539"/>
      <c r="DV57" s="539"/>
      <c r="DW57" s="539"/>
      <c r="DX57" s="539"/>
      <c r="DY57" s="539"/>
      <c r="DZ57" s="539"/>
      <c r="EA57" s="539"/>
      <c r="EB57" s="539"/>
      <c r="EC57" s="539"/>
      <c r="ED57" s="539"/>
    </row>
    <row r="58" spans="1:134" ht="13.5" hidden="1" customHeight="1">
      <c r="A58" s="543"/>
      <c r="B58" s="5" t="e">
        <f>+#REF!</f>
        <v>#REF!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539"/>
      <c r="AR58" s="539"/>
      <c r="AS58" s="539"/>
      <c r="AT58" s="539"/>
      <c r="AU58" s="539"/>
      <c r="AV58" s="539"/>
      <c r="AW58" s="539"/>
      <c r="AX58" s="539"/>
      <c r="AY58" s="539"/>
      <c r="AZ58" s="539"/>
      <c r="BA58" s="539"/>
      <c r="BB58" s="539"/>
      <c r="BC58" s="539"/>
      <c r="BD58" s="539"/>
      <c r="BE58" s="539"/>
      <c r="BF58" s="539"/>
      <c r="BG58" s="539"/>
      <c r="BH58" s="539"/>
      <c r="BI58" s="539"/>
      <c r="BJ58" s="539"/>
      <c r="BK58" s="539"/>
      <c r="BL58" s="539"/>
      <c r="BM58" s="539"/>
      <c r="BN58" s="539"/>
      <c r="BO58" s="539"/>
      <c r="BP58" s="539"/>
      <c r="BQ58" s="539"/>
      <c r="BR58" s="539"/>
      <c r="BS58" s="539"/>
      <c r="BT58" s="539"/>
      <c r="BU58" s="539"/>
      <c r="BV58" s="539"/>
      <c r="BW58" s="539"/>
      <c r="BX58" s="539"/>
      <c r="BY58" s="539"/>
      <c r="BZ58" s="539"/>
      <c r="CA58" s="539"/>
      <c r="CB58" s="539"/>
      <c r="CC58" s="539"/>
      <c r="CD58" s="539"/>
      <c r="CE58" s="539"/>
      <c r="CF58" s="539"/>
      <c r="CG58" s="539"/>
      <c r="CH58" s="539"/>
      <c r="CI58" s="539"/>
      <c r="CJ58" s="539"/>
      <c r="CK58" s="539"/>
      <c r="CL58" s="539"/>
      <c r="CM58" s="539"/>
      <c r="CN58" s="539"/>
      <c r="CO58" s="539"/>
      <c r="CP58" s="539"/>
      <c r="CQ58" s="539"/>
      <c r="CR58" s="539"/>
      <c r="CS58" s="539"/>
      <c r="CT58" s="539"/>
      <c r="CU58" s="539"/>
      <c r="CV58" s="539"/>
      <c r="CW58" s="539"/>
      <c r="CX58" s="539"/>
      <c r="CY58" s="539"/>
      <c r="CZ58" s="539"/>
      <c r="DA58" s="539"/>
      <c r="DB58" s="539"/>
      <c r="DC58" s="539"/>
      <c r="DD58" s="539"/>
      <c r="DE58" s="539"/>
      <c r="DF58" s="539"/>
      <c r="DG58" s="539"/>
      <c r="DH58" s="539"/>
      <c r="DI58" s="539"/>
      <c r="DJ58" s="539"/>
      <c r="DK58" s="539"/>
      <c r="DL58" s="539"/>
      <c r="DM58" s="539"/>
      <c r="DN58" s="539"/>
      <c r="DO58" s="539"/>
      <c r="DP58" s="539"/>
      <c r="DQ58" s="539"/>
      <c r="DR58" s="539"/>
      <c r="DS58" s="539"/>
      <c r="DT58" s="539"/>
      <c r="DU58" s="539"/>
      <c r="DV58" s="539"/>
      <c r="DW58" s="539"/>
      <c r="DX58" s="539"/>
      <c r="DY58" s="539"/>
      <c r="DZ58" s="539"/>
      <c r="EA58" s="539"/>
      <c r="EB58" s="539"/>
      <c r="EC58" s="539"/>
      <c r="ED58" s="539"/>
    </row>
    <row r="59" spans="1:134" ht="13.5" hidden="1" customHeight="1">
      <c r="A59" s="543"/>
      <c r="B59" s="5" t="e">
        <f>+#REF!</f>
        <v>#REF!</v>
      </c>
      <c r="C59" s="4">
        <f>IF(ISNUMBER(Historical!E116),Historical!E116, )</f>
        <v>10</v>
      </c>
      <c r="D59" s="4">
        <f>IF(ISNUMBER(Historical!G116),Historical!G116, )</f>
        <v>-11</v>
      </c>
      <c r="E59" s="4">
        <f>IF(ISNUMBER(Historical!I116),Historical!I116, )</f>
        <v>12</v>
      </c>
      <c r="F59" s="4">
        <f>IF(ISNUMBER(Projection!H7),IF(MONTH(Projection!H7)&lt;&gt;12,IF(ISNUMBER(Projection!L85),Projection!L85, ),IF(ISNUMBER(Historical!K116),Historical!K116, )), )</f>
        <v>-13</v>
      </c>
      <c r="G59" s="4">
        <f>IF(ISNUMBER(Projection!H7),IF(MONTH(Projection!$H$7)&lt;&gt;12,IF(ISNUMBER(Projection!N85),Projection!N85, ),IF(ISNUMBER(Projection!L85),Projection!L85, )), )</f>
        <v>0</v>
      </c>
      <c r="H59" s="4">
        <f>IF(ISNUMBER(Projection!H7),IF(MONTH(Projection!$H$7)&lt;&gt;12,IF(ISNUMBER(Projection!P85),Projection!P85, ),IF(ISNUMBER(Projection!N85),Projection!N85, )), )</f>
        <v>0</v>
      </c>
      <c r="I59" s="4">
        <f>IF(ISNUMBER(Projection!H7),IF(MONTH(Projection!$H$7)&lt;&gt;12,IF(ISNUMBER(Projection!R85),Projection!R85, ),IF(ISNUMBER(Projection!P85),Projection!P85, )), )</f>
        <v>0</v>
      </c>
      <c r="J59" s="4">
        <f>IF(ISNUMBER(Projection!H7),IF(MONTH(Projection!$H$7)&lt;&gt;12,IF(ISNUMBER(Projection!T85),Projection!T85, ),IF(ISNUMBER(Projection!R85),Projection!R85, )), )</f>
        <v>0</v>
      </c>
      <c r="K59" s="4">
        <f>IF(ISNUMBER(Projection!H7),IF(MONTH(Projection!$H$7)&lt;&gt;12,IF(ISNUMBER(Projection!Z85),Projection!Z85, ),IF(ISNUMBER(Projection!T85),Projection!T85, )), )</f>
        <v>0</v>
      </c>
      <c r="L59" s="4">
        <f>IF(ISNUMBER(Projection!H7),IF(MONTH(Projection!$H$7)&lt;&gt;12,IF(ISNUMBER(Projection!AB85),Projection!AB85, ),IF(ISNUMBER(Projection!Z85),Projection!Z85, )), )</f>
        <v>0</v>
      </c>
      <c r="M59" s="4">
        <f>IF(ISNUMBER(Projection!$H$7),IF(MONTH(Projection!$H$7)&lt;&gt;12,IF(ISNUMBER(Projection!AD85),Projection!AD85, ),IF(ISNUMBER(Projection!AB85),Projection!AB85, )), )</f>
        <v>0</v>
      </c>
      <c r="N59" s="4">
        <f>IF(ISNUMBER(Projection!$H$7),IF(MONTH(Projection!$H$7)&lt;&gt;12,IF(ISNUMBER(Projection!AF85),Projection!AF85, ),IF(ISNUMBER(Projection!AD85),Projection!AD85, )), )</f>
        <v>0</v>
      </c>
      <c r="O59" s="4">
        <f>IF(ISNUMBER(Projection!$H$7),IF(MONTH(Projection!$H$7)&lt;&gt;12,IF(ISNUMBER(Projection!AH85),Projection!AH85, ),IF(ISNUMBER(Projection!AF85),Projection!AF85, )), )</f>
        <v>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539"/>
      <c r="AR59" s="539"/>
      <c r="AS59" s="539"/>
      <c r="AT59" s="539"/>
      <c r="AU59" s="539"/>
      <c r="AV59" s="539"/>
      <c r="AW59" s="539"/>
      <c r="AX59" s="539"/>
      <c r="AY59" s="539"/>
      <c r="AZ59" s="539"/>
      <c r="BA59" s="539"/>
      <c r="BB59" s="539"/>
      <c r="BC59" s="539"/>
      <c r="BD59" s="539"/>
      <c r="BE59" s="539"/>
      <c r="BF59" s="539"/>
      <c r="BG59" s="539"/>
      <c r="BH59" s="539"/>
      <c r="BI59" s="539"/>
      <c r="BJ59" s="539"/>
      <c r="BK59" s="539"/>
      <c r="BL59" s="539"/>
      <c r="BM59" s="539"/>
      <c r="BN59" s="539"/>
      <c r="BO59" s="539"/>
      <c r="BP59" s="539"/>
      <c r="BQ59" s="539"/>
      <c r="BR59" s="539"/>
      <c r="BS59" s="539"/>
      <c r="BT59" s="539"/>
      <c r="BU59" s="539"/>
      <c r="BV59" s="539"/>
      <c r="BW59" s="539"/>
      <c r="BX59" s="539"/>
      <c r="BY59" s="539"/>
      <c r="BZ59" s="539"/>
      <c r="CA59" s="539"/>
      <c r="CB59" s="539"/>
      <c r="CC59" s="539"/>
      <c r="CD59" s="539"/>
      <c r="CE59" s="539"/>
      <c r="CF59" s="539"/>
      <c r="CG59" s="539"/>
      <c r="CH59" s="539"/>
      <c r="CI59" s="539"/>
      <c r="CJ59" s="539"/>
      <c r="CK59" s="539"/>
      <c r="CL59" s="539"/>
      <c r="CM59" s="539"/>
      <c r="CN59" s="539"/>
      <c r="CO59" s="539"/>
      <c r="CP59" s="539"/>
      <c r="CQ59" s="539"/>
      <c r="CR59" s="539"/>
      <c r="CS59" s="539"/>
      <c r="CT59" s="539"/>
      <c r="CU59" s="539"/>
      <c r="CV59" s="539"/>
      <c r="CW59" s="539"/>
      <c r="CX59" s="539"/>
      <c r="CY59" s="539"/>
      <c r="CZ59" s="539"/>
      <c r="DA59" s="539"/>
      <c r="DB59" s="539"/>
      <c r="DC59" s="539"/>
      <c r="DD59" s="539"/>
      <c r="DE59" s="539"/>
      <c r="DF59" s="539"/>
      <c r="DG59" s="539"/>
      <c r="DH59" s="539"/>
      <c r="DI59" s="539"/>
      <c r="DJ59" s="539"/>
      <c r="DK59" s="539"/>
      <c r="DL59" s="539"/>
      <c r="DM59" s="539"/>
      <c r="DN59" s="539"/>
      <c r="DO59" s="539"/>
      <c r="DP59" s="539"/>
      <c r="DQ59" s="539"/>
      <c r="DR59" s="539"/>
      <c r="DS59" s="539"/>
      <c r="DT59" s="539"/>
      <c r="DU59" s="539"/>
      <c r="DV59" s="539"/>
      <c r="DW59" s="539"/>
      <c r="DX59" s="539"/>
      <c r="DY59" s="539"/>
      <c r="DZ59" s="539"/>
      <c r="EA59" s="539"/>
      <c r="EB59" s="539"/>
      <c r="EC59" s="539"/>
      <c r="ED59" s="539"/>
    </row>
    <row r="60" spans="1:134" ht="13.5" hidden="1" customHeight="1">
      <c r="A60" s="543"/>
      <c r="B60" s="5" t="e">
        <f>+#REF!</f>
        <v>#REF!</v>
      </c>
      <c r="C60" s="4">
        <f>IF(ISNUMBER(Historical!E114),Historical!E114, )</f>
        <v>10</v>
      </c>
      <c r="D60" s="4">
        <f>IF(ISNUMBER(Historical!G114),Historical!G114, )</f>
        <v>-11</v>
      </c>
      <c r="E60" s="4">
        <f>IF(ISNUMBER(Historical!I114),Historical!I114, )</f>
        <v>12</v>
      </c>
      <c r="F60" s="4">
        <f>IF(ISNUMBER(Projection!H7),IF(MONTH(Projection!H7)&lt;&gt;12,IF(ISNUMBER(Projection!L83),Projection!L83, ),IF(ISNUMBER(Historical!K114),Historical!K114, )), )</f>
        <v>-13</v>
      </c>
      <c r="G60" s="4">
        <f>IF(ISNUMBER(Projection!H7),IF(MONTH(Projection!$H$7)&lt;&gt;12,IF(ISNUMBER(Projection!N83),Projection!N83, ),IF(ISNUMBER(Projection!L83),Projection!L83, )), )</f>
        <v>0</v>
      </c>
      <c r="H60" s="4">
        <f>IF(ISNUMBER(Projection!H7),IF(MONTH(Projection!$H$7)&lt;&gt;12,IF(ISNUMBER(Projection!P83),Projection!P83, ),IF(ISNUMBER(Projection!N83),Projection!N83, )), )</f>
        <v>0</v>
      </c>
      <c r="I60" s="4">
        <f>IF(ISNUMBER(Projection!H7),IF(MONTH(Projection!$H$7)&lt;&gt;12,IF(ISNUMBER(Projection!R83),Projection!R83, ),IF(ISNUMBER(Projection!P83),Projection!P83, )), )</f>
        <v>0</v>
      </c>
      <c r="J60" s="4">
        <f>IF(ISNUMBER(Projection!H7),IF(MONTH(Projection!$H$7)&lt;&gt;12,IF(ISNUMBER(Projection!T83),Projection!T83, ),IF(ISNUMBER(Projection!R83),Projection!R83, )), )</f>
        <v>0</v>
      </c>
      <c r="K60" s="4">
        <f>IF(ISNUMBER(Projection!H7),IF(MONTH(Projection!$H$7)&lt;&gt;12,IF(ISNUMBER(Projection!Z83),Projection!Z83, ),IF(ISNUMBER(Projection!T83),Projection!T83, )), )</f>
        <v>0</v>
      </c>
      <c r="L60" s="4">
        <f>IF(ISNUMBER(Projection!H7),IF(MONTH(Projection!$H$7)&lt;&gt;12,IF(ISNUMBER(Projection!AB83),Projection!AB83, ),IF(ISNUMBER(Projection!Z83),Projection!Z83, )), )</f>
        <v>0</v>
      </c>
      <c r="M60" s="4">
        <f>IF(ISNUMBER(Projection!$H$7),IF(MONTH(Projection!$H$7)&lt;&gt;12,IF(ISNUMBER(Projection!AD83),Projection!AD83, ),IF(ISNUMBER(Projection!AB83),Projection!AB83, )), )</f>
        <v>0</v>
      </c>
      <c r="N60" s="4">
        <f>IF(ISNUMBER(Projection!$H$7),IF(MONTH(Projection!$H$7)&lt;&gt;12,IF(ISNUMBER(Projection!AF83),Projection!AF83, ),IF(ISNUMBER(Projection!AD83),Projection!AD83, )), )</f>
        <v>0</v>
      </c>
      <c r="O60" s="4">
        <f>IF(ISNUMBER(Projection!$H$7),IF(MONTH(Projection!$H$7)&lt;&gt;12,IF(ISNUMBER(Projection!AH83),Projection!AH83, ),IF(ISNUMBER(Projection!AF83),Projection!AF83, )), )</f>
        <v>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539"/>
      <c r="AR60" s="539"/>
      <c r="AS60" s="539"/>
      <c r="AT60" s="539"/>
      <c r="AU60" s="539"/>
      <c r="AV60" s="539"/>
      <c r="AW60" s="539"/>
      <c r="AX60" s="539"/>
      <c r="AY60" s="539"/>
      <c r="AZ60" s="539"/>
      <c r="BA60" s="539"/>
      <c r="BB60" s="539"/>
      <c r="BC60" s="539"/>
      <c r="BD60" s="539"/>
      <c r="BE60" s="539"/>
      <c r="BF60" s="539"/>
      <c r="BG60" s="539"/>
      <c r="BH60" s="539"/>
      <c r="BI60" s="539"/>
      <c r="BJ60" s="539"/>
      <c r="BK60" s="539"/>
      <c r="BL60" s="539"/>
      <c r="BM60" s="539"/>
      <c r="BN60" s="539"/>
      <c r="BO60" s="539"/>
      <c r="BP60" s="539"/>
      <c r="BQ60" s="539"/>
      <c r="BR60" s="539"/>
      <c r="BS60" s="539"/>
      <c r="BT60" s="539"/>
      <c r="BU60" s="539"/>
      <c r="BV60" s="539"/>
      <c r="BW60" s="539"/>
      <c r="BX60" s="539"/>
      <c r="BY60" s="539"/>
      <c r="BZ60" s="539"/>
      <c r="CA60" s="539"/>
      <c r="CB60" s="539"/>
      <c r="CC60" s="539"/>
      <c r="CD60" s="539"/>
      <c r="CE60" s="539"/>
      <c r="CF60" s="539"/>
      <c r="CG60" s="539"/>
      <c r="CH60" s="539"/>
      <c r="CI60" s="539"/>
      <c r="CJ60" s="539"/>
      <c r="CK60" s="539"/>
      <c r="CL60" s="539"/>
      <c r="CM60" s="539"/>
      <c r="CN60" s="539"/>
      <c r="CO60" s="539"/>
      <c r="CP60" s="539"/>
      <c r="CQ60" s="539"/>
      <c r="CR60" s="539"/>
      <c r="CS60" s="539"/>
      <c r="CT60" s="539"/>
      <c r="CU60" s="539"/>
      <c r="CV60" s="539"/>
      <c r="CW60" s="539"/>
      <c r="CX60" s="539"/>
      <c r="CY60" s="539"/>
      <c r="CZ60" s="539"/>
      <c r="DA60" s="539"/>
      <c r="DB60" s="539"/>
      <c r="DC60" s="539"/>
      <c r="DD60" s="539"/>
      <c r="DE60" s="539"/>
      <c r="DF60" s="539"/>
      <c r="DG60" s="539"/>
      <c r="DH60" s="539"/>
      <c r="DI60" s="539"/>
      <c r="DJ60" s="539"/>
      <c r="DK60" s="539"/>
      <c r="DL60" s="539"/>
      <c r="DM60" s="539"/>
      <c r="DN60" s="539"/>
      <c r="DO60" s="539"/>
      <c r="DP60" s="539"/>
      <c r="DQ60" s="539"/>
      <c r="DR60" s="539"/>
      <c r="DS60" s="539"/>
      <c r="DT60" s="539"/>
      <c r="DU60" s="539"/>
      <c r="DV60" s="539"/>
      <c r="DW60" s="539"/>
      <c r="DX60" s="539"/>
      <c r="DY60" s="539"/>
      <c r="DZ60" s="539"/>
      <c r="EA60" s="539"/>
      <c r="EB60" s="539"/>
      <c r="EC60" s="539"/>
      <c r="ED60" s="539"/>
    </row>
    <row r="61" spans="1:134" ht="13.5" hidden="1" customHeight="1">
      <c r="A61" s="543">
        <v>0</v>
      </c>
      <c r="B61" s="5" t="e">
        <f>+#REF!</f>
        <v>#REF!</v>
      </c>
      <c r="C61" s="544"/>
      <c r="D61" s="4"/>
      <c r="E61" s="4"/>
      <c r="F61" s="544"/>
      <c r="G61" s="544"/>
      <c r="H61" s="4"/>
      <c r="I61" s="4"/>
      <c r="J61" s="4"/>
      <c r="K61" s="4"/>
      <c r="L61" s="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  <c r="AC61" s="544"/>
      <c r="AD61" s="544"/>
      <c r="AE61" s="544"/>
      <c r="AF61" s="544"/>
      <c r="AG61" s="544"/>
      <c r="AH61" s="544"/>
      <c r="AI61" s="544"/>
      <c r="AJ61" s="544"/>
      <c r="AK61" s="544"/>
      <c r="AL61" s="544"/>
      <c r="AM61" s="544"/>
      <c r="AN61" s="544"/>
      <c r="AO61" s="544"/>
      <c r="AP61" s="544"/>
      <c r="AQ61" s="539"/>
      <c r="AR61" s="539"/>
      <c r="AS61" s="539"/>
      <c r="AT61" s="539"/>
      <c r="AU61" s="539"/>
      <c r="AV61" s="539"/>
      <c r="AW61" s="539"/>
      <c r="AX61" s="539"/>
      <c r="AY61" s="539"/>
      <c r="AZ61" s="539"/>
      <c r="BA61" s="539"/>
      <c r="BB61" s="539"/>
      <c r="BC61" s="539"/>
      <c r="BD61" s="539"/>
      <c r="BE61" s="539"/>
      <c r="BF61" s="539"/>
      <c r="BG61" s="539"/>
      <c r="BH61" s="539"/>
      <c r="BI61" s="539"/>
      <c r="BJ61" s="539"/>
      <c r="BK61" s="539"/>
      <c r="BL61" s="539"/>
      <c r="BM61" s="539"/>
      <c r="BN61" s="539"/>
      <c r="BO61" s="539"/>
      <c r="BP61" s="539"/>
      <c r="BQ61" s="539"/>
      <c r="BR61" s="539"/>
      <c r="BS61" s="539"/>
      <c r="BT61" s="539"/>
      <c r="BU61" s="539"/>
      <c r="BV61" s="539"/>
      <c r="BW61" s="539"/>
      <c r="BX61" s="539"/>
      <c r="BY61" s="539"/>
      <c r="BZ61" s="539"/>
      <c r="CA61" s="539"/>
      <c r="CB61" s="539"/>
      <c r="CC61" s="539"/>
      <c r="CD61" s="539"/>
      <c r="CE61" s="539"/>
      <c r="CF61" s="539"/>
      <c r="CG61" s="539"/>
      <c r="CH61" s="539"/>
      <c r="CI61" s="539"/>
      <c r="CJ61" s="539"/>
      <c r="CK61" s="539"/>
      <c r="CL61" s="539"/>
      <c r="CM61" s="539"/>
      <c r="CN61" s="539"/>
      <c r="CO61" s="539"/>
      <c r="CP61" s="539"/>
      <c r="CQ61" s="539"/>
      <c r="CR61" s="539"/>
      <c r="CS61" s="539"/>
      <c r="CT61" s="539"/>
      <c r="CU61" s="539"/>
      <c r="CV61" s="539"/>
      <c r="CW61" s="539"/>
      <c r="CX61" s="539"/>
      <c r="CY61" s="539"/>
      <c r="CZ61" s="539"/>
      <c r="DA61" s="539"/>
      <c r="DB61" s="539"/>
      <c r="DC61" s="539"/>
      <c r="DD61" s="539"/>
      <c r="DE61" s="539"/>
      <c r="DF61" s="539"/>
      <c r="DG61" s="539"/>
      <c r="DH61" s="539"/>
      <c r="DI61" s="539"/>
      <c r="DJ61" s="539"/>
      <c r="DK61" s="539"/>
      <c r="DL61" s="539"/>
      <c r="DM61" s="539"/>
      <c r="DN61" s="539"/>
      <c r="DO61" s="539"/>
      <c r="DP61" s="539"/>
      <c r="DQ61" s="539"/>
      <c r="DR61" s="539"/>
      <c r="DS61" s="539"/>
      <c r="DT61" s="539"/>
      <c r="DU61" s="539"/>
      <c r="DV61" s="539"/>
      <c r="DW61" s="539"/>
      <c r="DX61" s="539"/>
      <c r="DY61" s="539"/>
      <c r="DZ61" s="539"/>
      <c r="EA61" s="539"/>
      <c r="EB61" s="539"/>
      <c r="EC61" s="539"/>
      <c r="ED61" s="539"/>
    </row>
    <row r="62" spans="1:134" ht="13.5" hidden="1" customHeight="1">
      <c r="A62" s="543"/>
      <c r="B62" s="5" t="e">
        <f>+#REF!</f>
        <v>#REF!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539"/>
      <c r="AR62" s="539"/>
      <c r="AS62" s="539"/>
      <c r="AT62" s="539"/>
      <c r="AU62" s="539"/>
      <c r="AV62" s="539"/>
      <c r="AW62" s="539"/>
      <c r="AX62" s="539"/>
      <c r="AY62" s="539"/>
      <c r="AZ62" s="539"/>
      <c r="BA62" s="539"/>
      <c r="BB62" s="539"/>
      <c r="BC62" s="539"/>
      <c r="BD62" s="539"/>
      <c r="BE62" s="539"/>
      <c r="BF62" s="539"/>
      <c r="BG62" s="539"/>
      <c r="BH62" s="539"/>
      <c r="BI62" s="539"/>
      <c r="BJ62" s="539"/>
      <c r="BK62" s="539"/>
      <c r="BL62" s="539"/>
      <c r="BM62" s="539"/>
      <c r="BN62" s="539"/>
      <c r="BO62" s="539"/>
      <c r="BP62" s="539"/>
      <c r="BQ62" s="539"/>
      <c r="BR62" s="539"/>
      <c r="BS62" s="539"/>
      <c r="BT62" s="539"/>
      <c r="BU62" s="539"/>
      <c r="BV62" s="539"/>
      <c r="BW62" s="539"/>
      <c r="BX62" s="539"/>
      <c r="BY62" s="539"/>
      <c r="BZ62" s="539"/>
      <c r="CA62" s="539"/>
      <c r="CB62" s="539"/>
      <c r="CC62" s="539"/>
      <c r="CD62" s="539"/>
      <c r="CE62" s="539"/>
      <c r="CF62" s="539"/>
      <c r="CG62" s="539"/>
      <c r="CH62" s="539"/>
      <c r="CI62" s="539"/>
      <c r="CJ62" s="539"/>
      <c r="CK62" s="539"/>
      <c r="CL62" s="539"/>
      <c r="CM62" s="539"/>
      <c r="CN62" s="539"/>
      <c r="CO62" s="539"/>
      <c r="CP62" s="539"/>
      <c r="CQ62" s="539"/>
      <c r="CR62" s="539"/>
      <c r="CS62" s="539"/>
      <c r="CT62" s="539"/>
      <c r="CU62" s="539"/>
      <c r="CV62" s="539"/>
      <c r="CW62" s="539"/>
      <c r="CX62" s="539"/>
      <c r="CY62" s="539"/>
      <c r="CZ62" s="539"/>
      <c r="DA62" s="539"/>
      <c r="DB62" s="539"/>
      <c r="DC62" s="539"/>
      <c r="DD62" s="539"/>
      <c r="DE62" s="539"/>
      <c r="DF62" s="539"/>
      <c r="DG62" s="539"/>
      <c r="DH62" s="539"/>
      <c r="DI62" s="539"/>
      <c r="DJ62" s="539"/>
      <c r="DK62" s="539"/>
      <c r="DL62" s="539"/>
      <c r="DM62" s="539"/>
      <c r="DN62" s="539"/>
      <c r="DO62" s="539"/>
      <c r="DP62" s="539"/>
      <c r="DQ62" s="539"/>
      <c r="DR62" s="539"/>
      <c r="DS62" s="539"/>
      <c r="DT62" s="539"/>
      <c r="DU62" s="539"/>
      <c r="DV62" s="539"/>
      <c r="DW62" s="539"/>
      <c r="DX62" s="539"/>
      <c r="DY62" s="539"/>
      <c r="DZ62" s="539"/>
      <c r="EA62" s="539"/>
      <c r="EB62" s="539"/>
      <c r="EC62" s="539"/>
      <c r="ED62" s="539"/>
    </row>
    <row r="63" spans="1:134" ht="13.5" hidden="1" customHeight="1">
      <c r="A63" s="543"/>
      <c r="B63" s="5" t="e">
        <f>+#REF!</f>
        <v>#REF!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539"/>
      <c r="AR63" s="539"/>
      <c r="AS63" s="539"/>
      <c r="AT63" s="539"/>
      <c r="AU63" s="539"/>
      <c r="AV63" s="539"/>
      <c r="AW63" s="539"/>
      <c r="AX63" s="539"/>
      <c r="AY63" s="539"/>
      <c r="AZ63" s="539"/>
      <c r="BA63" s="539"/>
      <c r="BB63" s="539"/>
      <c r="BC63" s="539"/>
      <c r="BD63" s="539"/>
      <c r="BE63" s="539"/>
      <c r="BF63" s="539"/>
      <c r="BG63" s="539"/>
      <c r="BH63" s="539"/>
      <c r="BI63" s="539"/>
      <c r="BJ63" s="539"/>
      <c r="BK63" s="539"/>
      <c r="BL63" s="539"/>
      <c r="BM63" s="539"/>
      <c r="BN63" s="539"/>
      <c r="BO63" s="539"/>
      <c r="BP63" s="539"/>
      <c r="BQ63" s="539"/>
      <c r="BR63" s="539"/>
      <c r="BS63" s="539"/>
      <c r="BT63" s="539"/>
      <c r="BU63" s="539"/>
      <c r="BV63" s="539"/>
      <c r="BW63" s="539"/>
      <c r="BX63" s="539"/>
      <c r="BY63" s="539"/>
      <c r="BZ63" s="539"/>
      <c r="CA63" s="539"/>
      <c r="CB63" s="539"/>
      <c r="CC63" s="539"/>
      <c r="CD63" s="539"/>
      <c r="CE63" s="539"/>
      <c r="CF63" s="539"/>
      <c r="CG63" s="539"/>
      <c r="CH63" s="539"/>
      <c r="CI63" s="539"/>
      <c r="CJ63" s="539"/>
      <c r="CK63" s="539"/>
      <c r="CL63" s="539"/>
      <c r="CM63" s="539"/>
      <c r="CN63" s="539"/>
      <c r="CO63" s="539"/>
      <c r="CP63" s="539"/>
      <c r="CQ63" s="539"/>
      <c r="CR63" s="539"/>
      <c r="CS63" s="539"/>
      <c r="CT63" s="539"/>
      <c r="CU63" s="539"/>
      <c r="CV63" s="539"/>
      <c r="CW63" s="539"/>
      <c r="CX63" s="539"/>
      <c r="CY63" s="539"/>
      <c r="CZ63" s="539"/>
      <c r="DA63" s="539"/>
      <c r="DB63" s="539"/>
      <c r="DC63" s="539"/>
      <c r="DD63" s="539"/>
      <c r="DE63" s="539"/>
      <c r="DF63" s="539"/>
      <c r="DG63" s="539"/>
      <c r="DH63" s="539"/>
      <c r="DI63" s="539"/>
      <c r="DJ63" s="539"/>
      <c r="DK63" s="539"/>
      <c r="DL63" s="539"/>
      <c r="DM63" s="539"/>
      <c r="DN63" s="539"/>
      <c r="DO63" s="539"/>
      <c r="DP63" s="539"/>
      <c r="DQ63" s="539"/>
      <c r="DR63" s="539"/>
      <c r="DS63" s="539"/>
      <c r="DT63" s="539"/>
      <c r="DU63" s="539"/>
      <c r="DV63" s="539"/>
      <c r="DW63" s="539"/>
      <c r="DX63" s="539"/>
      <c r="DY63" s="539"/>
      <c r="DZ63" s="539"/>
      <c r="EA63" s="539"/>
      <c r="EB63" s="539"/>
      <c r="EC63" s="539"/>
      <c r="ED63" s="539"/>
    </row>
    <row r="64" spans="1:134" ht="13.5" hidden="1" customHeight="1">
      <c r="A64" s="543"/>
      <c r="B64" s="5" t="e">
        <f>+#REF!</f>
        <v>#REF!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539"/>
      <c r="AR64" s="539"/>
      <c r="AS64" s="539"/>
      <c r="AT64" s="539"/>
      <c r="AU64" s="539"/>
      <c r="AV64" s="539"/>
      <c r="AW64" s="539"/>
      <c r="AX64" s="539"/>
      <c r="AY64" s="539"/>
      <c r="AZ64" s="539"/>
      <c r="BA64" s="539"/>
      <c r="BB64" s="539"/>
      <c r="BC64" s="539"/>
      <c r="BD64" s="539"/>
      <c r="BE64" s="539"/>
      <c r="BF64" s="539"/>
      <c r="BG64" s="539"/>
      <c r="BH64" s="539"/>
      <c r="BI64" s="539"/>
      <c r="BJ64" s="539"/>
      <c r="BK64" s="539"/>
      <c r="BL64" s="539"/>
      <c r="BM64" s="539"/>
      <c r="BN64" s="539"/>
      <c r="BO64" s="539"/>
      <c r="BP64" s="539"/>
      <c r="BQ64" s="539"/>
      <c r="BR64" s="539"/>
      <c r="BS64" s="539"/>
      <c r="BT64" s="539"/>
      <c r="BU64" s="539"/>
      <c r="BV64" s="539"/>
      <c r="BW64" s="539"/>
      <c r="BX64" s="539"/>
      <c r="BY64" s="539"/>
      <c r="BZ64" s="539"/>
      <c r="CA64" s="539"/>
      <c r="CB64" s="539"/>
      <c r="CC64" s="539"/>
      <c r="CD64" s="539"/>
      <c r="CE64" s="539"/>
      <c r="CF64" s="539"/>
      <c r="CG64" s="539"/>
      <c r="CH64" s="539"/>
      <c r="CI64" s="539"/>
      <c r="CJ64" s="539"/>
      <c r="CK64" s="539"/>
      <c r="CL64" s="539"/>
      <c r="CM64" s="539"/>
      <c r="CN64" s="539"/>
      <c r="CO64" s="539"/>
      <c r="CP64" s="539"/>
      <c r="CQ64" s="539"/>
      <c r="CR64" s="539"/>
      <c r="CS64" s="539"/>
      <c r="CT64" s="539"/>
      <c r="CU64" s="539"/>
      <c r="CV64" s="539"/>
      <c r="CW64" s="539"/>
      <c r="CX64" s="539"/>
      <c r="CY64" s="539"/>
      <c r="CZ64" s="539"/>
      <c r="DA64" s="539"/>
      <c r="DB64" s="539"/>
      <c r="DC64" s="539"/>
      <c r="DD64" s="539"/>
      <c r="DE64" s="539"/>
      <c r="DF64" s="539"/>
      <c r="DG64" s="539"/>
      <c r="DH64" s="539"/>
      <c r="DI64" s="539"/>
      <c r="DJ64" s="539"/>
      <c r="DK64" s="539"/>
      <c r="DL64" s="539"/>
      <c r="DM64" s="539"/>
      <c r="DN64" s="539"/>
      <c r="DO64" s="539"/>
      <c r="DP64" s="539"/>
      <c r="DQ64" s="539"/>
      <c r="DR64" s="539"/>
      <c r="DS64" s="539"/>
      <c r="DT64" s="539"/>
      <c r="DU64" s="539"/>
      <c r="DV64" s="539"/>
      <c r="DW64" s="539"/>
      <c r="DX64" s="539"/>
      <c r="DY64" s="539"/>
      <c r="DZ64" s="539"/>
      <c r="EA64" s="539"/>
      <c r="EB64" s="539"/>
      <c r="EC64" s="539"/>
      <c r="ED64" s="539"/>
    </row>
    <row r="65" spans="1:134" ht="13.5" hidden="1" customHeight="1">
      <c r="A65" s="543"/>
      <c r="B65" s="5" t="e">
        <f>+#REF!</f>
        <v>#REF!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539"/>
      <c r="AR65" s="539"/>
      <c r="AS65" s="539"/>
      <c r="AT65" s="539"/>
      <c r="AU65" s="539"/>
      <c r="AV65" s="539"/>
      <c r="AW65" s="539"/>
      <c r="AX65" s="539"/>
      <c r="AY65" s="539"/>
      <c r="AZ65" s="539"/>
      <c r="BA65" s="539"/>
      <c r="BB65" s="539"/>
      <c r="BC65" s="539"/>
      <c r="BD65" s="539"/>
      <c r="BE65" s="539"/>
      <c r="BF65" s="539"/>
      <c r="BG65" s="539"/>
      <c r="BH65" s="539"/>
      <c r="BI65" s="539"/>
      <c r="BJ65" s="539"/>
      <c r="BK65" s="539"/>
      <c r="BL65" s="539"/>
      <c r="BM65" s="539"/>
      <c r="BN65" s="539"/>
      <c r="BO65" s="539"/>
      <c r="BP65" s="539"/>
      <c r="BQ65" s="539"/>
      <c r="BR65" s="539"/>
      <c r="BS65" s="539"/>
      <c r="BT65" s="539"/>
      <c r="BU65" s="539"/>
      <c r="BV65" s="539"/>
      <c r="BW65" s="539"/>
      <c r="BX65" s="539"/>
      <c r="BY65" s="539"/>
      <c r="BZ65" s="539"/>
      <c r="CA65" s="539"/>
      <c r="CB65" s="539"/>
      <c r="CC65" s="539"/>
      <c r="CD65" s="539"/>
      <c r="CE65" s="539"/>
      <c r="CF65" s="539"/>
      <c r="CG65" s="539"/>
      <c r="CH65" s="539"/>
      <c r="CI65" s="539"/>
      <c r="CJ65" s="539"/>
      <c r="CK65" s="539"/>
      <c r="CL65" s="539"/>
      <c r="CM65" s="539"/>
      <c r="CN65" s="539"/>
      <c r="CO65" s="539"/>
      <c r="CP65" s="539"/>
      <c r="CQ65" s="539"/>
      <c r="CR65" s="539"/>
      <c r="CS65" s="539"/>
      <c r="CT65" s="539"/>
      <c r="CU65" s="539"/>
      <c r="CV65" s="539"/>
      <c r="CW65" s="539"/>
      <c r="CX65" s="539"/>
      <c r="CY65" s="539"/>
      <c r="CZ65" s="539"/>
      <c r="DA65" s="539"/>
      <c r="DB65" s="539"/>
      <c r="DC65" s="539"/>
      <c r="DD65" s="539"/>
      <c r="DE65" s="539"/>
      <c r="DF65" s="539"/>
      <c r="DG65" s="539"/>
      <c r="DH65" s="539"/>
      <c r="DI65" s="539"/>
      <c r="DJ65" s="539"/>
      <c r="DK65" s="539"/>
      <c r="DL65" s="539"/>
      <c r="DM65" s="539"/>
      <c r="DN65" s="539"/>
      <c r="DO65" s="539"/>
      <c r="DP65" s="539"/>
      <c r="DQ65" s="539"/>
      <c r="DR65" s="539"/>
      <c r="DS65" s="539"/>
      <c r="DT65" s="539"/>
      <c r="DU65" s="539"/>
      <c r="DV65" s="539"/>
      <c r="DW65" s="539"/>
      <c r="DX65" s="539"/>
      <c r="DY65" s="539"/>
      <c r="DZ65" s="539"/>
      <c r="EA65" s="539"/>
      <c r="EB65" s="539"/>
      <c r="EC65" s="539"/>
      <c r="ED65" s="539"/>
    </row>
    <row r="66" spans="1:134" ht="13.5" hidden="1" customHeight="1">
      <c r="A66" s="543"/>
      <c r="B66" s="5" t="e">
        <f>+#REF!</f>
        <v>#REF!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539"/>
      <c r="AR66" s="539"/>
      <c r="AS66" s="539"/>
      <c r="AT66" s="539"/>
      <c r="AU66" s="539"/>
      <c r="AV66" s="539"/>
      <c r="AW66" s="539"/>
      <c r="AX66" s="539"/>
      <c r="AY66" s="539"/>
      <c r="AZ66" s="539"/>
      <c r="BA66" s="539"/>
      <c r="BB66" s="539"/>
      <c r="BC66" s="539"/>
      <c r="BD66" s="539"/>
      <c r="BE66" s="539"/>
      <c r="BF66" s="539"/>
      <c r="BG66" s="539"/>
      <c r="BH66" s="539"/>
      <c r="BI66" s="539"/>
      <c r="BJ66" s="539"/>
      <c r="BK66" s="539"/>
      <c r="BL66" s="539"/>
      <c r="BM66" s="539"/>
      <c r="BN66" s="539"/>
      <c r="BO66" s="539"/>
      <c r="BP66" s="539"/>
      <c r="BQ66" s="539"/>
      <c r="BR66" s="539"/>
      <c r="BS66" s="539"/>
      <c r="BT66" s="539"/>
      <c r="BU66" s="539"/>
      <c r="BV66" s="539"/>
      <c r="BW66" s="539"/>
      <c r="BX66" s="539"/>
      <c r="BY66" s="539"/>
      <c r="BZ66" s="539"/>
      <c r="CA66" s="539"/>
      <c r="CB66" s="539"/>
      <c r="CC66" s="539"/>
      <c r="CD66" s="539"/>
      <c r="CE66" s="539"/>
      <c r="CF66" s="539"/>
      <c r="CG66" s="539"/>
      <c r="CH66" s="539"/>
      <c r="CI66" s="539"/>
      <c r="CJ66" s="539"/>
      <c r="CK66" s="539"/>
      <c r="CL66" s="539"/>
      <c r="CM66" s="539"/>
      <c r="CN66" s="539"/>
      <c r="CO66" s="539"/>
      <c r="CP66" s="539"/>
      <c r="CQ66" s="539"/>
      <c r="CR66" s="539"/>
      <c r="CS66" s="539"/>
      <c r="CT66" s="539"/>
      <c r="CU66" s="539"/>
      <c r="CV66" s="539"/>
      <c r="CW66" s="539"/>
      <c r="CX66" s="539"/>
      <c r="CY66" s="539"/>
      <c r="CZ66" s="539"/>
      <c r="DA66" s="539"/>
      <c r="DB66" s="539"/>
      <c r="DC66" s="539"/>
      <c r="DD66" s="539"/>
      <c r="DE66" s="539"/>
      <c r="DF66" s="539"/>
      <c r="DG66" s="539"/>
      <c r="DH66" s="539"/>
      <c r="DI66" s="539"/>
      <c r="DJ66" s="539"/>
      <c r="DK66" s="539"/>
      <c r="DL66" s="539"/>
      <c r="DM66" s="539"/>
      <c r="DN66" s="539"/>
      <c r="DO66" s="539"/>
      <c r="DP66" s="539"/>
      <c r="DQ66" s="539"/>
      <c r="DR66" s="539"/>
      <c r="DS66" s="539"/>
      <c r="DT66" s="539"/>
      <c r="DU66" s="539"/>
      <c r="DV66" s="539"/>
      <c r="DW66" s="539"/>
      <c r="DX66" s="539"/>
      <c r="DY66" s="539"/>
      <c r="DZ66" s="539"/>
      <c r="EA66" s="539"/>
      <c r="EB66" s="539"/>
      <c r="EC66" s="539"/>
      <c r="ED66" s="539"/>
    </row>
    <row r="67" spans="1:134" ht="13.5" hidden="1" customHeight="1">
      <c r="A67" s="543"/>
      <c r="B67" s="5" t="e">
        <f>+#REF!</f>
        <v>#REF!</v>
      </c>
      <c r="C67" s="546"/>
      <c r="D67" s="546"/>
      <c r="E67" s="546"/>
      <c r="F67" s="546"/>
      <c r="G67" s="546"/>
      <c r="H67" s="546"/>
      <c r="I67" s="546"/>
      <c r="J67" s="546"/>
      <c r="K67" s="546"/>
      <c r="L67" s="546"/>
      <c r="M67" s="546"/>
      <c r="N67" s="546"/>
      <c r="O67" s="546"/>
      <c r="P67" s="546"/>
      <c r="Q67" s="546"/>
      <c r="R67" s="546"/>
      <c r="S67" s="546"/>
      <c r="T67" s="546"/>
      <c r="U67" s="546"/>
      <c r="V67" s="546"/>
      <c r="W67" s="546"/>
      <c r="X67" s="546"/>
      <c r="Y67" s="546"/>
      <c r="Z67" s="546"/>
      <c r="AA67" s="546"/>
      <c r="AB67" s="546"/>
      <c r="AC67" s="546"/>
      <c r="AD67" s="546"/>
      <c r="AE67" s="546"/>
      <c r="AF67" s="546"/>
      <c r="AG67" s="546"/>
      <c r="AH67" s="546"/>
      <c r="AI67" s="546"/>
      <c r="AJ67" s="546"/>
      <c r="AK67" s="546"/>
      <c r="AL67" s="546"/>
      <c r="AM67" s="546"/>
      <c r="AN67" s="546"/>
      <c r="AO67" s="546"/>
      <c r="AP67" s="546"/>
      <c r="AQ67" s="539"/>
      <c r="AR67" s="539"/>
      <c r="AS67" s="539"/>
      <c r="AT67" s="539"/>
      <c r="AU67" s="539"/>
      <c r="AV67" s="539"/>
      <c r="AW67" s="539"/>
      <c r="AX67" s="539"/>
      <c r="AY67" s="539"/>
      <c r="AZ67" s="539"/>
      <c r="BA67" s="539"/>
      <c r="BB67" s="539"/>
      <c r="BC67" s="539"/>
      <c r="BD67" s="539"/>
      <c r="BE67" s="539"/>
      <c r="BF67" s="539"/>
      <c r="BG67" s="539"/>
      <c r="BH67" s="539"/>
      <c r="BI67" s="539"/>
      <c r="BJ67" s="539"/>
      <c r="BK67" s="539"/>
      <c r="BL67" s="539"/>
      <c r="BM67" s="539"/>
      <c r="BN67" s="539"/>
      <c r="BO67" s="539"/>
      <c r="BP67" s="539"/>
      <c r="BQ67" s="539"/>
      <c r="BR67" s="539"/>
      <c r="BS67" s="539"/>
      <c r="BT67" s="539"/>
      <c r="BU67" s="539"/>
      <c r="BV67" s="539"/>
      <c r="BW67" s="539"/>
      <c r="BX67" s="539"/>
      <c r="BY67" s="539"/>
      <c r="BZ67" s="539"/>
      <c r="CA67" s="539"/>
      <c r="CB67" s="539"/>
      <c r="CC67" s="539"/>
      <c r="CD67" s="539"/>
      <c r="CE67" s="539"/>
      <c r="CF67" s="539"/>
      <c r="CG67" s="539"/>
      <c r="CH67" s="539"/>
      <c r="CI67" s="539"/>
      <c r="CJ67" s="539"/>
      <c r="CK67" s="539"/>
      <c r="CL67" s="539"/>
      <c r="CM67" s="539"/>
      <c r="CN67" s="539"/>
      <c r="CO67" s="539"/>
      <c r="CP67" s="539"/>
      <c r="CQ67" s="539"/>
      <c r="CR67" s="539"/>
      <c r="CS67" s="539"/>
      <c r="CT67" s="539"/>
      <c r="CU67" s="539"/>
      <c r="CV67" s="539"/>
      <c r="CW67" s="539"/>
      <c r="CX67" s="539"/>
      <c r="CY67" s="539"/>
      <c r="CZ67" s="539"/>
      <c r="DA67" s="539"/>
      <c r="DB67" s="539"/>
      <c r="DC67" s="539"/>
      <c r="DD67" s="539"/>
      <c r="DE67" s="539"/>
      <c r="DF67" s="539"/>
      <c r="DG67" s="539"/>
      <c r="DH67" s="539"/>
      <c r="DI67" s="539"/>
      <c r="DJ67" s="539"/>
      <c r="DK67" s="539"/>
      <c r="DL67" s="539"/>
      <c r="DM67" s="539"/>
      <c r="DN67" s="539"/>
      <c r="DO67" s="539"/>
      <c r="DP67" s="539"/>
      <c r="DQ67" s="539"/>
      <c r="DR67" s="539"/>
      <c r="DS67" s="539"/>
      <c r="DT67" s="539"/>
      <c r="DU67" s="539"/>
      <c r="DV67" s="539"/>
      <c r="DW67" s="539"/>
      <c r="DX67" s="539"/>
      <c r="DY67" s="539"/>
      <c r="DZ67" s="539"/>
      <c r="EA67" s="539"/>
      <c r="EB67" s="539"/>
      <c r="EC67" s="539"/>
      <c r="ED67" s="539"/>
    </row>
    <row r="68" spans="1:134" ht="13.5" customHeight="1">
      <c r="A68" s="545"/>
      <c r="B68" s="6" t="e">
        <f>+#REF!</f>
        <v>#REF!</v>
      </c>
      <c r="C68" s="7">
        <f t="shared" ref="C68:AP68" si="1">C35-C36-C52</f>
        <v>-47008.889217000004</v>
      </c>
      <c r="D68" s="7">
        <f t="shared" si="1"/>
        <v>65139.081410999999</v>
      </c>
      <c r="E68" s="7">
        <f t="shared" si="1"/>
        <v>8800.2926369999986</v>
      </c>
      <c r="F68" s="7">
        <f t="shared" si="1"/>
        <v>35241.91311500001</v>
      </c>
      <c r="G68" s="7">
        <f t="shared" si="1"/>
        <v>69694.175209403911</v>
      </c>
      <c r="H68" s="7">
        <f t="shared" si="1"/>
        <v>73516.626599340627</v>
      </c>
      <c r="I68" s="7">
        <f t="shared" si="1"/>
        <v>76908.036830681609</v>
      </c>
      <c r="J68" s="7">
        <f t="shared" si="1"/>
        <v>79645.70320568145</v>
      </c>
      <c r="K68" s="7">
        <f t="shared" si="1"/>
        <v>82495.800800143843</v>
      </c>
      <c r="L68" s="7">
        <f t="shared" si="1"/>
        <v>1055978.939083619</v>
      </c>
      <c r="M68" s="7">
        <f t="shared" si="1"/>
        <v>1055978.939083619</v>
      </c>
      <c r="N68" s="7">
        <f t="shared" si="1"/>
        <v>1055978.939083619</v>
      </c>
      <c r="O68" s="7">
        <f t="shared" si="1"/>
        <v>1055978.939083619</v>
      </c>
      <c r="P68" s="7">
        <f t="shared" si="1"/>
        <v>0</v>
      </c>
      <c r="Q68" s="7">
        <f t="shared" si="1"/>
        <v>0</v>
      </c>
      <c r="R68" s="7">
        <f t="shared" si="1"/>
        <v>0</v>
      </c>
      <c r="S68" s="7">
        <f t="shared" si="1"/>
        <v>0</v>
      </c>
      <c r="T68" s="7">
        <f t="shared" si="1"/>
        <v>0</v>
      </c>
      <c r="U68" s="7">
        <f t="shared" si="1"/>
        <v>0</v>
      </c>
      <c r="V68" s="7">
        <f t="shared" si="1"/>
        <v>0</v>
      </c>
      <c r="W68" s="7">
        <f t="shared" si="1"/>
        <v>0</v>
      </c>
      <c r="X68" s="7">
        <f t="shared" si="1"/>
        <v>0</v>
      </c>
      <c r="Y68" s="7">
        <f t="shared" si="1"/>
        <v>0</v>
      </c>
      <c r="Z68" s="7">
        <f t="shared" si="1"/>
        <v>0</v>
      </c>
      <c r="AA68" s="7">
        <f t="shared" si="1"/>
        <v>0</v>
      </c>
      <c r="AB68" s="7">
        <f t="shared" si="1"/>
        <v>0</v>
      </c>
      <c r="AC68" s="7">
        <f t="shared" si="1"/>
        <v>0</v>
      </c>
      <c r="AD68" s="7">
        <f t="shared" si="1"/>
        <v>0</v>
      </c>
      <c r="AE68" s="7">
        <f t="shared" si="1"/>
        <v>0</v>
      </c>
      <c r="AF68" s="7">
        <f t="shared" si="1"/>
        <v>0</v>
      </c>
      <c r="AG68" s="7">
        <f t="shared" si="1"/>
        <v>0</v>
      </c>
      <c r="AH68" s="7">
        <f t="shared" si="1"/>
        <v>0</v>
      </c>
      <c r="AI68" s="7">
        <f t="shared" si="1"/>
        <v>0</v>
      </c>
      <c r="AJ68" s="7">
        <f t="shared" si="1"/>
        <v>0</v>
      </c>
      <c r="AK68" s="7">
        <f t="shared" si="1"/>
        <v>0</v>
      </c>
      <c r="AL68" s="7">
        <f t="shared" si="1"/>
        <v>0</v>
      </c>
      <c r="AM68" s="7">
        <f t="shared" si="1"/>
        <v>0</v>
      </c>
      <c r="AN68" s="7">
        <f t="shared" si="1"/>
        <v>0</v>
      </c>
      <c r="AO68" s="7">
        <f t="shared" si="1"/>
        <v>0</v>
      </c>
      <c r="AP68" s="7">
        <f t="shared" si="1"/>
        <v>0</v>
      </c>
      <c r="AQ68" s="539"/>
      <c r="AR68" s="539"/>
      <c r="AS68" s="539"/>
      <c r="AT68" s="539"/>
      <c r="AU68" s="539"/>
      <c r="AV68" s="539"/>
      <c r="AW68" s="539"/>
      <c r="AX68" s="539"/>
      <c r="AY68" s="539"/>
      <c r="AZ68" s="539"/>
      <c r="BA68" s="539"/>
      <c r="BB68" s="539"/>
      <c r="BC68" s="539"/>
      <c r="BD68" s="539"/>
      <c r="BE68" s="539"/>
      <c r="BF68" s="539"/>
      <c r="BG68" s="539"/>
      <c r="BH68" s="539"/>
      <c r="BI68" s="539"/>
      <c r="BJ68" s="539"/>
      <c r="BK68" s="539"/>
      <c r="BL68" s="539"/>
      <c r="BM68" s="539"/>
      <c r="BN68" s="539"/>
      <c r="BO68" s="539"/>
      <c r="BP68" s="539"/>
      <c r="BQ68" s="539"/>
      <c r="BR68" s="539"/>
      <c r="BS68" s="539"/>
      <c r="BT68" s="539"/>
      <c r="BU68" s="539"/>
      <c r="BV68" s="539"/>
      <c r="BW68" s="539"/>
      <c r="BX68" s="539"/>
      <c r="BY68" s="539"/>
      <c r="BZ68" s="539"/>
      <c r="CA68" s="539"/>
      <c r="CB68" s="539"/>
      <c r="CC68" s="539"/>
      <c r="CD68" s="539"/>
      <c r="CE68" s="539"/>
      <c r="CF68" s="539"/>
      <c r="CG68" s="539"/>
      <c r="CH68" s="539"/>
      <c r="CI68" s="539"/>
      <c r="CJ68" s="539"/>
      <c r="CK68" s="539"/>
      <c r="CL68" s="539"/>
      <c r="CM68" s="539"/>
      <c r="CN68" s="539"/>
      <c r="CO68" s="539"/>
      <c r="CP68" s="539"/>
      <c r="CQ68" s="539"/>
      <c r="CR68" s="539"/>
      <c r="CS68" s="539"/>
      <c r="CT68" s="539"/>
      <c r="CU68" s="539"/>
      <c r="CV68" s="539"/>
      <c r="CW68" s="539"/>
      <c r="CX68" s="539"/>
      <c r="CY68" s="539"/>
      <c r="CZ68" s="539"/>
      <c r="DA68" s="539"/>
      <c r="DB68" s="539"/>
      <c r="DC68" s="539"/>
      <c r="DD68" s="539"/>
      <c r="DE68" s="539"/>
      <c r="DF68" s="539"/>
      <c r="DG68" s="539"/>
      <c r="DH68" s="539"/>
      <c r="DI68" s="539"/>
      <c r="DJ68" s="539"/>
      <c r="DK68" s="539"/>
      <c r="DL68" s="539"/>
      <c r="DM68" s="539"/>
      <c r="DN68" s="539"/>
      <c r="DO68" s="539"/>
      <c r="DP68" s="539"/>
      <c r="DQ68" s="539"/>
      <c r="DR68" s="539"/>
      <c r="DS68" s="539"/>
      <c r="DT68" s="539"/>
      <c r="DU68" s="539"/>
      <c r="DV68" s="539"/>
      <c r="DW68" s="539"/>
      <c r="DX68" s="539"/>
      <c r="DY68" s="539"/>
      <c r="DZ68" s="539"/>
      <c r="EA68" s="539"/>
      <c r="EB68" s="539"/>
      <c r="EC68" s="539"/>
      <c r="ED68" s="539"/>
    </row>
    <row r="69" spans="1:134" ht="13.5" customHeight="1">
      <c r="A69" s="539"/>
      <c r="B69" s="3" t="e">
        <f>+#REF!</f>
        <v>#REF!</v>
      </c>
      <c r="C69" s="3">
        <v>5247.2668169999997</v>
      </c>
      <c r="D69" s="3">
        <v>10.881856000000001</v>
      </c>
      <c r="E69" s="3">
        <v>7563.729746</v>
      </c>
      <c r="F69" s="3">
        <v>10185.847018</v>
      </c>
      <c r="G69" s="3">
        <v>8218.2618009404468</v>
      </c>
      <c r="H69" s="3">
        <v>6565.4022026563225</v>
      </c>
      <c r="I69" s="3">
        <v>4482.3832108416054</v>
      </c>
      <c r="J69" s="3">
        <v>2396.0848504021369</v>
      </c>
      <c r="K69" s="3">
        <v>1110.7136302220231</v>
      </c>
      <c r="L69" s="3">
        <v>-18.838722938475655</v>
      </c>
      <c r="M69" s="3">
        <v>3.1945861460371824E-4</v>
      </c>
      <c r="N69" s="3">
        <v>3.1945861460371824E-4</v>
      </c>
      <c r="O69" s="3">
        <v>3.1945861460371824E-4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539"/>
      <c r="AR69" s="539"/>
      <c r="AS69" s="539"/>
      <c r="AT69" s="539"/>
      <c r="AU69" s="539"/>
      <c r="AV69" s="539"/>
      <c r="AW69" s="539"/>
      <c r="AX69" s="539"/>
      <c r="AY69" s="539"/>
      <c r="AZ69" s="539"/>
      <c r="BA69" s="539"/>
      <c r="BB69" s="539"/>
      <c r="BC69" s="539"/>
      <c r="BD69" s="539"/>
      <c r="BE69" s="539"/>
      <c r="BF69" s="539"/>
      <c r="BG69" s="539"/>
      <c r="BH69" s="539"/>
      <c r="BI69" s="539"/>
      <c r="BJ69" s="539"/>
      <c r="BK69" s="539"/>
      <c r="BL69" s="539"/>
      <c r="BM69" s="539"/>
      <c r="BN69" s="539"/>
      <c r="BO69" s="539"/>
      <c r="BP69" s="539"/>
      <c r="BQ69" s="539"/>
      <c r="BR69" s="539"/>
      <c r="BS69" s="539"/>
      <c r="BT69" s="539"/>
      <c r="BU69" s="539"/>
      <c r="BV69" s="539"/>
      <c r="BW69" s="539"/>
      <c r="BX69" s="539"/>
      <c r="BY69" s="539"/>
      <c r="BZ69" s="539"/>
      <c r="CA69" s="539"/>
      <c r="CB69" s="539"/>
      <c r="CC69" s="539"/>
      <c r="CD69" s="539"/>
      <c r="CE69" s="539"/>
      <c r="CF69" s="539"/>
      <c r="CG69" s="539"/>
      <c r="CH69" s="539"/>
      <c r="CI69" s="539"/>
      <c r="CJ69" s="539"/>
      <c r="CK69" s="539"/>
      <c r="CL69" s="539"/>
      <c r="CM69" s="539"/>
      <c r="CN69" s="539"/>
      <c r="CO69" s="539"/>
      <c r="CP69" s="539"/>
      <c r="CQ69" s="539"/>
      <c r="CR69" s="539"/>
      <c r="CS69" s="539"/>
      <c r="CT69" s="539"/>
      <c r="CU69" s="539"/>
      <c r="CV69" s="539"/>
      <c r="CW69" s="539"/>
      <c r="CX69" s="539"/>
      <c r="CY69" s="539"/>
      <c r="CZ69" s="539"/>
      <c r="DA69" s="539"/>
      <c r="DB69" s="539"/>
      <c r="DC69" s="539"/>
      <c r="DD69" s="539"/>
      <c r="DE69" s="539"/>
      <c r="DF69" s="539"/>
      <c r="DG69" s="539"/>
      <c r="DH69" s="539"/>
      <c r="DI69" s="539"/>
      <c r="DJ69" s="539"/>
      <c r="DK69" s="539"/>
      <c r="DL69" s="539"/>
      <c r="DM69" s="539"/>
      <c r="DN69" s="539"/>
      <c r="DO69" s="539"/>
      <c r="DP69" s="539"/>
      <c r="DQ69" s="539"/>
      <c r="DR69" s="539"/>
      <c r="DS69" s="539"/>
      <c r="DT69" s="539"/>
      <c r="DU69" s="539"/>
      <c r="DV69" s="539"/>
      <c r="DW69" s="539"/>
      <c r="DX69" s="539"/>
      <c r="DY69" s="539"/>
      <c r="DZ69" s="539"/>
      <c r="EA69" s="539"/>
      <c r="EB69" s="539"/>
      <c r="EC69" s="539"/>
      <c r="ED69" s="539"/>
    </row>
    <row r="70" spans="1:134" ht="13.5" hidden="1" customHeight="1">
      <c r="A70" s="543"/>
      <c r="B70" s="5" t="e">
        <f>+#REF!</f>
        <v>#REF!</v>
      </c>
      <c r="C70" s="4">
        <f>IF(ISNUMBER(Historical!E118),Historical!E118, )</f>
        <v>1200</v>
      </c>
      <c r="D70" s="4">
        <f>IF(ISNUMBER(Historical!G118),Historical!G118, )</f>
        <v>1300</v>
      </c>
      <c r="E70" s="4">
        <f>IF(ISNUMBER(Historical!I118),Historical!I118, )</f>
        <v>1500</v>
      </c>
      <c r="F70" s="4">
        <f>IF(ISNUMBER(Projection!H7),IF(MONTH(Projection!H7)&lt;&gt;12,IF(ISNUMBER(Projection!L87),Projection!L87, ),IF(ISNUMBER(Historical!K118),Historical!K118, )), )</f>
        <v>6674.358964553202</v>
      </c>
      <c r="G70" s="4">
        <f>IF(ISNUMBER(Projection!H7),IF(MONTH(Projection!$H$7)&lt;&gt;12,IF(ISNUMBER(Projection!N87),Projection!N87, ),IF(ISNUMBER(Projection!L87),Projection!L87, )), )</f>
        <v>10795.893049355596</v>
      </c>
      <c r="H70" s="4">
        <f>IF(ISNUMBER(Projection!H7),IF(MONTH(Projection!$H$7)&lt;&gt;12,IF(ISNUMBER(Projection!P87),Projection!P87, ),IF(ISNUMBER(Projection!N87),Projection!N87, )), )</f>
        <v>8815.9982985207498</v>
      </c>
      <c r="I70" s="4">
        <f>IF(ISNUMBER(Projection!H7),IF(MONTH(Projection!$H$7)&lt;&gt;12,IF(ISNUMBER(Projection!R87),Projection!R87, ),IF(ISNUMBER(Projection!P87),Projection!P87, )), )</f>
        <v>6863.7429174403387</v>
      </c>
      <c r="J70" s="4">
        <f>IF(ISNUMBER(Projection!H7),IF(MONTH(Projection!$H$7)&lt;&gt;12,IF(ISNUMBER(Projection!T87),Projection!T87, ),IF(ISNUMBER(Projection!R87),Projection!R87, )), )</f>
        <v>4561.5336907411775</v>
      </c>
      <c r="K70" s="4">
        <f>IF(ISNUMBER(Projection!H7),IF(MONTH(Projection!$H$7)&lt;&gt;12,IF(ISNUMBER(Projection!Z87),Projection!Z87, ),IF(ISNUMBER(Projection!T87),Projection!T87, )), )</f>
        <v>4338.4399999999996</v>
      </c>
      <c r="L70" s="4">
        <f>IF(ISNUMBER(Projection!H7),IF(MONTH(Projection!$H$7)&lt;&gt;12,IF(ISNUMBER(Projection!AB87),Projection!AB87, ),IF(ISNUMBER(Projection!Z87),Projection!Z87, )), )</f>
        <v>4338.4399999999996</v>
      </c>
      <c r="M70" s="4">
        <f>IF(ISNUMBER(Projection!$H$7),IF(MONTH(Projection!$H$7)&lt;&gt;12,IF(ISNUMBER(Projection!AD87),Projection!AD87, ),IF(ISNUMBER(Projection!AB87),Projection!AB87, )), )</f>
        <v>4338.4399999999996</v>
      </c>
      <c r="N70" s="4">
        <f>IF(ISNUMBER(Projection!$H$7),IF(MONTH(Projection!$H$7)&lt;&gt;12,IF(ISNUMBER(Projection!AF87),Projection!AF87, ),IF(ISNUMBER(Projection!AD87),Projection!AD87, )), )</f>
        <v>4338.4399999999996</v>
      </c>
      <c r="O70" s="4">
        <f>IF(ISNUMBER(Projection!$H$7),IF(MONTH(Projection!$H$7)&lt;&gt;12,IF(ISNUMBER(Projection!AH87),Projection!AH87, ),IF(ISNUMBER(Projection!AF87),Projection!AF87, )), )</f>
        <v>4338.4399999999996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539"/>
      <c r="AR70" s="539"/>
      <c r="AS70" s="539"/>
      <c r="AT70" s="539"/>
      <c r="AU70" s="539"/>
      <c r="AV70" s="539"/>
      <c r="AW70" s="539"/>
      <c r="AX70" s="539"/>
      <c r="AY70" s="539"/>
      <c r="AZ70" s="539"/>
      <c r="BA70" s="539"/>
      <c r="BB70" s="539"/>
      <c r="BC70" s="539"/>
      <c r="BD70" s="539"/>
      <c r="BE70" s="539"/>
      <c r="BF70" s="539"/>
      <c r="BG70" s="539"/>
      <c r="BH70" s="539"/>
      <c r="BI70" s="539"/>
      <c r="BJ70" s="539"/>
      <c r="BK70" s="539"/>
      <c r="BL70" s="539"/>
      <c r="BM70" s="539"/>
      <c r="BN70" s="539"/>
      <c r="BO70" s="539"/>
      <c r="BP70" s="539"/>
      <c r="BQ70" s="539"/>
      <c r="BR70" s="539"/>
      <c r="BS70" s="539"/>
      <c r="BT70" s="539"/>
      <c r="BU70" s="539"/>
      <c r="BV70" s="539"/>
      <c r="BW70" s="539"/>
      <c r="BX70" s="539"/>
      <c r="BY70" s="539"/>
      <c r="BZ70" s="539"/>
      <c r="CA70" s="539"/>
      <c r="CB70" s="539"/>
      <c r="CC70" s="539"/>
      <c r="CD70" s="539"/>
      <c r="CE70" s="539"/>
      <c r="CF70" s="539"/>
      <c r="CG70" s="539"/>
      <c r="CH70" s="539"/>
      <c r="CI70" s="539"/>
      <c r="CJ70" s="539"/>
      <c r="CK70" s="539"/>
      <c r="CL70" s="539"/>
      <c r="CM70" s="539"/>
      <c r="CN70" s="539"/>
      <c r="CO70" s="539"/>
      <c r="CP70" s="539"/>
      <c r="CQ70" s="539"/>
      <c r="CR70" s="539"/>
      <c r="CS70" s="539"/>
      <c r="CT70" s="539"/>
      <c r="CU70" s="539"/>
      <c r="CV70" s="539"/>
      <c r="CW70" s="539"/>
      <c r="CX70" s="539"/>
      <c r="CY70" s="539"/>
      <c r="CZ70" s="539"/>
      <c r="DA70" s="539"/>
      <c r="DB70" s="539"/>
      <c r="DC70" s="539"/>
      <c r="DD70" s="539"/>
      <c r="DE70" s="539"/>
      <c r="DF70" s="539"/>
      <c r="DG70" s="539"/>
      <c r="DH70" s="539"/>
      <c r="DI70" s="539"/>
      <c r="DJ70" s="539"/>
      <c r="DK70" s="539"/>
      <c r="DL70" s="539"/>
      <c r="DM70" s="539"/>
      <c r="DN70" s="539"/>
      <c r="DO70" s="539"/>
      <c r="DP70" s="539"/>
      <c r="DQ70" s="539"/>
      <c r="DR70" s="539"/>
      <c r="DS70" s="539"/>
      <c r="DT70" s="539"/>
      <c r="DU70" s="539"/>
      <c r="DV70" s="539"/>
      <c r="DW70" s="539"/>
      <c r="DX70" s="539"/>
      <c r="DY70" s="539"/>
      <c r="DZ70" s="539"/>
      <c r="EA70" s="539"/>
      <c r="EB70" s="539"/>
      <c r="EC70" s="539"/>
      <c r="ED70" s="539"/>
    </row>
    <row r="71" spans="1:134" ht="13.5" hidden="1" customHeight="1">
      <c r="A71" s="543"/>
      <c r="B71" s="5" t="e">
        <f>+#REF!</f>
        <v>#REF!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539"/>
      <c r="AR71" s="539"/>
      <c r="AS71" s="539"/>
      <c r="AT71" s="539"/>
      <c r="AU71" s="539"/>
      <c r="AV71" s="539"/>
      <c r="AW71" s="539"/>
      <c r="AX71" s="539"/>
      <c r="AY71" s="539"/>
      <c r="AZ71" s="539"/>
      <c r="BA71" s="539"/>
      <c r="BB71" s="539"/>
      <c r="BC71" s="539"/>
      <c r="BD71" s="539"/>
      <c r="BE71" s="539"/>
      <c r="BF71" s="539"/>
      <c r="BG71" s="539"/>
      <c r="BH71" s="539"/>
      <c r="BI71" s="539"/>
      <c r="BJ71" s="539"/>
      <c r="BK71" s="539"/>
      <c r="BL71" s="539"/>
      <c r="BM71" s="539"/>
      <c r="BN71" s="539"/>
      <c r="BO71" s="539"/>
      <c r="BP71" s="539"/>
      <c r="BQ71" s="539"/>
      <c r="BR71" s="539"/>
      <c r="BS71" s="539"/>
      <c r="BT71" s="539"/>
      <c r="BU71" s="539"/>
      <c r="BV71" s="539"/>
      <c r="BW71" s="539"/>
      <c r="BX71" s="539"/>
      <c r="BY71" s="539"/>
      <c r="BZ71" s="539"/>
      <c r="CA71" s="539"/>
      <c r="CB71" s="539"/>
      <c r="CC71" s="539"/>
      <c r="CD71" s="539"/>
      <c r="CE71" s="539"/>
      <c r="CF71" s="539"/>
      <c r="CG71" s="539"/>
      <c r="CH71" s="539"/>
      <c r="CI71" s="539"/>
      <c r="CJ71" s="539"/>
      <c r="CK71" s="539"/>
      <c r="CL71" s="539"/>
      <c r="CM71" s="539"/>
      <c r="CN71" s="539"/>
      <c r="CO71" s="539"/>
      <c r="CP71" s="539"/>
      <c r="CQ71" s="539"/>
      <c r="CR71" s="539"/>
      <c r="CS71" s="539"/>
      <c r="CT71" s="539"/>
      <c r="CU71" s="539"/>
      <c r="CV71" s="539"/>
      <c r="CW71" s="539"/>
      <c r="CX71" s="539"/>
      <c r="CY71" s="539"/>
      <c r="CZ71" s="539"/>
      <c r="DA71" s="539"/>
      <c r="DB71" s="539"/>
      <c r="DC71" s="539"/>
      <c r="DD71" s="539"/>
      <c r="DE71" s="539"/>
      <c r="DF71" s="539"/>
      <c r="DG71" s="539"/>
      <c r="DH71" s="539"/>
      <c r="DI71" s="539"/>
      <c r="DJ71" s="539"/>
      <c r="DK71" s="539"/>
      <c r="DL71" s="539"/>
      <c r="DM71" s="539"/>
      <c r="DN71" s="539"/>
      <c r="DO71" s="539"/>
      <c r="DP71" s="539"/>
      <c r="DQ71" s="539"/>
      <c r="DR71" s="539"/>
      <c r="DS71" s="539"/>
      <c r="DT71" s="539"/>
      <c r="DU71" s="539"/>
      <c r="DV71" s="539"/>
      <c r="DW71" s="539"/>
      <c r="DX71" s="539"/>
      <c r="DY71" s="539"/>
      <c r="DZ71" s="539"/>
      <c r="EA71" s="539"/>
      <c r="EB71" s="539"/>
      <c r="EC71" s="539"/>
      <c r="ED71" s="539"/>
    </row>
    <row r="72" spans="1:134" ht="13.5" hidden="1" customHeight="1">
      <c r="A72" s="543">
        <v>0</v>
      </c>
      <c r="B72" s="5" t="e">
        <f>+#REF!</f>
        <v>#REF!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539"/>
      <c r="AR72" s="539"/>
      <c r="AS72" s="539"/>
      <c r="AT72" s="539"/>
      <c r="AU72" s="539"/>
      <c r="AV72" s="539"/>
      <c r="AW72" s="539"/>
      <c r="AX72" s="539"/>
      <c r="AY72" s="539"/>
      <c r="AZ72" s="539"/>
      <c r="BA72" s="539"/>
      <c r="BB72" s="539"/>
      <c r="BC72" s="539"/>
      <c r="BD72" s="539"/>
      <c r="BE72" s="539"/>
      <c r="BF72" s="539"/>
      <c r="BG72" s="539"/>
      <c r="BH72" s="539"/>
      <c r="BI72" s="539"/>
      <c r="BJ72" s="539"/>
      <c r="BK72" s="539"/>
      <c r="BL72" s="539"/>
      <c r="BM72" s="539"/>
      <c r="BN72" s="539"/>
      <c r="BO72" s="539"/>
      <c r="BP72" s="539"/>
      <c r="BQ72" s="539"/>
      <c r="BR72" s="539"/>
      <c r="BS72" s="539"/>
      <c r="BT72" s="539"/>
      <c r="BU72" s="539"/>
      <c r="BV72" s="539"/>
      <c r="BW72" s="539"/>
      <c r="BX72" s="539"/>
      <c r="BY72" s="539"/>
      <c r="BZ72" s="539"/>
      <c r="CA72" s="539"/>
      <c r="CB72" s="539"/>
      <c r="CC72" s="539"/>
      <c r="CD72" s="539"/>
      <c r="CE72" s="539"/>
      <c r="CF72" s="539"/>
      <c r="CG72" s="539"/>
      <c r="CH72" s="539"/>
      <c r="CI72" s="539"/>
      <c r="CJ72" s="539"/>
      <c r="CK72" s="539"/>
      <c r="CL72" s="539"/>
      <c r="CM72" s="539"/>
      <c r="CN72" s="539"/>
      <c r="CO72" s="539"/>
      <c r="CP72" s="539"/>
      <c r="CQ72" s="539"/>
      <c r="CR72" s="539"/>
      <c r="CS72" s="539"/>
      <c r="CT72" s="539"/>
      <c r="CU72" s="539"/>
      <c r="CV72" s="539"/>
      <c r="CW72" s="539"/>
      <c r="CX72" s="539"/>
      <c r="CY72" s="539"/>
      <c r="CZ72" s="539"/>
      <c r="DA72" s="539"/>
      <c r="DB72" s="539"/>
      <c r="DC72" s="539"/>
      <c r="DD72" s="539"/>
      <c r="DE72" s="539"/>
      <c r="DF72" s="539"/>
      <c r="DG72" s="539"/>
      <c r="DH72" s="539"/>
      <c r="DI72" s="539"/>
      <c r="DJ72" s="539"/>
      <c r="DK72" s="539"/>
      <c r="DL72" s="539"/>
      <c r="DM72" s="539"/>
      <c r="DN72" s="539"/>
      <c r="DO72" s="539"/>
      <c r="DP72" s="539"/>
      <c r="DQ72" s="539"/>
      <c r="DR72" s="539"/>
      <c r="DS72" s="539"/>
      <c r="DT72" s="539"/>
      <c r="DU72" s="539"/>
      <c r="DV72" s="539"/>
      <c r="DW72" s="539"/>
      <c r="DX72" s="539"/>
      <c r="DY72" s="539"/>
      <c r="DZ72" s="539"/>
      <c r="EA72" s="539"/>
      <c r="EB72" s="539"/>
      <c r="EC72" s="539"/>
      <c r="ED72" s="539"/>
    </row>
    <row r="73" spans="1:134" ht="13.5" hidden="1" customHeight="1">
      <c r="A73" s="543"/>
      <c r="B73" s="5" t="e">
        <f>+#REF!</f>
        <v>#REF!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539"/>
      <c r="AR73" s="539"/>
      <c r="AS73" s="539"/>
      <c r="AT73" s="539"/>
      <c r="AU73" s="539"/>
      <c r="AV73" s="539"/>
      <c r="AW73" s="539"/>
      <c r="AX73" s="539"/>
      <c r="AY73" s="539"/>
      <c r="AZ73" s="539"/>
      <c r="BA73" s="539"/>
      <c r="BB73" s="539"/>
      <c r="BC73" s="539"/>
      <c r="BD73" s="539"/>
      <c r="BE73" s="539"/>
      <c r="BF73" s="539"/>
      <c r="BG73" s="539"/>
      <c r="BH73" s="539"/>
      <c r="BI73" s="539"/>
      <c r="BJ73" s="539"/>
      <c r="BK73" s="539"/>
      <c r="BL73" s="539"/>
      <c r="BM73" s="539"/>
      <c r="BN73" s="539"/>
      <c r="BO73" s="539"/>
      <c r="BP73" s="539"/>
      <c r="BQ73" s="539"/>
      <c r="BR73" s="539"/>
      <c r="BS73" s="539"/>
      <c r="BT73" s="539"/>
      <c r="BU73" s="539"/>
      <c r="BV73" s="539"/>
      <c r="BW73" s="539"/>
      <c r="BX73" s="539"/>
      <c r="BY73" s="539"/>
      <c r="BZ73" s="539"/>
      <c r="CA73" s="539"/>
      <c r="CB73" s="539"/>
      <c r="CC73" s="539"/>
      <c r="CD73" s="539"/>
      <c r="CE73" s="539"/>
      <c r="CF73" s="539"/>
      <c r="CG73" s="539"/>
      <c r="CH73" s="539"/>
      <c r="CI73" s="539"/>
      <c r="CJ73" s="539"/>
      <c r="CK73" s="539"/>
      <c r="CL73" s="539"/>
      <c r="CM73" s="539"/>
      <c r="CN73" s="539"/>
      <c r="CO73" s="539"/>
      <c r="CP73" s="539"/>
      <c r="CQ73" s="539"/>
      <c r="CR73" s="539"/>
      <c r="CS73" s="539"/>
      <c r="CT73" s="539"/>
      <c r="CU73" s="539"/>
      <c r="CV73" s="539"/>
      <c r="CW73" s="539"/>
      <c r="CX73" s="539"/>
      <c r="CY73" s="539"/>
      <c r="CZ73" s="539"/>
      <c r="DA73" s="539"/>
      <c r="DB73" s="539"/>
      <c r="DC73" s="539"/>
      <c r="DD73" s="539"/>
      <c r="DE73" s="539"/>
      <c r="DF73" s="539"/>
      <c r="DG73" s="539"/>
      <c r="DH73" s="539"/>
      <c r="DI73" s="539"/>
      <c r="DJ73" s="539"/>
      <c r="DK73" s="539"/>
      <c r="DL73" s="539"/>
      <c r="DM73" s="539"/>
      <c r="DN73" s="539"/>
      <c r="DO73" s="539"/>
      <c r="DP73" s="539"/>
      <c r="DQ73" s="539"/>
      <c r="DR73" s="539"/>
      <c r="DS73" s="539"/>
      <c r="DT73" s="539"/>
      <c r="DU73" s="539"/>
      <c r="DV73" s="539"/>
      <c r="DW73" s="539"/>
      <c r="DX73" s="539"/>
      <c r="DY73" s="539"/>
      <c r="DZ73" s="539"/>
      <c r="EA73" s="539"/>
      <c r="EB73" s="539"/>
      <c r="EC73" s="539"/>
      <c r="ED73" s="539"/>
    </row>
    <row r="74" spans="1:134" ht="13.5" hidden="1" customHeight="1">
      <c r="A74" s="543"/>
      <c r="B74" s="5" t="e">
        <f>+#REF!</f>
        <v>#REF!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539"/>
      <c r="AR74" s="539"/>
      <c r="AS74" s="539"/>
      <c r="AT74" s="539"/>
      <c r="AU74" s="539"/>
      <c r="AV74" s="539"/>
      <c r="AW74" s="539"/>
      <c r="AX74" s="539"/>
      <c r="AY74" s="539"/>
      <c r="AZ74" s="539"/>
      <c r="BA74" s="539"/>
      <c r="BB74" s="539"/>
      <c r="BC74" s="539"/>
      <c r="BD74" s="539"/>
      <c r="BE74" s="539"/>
      <c r="BF74" s="539"/>
      <c r="BG74" s="539"/>
      <c r="BH74" s="539"/>
      <c r="BI74" s="539"/>
      <c r="BJ74" s="539"/>
      <c r="BK74" s="539"/>
      <c r="BL74" s="539"/>
      <c r="BM74" s="539"/>
      <c r="BN74" s="539"/>
      <c r="BO74" s="539"/>
      <c r="BP74" s="539"/>
      <c r="BQ74" s="539"/>
      <c r="BR74" s="539"/>
      <c r="BS74" s="539"/>
      <c r="BT74" s="539"/>
      <c r="BU74" s="539"/>
      <c r="BV74" s="539"/>
      <c r="BW74" s="539"/>
      <c r="BX74" s="539"/>
      <c r="BY74" s="539"/>
      <c r="BZ74" s="539"/>
      <c r="CA74" s="539"/>
      <c r="CB74" s="539"/>
      <c r="CC74" s="539"/>
      <c r="CD74" s="539"/>
      <c r="CE74" s="539"/>
      <c r="CF74" s="539"/>
      <c r="CG74" s="539"/>
      <c r="CH74" s="539"/>
      <c r="CI74" s="539"/>
      <c r="CJ74" s="539"/>
      <c r="CK74" s="539"/>
      <c r="CL74" s="539"/>
      <c r="CM74" s="539"/>
      <c r="CN74" s="539"/>
      <c r="CO74" s="539"/>
      <c r="CP74" s="539"/>
      <c r="CQ74" s="539"/>
      <c r="CR74" s="539"/>
      <c r="CS74" s="539"/>
      <c r="CT74" s="539"/>
      <c r="CU74" s="539"/>
      <c r="CV74" s="539"/>
      <c r="CW74" s="539"/>
      <c r="CX74" s="539"/>
      <c r="CY74" s="539"/>
      <c r="CZ74" s="539"/>
      <c r="DA74" s="539"/>
      <c r="DB74" s="539"/>
      <c r="DC74" s="539"/>
      <c r="DD74" s="539"/>
      <c r="DE74" s="539"/>
      <c r="DF74" s="539"/>
      <c r="DG74" s="539"/>
      <c r="DH74" s="539"/>
      <c r="DI74" s="539"/>
      <c r="DJ74" s="539"/>
      <c r="DK74" s="539"/>
      <c r="DL74" s="539"/>
      <c r="DM74" s="539"/>
      <c r="DN74" s="539"/>
      <c r="DO74" s="539"/>
      <c r="DP74" s="539"/>
      <c r="DQ74" s="539"/>
      <c r="DR74" s="539"/>
      <c r="DS74" s="539"/>
      <c r="DT74" s="539"/>
      <c r="DU74" s="539"/>
      <c r="DV74" s="539"/>
      <c r="DW74" s="539"/>
      <c r="DX74" s="539"/>
      <c r="DY74" s="539"/>
      <c r="DZ74" s="539"/>
      <c r="EA74" s="539"/>
      <c r="EB74" s="539"/>
      <c r="EC74" s="539"/>
      <c r="ED74" s="539"/>
    </row>
    <row r="75" spans="1:134" ht="13.5" hidden="1" customHeight="1">
      <c r="A75" s="543"/>
      <c r="B75" s="5" t="e">
        <f>+#REF!</f>
        <v>#REF!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539"/>
      <c r="AR75" s="539"/>
      <c r="AS75" s="539"/>
      <c r="AT75" s="539"/>
      <c r="AU75" s="539"/>
      <c r="AV75" s="539"/>
      <c r="AW75" s="539"/>
      <c r="AX75" s="539"/>
      <c r="AY75" s="539"/>
      <c r="AZ75" s="539"/>
      <c r="BA75" s="539"/>
      <c r="BB75" s="539"/>
      <c r="BC75" s="539"/>
      <c r="BD75" s="539"/>
      <c r="BE75" s="539"/>
      <c r="BF75" s="539"/>
      <c r="BG75" s="539"/>
      <c r="BH75" s="539"/>
      <c r="BI75" s="539"/>
      <c r="BJ75" s="539"/>
      <c r="BK75" s="539"/>
      <c r="BL75" s="539"/>
      <c r="BM75" s="539"/>
      <c r="BN75" s="539"/>
      <c r="BO75" s="539"/>
      <c r="BP75" s="539"/>
      <c r="BQ75" s="539"/>
      <c r="BR75" s="539"/>
      <c r="BS75" s="539"/>
      <c r="BT75" s="539"/>
      <c r="BU75" s="539"/>
      <c r="BV75" s="539"/>
      <c r="BW75" s="539"/>
      <c r="BX75" s="539"/>
      <c r="BY75" s="539"/>
      <c r="BZ75" s="539"/>
      <c r="CA75" s="539"/>
      <c r="CB75" s="539"/>
      <c r="CC75" s="539"/>
      <c r="CD75" s="539"/>
      <c r="CE75" s="539"/>
      <c r="CF75" s="539"/>
      <c r="CG75" s="539"/>
      <c r="CH75" s="539"/>
      <c r="CI75" s="539"/>
      <c r="CJ75" s="539"/>
      <c r="CK75" s="539"/>
      <c r="CL75" s="539"/>
      <c r="CM75" s="539"/>
      <c r="CN75" s="539"/>
      <c r="CO75" s="539"/>
      <c r="CP75" s="539"/>
      <c r="CQ75" s="539"/>
      <c r="CR75" s="539"/>
      <c r="CS75" s="539"/>
      <c r="CT75" s="539"/>
      <c r="CU75" s="539"/>
      <c r="CV75" s="539"/>
      <c r="CW75" s="539"/>
      <c r="CX75" s="539"/>
      <c r="CY75" s="539"/>
      <c r="CZ75" s="539"/>
      <c r="DA75" s="539"/>
      <c r="DB75" s="539"/>
      <c r="DC75" s="539"/>
      <c r="DD75" s="539"/>
      <c r="DE75" s="539"/>
      <c r="DF75" s="539"/>
      <c r="DG75" s="539"/>
      <c r="DH75" s="539"/>
      <c r="DI75" s="539"/>
      <c r="DJ75" s="539"/>
      <c r="DK75" s="539"/>
      <c r="DL75" s="539"/>
      <c r="DM75" s="539"/>
      <c r="DN75" s="539"/>
      <c r="DO75" s="539"/>
      <c r="DP75" s="539"/>
      <c r="DQ75" s="539"/>
      <c r="DR75" s="539"/>
      <c r="DS75" s="539"/>
      <c r="DT75" s="539"/>
      <c r="DU75" s="539"/>
      <c r="DV75" s="539"/>
      <c r="DW75" s="539"/>
      <c r="DX75" s="539"/>
      <c r="DY75" s="539"/>
      <c r="DZ75" s="539"/>
      <c r="EA75" s="539"/>
      <c r="EB75" s="539"/>
      <c r="EC75" s="539"/>
      <c r="ED75" s="539"/>
    </row>
    <row r="76" spans="1:134" ht="13.5" hidden="1" customHeight="1">
      <c r="A76" s="543"/>
      <c r="B76" s="5" t="e">
        <f>+#REF!</f>
        <v>#REF!</v>
      </c>
      <c r="C76" s="544"/>
      <c r="D76" s="544"/>
      <c r="E76" s="544"/>
      <c r="F76" s="544"/>
      <c r="G76" s="544"/>
      <c r="H76" s="544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  <c r="AC76" s="544"/>
      <c r="AD76" s="544"/>
      <c r="AE76" s="544"/>
      <c r="AF76" s="544"/>
      <c r="AG76" s="544"/>
      <c r="AH76" s="544"/>
      <c r="AI76" s="544"/>
      <c r="AJ76" s="544"/>
      <c r="AK76" s="544"/>
      <c r="AL76" s="544"/>
      <c r="AM76" s="544"/>
      <c r="AN76" s="544"/>
      <c r="AO76" s="544"/>
      <c r="AP76" s="544"/>
      <c r="AQ76" s="539"/>
      <c r="AR76" s="539"/>
      <c r="AS76" s="539"/>
      <c r="AT76" s="539"/>
      <c r="AU76" s="539"/>
      <c r="AV76" s="539"/>
      <c r="AW76" s="539"/>
      <c r="AX76" s="539"/>
      <c r="AY76" s="539"/>
      <c r="AZ76" s="539"/>
      <c r="BA76" s="539"/>
      <c r="BB76" s="539"/>
      <c r="BC76" s="539"/>
      <c r="BD76" s="539"/>
      <c r="BE76" s="539"/>
      <c r="BF76" s="539"/>
      <c r="BG76" s="539"/>
      <c r="BH76" s="539"/>
      <c r="BI76" s="539"/>
      <c r="BJ76" s="539"/>
      <c r="BK76" s="539"/>
      <c r="BL76" s="539"/>
      <c r="BM76" s="539"/>
      <c r="BN76" s="539"/>
      <c r="BO76" s="539"/>
      <c r="BP76" s="539"/>
      <c r="BQ76" s="539"/>
      <c r="BR76" s="539"/>
      <c r="BS76" s="539"/>
      <c r="BT76" s="539"/>
      <c r="BU76" s="539"/>
      <c r="BV76" s="539"/>
      <c r="BW76" s="539"/>
      <c r="BX76" s="539"/>
      <c r="BY76" s="539"/>
      <c r="BZ76" s="539"/>
      <c r="CA76" s="539"/>
      <c r="CB76" s="539"/>
      <c r="CC76" s="539"/>
      <c r="CD76" s="539"/>
      <c r="CE76" s="539"/>
      <c r="CF76" s="539"/>
      <c r="CG76" s="539"/>
      <c r="CH76" s="539"/>
      <c r="CI76" s="539"/>
      <c r="CJ76" s="539"/>
      <c r="CK76" s="539"/>
      <c r="CL76" s="539"/>
      <c r="CM76" s="539"/>
      <c r="CN76" s="539"/>
      <c r="CO76" s="539"/>
      <c r="CP76" s="539"/>
      <c r="CQ76" s="539"/>
      <c r="CR76" s="539"/>
      <c r="CS76" s="539"/>
      <c r="CT76" s="539"/>
      <c r="CU76" s="539"/>
      <c r="CV76" s="539"/>
      <c r="CW76" s="539"/>
      <c r="CX76" s="539"/>
      <c r="CY76" s="539"/>
      <c r="CZ76" s="539"/>
      <c r="DA76" s="539"/>
      <c r="DB76" s="539"/>
      <c r="DC76" s="539"/>
      <c r="DD76" s="539"/>
      <c r="DE76" s="539"/>
      <c r="DF76" s="539"/>
      <c r="DG76" s="539"/>
      <c r="DH76" s="539"/>
      <c r="DI76" s="539"/>
      <c r="DJ76" s="539"/>
      <c r="DK76" s="539"/>
      <c r="DL76" s="539"/>
      <c r="DM76" s="539"/>
      <c r="DN76" s="539"/>
      <c r="DO76" s="539"/>
      <c r="DP76" s="539"/>
      <c r="DQ76" s="539"/>
      <c r="DR76" s="539"/>
      <c r="DS76" s="539"/>
      <c r="DT76" s="539"/>
      <c r="DU76" s="539"/>
      <c r="DV76" s="539"/>
      <c r="DW76" s="539"/>
      <c r="DX76" s="539"/>
      <c r="DY76" s="539"/>
      <c r="DZ76" s="539"/>
      <c r="EA76" s="539"/>
      <c r="EB76" s="539"/>
      <c r="EC76" s="539"/>
      <c r="ED76" s="539"/>
    </row>
    <row r="77" spans="1:134" ht="13.5" hidden="1" customHeight="1">
      <c r="A77" s="543">
        <v>0</v>
      </c>
      <c r="B77" s="5" t="e">
        <f>+#REF!</f>
        <v>#REF!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539"/>
      <c r="AR77" s="539"/>
      <c r="AS77" s="539"/>
      <c r="AT77" s="539"/>
      <c r="AU77" s="539"/>
      <c r="AV77" s="539"/>
      <c r="AW77" s="539"/>
      <c r="AX77" s="539"/>
      <c r="AY77" s="539"/>
      <c r="AZ77" s="539"/>
      <c r="BA77" s="539"/>
      <c r="BB77" s="539"/>
      <c r="BC77" s="539"/>
      <c r="BD77" s="539"/>
      <c r="BE77" s="539"/>
      <c r="BF77" s="539"/>
      <c r="BG77" s="539"/>
      <c r="BH77" s="539"/>
      <c r="BI77" s="539"/>
      <c r="BJ77" s="539"/>
      <c r="BK77" s="539"/>
      <c r="BL77" s="539"/>
      <c r="BM77" s="539"/>
      <c r="BN77" s="539"/>
      <c r="BO77" s="539"/>
      <c r="BP77" s="539"/>
      <c r="BQ77" s="539"/>
      <c r="BR77" s="539"/>
      <c r="BS77" s="539"/>
      <c r="BT77" s="539"/>
      <c r="BU77" s="539"/>
      <c r="BV77" s="539"/>
      <c r="BW77" s="539"/>
      <c r="BX77" s="539"/>
      <c r="BY77" s="539"/>
      <c r="BZ77" s="539"/>
      <c r="CA77" s="539"/>
      <c r="CB77" s="539"/>
      <c r="CC77" s="539"/>
      <c r="CD77" s="539"/>
      <c r="CE77" s="539"/>
      <c r="CF77" s="539"/>
      <c r="CG77" s="539"/>
      <c r="CH77" s="539"/>
      <c r="CI77" s="539"/>
      <c r="CJ77" s="539"/>
      <c r="CK77" s="539"/>
      <c r="CL77" s="539"/>
      <c r="CM77" s="539"/>
      <c r="CN77" s="539"/>
      <c r="CO77" s="539"/>
      <c r="CP77" s="539"/>
      <c r="CQ77" s="539"/>
      <c r="CR77" s="539"/>
      <c r="CS77" s="539"/>
      <c r="CT77" s="539"/>
      <c r="CU77" s="539"/>
      <c r="CV77" s="539"/>
      <c r="CW77" s="539"/>
      <c r="CX77" s="539"/>
      <c r="CY77" s="539"/>
      <c r="CZ77" s="539"/>
      <c r="DA77" s="539"/>
      <c r="DB77" s="539"/>
      <c r="DC77" s="539"/>
      <c r="DD77" s="539"/>
      <c r="DE77" s="539"/>
      <c r="DF77" s="539"/>
      <c r="DG77" s="539"/>
      <c r="DH77" s="539"/>
      <c r="DI77" s="539"/>
      <c r="DJ77" s="539"/>
      <c r="DK77" s="539"/>
      <c r="DL77" s="539"/>
      <c r="DM77" s="539"/>
      <c r="DN77" s="539"/>
      <c r="DO77" s="539"/>
      <c r="DP77" s="539"/>
      <c r="DQ77" s="539"/>
      <c r="DR77" s="539"/>
      <c r="DS77" s="539"/>
      <c r="DT77" s="539"/>
      <c r="DU77" s="539"/>
      <c r="DV77" s="539"/>
      <c r="DW77" s="539"/>
      <c r="DX77" s="539"/>
      <c r="DY77" s="539"/>
      <c r="DZ77" s="539"/>
      <c r="EA77" s="539"/>
      <c r="EB77" s="539"/>
      <c r="EC77" s="539"/>
      <c r="ED77" s="539"/>
    </row>
    <row r="78" spans="1:134" ht="13.5" hidden="1" customHeight="1">
      <c r="A78" s="543"/>
      <c r="B78" s="5" t="e">
        <f>+#REF!</f>
        <v>#REF!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539"/>
      <c r="AR78" s="539"/>
      <c r="AS78" s="539"/>
      <c r="AT78" s="539"/>
      <c r="AU78" s="539"/>
      <c r="AV78" s="539"/>
      <c r="AW78" s="539"/>
      <c r="AX78" s="539"/>
      <c r="AY78" s="539"/>
      <c r="AZ78" s="539"/>
      <c r="BA78" s="539"/>
      <c r="BB78" s="539"/>
      <c r="BC78" s="539"/>
      <c r="BD78" s="539"/>
      <c r="BE78" s="539"/>
      <c r="BF78" s="539"/>
      <c r="BG78" s="539"/>
      <c r="BH78" s="539"/>
      <c r="BI78" s="539"/>
      <c r="BJ78" s="539"/>
      <c r="BK78" s="539"/>
      <c r="BL78" s="539"/>
      <c r="BM78" s="539"/>
      <c r="BN78" s="539"/>
      <c r="BO78" s="539"/>
      <c r="BP78" s="539"/>
      <c r="BQ78" s="539"/>
      <c r="BR78" s="539"/>
      <c r="BS78" s="539"/>
      <c r="BT78" s="539"/>
      <c r="BU78" s="539"/>
      <c r="BV78" s="539"/>
      <c r="BW78" s="539"/>
      <c r="BX78" s="539"/>
      <c r="BY78" s="539"/>
      <c r="BZ78" s="539"/>
      <c r="CA78" s="539"/>
      <c r="CB78" s="539"/>
      <c r="CC78" s="539"/>
      <c r="CD78" s="539"/>
      <c r="CE78" s="539"/>
      <c r="CF78" s="539"/>
      <c r="CG78" s="539"/>
      <c r="CH78" s="539"/>
      <c r="CI78" s="539"/>
      <c r="CJ78" s="539"/>
      <c r="CK78" s="539"/>
      <c r="CL78" s="539"/>
      <c r="CM78" s="539"/>
      <c r="CN78" s="539"/>
      <c r="CO78" s="539"/>
      <c r="CP78" s="539"/>
      <c r="CQ78" s="539"/>
      <c r="CR78" s="539"/>
      <c r="CS78" s="539"/>
      <c r="CT78" s="539"/>
      <c r="CU78" s="539"/>
      <c r="CV78" s="539"/>
      <c r="CW78" s="539"/>
      <c r="CX78" s="539"/>
      <c r="CY78" s="539"/>
      <c r="CZ78" s="539"/>
      <c r="DA78" s="539"/>
      <c r="DB78" s="539"/>
      <c r="DC78" s="539"/>
      <c r="DD78" s="539"/>
      <c r="DE78" s="539"/>
      <c r="DF78" s="539"/>
      <c r="DG78" s="539"/>
      <c r="DH78" s="539"/>
      <c r="DI78" s="539"/>
      <c r="DJ78" s="539"/>
      <c r="DK78" s="539"/>
      <c r="DL78" s="539"/>
      <c r="DM78" s="539"/>
      <c r="DN78" s="539"/>
      <c r="DO78" s="539"/>
      <c r="DP78" s="539"/>
      <c r="DQ78" s="539"/>
      <c r="DR78" s="539"/>
      <c r="DS78" s="539"/>
      <c r="DT78" s="539"/>
      <c r="DU78" s="539"/>
      <c r="DV78" s="539"/>
      <c r="DW78" s="539"/>
      <c r="DX78" s="539"/>
      <c r="DY78" s="539"/>
      <c r="DZ78" s="539"/>
      <c r="EA78" s="539"/>
      <c r="EB78" s="539"/>
      <c r="EC78" s="539"/>
      <c r="ED78" s="539"/>
    </row>
    <row r="79" spans="1:134" ht="13.5" hidden="1" customHeight="1">
      <c r="A79" s="543">
        <v>0</v>
      </c>
      <c r="B79" s="5" t="e">
        <f>+#REF!</f>
        <v>#REF!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539"/>
      <c r="AR79" s="539"/>
      <c r="AS79" s="539"/>
      <c r="AT79" s="539"/>
      <c r="AU79" s="539"/>
      <c r="AV79" s="539"/>
      <c r="AW79" s="539"/>
      <c r="AX79" s="539"/>
      <c r="AY79" s="539"/>
      <c r="AZ79" s="539"/>
      <c r="BA79" s="539"/>
      <c r="BB79" s="539"/>
      <c r="BC79" s="539"/>
      <c r="BD79" s="539"/>
      <c r="BE79" s="539"/>
      <c r="BF79" s="539"/>
      <c r="BG79" s="539"/>
      <c r="BH79" s="539"/>
      <c r="BI79" s="539"/>
      <c r="BJ79" s="539"/>
      <c r="BK79" s="539"/>
      <c r="BL79" s="539"/>
      <c r="BM79" s="539"/>
      <c r="BN79" s="539"/>
      <c r="BO79" s="539"/>
      <c r="BP79" s="539"/>
      <c r="BQ79" s="539"/>
      <c r="BR79" s="539"/>
      <c r="BS79" s="539"/>
      <c r="BT79" s="539"/>
      <c r="BU79" s="539"/>
      <c r="BV79" s="539"/>
      <c r="BW79" s="539"/>
      <c r="BX79" s="539"/>
      <c r="BY79" s="539"/>
      <c r="BZ79" s="539"/>
      <c r="CA79" s="539"/>
      <c r="CB79" s="539"/>
      <c r="CC79" s="539"/>
      <c r="CD79" s="539"/>
      <c r="CE79" s="539"/>
      <c r="CF79" s="539"/>
      <c r="CG79" s="539"/>
      <c r="CH79" s="539"/>
      <c r="CI79" s="539"/>
      <c r="CJ79" s="539"/>
      <c r="CK79" s="539"/>
      <c r="CL79" s="539"/>
      <c r="CM79" s="539"/>
      <c r="CN79" s="539"/>
      <c r="CO79" s="539"/>
      <c r="CP79" s="539"/>
      <c r="CQ79" s="539"/>
      <c r="CR79" s="539"/>
      <c r="CS79" s="539"/>
      <c r="CT79" s="539"/>
      <c r="CU79" s="539"/>
      <c r="CV79" s="539"/>
      <c r="CW79" s="539"/>
      <c r="CX79" s="539"/>
      <c r="CY79" s="539"/>
      <c r="CZ79" s="539"/>
      <c r="DA79" s="539"/>
      <c r="DB79" s="539"/>
      <c r="DC79" s="539"/>
      <c r="DD79" s="539"/>
      <c r="DE79" s="539"/>
      <c r="DF79" s="539"/>
      <c r="DG79" s="539"/>
      <c r="DH79" s="539"/>
      <c r="DI79" s="539"/>
      <c r="DJ79" s="539"/>
      <c r="DK79" s="539"/>
      <c r="DL79" s="539"/>
      <c r="DM79" s="539"/>
      <c r="DN79" s="539"/>
      <c r="DO79" s="539"/>
      <c r="DP79" s="539"/>
      <c r="DQ79" s="539"/>
      <c r="DR79" s="539"/>
      <c r="DS79" s="539"/>
      <c r="DT79" s="539"/>
      <c r="DU79" s="539"/>
      <c r="DV79" s="539"/>
      <c r="DW79" s="539"/>
      <c r="DX79" s="539"/>
      <c r="DY79" s="539"/>
      <c r="DZ79" s="539"/>
      <c r="EA79" s="539"/>
      <c r="EB79" s="539"/>
      <c r="EC79" s="539"/>
      <c r="ED79" s="539"/>
    </row>
    <row r="80" spans="1:134" ht="13.5" hidden="1" customHeight="1">
      <c r="A80" s="543"/>
      <c r="B80" s="5" t="e">
        <f>+#REF!</f>
        <v>#REF!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539"/>
      <c r="AR80" s="539"/>
      <c r="AS80" s="539"/>
      <c r="AT80" s="539"/>
      <c r="AU80" s="539"/>
      <c r="AV80" s="539"/>
      <c r="AW80" s="539"/>
      <c r="AX80" s="539"/>
      <c r="AY80" s="539"/>
      <c r="AZ80" s="539"/>
      <c r="BA80" s="539"/>
      <c r="BB80" s="539"/>
      <c r="BC80" s="539"/>
      <c r="BD80" s="539"/>
      <c r="BE80" s="539"/>
      <c r="BF80" s="539"/>
      <c r="BG80" s="539"/>
      <c r="BH80" s="539"/>
      <c r="BI80" s="539"/>
      <c r="BJ80" s="539"/>
      <c r="BK80" s="539"/>
      <c r="BL80" s="539"/>
      <c r="BM80" s="539"/>
      <c r="BN80" s="539"/>
      <c r="BO80" s="539"/>
      <c r="BP80" s="539"/>
      <c r="BQ80" s="539"/>
      <c r="BR80" s="539"/>
      <c r="BS80" s="539"/>
      <c r="BT80" s="539"/>
      <c r="BU80" s="539"/>
      <c r="BV80" s="539"/>
      <c r="BW80" s="539"/>
      <c r="BX80" s="539"/>
      <c r="BY80" s="539"/>
      <c r="BZ80" s="539"/>
      <c r="CA80" s="539"/>
      <c r="CB80" s="539"/>
      <c r="CC80" s="539"/>
      <c r="CD80" s="539"/>
      <c r="CE80" s="539"/>
      <c r="CF80" s="539"/>
      <c r="CG80" s="539"/>
      <c r="CH80" s="539"/>
      <c r="CI80" s="539"/>
      <c r="CJ80" s="539"/>
      <c r="CK80" s="539"/>
      <c r="CL80" s="539"/>
      <c r="CM80" s="539"/>
      <c r="CN80" s="539"/>
      <c r="CO80" s="539"/>
      <c r="CP80" s="539"/>
      <c r="CQ80" s="539"/>
      <c r="CR80" s="539"/>
      <c r="CS80" s="539"/>
      <c r="CT80" s="539"/>
      <c r="CU80" s="539"/>
      <c r="CV80" s="539"/>
      <c r="CW80" s="539"/>
      <c r="CX80" s="539"/>
      <c r="CY80" s="539"/>
      <c r="CZ80" s="539"/>
      <c r="DA80" s="539"/>
      <c r="DB80" s="539"/>
      <c r="DC80" s="539"/>
      <c r="DD80" s="539"/>
      <c r="DE80" s="539"/>
      <c r="DF80" s="539"/>
      <c r="DG80" s="539"/>
      <c r="DH80" s="539"/>
      <c r="DI80" s="539"/>
      <c r="DJ80" s="539"/>
      <c r="DK80" s="539"/>
      <c r="DL80" s="539"/>
      <c r="DM80" s="539"/>
      <c r="DN80" s="539"/>
      <c r="DO80" s="539"/>
      <c r="DP80" s="539"/>
      <c r="DQ80" s="539"/>
      <c r="DR80" s="539"/>
      <c r="DS80" s="539"/>
      <c r="DT80" s="539"/>
      <c r="DU80" s="539"/>
      <c r="DV80" s="539"/>
      <c r="DW80" s="539"/>
      <c r="DX80" s="539"/>
      <c r="DY80" s="539"/>
      <c r="DZ80" s="539"/>
      <c r="EA80" s="539"/>
      <c r="EB80" s="539"/>
      <c r="EC80" s="539"/>
      <c r="ED80" s="539"/>
    </row>
    <row r="81" spans="1:134" ht="13.5" hidden="1" customHeight="1">
      <c r="A81" s="543"/>
      <c r="B81" s="5" t="e">
        <f>+#REF!</f>
        <v>#REF!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539"/>
      <c r="AR81" s="539"/>
      <c r="AS81" s="539"/>
      <c r="AT81" s="539"/>
      <c r="AU81" s="539"/>
      <c r="AV81" s="539"/>
      <c r="AW81" s="539"/>
      <c r="AX81" s="539"/>
      <c r="AY81" s="539"/>
      <c r="AZ81" s="539"/>
      <c r="BA81" s="539"/>
      <c r="BB81" s="539"/>
      <c r="BC81" s="539"/>
      <c r="BD81" s="539"/>
      <c r="BE81" s="539"/>
      <c r="BF81" s="539"/>
      <c r="BG81" s="539"/>
      <c r="BH81" s="539"/>
      <c r="BI81" s="539"/>
      <c r="BJ81" s="539"/>
      <c r="BK81" s="539"/>
      <c r="BL81" s="539"/>
      <c r="BM81" s="539"/>
      <c r="BN81" s="539"/>
      <c r="BO81" s="539"/>
      <c r="BP81" s="539"/>
      <c r="BQ81" s="539"/>
      <c r="BR81" s="539"/>
      <c r="BS81" s="539"/>
      <c r="BT81" s="539"/>
      <c r="BU81" s="539"/>
      <c r="BV81" s="539"/>
      <c r="BW81" s="539"/>
      <c r="BX81" s="539"/>
      <c r="BY81" s="539"/>
      <c r="BZ81" s="539"/>
      <c r="CA81" s="539"/>
      <c r="CB81" s="539"/>
      <c r="CC81" s="539"/>
      <c r="CD81" s="539"/>
      <c r="CE81" s="539"/>
      <c r="CF81" s="539"/>
      <c r="CG81" s="539"/>
      <c r="CH81" s="539"/>
      <c r="CI81" s="539"/>
      <c r="CJ81" s="539"/>
      <c r="CK81" s="539"/>
      <c r="CL81" s="539"/>
      <c r="CM81" s="539"/>
      <c r="CN81" s="539"/>
      <c r="CO81" s="539"/>
      <c r="CP81" s="539"/>
      <c r="CQ81" s="539"/>
      <c r="CR81" s="539"/>
      <c r="CS81" s="539"/>
      <c r="CT81" s="539"/>
      <c r="CU81" s="539"/>
      <c r="CV81" s="539"/>
      <c r="CW81" s="539"/>
      <c r="CX81" s="539"/>
      <c r="CY81" s="539"/>
      <c r="CZ81" s="539"/>
      <c r="DA81" s="539"/>
      <c r="DB81" s="539"/>
      <c r="DC81" s="539"/>
      <c r="DD81" s="539"/>
      <c r="DE81" s="539"/>
      <c r="DF81" s="539"/>
      <c r="DG81" s="539"/>
      <c r="DH81" s="539"/>
      <c r="DI81" s="539"/>
      <c r="DJ81" s="539"/>
      <c r="DK81" s="539"/>
      <c r="DL81" s="539"/>
      <c r="DM81" s="539"/>
      <c r="DN81" s="539"/>
      <c r="DO81" s="539"/>
      <c r="DP81" s="539"/>
      <c r="DQ81" s="539"/>
      <c r="DR81" s="539"/>
      <c r="DS81" s="539"/>
      <c r="DT81" s="539"/>
      <c r="DU81" s="539"/>
      <c r="DV81" s="539"/>
      <c r="DW81" s="539"/>
      <c r="DX81" s="539"/>
      <c r="DY81" s="539"/>
      <c r="DZ81" s="539"/>
      <c r="EA81" s="539"/>
      <c r="EB81" s="539"/>
      <c r="EC81" s="539"/>
      <c r="ED81" s="539"/>
    </row>
    <row r="82" spans="1:134" ht="13.5" hidden="1" customHeight="1">
      <c r="A82" s="543"/>
      <c r="B82" s="5" t="e">
        <f>+#REF!</f>
        <v>#REF!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539"/>
      <c r="AR82" s="539"/>
      <c r="AS82" s="539"/>
      <c r="AT82" s="539"/>
      <c r="AU82" s="539"/>
      <c r="AV82" s="539"/>
      <c r="AW82" s="539"/>
      <c r="AX82" s="539"/>
      <c r="AY82" s="539"/>
      <c r="AZ82" s="539"/>
      <c r="BA82" s="539"/>
      <c r="BB82" s="539"/>
      <c r="BC82" s="539"/>
      <c r="BD82" s="539"/>
      <c r="BE82" s="539"/>
      <c r="BF82" s="539"/>
      <c r="BG82" s="539"/>
      <c r="BH82" s="539"/>
      <c r="BI82" s="539"/>
      <c r="BJ82" s="539"/>
      <c r="BK82" s="539"/>
      <c r="BL82" s="539"/>
      <c r="BM82" s="539"/>
      <c r="BN82" s="539"/>
      <c r="BO82" s="539"/>
      <c r="BP82" s="539"/>
      <c r="BQ82" s="539"/>
      <c r="BR82" s="539"/>
      <c r="BS82" s="539"/>
      <c r="BT82" s="539"/>
      <c r="BU82" s="539"/>
      <c r="BV82" s="539"/>
      <c r="BW82" s="539"/>
      <c r="BX82" s="539"/>
      <c r="BY82" s="539"/>
      <c r="BZ82" s="539"/>
      <c r="CA82" s="539"/>
      <c r="CB82" s="539"/>
      <c r="CC82" s="539"/>
      <c r="CD82" s="539"/>
      <c r="CE82" s="539"/>
      <c r="CF82" s="539"/>
      <c r="CG82" s="539"/>
      <c r="CH82" s="539"/>
      <c r="CI82" s="539"/>
      <c r="CJ82" s="539"/>
      <c r="CK82" s="539"/>
      <c r="CL82" s="539"/>
      <c r="CM82" s="539"/>
      <c r="CN82" s="539"/>
      <c r="CO82" s="539"/>
      <c r="CP82" s="539"/>
      <c r="CQ82" s="539"/>
      <c r="CR82" s="539"/>
      <c r="CS82" s="539"/>
      <c r="CT82" s="539"/>
      <c r="CU82" s="539"/>
      <c r="CV82" s="539"/>
      <c r="CW82" s="539"/>
      <c r="CX82" s="539"/>
      <c r="CY82" s="539"/>
      <c r="CZ82" s="539"/>
      <c r="DA82" s="539"/>
      <c r="DB82" s="539"/>
      <c r="DC82" s="539"/>
      <c r="DD82" s="539"/>
      <c r="DE82" s="539"/>
      <c r="DF82" s="539"/>
      <c r="DG82" s="539"/>
      <c r="DH82" s="539"/>
      <c r="DI82" s="539"/>
      <c r="DJ82" s="539"/>
      <c r="DK82" s="539"/>
      <c r="DL82" s="539"/>
      <c r="DM82" s="539"/>
      <c r="DN82" s="539"/>
      <c r="DO82" s="539"/>
      <c r="DP82" s="539"/>
      <c r="DQ82" s="539"/>
      <c r="DR82" s="539"/>
      <c r="DS82" s="539"/>
      <c r="DT82" s="539"/>
      <c r="DU82" s="539"/>
      <c r="DV82" s="539"/>
      <c r="DW82" s="539"/>
      <c r="DX82" s="539"/>
      <c r="DY82" s="539"/>
      <c r="DZ82" s="539"/>
      <c r="EA82" s="539"/>
      <c r="EB82" s="539"/>
      <c r="EC82" s="539"/>
      <c r="ED82" s="539"/>
    </row>
    <row r="83" spans="1:134" ht="13.5" hidden="1" customHeight="1">
      <c r="A83" s="543"/>
      <c r="B83" s="5" t="e">
        <f>+#REF!</f>
        <v>#REF!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539"/>
      <c r="AR83" s="539"/>
      <c r="AS83" s="539"/>
      <c r="AT83" s="539"/>
      <c r="AU83" s="539"/>
      <c r="AV83" s="539"/>
      <c r="AW83" s="539"/>
      <c r="AX83" s="539"/>
      <c r="AY83" s="539"/>
      <c r="AZ83" s="539"/>
      <c r="BA83" s="539"/>
      <c r="BB83" s="539"/>
      <c r="BC83" s="539"/>
      <c r="BD83" s="539"/>
      <c r="BE83" s="539"/>
      <c r="BF83" s="539"/>
      <c r="BG83" s="539"/>
      <c r="BH83" s="539"/>
      <c r="BI83" s="539"/>
      <c r="BJ83" s="539"/>
      <c r="BK83" s="539"/>
      <c r="BL83" s="539"/>
      <c r="BM83" s="539"/>
      <c r="BN83" s="539"/>
      <c r="BO83" s="539"/>
      <c r="BP83" s="539"/>
      <c r="BQ83" s="539"/>
      <c r="BR83" s="539"/>
      <c r="BS83" s="539"/>
      <c r="BT83" s="539"/>
      <c r="BU83" s="539"/>
      <c r="BV83" s="539"/>
      <c r="BW83" s="539"/>
      <c r="BX83" s="539"/>
      <c r="BY83" s="539"/>
      <c r="BZ83" s="539"/>
      <c r="CA83" s="539"/>
      <c r="CB83" s="539"/>
      <c r="CC83" s="539"/>
      <c r="CD83" s="539"/>
      <c r="CE83" s="539"/>
      <c r="CF83" s="539"/>
      <c r="CG83" s="539"/>
      <c r="CH83" s="539"/>
      <c r="CI83" s="539"/>
      <c r="CJ83" s="539"/>
      <c r="CK83" s="539"/>
      <c r="CL83" s="539"/>
      <c r="CM83" s="539"/>
      <c r="CN83" s="539"/>
      <c r="CO83" s="539"/>
      <c r="CP83" s="539"/>
      <c r="CQ83" s="539"/>
      <c r="CR83" s="539"/>
      <c r="CS83" s="539"/>
      <c r="CT83" s="539"/>
      <c r="CU83" s="539"/>
      <c r="CV83" s="539"/>
      <c r="CW83" s="539"/>
      <c r="CX83" s="539"/>
      <c r="CY83" s="539"/>
      <c r="CZ83" s="539"/>
      <c r="DA83" s="539"/>
      <c r="DB83" s="539"/>
      <c r="DC83" s="539"/>
      <c r="DD83" s="539"/>
      <c r="DE83" s="539"/>
      <c r="DF83" s="539"/>
      <c r="DG83" s="539"/>
      <c r="DH83" s="539"/>
      <c r="DI83" s="539"/>
      <c r="DJ83" s="539"/>
      <c r="DK83" s="539"/>
      <c r="DL83" s="539"/>
      <c r="DM83" s="539"/>
      <c r="DN83" s="539"/>
      <c r="DO83" s="539"/>
      <c r="DP83" s="539"/>
      <c r="DQ83" s="539"/>
      <c r="DR83" s="539"/>
      <c r="DS83" s="539"/>
      <c r="DT83" s="539"/>
      <c r="DU83" s="539"/>
      <c r="DV83" s="539"/>
      <c r="DW83" s="539"/>
      <c r="DX83" s="539"/>
      <c r="DY83" s="539"/>
      <c r="DZ83" s="539"/>
      <c r="EA83" s="539"/>
      <c r="EB83" s="539"/>
      <c r="EC83" s="539"/>
      <c r="ED83" s="539"/>
    </row>
    <row r="84" spans="1:134" ht="13.5" hidden="1" customHeight="1">
      <c r="A84" s="543">
        <v>0</v>
      </c>
      <c r="B84" s="5" t="e">
        <f>+#REF!</f>
        <v>#REF!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539"/>
      <c r="AR84" s="539"/>
      <c r="AS84" s="539"/>
      <c r="AT84" s="539"/>
      <c r="AU84" s="539"/>
      <c r="AV84" s="539"/>
      <c r="AW84" s="539"/>
      <c r="AX84" s="539"/>
      <c r="AY84" s="539"/>
      <c r="AZ84" s="539"/>
      <c r="BA84" s="539"/>
      <c r="BB84" s="539"/>
      <c r="BC84" s="539"/>
      <c r="BD84" s="539"/>
      <c r="BE84" s="539"/>
      <c r="BF84" s="539"/>
      <c r="BG84" s="539"/>
      <c r="BH84" s="539"/>
      <c r="BI84" s="539"/>
      <c r="BJ84" s="539"/>
      <c r="BK84" s="539"/>
      <c r="BL84" s="539"/>
      <c r="BM84" s="539"/>
      <c r="BN84" s="539"/>
      <c r="BO84" s="539"/>
      <c r="BP84" s="539"/>
      <c r="BQ84" s="539"/>
      <c r="BR84" s="539"/>
      <c r="BS84" s="539"/>
      <c r="BT84" s="539"/>
      <c r="BU84" s="539"/>
      <c r="BV84" s="539"/>
      <c r="BW84" s="539"/>
      <c r="BX84" s="539"/>
      <c r="BY84" s="539"/>
      <c r="BZ84" s="539"/>
      <c r="CA84" s="539"/>
      <c r="CB84" s="539"/>
      <c r="CC84" s="539"/>
      <c r="CD84" s="539"/>
      <c r="CE84" s="539"/>
      <c r="CF84" s="539"/>
      <c r="CG84" s="539"/>
      <c r="CH84" s="539"/>
      <c r="CI84" s="539"/>
      <c r="CJ84" s="539"/>
      <c r="CK84" s="539"/>
      <c r="CL84" s="539"/>
      <c r="CM84" s="539"/>
      <c r="CN84" s="539"/>
      <c r="CO84" s="539"/>
      <c r="CP84" s="539"/>
      <c r="CQ84" s="539"/>
      <c r="CR84" s="539"/>
      <c r="CS84" s="539"/>
      <c r="CT84" s="539"/>
      <c r="CU84" s="539"/>
      <c r="CV84" s="539"/>
      <c r="CW84" s="539"/>
      <c r="CX84" s="539"/>
      <c r="CY84" s="539"/>
      <c r="CZ84" s="539"/>
      <c r="DA84" s="539"/>
      <c r="DB84" s="539"/>
      <c r="DC84" s="539"/>
      <c r="DD84" s="539"/>
      <c r="DE84" s="539"/>
      <c r="DF84" s="539"/>
      <c r="DG84" s="539"/>
      <c r="DH84" s="539"/>
      <c r="DI84" s="539"/>
      <c r="DJ84" s="539"/>
      <c r="DK84" s="539"/>
      <c r="DL84" s="539"/>
      <c r="DM84" s="539"/>
      <c r="DN84" s="539"/>
      <c r="DO84" s="539"/>
      <c r="DP84" s="539"/>
      <c r="DQ84" s="539"/>
      <c r="DR84" s="539"/>
      <c r="DS84" s="539"/>
      <c r="DT84" s="539"/>
      <c r="DU84" s="539"/>
      <c r="DV84" s="539"/>
      <c r="DW84" s="539"/>
      <c r="DX84" s="539"/>
      <c r="DY84" s="539"/>
      <c r="DZ84" s="539"/>
      <c r="EA84" s="539"/>
      <c r="EB84" s="539"/>
      <c r="EC84" s="539"/>
      <c r="ED84" s="539"/>
    </row>
    <row r="85" spans="1:134" ht="13.5" customHeight="1">
      <c r="A85" s="545"/>
      <c r="B85" s="6" t="e">
        <f>+#REF!</f>
        <v>#REF!</v>
      </c>
      <c r="C85" s="7">
        <f t="shared" ref="C85:AP85" si="2">C68-C69</f>
        <v>-52256.156034</v>
      </c>
      <c r="D85" s="7">
        <f t="shared" si="2"/>
        <v>65128.199554999999</v>
      </c>
      <c r="E85" s="7">
        <f t="shared" si="2"/>
        <v>1236.5628909999987</v>
      </c>
      <c r="F85" s="7">
        <f t="shared" si="2"/>
        <v>25056.06609700001</v>
      </c>
      <c r="G85" s="7">
        <f t="shared" si="2"/>
        <v>61475.913408463464</v>
      </c>
      <c r="H85" s="7">
        <f t="shared" si="2"/>
        <v>66951.224396684309</v>
      </c>
      <c r="I85" s="7">
        <f t="shared" si="2"/>
        <v>72425.653619839999</v>
      </c>
      <c r="J85" s="7">
        <f t="shared" si="2"/>
        <v>77249.618355279308</v>
      </c>
      <c r="K85" s="7">
        <f t="shared" si="2"/>
        <v>81385.087169921826</v>
      </c>
      <c r="L85" s="7">
        <f t="shared" si="2"/>
        <v>1055997.7778065575</v>
      </c>
      <c r="M85" s="7">
        <f t="shared" si="2"/>
        <v>1055978.9387641605</v>
      </c>
      <c r="N85" s="7">
        <f t="shared" si="2"/>
        <v>1055978.9387641605</v>
      </c>
      <c r="O85" s="7">
        <f t="shared" si="2"/>
        <v>1055978.9387641605</v>
      </c>
      <c r="P85" s="7">
        <f t="shared" si="2"/>
        <v>0</v>
      </c>
      <c r="Q85" s="7">
        <f t="shared" si="2"/>
        <v>0</v>
      </c>
      <c r="R85" s="7">
        <f t="shared" si="2"/>
        <v>0</v>
      </c>
      <c r="S85" s="7">
        <f t="shared" si="2"/>
        <v>0</v>
      </c>
      <c r="T85" s="7">
        <f t="shared" si="2"/>
        <v>0</v>
      </c>
      <c r="U85" s="7">
        <f t="shared" si="2"/>
        <v>0</v>
      </c>
      <c r="V85" s="7">
        <f t="shared" si="2"/>
        <v>0</v>
      </c>
      <c r="W85" s="7">
        <f t="shared" si="2"/>
        <v>0</v>
      </c>
      <c r="X85" s="7">
        <f t="shared" si="2"/>
        <v>0</v>
      </c>
      <c r="Y85" s="7">
        <f t="shared" si="2"/>
        <v>0</v>
      </c>
      <c r="Z85" s="7">
        <f t="shared" si="2"/>
        <v>0</v>
      </c>
      <c r="AA85" s="7">
        <f t="shared" si="2"/>
        <v>0</v>
      </c>
      <c r="AB85" s="7">
        <f t="shared" si="2"/>
        <v>0</v>
      </c>
      <c r="AC85" s="7">
        <f t="shared" si="2"/>
        <v>0</v>
      </c>
      <c r="AD85" s="7">
        <f t="shared" si="2"/>
        <v>0</v>
      </c>
      <c r="AE85" s="7">
        <f t="shared" si="2"/>
        <v>0</v>
      </c>
      <c r="AF85" s="7">
        <f t="shared" si="2"/>
        <v>0</v>
      </c>
      <c r="AG85" s="7">
        <f t="shared" si="2"/>
        <v>0</v>
      </c>
      <c r="AH85" s="7">
        <f t="shared" si="2"/>
        <v>0</v>
      </c>
      <c r="AI85" s="7">
        <f t="shared" si="2"/>
        <v>0</v>
      </c>
      <c r="AJ85" s="7">
        <f t="shared" si="2"/>
        <v>0</v>
      </c>
      <c r="AK85" s="7">
        <f t="shared" si="2"/>
        <v>0</v>
      </c>
      <c r="AL85" s="7">
        <f t="shared" si="2"/>
        <v>0</v>
      </c>
      <c r="AM85" s="7">
        <f t="shared" si="2"/>
        <v>0</v>
      </c>
      <c r="AN85" s="7">
        <f t="shared" si="2"/>
        <v>0</v>
      </c>
      <c r="AO85" s="7">
        <f t="shared" si="2"/>
        <v>0</v>
      </c>
      <c r="AP85" s="7">
        <f t="shared" si="2"/>
        <v>0</v>
      </c>
      <c r="AQ85" s="539"/>
      <c r="AR85" s="539"/>
      <c r="AS85" s="539"/>
      <c r="AT85" s="539"/>
      <c r="AU85" s="539"/>
      <c r="AV85" s="539"/>
      <c r="AW85" s="539"/>
      <c r="AX85" s="539"/>
      <c r="AY85" s="539"/>
      <c r="AZ85" s="539"/>
      <c r="BA85" s="539"/>
      <c r="BB85" s="539"/>
      <c r="BC85" s="539"/>
      <c r="BD85" s="539"/>
      <c r="BE85" s="539"/>
      <c r="BF85" s="539"/>
      <c r="BG85" s="539"/>
      <c r="BH85" s="539"/>
      <c r="BI85" s="539"/>
      <c r="BJ85" s="539"/>
      <c r="BK85" s="539"/>
      <c r="BL85" s="539"/>
      <c r="BM85" s="539"/>
      <c r="BN85" s="539"/>
      <c r="BO85" s="539"/>
      <c r="BP85" s="539"/>
      <c r="BQ85" s="539"/>
      <c r="BR85" s="539"/>
      <c r="BS85" s="539"/>
      <c r="BT85" s="539"/>
      <c r="BU85" s="539"/>
      <c r="BV85" s="539"/>
      <c r="BW85" s="539"/>
      <c r="BX85" s="539"/>
      <c r="BY85" s="539"/>
      <c r="BZ85" s="539"/>
      <c r="CA85" s="539"/>
      <c r="CB85" s="539"/>
      <c r="CC85" s="539"/>
      <c r="CD85" s="539"/>
      <c r="CE85" s="539"/>
      <c r="CF85" s="539"/>
      <c r="CG85" s="539"/>
      <c r="CH85" s="539"/>
      <c r="CI85" s="539"/>
      <c r="CJ85" s="539"/>
      <c r="CK85" s="539"/>
      <c r="CL85" s="539"/>
      <c r="CM85" s="539"/>
      <c r="CN85" s="539"/>
      <c r="CO85" s="539"/>
      <c r="CP85" s="539"/>
      <c r="CQ85" s="539"/>
      <c r="CR85" s="539"/>
      <c r="CS85" s="539"/>
      <c r="CT85" s="539"/>
      <c r="CU85" s="539"/>
      <c r="CV85" s="539"/>
      <c r="CW85" s="539"/>
      <c r="CX85" s="539"/>
      <c r="CY85" s="539"/>
      <c r="CZ85" s="539"/>
      <c r="DA85" s="539"/>
      <c r="DB85" s="539"/>
      <c r="DC85" s="539"/>
      <c r="DD85" s="539"/>
      <c r="DE85" s="539"/>
      <c r="DF85" s="539"/>
      <c r="DG85" s="539"/>
      <c r="DH85" s="539"/>
      <c r="DI85" s="539"/>
      <c r="DJ85" s="539"/>
      <c r="DK85" s="539"/>
      <c r="DL85" s="539"/>
      <c r="DM85" s="539"/>
      <c r="DN85" s="539"/>
      <c r="DO85" s="539"/>
      <c r="DP85" s="539"/>
      <c r="DQ85" s="539"/>
      <c r="DR85" s="539"/>
      <c r="DS85" s="539"/>
      <c r="DT85" s="539"/>
      <c r="DU85" s="539"/>
      <c r="DV85" s="539"/>
      <c r="DW85" s="539"/>
      <c r="DX85" s="539"/>
      <c r="DY85" s="539"/>
      <c r="DZ85" s="539"/>
      <c r="EA85" s="539"/>
      <c r="EB85" s="539"/>
      <c r="EC85" s="539"/>
      <c r="ED85" s="539"/>
    </row>
    <row r="86" spans="1:134" ht="13.5" customHeight="1">
      <c r="A86" s="539"/>
      <c r="B86" s="3" t="e">
        <f>+#REF!</f>
        <v>#REF!</v>
      </c>
      <c r="C86" s="3">
        <v>-819.78650000000005</v>
      </c>
      <c r="D86" s="3">
        <v>4769.0629129999998</v>
      </c>
      <c r="E86" s="3">
        <v>350.39600000000002</v>
      </c>
      <c r="F86" s="3">
        <v>0</v>
      </c>
      <c r="G86" s="3">
        <v>15368.978352115866</v>
      </c>
      <c r="H86" s="3">
        <v>16737.806099171077</v>
      </c>
      <c r="I86" s="3">
        <v>18106.41340496</v>
      </c>
      <c r="J86" s="3">
        <v>19312.404588819827</v>
      </c>
      <c r="K86" s="3">
        <v>20346.271792480456</v>
      </c>
      <c r="L86" s="3">
        <v>263999.44445163937</v>
      </c>
      <c r="M86" s="3">
        <v>263994.73469104012</v>
      </c>
      <c r="N86" s="3">
        <v>263994.73469104012</v>
      </c>
      <c r="O86" s="3">
        <v>263994.73469104012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539"/>
      <c r="AR86" s="539"/>
      <c r="AS86" s="539"/>
      <c r="AT86" s="539"/>
      <c r="AU86" s="539"/>
      <c r="AV86" s="539"/>
      <c r="AW86" s="539"/>
      <c r="AX86" s="539"/>
      <c r="AY86" s="539"/>
      <c r="AZ86" s="539"/>
      <c r="BA86" s="539"/>
      <c r="BB86" s="539"/>
      <c r="BC86" s="539"/>
      <c r="BD86" s="539"/>
      <c r="BE86" s="539"/>
      <c r="BF86" s="539"/>
      <c r="BG86" s="539"/>
      <c r="BH86" s="539"/>
      <c r="BI86" s="539"/>
      <c r="BJ86" s="539"/>
      <c r="BK86" s="539"/>
      <c r="BL86" s="539"/>
      <c r="BM86" s="539"/>
      <c r="BN86" s="539"/>
      <c r="BO86" s="539"/>
      <c r="BP86" s="539"/>
      <c r="BQ86" s="539"/>
      <c r="BR86" s="539"/>
      <c r="BS86" s="539"/>
      <c r="BT86" s="539"/>
      <c r="BU86" s="539"/>
      <c r="BV86" s="539"/>
      <c r="BW86" s="539"/>
      <c r="BX86" s="539"/>
      <c r="BY86" s="539"/>
      <c r="BZ86" s="539"/>
      <c r="CA86" s="539"/>
      <c r="CB86" s="539"/>
      <c r="CC86" s="539"/>
      <c r="CD86" s="539"/>
      <c r="CE86" s="539"/>
      <c r="CF86" s="539"/>
      <c r="CG86" s="539"/>
      <c r="CH86" s="539"/>
      <c r="CI86" s="539"/>
      <c r="CJ86" s="539"/>
      <c r="CK86" s="539"/>
      <c r="CL86" s="539"/>
      <c r="CM86" s="539"/>
      <c r="CN86" s="539"/>
      <c r="CO86" s="539"/>
      <c r="CP86" s="539"/>
      <c r="CQ86" s="539"/>
      <c r="CR86" s="539"/>
      <c r="CS86" s="539"/>
      <c r="CT86" s="539"/>
      <c r="CU86" s="539"/>
      <c r="CV86" s="539"/>
      <c r="CW86" s="539"/>
      <c r="CX86" s="539"/>
      <c r="CY86" s="539"/>
      <c r="CZ86" s="539"/>
      <c r="DA86" s="539"/>
      <c r="DB86" s="539"/>
      <c r="DC86" s="539"/>
      <c r="DD86" s="539"/>
      <c r="DE86" s="539"/>
      <c r="DF86" s="539"/>
      <c r="DG86" s="539"/>
      <c r="DH86" s="539"/>
      <c r="DI86" s="539"/>
      <c r="DJ86" s="539"/>
      <c r="DK86" s="539"/>
      <c r="DL86" s="539"/>
      <c r="DM86" s="539"/>
      <c r="DN86" s="539"/>
      <c r="DO86" s="539"/>
      <c r="DP86" s="539"/>
      <c r="DQ86" s="539"/>
      <c r="DR86" s="539"/>
      <c r="DS86" s="539"/>
      <c r="DT86" s="539"/>
      <c r="DU86" s="539"/>
      <c r="DV86" s="539"/>
      <c r="DW86" s="539"/>
      <c r="DX86" s="539"/>
      <c r="DY86" s="539"/>
      <c r="DZ86" s="539"/>
      <c r="EA86" s="539"/>
      <c r="EB86" s="539"/>
      <c r="EC86" s="539"/>
      <c r="ED86" s="539"/>
    </row>
    <row r="87" spans="1:134" ht="13.5" hidden="1" customHeight="1">
      <c r="A87" s="543"/>
      <c r="B87" s="5" t="e">
        <f>+#REF!</f>
        <v>#REF!</v>
      </c>
      <c r="C87" s="4">
        <f>IF(ISNUMBER(Historical!E120),Historical!E120, )</f>
        <v>3500</v>
      </c>
      <c r="D87" s="4">
        <f>IF(ISNUMBER(Historical!G120),Historical!G120, )</f>
        <v>6000</v>
      </c>
      <c r="E87" s="4">
        <f>IF(ISNUMBER(Historical!I120),Historical!I120, )</f>
        <v>9000</v>
      </c>
      <c r="F87" s="4">
        <f>IF(ISNUMBER(Projection!H7),IF(MONTH(Projection!H7)&lt;&gt;12,IF(ISNUMBER(Projection!L89),Projection!L89, ),IF(ISNUMBER(Historical!K120),Historical!K120, )), )</f>
        <v>9000</v>
      </c>
      <c r="G87" s="4">
        <f>IF(ISNUMBER(Projection!H7),IF(MONTH(Projection!$H$7)&lt;&gt;12,IF(ISNUMBER(Projection!N89),Projection!N89, ),IF(ISNUMBER(Projection!L89),Projection!L89, )), )</f>
        <v>6652.6624327255413</v>
      </c>
      <c r="H87" s="4">
        <f>IF(ISNUMBER(Projection!H7),IF(MONTH(Projection!$H$7)&lt;&gt;12,IF(ISNUMBER(Projection!P89),Projection!P89, ),IF(ISNUMBER(Projection!N89),Projection!N89, )), )</f>
        <v>8639.4180955177308</v>
      </c>
      <c r="I87" s="4">
        <f>IF(ISNUMBER(Projection!H7),IF(MONTH(Projection!$H$7)&lt;&gt;12,IF(ISNUMBER(Projection!R89),Projection!R89, ),IF(ISNUMBER(Projection!P89),Projection!P89, )), )</f>
        <v>10745.879228895898</v>
      </c>
      <c r="J87" s="4">
        <f>IF(ISNUMBER(Projection!H7),IF(MONTH(Projection!$H$7)&lt;&gt;12,IF(ISNUMBER(Projection!T89),Projection!T89, ),IF(ISNUMBER(Projection!R89),Projection!R89, )), )</f>
        <v>13117.141383240601</v>
      </c>
      <c r="K87" s="4">
        <f>IF(ISNUMBER(Projection!H7),IF(MONTH(Projection!$H$7)&lt;&gt;12,IF(ISNUMBER(Projection!Z89),Projection!Z89, ),IF(ISNUMBER(Projection!T89),Projection!T89, )), )</f>
        <v>2613.4186534880077</v>
      </c>
      <c r="L87" s="4">
        <f>IF(ISNUMBER(Projection!H7),IF(MONTH(Projection!$H$7)&lt;&gt;12,IF(ISNUMBER(Projection!AB89),Projection!AB89, ),IF(ISNUMBER(Projection!Z89),Projection!Z89, )), )</f>
        <v>2613.4186534880077</v>
      </c>
      <c r="M87" s="4">
        <f>IF(ISNUMBER(Projection!$H$7),IF(MONTH(Projection!$H$7)&lt;&gt;12,IF(ISNUMBER(Projection!AD89),Projection!AD89, ),IF(ISNUMBER(Projection!AB89),Projection!AB89, )), )</f>
        <v>2613.4186534880077</v>
      </c>
      <c r="N87" s="4">
        <f>IF(ISNUMBER(Projection!$H$7),IF(MONTH(Projection!$H$7)&lt;&gt;12,IF(ISNUMBER(Projection!AF89),Projection!AF89, ),IF(ISNUMBER(Projection!AD89),Projection!AD89, )), )</f>
        <v>2613.4186534880077</v>
      </c>
      <c r="O87" s="4">
        <f>IF(ISNUMBER(Projection!$H$7),IF(MONTH(Projection!$H$7)&lt;&gt;12,IF(ISNUMBER(Projection!AH89),Projection!AH89, ),IF(ISNUMBER(Projection!AF89),Projection!AF89, )), )</f>
        <v>2613.4186534880077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539"/>
      <c r="AR87" s="539"/>
      <c r="AS87" s="539"/>
      <c r="AT87" s="539"/>
      <c r="AU87" s="539"/>
      <c r="AV87" s="539"/>
      <c r="AW87" s="539"/>
      <c r="AX87" s="539"/>
      <c r="AY87" s="539"/>
      <c r="AZ87" s="539"/>
      <c r="BA87" s="539"/>
      <c r="BB87" s="539"/>
      <c r="BC87" s="539"/>
      <c r="BD87" s="539"/>
      <c r="BE87" s="539"/>
      <c r="BF87" s="539"/>
      <c r="BG87" s="539"/>
      <c r="BH87" s="539"/>
      <c r="BI87" s="539"/>
      <c r="BJ87" s="539"/>
      <c r="BK87" s="539"/>
      <c r="BL87" s="539"/>
      <c r="BM87" s="539"/>
      <c r="BN87" s="539"/>
      <c r="BO87" s="539"/>
      <c r="BP87" s="539"/>
      <c r="BQ87" s="539"/>
      <c r="BR87" s="539"/>
      <c r="BS87" s="539"/>
      <c r="BT87" s="539"/>
      <c r="BU87" s="539"/>
      <c r="BV87" s="539"/>
      <c r="BW87" s="539"/>
      <c r="BX87" s="539"/>
      <c r="BY87" s="539"/>
      <c r="BZ87" s="539"/>
      <c r="CA87" s="539"/>
      <c r="CB87" s="539"/>
      <c r="CC87" s="539"/>
      <c r="CD87" s="539"/>
      <c r="CE87" s="539"/>
      <c r="CF87" s="539"/>
      <c r="CG87" s="539"/>
      <c r="CH87" s="539"/>
      <c r="CI87" s="539"/>
      <c r="CJ87" s="539"/>
      <c r="CK87" s="539"/>
      <c r="CL87" s="539"/>
      <c r="CM87" s="539"/>
      <c r="CN87" s="539"/>
      <c r="CO87" s="539"/>
      <c r="CP87" s="539"/>
      <c r="CQ87" s="539"/>
      <c r="CR87" s="539"/>
      <c r="CS87" s="539"/>
      <c r="CT87" s="539"/>
      <c r="CU87" s="539"/>
      <c r="CV87" s="539"/>
      <c r="CW87" s="539"/>
      <c r="CX87" s="539"/>
      <c r="CY87" s="539"/>
      <c r="CZ87" s="539"/>
      <c r="DA87" s="539"/>
      <c r="DB87" s="539"/>
      <c r="DC87" s="539"/>
      <c r="DD87" s="539"/>
      <c r="DE87" s="539"/>
      <c r="DF87" s="539"/>
      <c r="DG87" s="539"/>
      <c r="DH87" s="539"/>
      <c r="DI87" s="539"/>
      <c r="DJ87" s="539"/>
      <c r="DK87" s="539"/>
      <c r="DL87" s="539"/>
      <c r="DM87" s="539"/>
      <c r="DN87" s="539"/>
      <c r="DO87" s="539"/>
      <c r="DP87" s="539"/>
      <c r="DQ87" s="539"/>
      <c r="DR87" s="539"/>
      <c r="DS87" s="539"/>
      <c r="DT87" s="539"/>
      <c r="DU87" s="539"/>
      <c r="DV87" s="539"/>
      <c r="DW87" s="539"/>
      <c r="DX87" s="539"/>
      <c r="DY87" s="539"/>
      <c r="DZ87" s="539"/>
      <c r="EA87" s="539"/>
      <c r="EB87" s="539"/>
      <c r="EC87" s="539"/>
      <c r="ED87" s="539"/>
    </row>
    <row r="88" spans="1:134" ht="13.5" hidden="1" customHeight="1">
      <c r="A88" s="543"/>
      <c r="B88" s="5" t="e">
        <f>+#REF!</f>
        <v>#REF!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539"/>
      <c r="AR88" s="539"/>
      <c r="AS88" s="539"/>
      <c r="AT88" s="539"/>
      <c r="AU88" s="539"/>
      <c r="AV88" s="539"/>
      <c r="AW88" s="539"/>
      <c r="AX88" s="539"/>
      <c r="AY88" s="539"/>
      <c r="AZ88" s="539"/>
      <c r="BA88" s="539"/>
      <c r="BB88" s="539"/>
      <c r="BC88" s="539"/>
      <c r="BD88" s="539"/>
      <c r="BE88" s="539"/>
      <c r="BF88" s="539"/>
      <c r="BG88" s="539"/>
      <c r="BH88" s="539"/>
      <c r="BI88" s="539"/>
      <c r="BJ88" s="539"/>
      <c r="BK88" s="539"/>
      <c r="BL88" s="539"/>
      <c r="BM88" s="539"/>
      <c r="BN88" s="539"/>
      <c r="BO88" s="539"/>
      <c r="BP88" s="539"/>
      <c r="BQ88" s="539"/>
      <c r="BR88" s="539"/>
      <c r="BS88" s="539"/>
      <c r="BT88" s="539"/>
      <c r="BU88" s="539"/>
      <c r="BV88" s="539"/>
      <c r="BW88" s="539"/>
      <c r="BX88" s="539"/>
      <c r="BY88" s="539"/>
      <c r="BZ88" s="539"/>
      <c r="CA88" s="539"/>
      <c r="CB88" s="539"/>
      <c r="CC88" s="539"/>
      <c r="CD88" s="539"/>
      <c r="CE88" s="539"/>
      <c r="CF88" s="539"/>
      <c r="CG88" s="539"/>
      <c r="CH88" s="539"/>
      <c r="CI88" s="539"/>
      <c r="CJ88" s="539"/>
      <c r="CK88" s="539"/>
      <c r="CL88" s="539"/>
      <c r="CM88" s="539"/>
      <c r="CN88" s="539"/>
      <c r="CO88" s="539"/>
      <c r="CP88" s="539"/>
      <c r="CQ88" s="539"/>
      <c r="CR88" s="539"/>
      <c r="CS88" s="539"/>
      <c r="CT88" s="539"/>
      <c r="CU88" s="539"/>
      <c r="CV88" s="539"/>
      <c r="CW88" s="539"/>
      <c r="CX88" s="539"/>
      <c r="CY88" s="539"/>
      <c r="CZ88" s="539"/>
      <c r="DA88" s="539"/>
      <c r="DB88" s="539"/>
      <c r="DC88" s="539"/>
      <c r="DD88" s="539"/>
      <c r="DE88" s="539"/>
      <c r="DF88" s="539"/>
      <c r="DG88" s="539"/>
      <c r="DH88" s="539"/>
      <c r="DI88" s="539"/>
      <c r="DJ88" s="539"/>
      <c r="DK88" s="539"/>
      <c r="DL88" s="539"/>
      <c r="DM88" s="539"/>
      <c r="DN88" s="539"/>
      <c r="DO88" s="539"/>
      <c r="DP88" s="539"/>
      <c r="DQ88" s="539"/>
      <c r="DR88" s="539"/>
      <c r="DS88" s="539"/>
      <c r="DT88" s="539"/>
      <c r="DU88" s="539"/>
      <c r="DV88" s="539"/>
      <c r="DW88" s="539"/>
      <c r="DX88" s="539"/>
      <c r="DY88" s="539"/>
      <c r="DZ88" s="539"/>
      <c r="EA88" s="539"/>
      <c r="EB88" s="539"/>
      <c r="EC88" s="539"/>
      <c r="ED88" s="539"/>
    </row>
    <row r="89" spans="1:134" ht="13.5" hidden="1" customHeight="1">
      <c r="A89" s="543"/>
      <c r="B89" s="5" t="e">
        <f>+#REF!</f>
        <v>#REF!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539"/>
      <c r="AR89" s="539"/>
      <c r="AS89" s="539"/>
      <c r="AT89" s="539"/>
      <c r="AU89" s="539"/>
      <c r="AV89" s="539"/>
      <c r="AW89" s="539"/>
      <c r="AX89" s="539"/>
      <c r="AY89" s="539"/>
      <c r="AZ89" s="539"/>
      <c r="BA89" s="539"/>
      <c r="BB89" s="539"/>
      <c r="BC89" s="539"/>
      <c r="BD89" s="539"/>
      <c r="BE89" s="539"/>
      <c r="BF89" s="539"/>
      <c r="BG89" s="539"/>
      <c r="BH89" s="539"/>
      <c r="BI89" s="539"/>
      <c r="BJ89" s="539"/>
      <c r="BK89" s="539"/>
      <c r="BL89" s="539"/>
      <c r="BM89" s="539"/>
      <c r="BN89" s="539"/>
      <c r="BO89" s="539"/>
      <c r="BP89" s="539"/>
      <c r="BQ89" s="539"/>
      <c r="BR89" s="539"/>
      <c r="BS89" s="539"/>
      <c r="BT89" s="539"/>
      <c r="BU89" s="539"/>
      <c r="BV89" s="539"/>
      <c r="BW89" s="539"/>
      <c r="BX89" s="539"/>
      <c r="BY89" s="539"/>
      <c r="BZ89" s="539"/>
      <c r="CA89" s="539"/>
      <c r="CB89" s="539"/>
      <c r="CC89" s="539"/>
      <c r="CD89" s="539"/>
      <c r="CE89" s="539"/>
      <c r="CF89" s="539"/>
      <c r="CG89" s="539"/>
      <c r="CH89" s="539"/>
      <c r="CI89" s="539"/>
      <c r="CJ89" s="539"/>
      <c r="CK89" s="539"/>
      <c r="CL89" s="539"/>
      <c r="CM89" s="539"/>
      <c r="CN89" s="539"/>
      <c r="CO89" s="539"/>
      <c r="CP89" s="539"/>
      <c r="CQ89" s="539"/>
      <c r="CR89" s="539"/>
      <c r="CS89" s="539"/>
      <c r="CT89" s="539"/>
      <c r="CU89" s="539"/>
      <c r="CV89" s="539"/>
      <c r="CW89" s="539"/>
      <c r="CX89" s="539"/>
      <c r="CY89" s="539"/>
      <c r="CZ89" s="539"/>
      <c r="DA89" s="539"/>
      <c r="DB89" s="539"/>
      <c r="DC89" s="539"/>
      <c r="DD89" s="539"/>
      <c r="DE89" s="539"/>
      <c r="DF89" s="539"/>
      <c r="DG89" s="539"/>
      <c r="DH89" s="539"/>
      <c r="DI89" s="539"/>
      <c r="DJ89" s="539"/>
      <c r="DK89" s="539"/>
      <c r="DL89" s="539"/>
      <c r="DM89" s="539"/>
      <c r="DN89" s="539"/>
      <c r="DO89" s="539"/>
      <c r="DP89" s="539"/>
      <c r="DQ89" s="539"/>
      <c r="DR89" s="539"/>
      <c r="DS89" s="539"/>
      <c r="DT89" s="539"/>
      <c r="DU89" s="539"/>
      <c r="DV89" s="539"/>
      <c r="DW89" s="539"/>
      <c r="DX89" s="539"/>
      <c r="DY89" s="539"/>
      <c r="DZ89" s="539"/>
      <c r="EA89" s="539"/>
      <c r="EB89" s="539"/>
      <c r="EC89" s="539"/>
      <c r="ED89" s="539"/>
    </row>
    <row r="90" spans="1:134" ht="13.5" hidden="1" customHeight="1">
      <c r="A90" s="543"/>
      <c r="B90" s="5" t="e">
        <f>+#REF!</f>
        <v>#REF!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539"/>
      <c r="AR90" s="539"/>
      <c r="AS90" s="539"/>
      <c r="AT90" s="539"/>
      <c r="AU90" s="539"/>
      <c r="AV90" s="539"/>
      <c r="AW90" s="539"/>
      <c r="AX90" s="539"/>
      <c r="AY90" s="539"/>
      <c r="AZ90" s="539"/>
      <c r="BA90" s="539"/>
      <c r="BB90" s="539"/>
      <c r="BC90" s="539"/>
      <c r="BD90" s="539"/>
      <c r="BE90" s="539"/>
      <c r="BF90" s="539"/>
      <c r="BG90" s="539"/>
      <c r="BH90" s="539"/>
      <c r="BI90" s="539"/>
      <c r="BJ90" s="539"/>
      <c r="BK90" s="539"/>
      <c r="BL90" s="539"/>
      <c r="BM90" s="539"/>
      <c r="BN90" s="539"/>
      <c r="BO90" s="539"/>
      <c r="BP90" s="539"/>
      <c r="BQ90" s="539"/>
      <c r="BR90" s="539"/>
      <c r="BS90" s="539"/>
      <c r="BT90" s="539"/>
      <c r="BU90" s="539"/>
      <c r="BV90" s="539"/>
      <c r="BW90" s="539"/>
      <c r="BX90" s="539"/>
      <c r="BY90" s="539"/>
      <c r="BZ90" s="539"/>
      <c r="CA90" s="539"/>
      <c r="CB90" s="539"/>
      <c r="CC90" s="539"/>
      <c r="CD90" s="539"/>
      <c r="CE90" s="539"/>
      <c r="CF90" s="539"/>
      <c r="CG90" s="539"/>
      <c r="CH90" s="539"/>
      <c r="CI90" s="539"/>
      <c r="CJ90" s="539"/>
      <c r="CK90" s="539"/>
      <c r="CL90" s="539"/>
      <c r="CM90" s="539"/>
      <c r="CN90" s="539"/>
      <c r="CO90" s="539"/>
      <c r="CP90" s="539"/>
      <c r="CQ90" s="539"/>
      <c r="CR90" s="539"/>
      <c r="CS90" s="539"/>
      <c r="CT90" s="539"/>
      <c r="CU90" s="539"/>
      <c r="CV90" s="539"/>
      <c r="CW90" s="539"/>
      <c r="CX90" s="539"/>
      <c r="CY90" s="539"/>
      <c r="CZ90" s="539"/>
      <c r="DA90" s="539"/>
      <c r="DB90" s="539"/>
      <c r="DC90" s="539"/>
      <c r="DD90" s="539"/>
      <c r="DE90" s="539"/>
      <c r="DF90" s="539"/>
      <c r="DG90" s="539"/>
      <c r="DH90" s="539"/>
      <c r="DI90" s="539"/>
      <c r="DJ90" s="539"/>
      <c r="DK90" s="539"/>
      <c r="DL90" s="539"/>
      <c r="DM90" s="539"/>
      <c r="DN90" s="539"/>
      <c r="DO90" s="539"/>
      <c r="DP90" s="539"/>
      <c r="DQ90" s="539"/>
      <c r="DR90" s="539"/>
      <c r="DS90" s="539"/>
      <c r="DT90" s="539"/>
      <c r="DU90" s="539"/>
      <c r="DV90" s="539"/>
      <c r="DW90" s="539"/>
      <c r="DX90" s="539"/>
      <c r="DY90" s="539"/>
      <c r="DZ90" s="539"/>
      <c r="EA90" s="539"/>
      <c r="EB90" s="539"/>
      <c r="EC90" s="539"/>
      <c r="ED90" s="539"/>
    </row>
    <row r="91" spans="1:134" ht="13.5" hidden="1" customHeight="1">
      <c r="A91" s="543"/>
      <c r="B91" s="5" t="e">
        <f>+#REF!</f>
        <v>#REF!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539"/>
      <c r="AR91" s="539"/>
      <c r="AS91" s="539"/>
      <c r="AT91" s="539"/>
      <c r="AU91" s="539"/>
      <c r="AV91" s="539"/>
      <c r="AW91" s="539"/>
      <c r="AX91" s="539"/>
      <c r="AY91" s="539"/>
      <c r="AZ91" s="539"/>
      <c r="BA91" s="539"/>
      <c r="BB91" s="539"/>
      <c r="BC91" s="539"/>
      <c r="BD91" s="539"/>
      <c r="BE91" s="539"/>
      <c r="BF91" s="539"/>
      <c r="BG91" s="539"/>
      <c r="BH91" s="539"/>
      <c r="BI91" s="539"/>
      <c r="BJ91" s="539"/>
      <c r="BK91" s="539"/>
      <c r="BL91" s="539"/>
      <c r="BM91" s="539"/>
      <c r="BN91" s="539"/>
      <c r="BO91" s="539"/>
      <c r="BP91" s="539"/>
      <c r="BQ91" s="539"/>
      <c r="BR91" s="539"/>
      <c r="BS91" s="539"/>
      <c r="BT91" s="539"/>
      <c r="BU91" s="539"/>
      <c r="BV91" s="539"/>
      <c r="BW91" s="539"/>
      <c r="BX91" s="539"/>
      <c r="BY91" s="539"/>
      <c r="BZ91" s="539"/>
      <c r="CA91" s="539"/>
      <c r="CB91" s="539"/>
      <c r="CC91" s="539"/>
      <c r="CD91" s="539"/>
      <c r="CE91" s="539"/>
      <c r="CF91" s="539"/>
      <c r="CG91" s="539"/>
      <c r="CH91" s="539"/>
      <c r="CI91" s="539"/>
      <c r="CJ91" s="539"/>
      <c r="CK91" s="539"/>
      <c r="CL91" s="539"/>
      <c r="CM91" s="539"/>
      <c r="CN91" s="539"/>
      <c r="CO91" s="539"/>
      <c r="CP91" s="539"/>
      <c r="CQ91" s="539"/>
      <c r="CR91" s="539"/>
      <c r="CS91" s="539"/>
      <c r="CT91" s="539"/>
      <c r="CU91" s="539"/>
      <c r="CV91" s="539"/>
      <c r="CW91" s="539"/>
      <c r="CX91" s="539"/>
      <c r="CY91" s="539"/>
      <c r="CZ91" s="539"/>
      <c r="DA91" s="539"/>
      <c r="DB91" s="539"/>
      <c r="DC91" s="539"/>
      <c r="DD91" s="539"/>
      <c r="DE91" s="539"/>
      <c r="DF91" s="539"/>
      <c r="DG91" s="539"/>
      <c r="DH91" s="539"/>
      <c r="DI91" s="539"/>
      <c r="DJ91" s="539"/>
      <c r="DK91" s="539"/>
      <c r="DL91" s="539"/>
      <c r="DM91" s="539"/>
      <c r="DN91" s="539"/>
      <c r="DO91" s="539"/>
      <c r="DP91" s="539"/>
      <c r="DQ91" s="539"/>
      <c r="DR91" s="539"/>
      <c r="DS91" s="539"/>
      <c r="DT91" s="539"/>
      <c r="DU91" s="539"/>
      <c r="DV91" s="539"/>
      <c r="DW91" s="539"/>
      <c r="DX91" s="539"/>
      <c r="DY91" s="539"/>
      <c r="DZ91" s="539"/>
      <c r="EA91" s="539"/>
      <c r="EB91" s="539"/>
      <c r="EC91" s="539"/>
      <c r="ED91" s="539"/>
    </row>
    <row r="92" spans="1:134" ht="13.5" hidden="1" customHeight="1">
      <c r="A92" s="543"/>
      <c r="B92" s="5" t="e">
        <f>+#REF!</f>
        <v>#REF!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539"/>
      <c r="AR92" s="539"/>
      <c r="AS92" s="539"/>
      <c r="AT92" s="539"/>
      <c r="AU92" s="539"/>
      <c r="AV92" s="539"/>
      <c r="AW92" s="539"/>
      <c r="AX92" s="539"/>
      <c r="AY92" s="539"/>
      <c r="AZ92" s="539"/>
      <c r="BA92" s="539"/>
      <c r="BB92" s="539"/>
      <c r="BC92" s="539"/>
      <c r="BD92" s="539"/>
      <c r="BE92" s="539"/>
      <c r="BF92" s="539"/>
      <c r="BG92" s="539"/>
      <c r="BH92" s="539"/>
      <c r="BI92" s="539"/>
      <c r="BJ92" s="539"/>
      <c r="BK92" s="539"/>
      <c r="BL92" s="539"/>
      <c r="BM92" s="539"/>
      <c r="BN92" s="539"/>
      <c r="BO92" s="539"/>
      <c r="BP92" s="539"/>
      <c r="BQ92" s="539"/>
      <c r="BR92" s="539"/>
      <c r="BS92" s="539"/>
      <c r="BT92" s="539"/>
      <c r="BU92" s="539"/>
      <c r="BV92" s="539"/>
      <c r="BW92" s="539"/>
      <c r="BX92" s="539"/>
      <c r="BY92" s="539"/>
      <c r="BZ92" s="539"/>
      <c r="CA92" s="539"/>
      <c r="CB92" s="539"/>
      <c r="CC92" s="539"/>
      <c r="CD92" s="539"/>
      <c r="CE92" s="539"/>
      <c r="CF92" s="539"/>
      <c r="CG92" s="539"/>
      <c r="CH92" s="539"/>
      <c r="CI92" s="539"/>
      <c r="CJ92" s="539"/>
      <c r="CK92" s="539"/>
      <c r="CL92" s="539"/>
      <c r="CM92" s="539"/>
      <c r="CN92" s="539"/>
      <c r="CO92" s="539"/>
      <c r="CP92" s="539"/>
      <c r="CQ92" s="539"/>
      <c r="CR92" s="539"/>
      <c r="CS92" s="539"/>
      <c r="CT92" s="539"/>
      <c r="CU92" s="539"/>
      <c r="CV92" s="539"/>
      <c r="CW92" s="539"/>
      <c r="CX92" s="539"/>
      <c r="CY92" s="539"/>
      <c r="CZ92" s="539"/>
      <c r="DA92" s="539"/>
      <c r="DB92" s="539"/>
      <c r="DC92" s="539"/>
      <c r="DD92" s="539"/>
      <c r="DE92" s="539"/>
      <c r="DF92" s="539"/>
      <c r="DG92" s="539"/>
      <c r="DH92" s="539"/>
      <c r="DI92" s="539"/>
      <c r="DJ92" s="539"/>
      <c r="DK92" s="539"/>
      <c r="DL92" s="539"/>
      <c r="DM92" s="539"/>
      <c r="DN92" s="539"/>
      <c r="DO92" s="539"/>
      <c r="DP92" s="539"/>
      <c r="DQ92" s="539"/>
      <c r="DR92" s="539"/>
      <c r="DS92" s="539"/>
      <c r="DT92" s="539"/>
      <c r="DU92" s="539"/>
      <c r="DV92" s="539"/>
      <c r="DW92" s="539"/>
      <c r="DX92" s="539"/>
      <c r="DY92" s="539"/>
      <c r="DZ92" s="539"/>
      <c r="EA92" s="539"/>
      <c r="EB92" s="539"/>
      <c r="EC92" s="539"/>
      <c r="ED92" s="539"/>
    </row>
    <row r="93" spans="1:134" ht="13.5" hidden="1" customHeight="1">
      <c r="A93" s="543"/>
      <c r="B93" s="5" t="e">
        <f>+#REF!</f>
        <v>#REF!</v>
      </c>
      <c r="C93" s="544"/>
      <c r="D93" s="544"/>
      <c r="E93" s="544"/>
      <c r="F93" s="544"/>
      <c r="G93" s="544"/>
      <c r="H93" s="544"/>
      <c r="I93" s="544"/>
      <c r="J93" s="544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  <c r="AC93" s="544"/>
      <c r="AD93" s="544"/>
      <c r="AE93" s="544"/>
      <c r="AF93" s="544"/>
      <c r="AG93" s="544"/>
      <c r="AH93" s="544"/>
      <c r="AI93" s="544"/>
      <c r="AJ93" s="544"/>
      <c r="AK93" s="544"/>
      <c r="AL93" s="544"/>
      <c r="AM93" s="544"/>
      <c r="AN93" s="544"/>
      <c r="AO93" s="544"/>
      <c r="AP93" s="544"/>
      <c r="AQ93" s="539"/>
      <c r="AR93" s="539"/>
      <c r="AS93" s="539"/>
      <c r="AT93" s="539"/>
      <c r="AU93" s="539"/>
      <c r="AV93" s="539"/>
      <c r="AW93" s="539"/>
      <c r="AX93" s="539"/>
      <c r="AY93" s="539"/>
      <c r="AZ93" s="539"/>
      <c r="BA93" s="539"/>
      <c r="BB93" s="539"/>
      <c r="BC93" s="539"/>
      <c r="BD93" s="539"/>
      <c r="BE93" s="539"/>
      <c r="BF93" s="539"/>
      <c r="BG93" s="539"/>
      <c r="BH93" s="539"/>
      <c r="BI93" s="539"/>
      <c r="BJ93" s="539"/>
      <c r="BK93" s="539"/>
      <c r="BL93" s="539"/>
      <c r="BM93" s="539"/>
      <c r="BN93" s="539"/>
      <c r="BO93" s="539"/>
      <c r="BP93" s="539"/>
      <c r="BQ93" s="539"/>
      <c r="BR93" s="539"/>
      <c r="BS93" s="539"/>
      <c r="BT93" s="539"/>
      <c r="BU93" s="539"/>
      <c r="BV93" s="539"/>
      <c r="BW93" s="539"/>
      <c r="BX93" s="539"/>
      <c r="BY93" s="539"/>
      <c r="BZ93" s="539"/>
      <c r="CA93" s="539"/>
      <c r="CB93" s="539"/>
      <c r="CC93" s="539"/>
      <c r="CD93" s="539"/>
      <c r="CE93" s="539"/>
      <c r="CF93" s="539"/>
      <c r="CG93" s="539"/>
      <c r="CH93" s="539"/>
      <c r="CI93" s="539"/>
      <c r="CJ93" s="539"/>
      <c r="CK93" s="539"/>
      <c r="CL93" s="539"/>
      <c r="CM93" s="539"/>
      <c r="CN93" s="539"/>
      <c r="CO93" s="539"/>
      <c r="CP93" s="539"/>
      <c r="CQ93" s="539"/>
      <c r="CR93" s="539"/>
      <c r="CS93" s="539"/>
      <c r="CT93" s="539"/>
      <c r="CU93" s="539"/>
      <c r="CV93" s="539"/>
      <c r="CW93" s="539"/>
      <c r="CX93" s="539"/>
      <c r="CY93" s="539"/>
      <c r="CZ93" s="539"/>
      <c r="DA93" s="539"/>
      <c r="DB93" s="539"/>
      <c r="DC93" s="539"/>
      <c r="DD93" s="539"/>
      <c r="DE93" s="539"/>
      <c r="DF93" s="539"/>
      <c r="DG93" s="539"/>
      <c r="DH93" s="539"/>
      <c r="DI93" s="539"/>
      <c r="DJ93" s="539"/>
      <c r="DK93" s="539"/>
      <c r="DL93" s="539"/>
      <c r="DM93" s="539"/>
      <c r="DN93" s="539"/>
      <c r="DO93" s="539"/>
      <c r="DP93" s="539"/>
      <c r="DQ93" s="539"/>
      <c r="DR93" s="539"/>
      <c r="DS93" s="539"/>
      <c r="DT93" s="539"/>
      <c r="DU93" s="539"/>
      <c r="DV93" s="539"/>
      <c r="DW93" s="539"/>
      <c r="DX93" s="539"/>
      <c r="DY93" s="539"/>
      <c r="DZ93" s="539"/>
      <c r="EA93" s="539"/>
      <c r="EB93" s="539"/>
      <c r="EC93" s="539"/>
      <c r="ED93" s="539"/>
    </row>
    <row r="94" spans="1:134" ht="13.5" hidden="1" customHeight="1">
      <c r="A94" s="543"/>
      <c r="B94" s="5" t="e">
        <f>+#REF!</f>
        <v>#REF!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539"/>
      <c r="AR94" s="539"/>
      <c r="AS94" s="539"/>
      <c r="AT94" s="539"/>
      <c r="AU94" s="539"/>
      <c r="AV94" s="539"/>
      <c r="AW94" s="539"/>
      <c r="AX94" s="539"/>
      <c r="AY94" s="539"/>
      <c r="AZ94" s="539"/>
      <c r="BA94" s="539"/>
      <c r="BB94" s="539"/>
      <c r="BC94" s="539"/>
      <c r="BD94" s="539"/>
      <c r="BE94" s="539"/>
      <c r="BF94" s="539"/>
      <c r="BG94" s="539"/>
      <c r="BH94" s="539"/>
      <c r="BI94" s="539"/>
      <c r="BJ94" s="539"/>
      <c r="BK94" s="539"/>
      <c r="BL94" s="539"/>
      <c r="BM94" s="539"/>
      <c r="BN94" s="539"/>
      <c r="BO94" s="539"/>
      <c r="BP94" s="539"/>
      <c r="BQ94" s="539"/>
      <c r="BR94" s="539"/>
      <c r="BS94" s="539"/>
      <c r="BT94" s="539"/>
      <c r="BU94" s="539"/>
      <c r="BV94" s="539"/>
      <c r="BW94" s="539"/>
      <c r="BX94" s="539"/>
      <c r="BY94" s="539"/>
      <c r="BZ94" s="539"/>
      <c r="CA94" s="539"/>
      <c r="CB94" s="539"/>
      <c r="CC94" s="539"/>
      <c r="CD94" s="539"/>
      <c r="CE94" s="539"/>
      <c r="CF94" s="539"/>
      <c r="CG94" s="539"/>
      <c r="CH94" s="539"/>
      <c r="CI94" s="539"/>
      <c r="CJ94" s="539"/>
      <c r="CK94" s="539"/>
      <c r="CL94" s="539"/>
      <c r="CM94" s="539"/>
      <c r="CN94" s="539"/>
      <c r="CO94" s="539"/>
      <c r="CP94" s="539"/>
      <c r="CQ94" s="539"/>
      <c r="CR94" s="539"/>
      <c r="CS94" s="539"/>
      <c r="CT94" s="539"/>
      <c r="CU94" s="539"/>
      <c r="CV94" s="539"/>
      <c r="CW94" s="539"/>
      <c r="CX94" s="539"/>
      <c r="CY94" s="539"/>
      <c r="CZ94" s="539"/>
      <c r="DA94" s="539"/>
      <c r="DB94" s="539"/>
      <c r="DC94" s="539"/>
      <c r="DD94" s="539"/>
      <c r="DE94" s="539"/>
      <c r="DF94" s="539"/>
      <c r="DG94" s="539"/>
      <c r="DH94" s="539"/>
      <c r="DI94" s="539"/>
      <c r="DJ94" s="539"/>
      <c r="DK94" s="539"/>
      <c r="DL94" s="539"/>
      <c r="DM94" s="539"/>
      <c r="DN94" s="539"/>
      <c r="DO94" s="539"/>
      <c r="DP94" s="539"/>
      <c r="DQ94" s="539"/>
      <c r="DR94" s="539"/>
      <c r="DS94" s="539"/>
      <c r="DT94" s="539"/>
      <c r="DU94" s="539"/>
      <c r="DV94" s="539"/>
      <c r="DW94" s="539"/>
      <c r="DX94" s="539"/>
      <c r="DY94" s="539"/>
      <c r="DZ94" s="539"/>
      <c r="EA94" s="539"/>
      <c r="EB94" s="539"/>
      <c r="EC94" s="539"/>
      <c r="ED94" s="539"/>
    </row>
    <row r="95" spans="1:134" ht="13.5" hidden="1" customHeight="1">
      <c r="A95" s="543"/>
      <c r="B95" s="5" t="e">
        <f>+#REF!</f>
        <v>#REF!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539"/>
      <c r="AR95" s="539"/>
      <c r="AS95" s="539"/>
      <c r="AT95" s="539"/>
      <c r="AU95" s="539"/>
      <c r="AV95" s="539"/>
      <c r="AW95" s="539"/>
      <c r="AX95" s="539"/>
      <c r="AY95" s="539"/>
      <c r="AZ95" s="539"/>
      <c r="BA95" s="539"/>
      <c r="BB95" s="539"/>
      <c r="BC95" s="539"/>
      <c r="BD95" s="539"/>
      <c r="BE95" s="539"/>
      <c r="BF95" s="539"/>
      <c r="BG95" s="539"/>
      <c r="BH95" s="539"/>
      <c r="BI95" s="539"/>
      <c r="BJ95" s="539"/>
      <c r="BK95" s="539"/>
      <c r="BL95" s="539"/>
      <c r="BM95" s="539"/>
      <c r="BN95" s="539"/>
      <c r="BO95" s="539"/>
      <c r="BP95" s="539"/>
      <c r="BQ95" s="539"/>
      <c r="BR95" s="539"/>
      <c r="BS95" s="539"/>
      <c r="BT95" s="539"/>
      <c r="BU95" s="539"/>
      <c r="BV95" s="539"/>
      <c r="BW95" s="539"/>
      <c r="BX95" s="539"/>
      <c r="BY95" s="539"/>
      <c r="BZ95" s="539"/>
      <c r="CA95" s="539"/>
      <c r="CB95" s="539"/>
      <c r="CC95" s="539"/>
      <c r="CD95" s="539"/>
      <c r="CE95" s="539"/>
      <c r="CF95" s="539"/>
      <c r="CG95" s="539"/>
      <c r="CH95" s="539"/>
      <c r="CI95" s="539"/>
      <c r="CJ95" s="539"/>
      <c r="CK95" s="539"/>
      <c r="CL95" s="539"/>
      <c r="CM95" s="539"/>
      <c r="CN95" s="539"/>
      <c r="CO95" s="539"/>
      <c r="CP95" s="539"/>
      <c r="CQ95" s="539"/>
      <c r="CR95" s="539"/>
      <c r="CS95" s="539"/>
      <c r="CT95" s="539"/>
      <c r="CU95" s="539"/>
      <c r="CV95" s="539"/>
      <c r="CW95" s="539"/>
      <c r="CX95" s="539"/>
      <c r="CY95" s="539"/>
      <c r="CZ95" s="539"/>
      <c r="DA95" s="539"/>
      <c r="DB95" s="539"/>
      <c r="DC95" s="539"/>
      <c r="DD95" s="539"/>
      <c r="DE95" s="539"/>
      <c r="DF95" s="539"/>
      <c r="DG95" s="539"/>
      <c r="DH95" s="539"/>
      <c r="DI95" s="539"/>
      <c r="DJ95" s="539"/>
      <c r="DK95" s="539"/>
      <c r="DL95" s="539"/>
      <c r="DM95" s="539"/>
      <c r="DN95" s="539"/>
      <c r="DO95" s="539"/>
      <c r="DP95" s="539"/>
      <c r="DQ95" s="539"/>
      <c r="DR95" s="539"/>
      <c r="DS95" s="539"/>
      <c r="DT95" s="539"/>
      <c r="DU95" s="539"/>
      <c r="DV95" s="539"/>
      <c r="DW95" s="539"/>
      <c r="DX95" s="539"/>
      <c r="DY95" s="539"/>
      <c r="DZ95" s="539"/>
      <c r="EA95" s="539"/>
      <c r="EB95" s="539"/>
      <c r="EC95" s="539"/>
      <c r="ED95" s="539"/>
    </row>
    <row r="96" spans="1:134" ht="13.5" hidden="1" customHeight="1">
      <c r="A96" s="543"/>
      <c r="B96" s="5" t="e">
        <f>+#REF!</f>
        <v>#REF!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539"/>
      <c r="AR96" s="539"/>
      <c r="AS96" s="539"/>
      <c r="AT96" s="539"/>
      <c r="AU96" s="539"/>
      <c r="AV96" s="539"/>
      <c r="AW96" s="539"/>
      <c r="AX96" s="539"/>
      <c r="AY96" s="539"/>
      <c r="AZ96" s="539"/>
      <c r="BA96" s="539"/>
      <c r="BB96" s="539"/>
      <c r="BC96" s="539"/>
      <c r="BD96" s="539"/>
      <c r="BE96" s="539"/>
      <c r="BF96" s="539"/>
      <c r="BG96" s="539"/>
      <c r="BH96" s="539"/>
      <c r="BI96" s="539"/>
      <c r="BJ96" s="539"/>
      <c r="BK96" s="539"/>
      <c r="BL96" s="539"/>
      <c r="BM96" s="539"/>
      <c r="BN96" s="539"/>
      <c r="BO96" s="539"/>
      <c r="BP96" s="539"/>
      <c r="BQ96" s="539"/>
      <c r="BR96" s="539"/>
      <c r="BS96" s="539"/>
      <c r="BT96" s="539"/>
      <c r="BU96" s="539"/>
      <c r="BV96" s="539"/>
      <c r="BW96" s="539"/>
      <c r="BX96" s="539"/>
      <c r="BY96" s="539"/>
      <c r="BZ96" s="539"/>
      <c r="CA96" s="539"/>
      <c r="CB96" s="539"/>
      <c r="CC96" s="539"/>
      <c r="CD96" s="539"/>
      <c r="CE96" s="539"/>
      <c r="CF96" s="539"/>
      <c r="CG96" s="539"/>
      <c r="CH96" s="539"/>
      <c r="CI96" s="539"/>
      <c r="CJ96" s="539"/>
      <c r="CK96" s="539"/>
      <c r="CL96" s="539"/>
      <c r="CM96" s="539"/>
      <c r="CN96" s="539"/>
      <c r="CO96" s="539"/>
      <c r="CP96" s="539"/>
      <c r="CQ96" s="539"/>
      <c r="CR96" s="539"/>
      <c r="CS96" s="539"/>
      <c r="CT96" s="539"/>
      <c r="CU96" s="539"/>
      <c r="CV96" s="539"/>
      <c r="CW96" s="539"/>
      <c r="CX96" s="539"/>
      <c r="CY96" s="539"/>
      <c r="CZ96" s="539"/>
      <c r="DA96" s="539"/>
      <c r="DB96" s="539"/>
      <c r="DC96" s="539"/>
      <c r="DD96" s="539"/>
      <c r="DE96" s="539"/>
      <c r="DF96" s="539"/>
      <c r="DG96" s="539"/>
      <c r="DH96" s="539"/>
      <c r="DI96" s="539"/>
      <c r="DJ96" s="539"/>
      <c r="DK96" s="539"/>
      <c r="DL96" s="539"/>
      <c r="DM96" s="539"/>
      <c r="DN96" s="539"/>
      <c r="DO96" s="539"/>
      <c r="DP96" s="539"/>
      <c r="DQ96" s="539"/>
      <c r="DR96" s="539"/>
      <c r="DS96" s="539"/>
      <c r="DT96" s="539"/>
      <c r="DU96" s="539"/>
      <c r="DV96" s="539"/>
      <c r="DW96" s="539"/>
      <c r="DX96" s="539"/>
      <c r="DY96" s="539"/>
      <c r="DZ96" s="539"/>
      <c r="EA96" s="539"/>
      <c r="EB96" s="539"/>
      <c r="EC96" s="539"/>
      <c r="ED96" s="539"/>
    </row>
    <row r="97" spans="1:134" ht="13.5" hidden="1" customHeight="1">
      <c r="A97" s="543"/>
      <c r="B97" s="5" t="e">
        <f>+#REF!</f>
        <v>#REF!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539"/>
      <c r="AR97" s="539"/>
      <c r="AS97" s="539"/>
      <c r="AT97" s="539"/>
      <c r="AU97" s="539"/>
      <c r="AV97" s="539"/>
      <c r="AW97" s="539"/>
      <c r="AX97" s="539"/>
      <c r="AY97" s="539"/>
      <c r="AZ97" s="539"/>
      <c r="BA97" s="539"/>
      <c r="BB97" s="539"/>
      <c r="BC97" s="539"/>
      <c r="BD97" s="539"/>
      <c r="BE97" s="539"/>
      <c r="BF97" s="539"/>
      <c r="BG97" s="539"/>
      <c r="BH97" s="539"/>
      <c r="BI97" s="539"/>
      <c r="BJ97" s="539"/>
      <c r="BK97" s="539"/>
      <c r="BL97" s="539"/>
      <c r="BM97" s="539"/>
      <c r="BN97" s="539"/>
      <c r="BO97" s="539"/>
      <c r="BP97" s="539"/>
      <c r="BQ97" s="539"/>
      <c r="BR97" s="539"/>
      <c r="BS97" s="539"/>
      <c r="BT97" s="539"/>
      <c r="BU97" s="539"/>
      <c r="BV97" s="539"/>
      <c r="BW97" s="539"/>
      <c r="BX97" s="539"/>
      <c r="BY97" s="539"/>
      <c r="BZ97" s="539"/>
      <c r="CA97" s="539"/>
      <c r="CB97" s="539"/>
      <c r="CC97" s="539"/>
      <c r="CD97" s="539"/>
      <c r="CE97" s="539"/>
      <c r="CF97" s="539"/>
      <c r="CG97" s="539"/>
      <c r="CH97" s="539"/>
      <c r="CI97" s="539"/>
      <c r="CJ97" s="539"/>
      <c r="CK97" s="539"/>
      <c r="CL97" s="539"/>
      <c r="CM97" s="539"/>
      <c r="CN97" s="539"/>
      <c r="CO97" s="539"/>
      <c r="CP97" s="539"/>
      <c r="CQ97" s="539"/>
      <c r="CR97" s="539"/>
      <c r="CS97" s="539"/>
      <c r="CT97" s="539"/>
      <c r="CU97" s="539"/>
      <c r="CV97" s="539"/>
      <c r="CW97" s="539"/>
      <c r="CX97" s="539"/>
      <c r="CY97" s="539"/>
      <c r="CZ97" s="539"/>
      <c r="DA97" s="539"/>
      <c r="DB97" s="539"/>
      <c r="DC97" s="539"/>
      <c r="DD97" s="539"/>
      <c r="DE97" s="539"/>
      <c r="DF97" s="539"/>
      <c r="DG97" s="539"/>
      <c r="DH97" s="539"/>
      <c r="DI97" s="539"/>
      <c r="DJ97" s="539"/>
      <c r="DK97" s="539"/>
      <c r="DL97" s="539"/>
      <c r="DM97" s="539"/>
      <c r="DN97" s="539"/>
      <c r="DO97" s="539"/>
      <c r="DP97" s="539"/>
      <c r="DQ97" s="539"/>
      <c r="DR97" s="539"/>
      <c r="DS97" s="539"/>
      <c r="DT97" s="539"/>
      <c r="DU97" s="539"/>
      <c r="DV97" s="539"/>
      <c r="DW97" s="539"/>
      <c r="DX97" s="539"/>
      <c r="DY97" s="539"/>
      <c r="DZ97" s="539"/>
      <c r="EA97" s="539"/>
      <c r="EB97" s="539"/>
      <c r="EC97" s="539"/>
      <c r="ED97" s="539"/>
    </row>
    <row r="98" spans="1:134" ht="13.5" hidden="1" customHeight="1">
      <c r="A98" s="543"/>
      <c r="B98" s="5" t="e">
        <f>+#REF!</f>
        <v>#REF!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539"/>
      <c r="AR98" s="539"/>
      <c r="AS98" s="539"/>
      <c r="AT98" s="539"/>
      <c r="AU98" s="539"/>
      <c r="AV98" s="539"/>
      <c r="AW98" s="539"/>
      <c r="AX98" s="539"/>
      <c r="AY98" s="539"/>
      <c r="AZ98" s="539"/>
      <c r="BA98" s="539"/>
      <c r="BB98" s="539"/>
      <c r="BC98" s="539"/>
      <c r="BD98" s="539"/>
      <c r="BE98" s="539"/>
      <c r="BF98" s="539"/>
      <c r="BG98" s="539"/>
      <c r="BH98" s="539"/>
      <c r="BI98" s="539"/>
      <c r="BJ98" s="539"/>
      <c r="BK98" s="539"/>
      <c r="BL98" s="539"/>
      <c r="BM98" s="539"/>
      <c r="BN98" s="539"/>
      <c r="BO98" s="539"/>
      <c r="BP98" s="539"/>
      <c r="BQ98" s="539"/>
      <c r="BR98" s="539"/>
      <c r="BS98" s="539"/>
      <c r="BT98" s="539"/>
      <c r="BU98" s="539"/>
      <c r="BV98" s="539"/>
      <c r="BW98" s="539"/>
      <c r="BX98" s="539"/>
      <c r="BY98" s="539"/>
      <c r="BZ98" s="539"/>
      <c r="CA98" s="539"/>
      <c r="CB98" s="539"/>
      <c r="CC98" s="539"/>
      <c r="CD98" s="539"/>
      <c r="CE98" s="539"/>
      <c r="CF98" s="539"/>
      <c r="CG98" s="539"/>
      <c r="CH98" s="539"/>
      <c r="CI98" s="539"/>
      <c r="CJ98" s="539"/>
      <c r="CK98" s="539"/>
      <c r="CL98" s="539"/>
      <c r="CM98" s="539"/>
      <c r="CN98" s="539"/>
      <c r="CO98" s="539"/>
      <c r="CP98" s="539"/>
      <c r="CQ98" s="539"/>
      <c r="CR98" s="539"/>
      <c r="CS98" s="539"/>
      <c r="CT98" s="539"/>
      <c r="CU98" s="539"/>
      <c r="CV98" s="539"/>
      <c r="CW98" s="539"/>
      <c r="CX98" s="539"/>
      <c r="CY98" s="539"/>
      <c r="CZ98" s="539"/>
      <c r="DA98" s="539"/>
      <c r="DB98" s="539"/>
      <c r="DC98" s="539"/>
      <c r="DD98" s="539"/>
      <c r="DE98" s="539"/>
      <c r="DF98" s="539"/>
      <c r="DG98" s="539"/>
      <c r="DH98" s="539"/>
      <c r="DI98" s="539"/>
      <c r="DJ98" s="539"/>
      <c r="DK98" s="539"/>
      <c r="DL98" s="539"/>
      <c r="DM98" s="539"/>
      <c r="DN98" s="539"/>
      <c r="DO98" s="539"/>
      <c r="DP98" s="539"/>
      <c r="DQ98" s="539"/>
      <c r="DR98" s="539"/>
      <c r="DS98" s="539"/>
      <c r="DT98" s="539"/>
      <c r="DU98" s="539"/>
      <c r="DV98" s="539"/>
      <c r="DW98" s="539"/>
      <c r="DX98" s="539"/>
      <c r="DY98" s="539"/>
      <c r="DZ98" s="539"/>
      <c r="EA98" s="539"/>
      <c r="EB98" s="539"/>
      <c r="EC98" s="539"/>
      <c r="ED98" s="539"/>
    </row>
    <row r="99" spans="1:134" ht="13.5" hidden="1" customHeight="1">
      <c r="A99" s="543"/>
      <c r="B99" s="5" t="e">
        <f>+#REF!</f>
        <v>#REF!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539"/>
      <c r="AR99" s="539"/>
      <c r="AS99" s="539"/>
      <c r="AT99" s="539"/>
      <c r="AU99" s="539"/>
      <c r="AV99" s="539"/>
      <c r="AW99" s="539"/>
      <c r="AX99" s="539"/>
      <c r="AY99" s="539"/>
      <c r="AZ99" s="539"/>
      <c r="BA99" s="539"/>
      <c r="BB99" s="539"/>
      <c r="BC99" s="539"/>
      <c r="BD99" s="539"/>
      <c r="BE99" s="539"/>
      <c r="BF99" s="539"/>
      <c r="BG99" s="539"/>
      <c r="BH99" s="539"/>
      <c r="BI99" s="539"/>
      <c r="BJ99" s="539"/>
      <c r="BK99" s="539"/>
      <c r="BL99" s="539"/>
      <c r="BM99" s="539"/>
      <c r="BN99" s="539"/>
      <c r="BO99" s="539"/>
      <c r="BP99" s="539"/>
      <c r="BQ99" s="539"/>
      <c r="BR99" s="539"/>
      <c r="BS99" s="539"/>
      <c r="BT99" s="539"/>
      <c r="BU99" s="539"/>
      <c r="BV99" s="539"/>
      <c r="BW99" s="539"/>
      <c r="BX99" s="539"/>
      <c r="BY99" s="539"/>
      <c r="BZ99" s="539"/>
      <c r="CA99" s="539"/>
      <c r="CB99" s="539"/>
      <c r="CC99" s="539"/>
      <c r="CD99" s="539"/>
      <c r="CE99" s="539"/>
      <c r="CF99" s="539"/>
      <c r="CG99" s="539"/>
      <c r="CH99" s="539"/>
      <c r="CI99" s="539"/>
      <c r="CJ99" s="539"/>
      <c r="CK99" s="539"/>
      <c r="CL99" s="539"/>
      <c r="CM99" s="539"/>
      <c r="CN99" s="539"/>
      <c r="CO99" s="539"/>
      <c r="CP99" s="539"/>
      <c r="CQ99" s="539"/>
      <c r="CR99" s="539"/>
      <c r="CS99" s="539"/>
      <c r="CT99" s="539"/>
      <c r="CU99" s="539"/>
      <c r="CV99" s="539"/>
      <c r="CW99" s="539"/>
      <c r="CX99" s="539"/>
      <c r="CY99" s="539"/>
      <c r="CZ99" s="539"/>
      <c r="DA99" s="539"/>
      <c r="DB99" s="539"/>
      <c r="DC99" s="539"/>
      <c r="DD99" s="539"/>
      <c r="DE99" s="539"/>
      <c r="DF99" s="539"/>
      <c r="DG99" s="539"/>
      <c r="DH99" s="539"/>
      <c r="DI99" s="539"/>
      <c r="DJ99" s="539"/>
      <c r="DK99" s="539"/>
      <c r="DL99" s="539"/>
      <c r="DM99" s="539"/>
      <c r="DN99" s="539"/>
      <c r="DO99" s="539"/>
      <c r="DP99" s="539"/>
      <c r="DQ99" s="539"/>
      <c r="DR99" s="539"/>
      <c r="DS99" s="539"/>
      <c r="DT99" s="539"/>
      <c r="DU99" s="539"/>
      <c r="DV99" s="539"/>
      <c r="DW99" s="539"/>
      <c r="DX99" s="539"/>
      <c r="DY99" s="539"/>
      <c r="DZ99" s="539"/>
      <c r="EA99" s="539"/>
      <c r="EB99" s="539"/>
      <c r="EC99" s="539"/>
      <c r="ED99" s="539"/>
    </row>
    <row r="100" spans="1:134" ht="13.5" hidden="1" customHeight="1">
      <c r="A100" s="543"/>
      <c r="B100" s="5" t="e">
        <f>+#REF!</f>
        <v>#REF!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539"/>
      <c r="AR100" s="539"/>
      <c r="AS100" s="539"/>
      <c r="AT100" s="539"/>
      <c r="AU100" s="539"/>
      <c r="AV100" s="539"/>
      <c r="AW100" s="539"/>
      <c r="AX100" s="539"/>
      <c r="AY100" s="539"/>
      <c r="AZ100" s="539"/>
      <c r="BA100" s="539"/>
      <c r="BB100" s="539"/>
      <c r="BC100" s="539"/>
      <c r="BD100" s="539"/>
      <c r="BE100" s="539"/>
      <c r="BF100" s="539"/>
      <c r="BG100" s="539"/>
      <c r="BH100" s="539"/>
      <c r="BI100" s="539"/>
      <c r="BJ100" s="539"/>
      <c r="BK100" s="539"/>
      <c r="BL100" s="539"/>
      <c r="BM100" s="539"/>
      <c r="BN100" s="539"/>
      <c r="BO100" s="539"/>
      <c r="BP100" s="539"/>
      <c r="BQ100" s="539"/>
      <c r="BR100" s="539"/>
      <c r="BS100" s="539"/>
      <c r="BT100" s="539"/>
      <c r="BU100" s="539"/>
      <c r="BV100" s="539"/>
      <c r="BW100" s="539"/>
      <c r="BX100" s="539"/>
      <c r="BY100" s="539"/>
      <c r="BZ100" s="539"/>
      <c r="CA100" s="539"/>
      <c r="CB100" s="539"/>
      <c r="CC100" s="539"/>
      <c r="CD100" s="539"/>
      <c r="CE100" s="539"/>
      <c r="CF100" s="539"/>
      <c r="CG100" s="539"/>
      <c r="CH100" s="539"/>
      <c r="CI100" s="539"/>
      <c r="CJ100" s="539"/>
      <c r="CK100" s="539"/>
      <c r="CL100" s="539"/>
      <c r="CM100" s="539"/>
      <c r="CN100" s="539"/>
      <c r="CO100" s="539"/>
      <c r="CP100" s="539"/>
      <c r="CQ100" s="539"/>
      <c r="CR100" s="539"/>
      <c r="CS100" s="539"/>
      <c r="CT100" s="539"/>
      <c r="CU100" s="539"/>
      <c r="CV100" s="539"/>
      <c r="CW100" s="539"/>
      <c r="CX100" s="539"/>
      <c r="CY100" s="539"/>
      <c r="CZ100" s="539"/>
      <c r="DA100" s="539"/>
      <c r="DB100" s="539"/>
      <c r="DC100" s="539"/>
      <c r="DD100" s="539"/>
      <c r="DE100" s="539"/>
      <c r="DF100" s="539"/>
      <c r="DG100" s="539"/>
      <c r="DH100" s="539"/>
      <c r="DI100" s="539"/>
      <c r="DJ100" s="539"/>
      <c r="DK100" s="539"/>
      <c r="DL100" s="539"/>
      <c r="DM100" s="539"/>
      <c r="DN100" s="539"/>
      <c r="DO100" s="539"/>
      <c r="DP100" s="539"/>
      <c r="DQ100" s="539"/>
      <c r="DR100" s="539"/>
      <c r="DS100" s="539"/>
      <c r="DT100" s="539"/>
      <c r="DU100" s="539"/>
      <c r="DV100" s="539"/>
      <c r="DW100" s="539"/>
      <c r="DX100" s="539"/>
      <c r="DY100" s="539"/>
      <c r="DZ100" s="539"/>
      <c r="EA100" s="539"/>
      <c r="EB100" s="539"/>
      <c r="EC100" s="539"/>
      <c r="ED100" s="539"/>
    </row>
    <row r="101" spans="1:134" ht="13.5" hidden="1" customHeight="1">
      <c r="A101" s="543"/>
      <c r="B101" s="5" t="e">
        <f>+#REF!</f>
        <v>#REF!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539"/>
      <c r="AR101" s="539"/>
      <c r="AS101" s="539"/>
      <c r="AT101" s="539"/>
      <c r="AU101" s="539"/>
      <c r="AV101" s="539"/>
      <c r="AW101" s="539"/>
      <c r="AX101" s="539"/>
      <c r="AY101" s="539"/>
      <c r="AZ101" s="539"/>
      <c r="BA101" s="539"/>
      <c r="BB101" s="539"/>
      <c r="BC101" s="539"/>
      <c r="BD101" s="539"/>
      <c r="BE101" s="539"/>
      <c r="BF101" s="539"/>
      <c r="BG101" s="539"/>
      <c r="BH101" s="539"/>
      <c r="BI101" s="539"/>
      <c r="BJ101" s="539"/>
      <c r="BK101" s="539"/>
      <c r="BL101" s="539"/>
      <c r="BM101" s="539"/>
      <c r="BN101" s="539"/>
      <c r="BO101" s="539"/>
      <c r="BP101" s="539"/>
      <c r="BQ101" s="539"/>
      <c r="BR101" s="539"/>
      <c r="BS101" s="539"/>
      <c r="BT101" s="539"/>
      <c r="BU101" s="539"/>
      <c r="BV101" s="539"/>
      <c r="BW101" s="539"/>
      <c r="BX101" s="539"/>
      <c r="BY101" s="539"/>
      <c r="BZ101" s="539"/>
      <c r="CA101" s="539"/>
      <c r="CB101" s="539"/>
      <c r="CC101" s="539"/>
      <c r="CD101" s="539"/>
      <c r="CE101" s="539"/>
      <c r="CF101" s="539"/>
      <c r="CG101" s="539"/>
      <c r="CH101" s="539"/>
      <c r="CI101" s="539"/>
      <c r="CJ101" s="539"/>
      <c r="CK101" s="539"/>
      <c r="CL101" s="539"/>
      <c r="CM101" s="539"/>
      <c r="CN101" s="539"/>
      <c r="CO101" s="539"/>
      <c r="CP101" s="539"/>
      <c r="CQ101" s="539"/>
      <c r="CR101" s="539"/>
      <c r="CS101" s="539"/>
      <c r="CT101" s="539"/>
      <c r="CU101" s="539"/>
      <c r="CV101" s="539"/>
      <c r="CW101" s="539"/>
      <c r="CX101" s="539"/>
      <c r="CY101" s="539"/>
      <c r="CZ101" s="539"/>
      <c r="DA101" s="539"/>
      <c r="DB101" s="539"/>
      <c r="DC101" s="539"/>
      <c r="DD101" s="539"/>
      <c r="DE101" s="539"/>
      <c r="DF101" s="539"/>
      <c r="DG101" s="539"/>
      <c r="DH101" s="539"/>
      <c r="DI101" s="539"/>
      <c r="DJ101" s="539"/>
      <c r="DK101" s="539"/>
      <c r="DL101" s="539"/>
      <c r="DM101" s="539"/>
      <c r="DN101" s="539"/>
      <c r="DO101" s="539"/>
      <c r="DP101" s="539"/>
      <c r="DQ101" s="539"/>
      <c r="DR101" s="539"/>
      <c r="DS101" s="539"/>
      <c r="DT101" s="539"/>
      <c r="DU101" s="539"/>
      <c r="DV101" s="539"/>
      <c r="DW101" s="539"/>
      <c r="DX101" s="539"/>
      <c r="DY101" s="539"/>
      <c r="DZ101" s="539"/>
      <c r="EA101" s="539"/>
      <c r="EB101" s="539"/>
      <c r="EC101" s="539"/>
      <c r="ED101" s="539"/>
    </row>
    <row r="102" spans="1:134" ht="13.5" customHeight="1">
      <c r="A102" s="539"/>
      <c r="B102" s="3" t="e">
        <f>+#REF!</f>
        <v>#REF!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539"/>
      <c r="AR102" s="539"/>
      <c r="AS102" s="539"/>
      <c r="AT102" s="539"/>
      <c r="AU102" s="539"/>
      <c r="AV102" s="539"/>
      <c r="AW102" s="539"/>
      <c r="AX102" s="539"/>
      <c r="AY102" s="539"/>
      <c r="AZ102" s="539"/>
      <c r="BA102" s="539"/>
      <c r="BB102" s="539"/>
      <c r="BC102" s="539"/>
      <c r="BD102" s="539"/>
      <c r="BE102" s="539"/>
      <c r="BF102" s="539"/>
      <c r="BG102" s="539"/>
      <c r="BH102" s="539"/>
      <c r="BI102" s="539"/>
      <c r="BJ102" s="539"/>
      <c r="BK102" s="539"/>
      <c r="BL102" s="539"/>
      <c r="BM102" s="539"/>
      <c r="BN102" s="539"/>
      <c r="BO102" s="539"/>
      <c r="BP102" s="539"/>
      <c r="BQ102" s="539"/>
      <c r="BR102" s="539"/>
      <c r="BS102" s="539"/>
      <c r="BT102" s="539"/>
      <c r="BU102" s="539"/>
      <c r="BV102" s="539"/>
      <c r="BW102" s="539"/>
      <c r="BX102" s="539"/>
      <c r="BY102" s="539"/>
      <c r="BZ102" s="539"/>
      <c r="CA102" s="539"/>
      <c r="CB102" s="539"/>
      <c r="CC102" s="539"/>
      <c r="CD102" s="539"/>
      <c r="CE102" s="539"/>
      <c r="CF102" s="539"/>
      <c r="CG102" s="539"/>
      <c r="CH102" s="539"/>
      <c r="CI102" s="539"/>
      <c r="CJ102" s="539"/>
      <c r="CK102" s="539"/>
      <c r="CL102" s="539"/>
      <c r="CM102" s="539"/>
      <c r="CN102" s="539"/>
      <c r="CO102" s="539"/>
      <c r="CP102" s="539"/>
      <c r="CQ102" s="539"/>
      <c r="CR102" s="539"/>
      <c r="CS102" s="539"/>
      <c r="CT102" s="539"/>
      <c r="CU102" s="539"/>
      <c r="CV102" s="539"/>
      <c r="CW102" s="539"/>
      <c r="CX102" s="539"/>
      <c r="CY102" s="539"/>
      <c r="CZ102" s="539"/>
      <c r="DA102" s="539"/>
      <c r="DB102" s="539"/>
      <c r="DC102" s="539"/>
      <c r="DD102" s="539"/>
      <c r="DE102" s="539"/>
      <c r="DF102" s="539"/>
      <c r="DG102" s="539"/>
      <c r="DH102" s="539"/>
      <c r="DI102" s="539"/>
      <c r="DJ102" s="539"/>
      <c r="DK102" s="539"/>
      <c r="DL102" s="539"/>
      <c r="DM102" s="539"/>
      <c r="DN102" s="539"/>
      <c r="DO102" s="539"/>
      <c r="DP102" s="539"/>
      <c r="DQ102" s="539"/>
      <c r="DR102" s="539"/>
      <c r="DS102" s="539"/>
      <c r="DT102" s="539"/>
      <c r="DU102" s="539"/>
      <c r="DV102" s="539"/>
      <c r="DW102" s="539"/>
      <c r="DX102" s="539"/>
      <c r="DY102" s="539"/>
      <c r="DZ102" s="539"/>
      <c r="EA102" s="539"/>
      <c r="EB102" s="539"/>
      <c r="EC102" s="539"/>
      <c r="ED102" s="539"/>
    </row>
    <row r="103" spans="1:134" ht="13.5" hidden="1" customHeight="1">
      <c r="A103" s="543"/>
      <c r="B103" s="5" t="e">
        <f>+#REF!</f>
        <v>#REF!</v>
      </c>
      <c r="C103" s="4">
        <f>IF(ISNUMBER(Historical!E121),Historical!E121, )</f>
        <v>500</v>
      </c>
      <c r="D103" s="4">
        <f>IF(ISNUMBER(Historical!G121),Historical!G121, )</f>
        <v>510</v>
      </c>
      <c r="E103" s="4">
        <f>IF(ISNUMBER(Historical!I121),Historical!I121, )</f>
        <v>520</v>
      </c>
      <c r="F103" s="4">
        <f>IF(ISNUMBER(Projection!H7),IF(MONTH(Projection!H7)&lt;&gt;12,IF(ISNUMBER(Projection!L90),Projection!L90, ),IF(ISNUMBER(Historical!K121),Historical!K121, )), )</f>
        <v>530</v>
      </c>
      <c r="G103" s="4">
        <f>IF(ISNUMBER(Projection!H7),IF(MONTH(Projection!$H$7)&lt;&gt;12,IF(ISNUMBER(Projection!N90),Projection!N90, ),IF(ISNUMBER(Projection!L90),Projection!L90, )), )</f>
        <v>0</v>
      </c>
      <c r="H103" s="4">
        <f>IF(ISNUMBER(Projection!H7),IF(MONTH(Projection!$H$7)&lt;&gt;12,IF(ISNUMBER(Projection!P90),Projection!P90, ),IF(ISNUMBER(Projection!N90),Projection!N90, )), )</f>
        <v>0</v>
      </c>
      <c r="I103" s="4">
        <f>IF(ISNUMBER(Projection!H7),IF(MONTH(Projection!$H$7)&lt;&gt;12,IF(ISNUMBER(Projection!R90),Projection!R90, ),IF(ISNUMBER(Projection!P90),Projection!P90, )), )</f>
        <v>0</v>
      </c>
      <c r="J103" s="4">
        <f>IF(ISNUMBER(Projection!H7),IF(MONTH(Projection!$H$7)&lt;&gt;12,IF(ISNUMBER(Projection!T90),Projection!T90, ),IF(ISNUMBER(Projection!R90),Projection!R90, )), )</f>
        <v>0</v>
      </c>
      <c r="K103" s="4">
        <f>IF(ISNUMBER(Projection!H7),IF(MONTH(Projection!$H$7)&lt;&gt;12,IF(ISNUMBER(Projection!Z90),Projection!Z90, ),IF(ISNUMBER(Projection!T90),Projection!T90, )), )</f>
        <v>0</v>
      </c>
      <c r="L103" s="4">
        <f>IF(ISNUMBER(Projection!H7),IF(MONTH(Projection!$H$7)&lt;&gt;12,IF(ISNUMBER(Projection!AB90),Projection!AB90, ),IF(ISNUMBER(Projection!Z90),Projection!Z90, )), )</f>
        <v>0</v>
      </c>
      <c r="M103" s="4">
        <f>IF(ISNUMBER(Projection!$H$7),IF(MONTH(Projection!$H$7)&lt;&gt;12,IF(ISNUMBER(Projection!AD189),Projection!AD189, ),IF(ISNUMBER(Projection!AB189),Projection!AB189, )), )</f>
        <v>0</v>
      </c>
      <c r="N103" s="4">
        <f>IF(ISNUMBER(Projection!$H$7),IF(MONTH(Projection!$H$7)&lt;&gt;12,IF(ISNUMBER(Projection!AF189),Projection!AF189, ),IF(ISNUMBER(Projection!AD189),Projection!AD189, )), )</f>
        <v>0</v>
      </c>
      <c r="O103" s="4">
        <f>IF(ISNUMBER(Projection!$H$7),IF(MONTH(Projection!$H$7)&lt;&gt;12,IF(ISNUMBER(Projection!AH189),Projection!AH189, ),IF(ISNUMBER(Projection!AF189),Projection!AF189, )), )</f>
        <v>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539"/>
      <c r="AR103" s="539"/>
      <c r="AS103" s="539"/>
      <c r="AT103" s="539"/>
      <c r="AU103" s="539"/>
      <c r="AV103" s="539"/>
      <c r="AW103" s="539"/>
      <c r="AX103" s="539"/>
      <c r="AY103" s="539"/>
      <c r="AZ103" s="539"/>
      <c r="BA103" s="539"/>
      <c r="BB103" s="539"/>
      <c r="BC103" s="539"/>
      <c r="BD103" s="539"/>
      <c r="BE103" s="539"/>
      <c r="BF103" s="539"/>
      <c r="BG103" s="539"/>
      <c r="BH103" s="539"/>
      <c r="BI103" s="539"/>
      <c r="BJ103" s="539"/>
      <c r="BK103" s="539"/>
      <c r="BL103" s="539"/>
      <c r="BM103" s="539"/>
      <c r="BN103" s="539"/>
      <c r="BO103" s="539"/>
      <c r="BP103" s="539"/>
      <c r="BQ103" s="539"/>
      <c r="BR103" s="539"/>
      <c r="BS103" s="539"/>
      <c r="BT103" s="539"/>
      <c r="BU103" s="539"/>
      <c r="BV103" s="539"/>
      <c r="BW103" s="539"/>
      <c r="BX103" s="539"/>
      <c r="BY103" s="539"/>
      <c r="BZ103" s="539"/>
      <c r="CA103" s="539"/>
      <c r="CB103" s="539"/>
      <c r="CC103" s="539"/>
      <c r="CD103" s="539"/>
      <c r="CE103" s="539"/>
      <c r="CF103" s="539"/>
      <c r="CG103" s="539"/>
      <c r="CH103" s="539"/>
      <c r="CI103" s="539"/>
      <c r="CJ103" s="539"/>
      <c r="CK103" s="539"/>
      <c r="CL103" s="539"/>
      <c r="CM103" s="539"/>
      <c r="CN103" s="539"/>
      <c r="CO103" s="539"/>
      <c r="CP103" s="539"/>
      <c r="CQ103" s="539"/>
      <c r="CR103" s="539"/>
      <c r="CS103" s="539"/>
      <c r="CT103" s="539"/>
      <c r="CU103" s="539"/>
      <c r="CV103" s="539"/>
      <c r="CW103" s="539"/>
      <c r="CX103" s="539"/>
      <c r="CY103" s="539"/>
      <c r="CZ103" s="539"/>
      <c r="DA103" s="539"/>
      <c r="DB103" s="539"/>
      <c r="DC103" s="539"/>
      <c r="DD103" s="539"/>
      <c r="DE103" s="539"/>
      <c r="DF103" s="539"/>
      <c r="DG103" s="539"/>
      <c r="DH103" s="539"/>
      <c r="DI103" s="539"/>
      <c r="DJ103" s="539"/>
      <c r="DK103" s="539"/>
      <c r="DL103" s="539"/>
      <c r="DM103" s="539"/>
      <c r="DN103" s="539"/>
      <c r="DO103" s="539"/>
      <c r="DP103" s="539"/>
      <c r="DQ103" s="539"/>
      <c r="DR103" s="539"/>
      <c r="DS103" s="539"/>
      <c r="DT103" s="539"/>
      <c r="DU103" s="539"/>
      <c r="DV103" s="539"/>
      <c r="DW103" s="539"/>
      <c r="DX103" s="539"/>
      <c r="DY103" s="539"/>
      <c r="DZ103" s="539"/>
      <c r="EA103" s="539"/>
      <c r="EB103" s="539"/>
      <c r="EC103" s="539"/>
      <c r="ED103" s="539"/>
    </row>
    <row r="104" spans="1:134" ht="13.5" hidden="1" customHeight="1">
      <c r="A104" s="543"/>
      <c r="B104" s="5" t="e">
        <f>+#REF!</f>
        <v>#REF!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539"/>
      <c r="AR104" s="539"/>
      <c r="AS104" s="539"/>
      <c r="AT104" s="539"/>
      <c r="AU104" s="539"/>
      <c r="AV104" s="539"/>
      <c r="AW104" s="539"/>
      <c r="AX104" s="539"/>
      <c r="AY104" s="539"/>
      <c r="AZ104" s="539"/>
      <c r="BA104" s="539"/>
      <c r="BB104" s="539"/>
      <c r="BC104" s="539"/>
      <c r="BD104" s="539"/>
      <c r="BE104" s="539"/>
      <c r="BF104" s="539"/>
      <c r="BG104" s="539"/>
      <c r="BH104" s="539"/>
      <c r="BI104" s="539"/>
      <c r="BJ104" s="539"/>
      <c r="BK104" s="539"/>
      <c r="BL104" s="539"/>
      <c r="BM104" s="539"/>
      <c r="BN104" s="539"/>
      <c r="BO104" s="539"/>
      <c r="BP104" s="539"/>
      <c r="BQ104" s="539"/>
      <c r="BR104" s="539"/>
      <c r="BS104" s="539"/>
      <c r="BT104" s="539"/>
      <c r="BU104" s="539"/>
      <c r="BV104" s="539"/>
      <c r="BW104" s="539"/>
      <c r="BX104" s="539"/>
      <c r="BY104" s="539"/>
      <c r="BZ104" s="539"/>
      <c r="CA104" s="539"/>
      <c r="CB104" s="539"/>
      <c r="CC104" s="539"/>
      <c r="CD104" s="539"/>
      <c r="CE104" s="539"/>
      <c r="CF104" s="539"/>
      <c r="CG104" s="539"/>
      <c r="CH104" s="539"/>
      <c r="CI104" s="539"/>
      <c r="CJ104" s="539"/>
      <c r="CK104" s="539"/>
      <c r="CL104" s="539"/>
      <c r="CM104" s="539"/>
      <c r="CN104" s="539"/>
      <c r="CO104" s="539"/>
      <c r="CP104" s="539"/>
      <c r="CQ104" s="539"/>
      <c r="CR104" s="539"/>
      <c r="CS104" s="539"/>
      <c r="CT104" s="539"/>
      <c r="CU104" s="539"/>
      <c r="CV104" s="539"/>
      <c r="CW104" s="539"/>
      <c r="CX104" s="539"/>
      <c r="CY104" s="539"/>
      <c r="CZ104" s="539"/>
      <c r="DA104" s="539"/>
      <c r="DB104" s="539"/>
      <c r="DC104" s="539"/>
      <c r="DD104" s="539"/>
      <c r="DE104" s="539"/>
      <c r="DF104" s="539"/>
      <c r="DG104" s="539"/>
      <c r="DH104" s="539"/>
      <c r="DI104" s="539"/>
      <c r="DJ104" s="539"/>
      <c r="DK104" s="539"/>
      <c r="DL104" s="539"/>
      <c r="DM104" s="539"/>
      <c r="DN104" s="539"/>
      <c r="DO104" s="539"/>
      <c r="DP104" s="539"/>
      <c r="DQ104" s="539"/>
      <c r="DR104" s="539"/>
      <c r="DS104" s="539"/>
      <c r="DT104" s="539"/>
      <c r="DU104" s="539"/>
      <c r="DV104" s="539"/>
      <c r="DW104" s="539"/>
      <c r="DX104" s="539"/>
      <c r="DY104" s="539"/>
      <c r="DZ104" s="539"/>
      <c r="EA104" s="539"/>
      <c r="EB104" s="539"/>
      <c r="EC104" s="539"/>
      <c r="ED104" s="539"/>
    </row>
    <row r="105" spans="1:134" ht="13.5" hidden="1" customHeight="1">
      <c r="A105" s="543"/>
      <c r="B105" s="5" t="e">
        <f>+#REF!</f>
        <v>#REF!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539"/>
      <c r="AR105" s="539"/>
      <c r="AS105" s="539"/>
      <c r="AT105" s="539"/>
      <c r="AU105" s="539"/>
      <c r="AV105" s="539"/>
      <c r="AW105" s="539"/>
      <c r="AX105" s="539"/>
      <c r="AY105" s="539"/>
      <c r="AZ105" s="539"/>
      <c r="BA105" s="539"/>
      <c r="BB105" s="539"/>
      <c r="BC105" s="539"/>
      <c r="BD105" s="539"/>
      <c r="BE105" s="539"/>
      <c r="BF105" s="539"/>
      <c r="BG105" s="539"/>
      <c r="BH105" s="539"/>
      <c r="BI105" s="539"/>
      <c r="BJ105" s="539"/>
      <c r="BK105" s="539"/>
      <c r="BL105" s="539"/>
      <c r="BM105" s="539"/>
      <c r="BN105" s="539"/>
      <c r="BO105" s="539"/>
      <c r="BP105" s="539"/>
      <c r="BQ105" s="539"/>
      <c r="BR105" s="539"/>
      <c r="BS105" s="539"/>
      <c r="BT105" s="539"/>
      <c r="BU105" s="539"/>
      <c r="BV105" s="539"/>
      <c r="BW105" s="539"/>
      <c r="BX105" s="539"/>
      <c r="BY105" s="539"/>
      <c r="BZ105" s="539"/>
      <c r="CA105" s="539"/>
      <c r="CB105" s="539"/>
      <c r="CC105" s="539"/>
      <c r="CD105" s="539"/>
      <c r="CE105" s="539"/>
      <c r="CF105" s="539"/>
      <c r="CG105" s="539"/>
      <c r="CH105" s="539"/>
      <c r="CI105" s="539"/>
      <c r="CJ105" s="539"/>
      <c r="CK105" s="539"/>
      <c r="CL105" s="539"/>
      <c r="CM105" s="539"/>
      <c r="CN105" s="539"/>
      <c r="CO105" s="539"/>
      <c r="CP105" s="539"/>
      <c r="CQ105" s="539"/>
      <c r="CR105" s="539"/>
      <c r="CS105" s="539"/>
      <c r="CT105" s="539"/>
      <c r="CU105" s="539"/>
      <c r="CV105" s="539"/>
      <c r="CW105" s="539"/>
      <c r="CX105" s="539"/>
      <c r="CY105" s="539"/>
      <c r="CZ105" s="539"/>
      <c r="DA105" s="539"/>
      <c r="DB105" s="539"/>
      <c r="DC105" s="539"/>
      <c r="DD105" s="539"/>
      <c r="DE105" s="539"/>
      <c r="DF105" s="539"/>
      <c r="DG105" s="539"/>
      <c r="DH105" s="539"/>
      <c r="DI105" s="539"/>
      <c r="DJ105" s="539"/>
      <c r="DK105" s="539"/>
      <c r="DL105" s="539"/>
      <c r="DM105" s="539"/>
      <c r="DN105" s="539"/>
      <c r="DO105" s="539"/>
      <c r="DP105" s="539"/>
      <c r="DQ105" s="539"/>
      <c r="DR105" s="539"/>
      <c r="DS105" s="539"/>
      <c r="DT105" s="539"/>
      <c r="DU105" s="539"/>
      <c r="DV105" s="539"/>
      <c r="DW105" s="539"/>
      <c r="DX105" s="539"/>
      <c r="DY105" s="539"/>
      <c r="DZ105" s="539"/>
      <c r="EA105" s="539"/>
      <c r="EB105" s="539"/>
      <c r="EC105" s="539"/>
      <c r="ED105" s="539"/>
    </row>
    <row r="106" spans="1:134" ht="13.5" hidden="1" customHeight="1">
      <c r="A106" s="543"/>
      <c r="B106" s="5" t="e">
        <f>+#REF!</f>
        <v>#REF!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539"/>
      <c r="AR106" s="539"/>
      <c r="AS106" s="539"/>
      <c r="AT106" s="539"/>
      <c r="AU106" s="539"/>
      <c r="AV106" s="539"/>
      <c r="AW106" s="539"/>
      <c r="AX106" s="539"/>
      <c r="AY106" s="539"/>
      <c r="AZ106" s="539"/>
      <c r="BA106" s="539"/>
      <c r="BB106" s="539"/>
      <c r="BC106" s="539"/>
      <c r="BD106" s="539"/>
      <c r="BE106" s="539"/>
      <c r="BF106" s="539"/>
      <c r="BG106" s="539"/>
      <c r="BH106" s="539"/>
      <c r="BI106" s="539"/>
      <c r="BJ106" s="539"/>
      <c r="BK106" s="539"/>
      <c r="BL106" s="539"/>
      <c r="BM106" s="539"/>
      <c r="BN106" s="539"/>
      <c r="BO106" s="539"/>
      <c r="BP106" s="539"/>
      <c r="BQ106" s="539"/>
      <c r="BR106" s="539"/>
      <c r="BS106" s="539"/>
      <c r="BT106" s="539"/>
      <c r="BU106" s="539"/>
      <c r="BV106" s="539"/>
      <c r="BW106" s="539"/>
      <c r="BX106" s="539"/>
      <c r="BY106" s="539"/>
      <c r="BZ106" s="539"/>
      <c r="CA106" s="539"/>
      <c r="CB106" s="539"/>
      <c r="CC106" s="539"/>
      <c r="CD106" s="539"/>
      <c r="CE106" s="539"/>
      <c r="CF106" s="539"/>
      <c r="CG106" s="539"/>
      <c r="CH106" s="539"/>
      <c r="CI106" s="539"/>
      <c r="CJ106" s="539"/>
      <c r="CK106" s="539"/>
      <c r="CL106" s="539"/>
      <c r="CM106" s="539"/>
      <c r="CN106" s="539"/>
      <c r="CO106" s="539"/>
      <c r="CP106" s="539"/>
      <c r="CQ106" s="539"/>
      <c r="CR106" s="539"/>
      <c r="CS106" s="539"/>
      <c r="CT106" s="539"/>
      <c r="CU106" s="539"/>
      <c r="CV106" s="539"/>
      <c r="CW106" s="539"/>
      <c r="CX106" s="539"/>
      <c r="CY106" s="539"/>
      <c r="CZ106" s="539"/>
      <c r="DA106" s="539"/>
      <c r="DB106" s="539"/>
      <c r="DC106" s="539"/>
      <c r="DD106" s="539"/>
      <c r="DE106" s="539"/>
      <c r="DF106" s="539"/>
      <c r="DG106" s="539"/>
      <c r="DH106" s="539"/>
      <c r="DI106" s="539"/>
      <c r="DJ106" s="539"/>
      <c r="DK106" s="539"/>
      <c r="DL106" s="539"/>
      <c r="DM106" s="539"/>
      <c r="DN106" s="539"/>
      <c r="DO106" s="539"/>
      <c r="DP106" s="539"/>
      <c r="DQ106" s="539"/>
      <c r="DR106" s="539"/>
      <c r="DS106" s="539"/>
      <c r="DT106" s="539"/>
      <c r="DU106" s="539"/>
      <c r="DV106" s="539"/>
      <c r="DW106" s="539"/>
      <c r="DX106" s="539"/>
      <c r="DY106" s="539"/>
      <c r="DZ106" s="539"/>
      <c r="EA106" s="539"/>
      <c r="EB106" s="539"/>
      <c r="EC106" s="539"/>
      <c r="ED106" s="539"/>
    </row>
    <row r="107" spans="1:134" ht="13.5" hidden="1" customHeight="1">
      <c r="A107" s="543"/>
      <c r="B107" s="5" t="e">
        <f>+#REF!</f>
        <v>#REF!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539"/>
      <c r="AR107" s="539"/>
      <c r="AS107" s="539"/>
      <c r="AT107" s="539"/>
      <c r="AU107" s="539"/>
      <c r="AV107" s="539"/>
      <c r="AW107" s="539"/>
      <c r="AX107" s="539"/>
      <c r="AY107" s="539"/>
      <c r="AZ107" s="539"/>
      <c r="BA107" s="539"/>
      <c r="BB107" s="539"/>
      <c r="BC107" s="539"/>
      <c r="BD107" s="539"/>
      <c r="BE107" s="539"/>
      <c r="BF107" s="539"/>
      <c r="BG107" s="539"/>
      <c r="BH107" s="539"/>
      <c r="BI107" s="539"/>
      <c r="BJ107" s="539"/>
      <c r="BK107" s="539"/>
      <c r="BL107" s="539"/>
      <c r="BM107" s="539"/>
      <c r="BN107" s="539"/>
      <c r="BO107" s="539"/>
      <c r="BP107" s="539"/>
      <c r="BQ107" s="539"/>
      <c r="BR107" s="539"/>
      <c r="BS107" s="539"/>
      <c r="BT107" s="539"/>
      <c r="BU107" s="539"/>
      <c r="BV107" s="539"/>
      <c r="BW107" s="539"/>
      <c r="BX107" s="539"/>
      <c r="BY107" s="539"/>
      <c r="BZ107" s="539"/>
      <c r="CA107" s="539"/>
      <c r="CB107" s="539"/>
      <c r="CC107" s="539"/>
      <c r="CD107" s="539"/>
      <c r="CE107" s="539"/>
      <c r="CF107" s="539"/>
      <c r="CG107" s="539"/>
      <c r="CH107" s="539"/>
      <c r="CI107" s="539"/>
      <c r="CJ107" s="539"/>
      <c r="CK107" s="539"/>
      <c r="CL107" s="539"/>
      <c r="CM107" s="539"/>
      <c r="CN107" s="539"/>
      <c r="CO107" s="539"/>
      <c r="CP107" s="539"/>
      <c r="CQ107" s="539"/>
      <c r="CR107" s="539"/>
      <c r="CS107" s="539"/>
      <c r="CT107" s="539"/>
      <c r="CU107" s="539"/>
      <c r="CV107" s="539"/>
      <c r="CW107" s="539"/>
      <c r="CX107" s="539"/>
      <c r="CY107" s="539"/>
      <c r="CZ107" s="539"/>
      <c r="DA107" s="539"/>
      <c r="DB107" s="539"/>
      <c r="DC107" s="539"/>
      <c r="DD107" s="539"/>
      <c r="DE107" s="539"/>
      <c r="DF107" s="539"/>
      <c r="DG107" s="539"/>
      <c r="DH107" s="539"/>
      <c r="DI107" s="539"/>
      <c r="DJ107" s="539"/>
      <c r="DK107" s="539"/>
      <c r="DL107" s="539"/>
      <c r="DM107" s="539"/>
      <c r="DN107" s="539"/>
      <c r="DO107" s="539"/>
      <c r="DP107" s="539"/>
      <c r="DQ107" s="539"/>
      <c r="DR107" s="539"/>
      <c r="DS107" s="539"/>
      <c r="DT107" s="539"/>
      <c r="DU107" s="539"/>
      <c r="DV107" s="539"/>
      <c r="DW107" s="539"/>
      <c r="DX107" s="539"/>
      <c r="DY107" s="539"/>
      <c r="DZ107" s="539"/>
      <c r="EA107" s="539"/>
      <c r="EB107" s="539"/>
      <c r="EC107" s="539"/>
      <c r="ED107" s="539"/>
    </row>
    <row r="108" spans="1:134" ht="13.5" hidden="1" customHeight="1">
      <c r="A108" s="543">
        <v>0</v>
      </c>
      <c r="B108" s="5" t="e">
        <f>+#REF!</f>
        <v>#REF!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539"/>
      <c r="AR108" s="539"/>
      <c r="AS108" s="539"/>
      <c r="AT108" s="539"/>
      <c r="AU108" s="539"/>
      <c r="AV108" s="539"/>
      <c r="AW108" s="539"/>
      <c r="AX108" s="539"/>
      <c r="AY108" s="539"/>
      <c r="AZ108" s="539"/>
      <c r="BA108" s="539"/>
      <c r="BB108" s="539"/>
      <c r="BC108" s="539"/>
      <c r="BD108" s="539"/>
      <c r="BE108" s="539"/>
      <c r="BF108" s="539"/>
      <c r="BG108" s="539"/>
      <c r="BH108" s="539"/>
      <c r="BI108" s="539"/>
      <c r="BJ108" s="539"/>
      <c r="BK108" s="539"/>
      <c r="BL108" s="539"/>
      <c r="BM108" s="539"/>
      <c r="BN108" s="539"/>
      <c r="BO108" s="539"/>
      <c r="BP108" s="539"/>
      <c r="BQ108" s="539"/>
      <c r="BR108" s="539"/>
      <c r="BS108" s="539"/>
      <c r="BT108" s="539"/>
      <c r="BU108" s="539"/>
      <c r="BV108" s="539"/>
      <c r="BW108" s="539"/>
      <c r="BX108" s="539"/>
      <c r="BY108" s="539"/>
      <c r="BZ108" s="539"/>
      <c r="CA108" s="539"/>
      <c r="CB108" s="539"/>
      <c r="CC108" s="539"/>
      <c r="CD108" s="539"/>
      <c r="CE108" s="539"/>
      <c r="CF108" s="539"/>
      <c r="CG108" s="539"/>
      <c r="CH108" s="539"/>
      <c r="CI108" s="539"/>
      <c r="CJ108" s="539"/>
      <c r="CK108" s="539"/>
      <c r="CL108" s="539"/>
      <c r="CM108" s="539"/>
      <c r="CN108" s="539"/>
      <c r="CO108" s="539"/>
      <c r="CP108" s="539"/>
      <c r="CQ108" s="539"/>
      <c r="CR108" s="539"/>
      <c r="CS108" s="539"/>
      <c r="CT108" s="539"/>
      <c r="CU108" s="539"/>
      <c r="CV108" s="539"/>
      <c r="CW108" s="539"/>
      <c r="CX108" s="539"/>
      <c r="CY108" s="539"/>
      <c r="CZ108" s="539"/>
      <c r="DA108" s="539"/>
      <c r="DB108" s="539"/>
      <c r="DC108" s="539"/>
      <c r="DD108" s="539"/>
      <c r="DE108" s="539"/>
      <c r="DF108" s="539"/>
      <c r="DG108" s="539"/>
      <c r="DH108" s="539"/>
      <c r="DI108" s="539"/>
      <c r="DJ108" s="539"/>
      <c r="DK108" s="539"/>
      <c r="DL108" s="539"/>
      <c r="DM108" s="539"/>
      <c r="DN108" s="539"/>
      <c r="DO108" s="539"/>
      <c r="DP108" s="539"/>
      <c r="DQ108" s="539"/>
      <c r="DR108" s="539"/>
      <c r="DS108" s="539"/>
      <c r="DT108" s="539"/>
      <c r="DU108" s="539"/>
      <c r="DV108" s="539"/>
      <c r="DW108" s="539"/>
      <c r="DX108" s="539"/>
      <c r="DY108" s="539"/>
      <c r="DZ108" s="539"/>
      <c r="EA108" s="539"/>
      <c r="EB108" s="539"/>
      <c r="EC108" s="539"/>
      <c r="ED108" s="539"/>
    </row>
    <row r="109" spans="1:134" ht="13.5" hidden="1" customHeight="1">
      <c r="A109" s="543"/>
      <c r="B109" s="5" t="e">
        <f>+#REF!</f>
        <v>#REF!</v>
      </c>
      <c r="C109" s="544"/>
      <c r="D109" s="544"/>
      <c r="E109" s="544"/>
      <c r="F109" s="544"/>
      <c r="G109" s="544"/>
      <c r="H109" s="544"/>
      <c r="I109" s="544"/>
      <c r="J109" s="544"/>
      <c r="K109" s="544"/>
      <c r="L109" s="544"/>
      <c r="M109" s="544"/>
      <c r="N109" s="544"/>
      <c r="O109" s="544"/>
      <c r="P109" s="544"/>
      <c r="Q109" s="544"/>
      <c r="R109" s="544"/>
      <c r="S109" s="544"/>
      <c r="T109" s="544"/>
      <c r="U109" s="544"/>
      <c r="V109" s="544"/>
      <c r="W109" s="544"/>
      <c r="X109" s="544"/>
      <c r="Y109" s="544"/>
      <c r="Z109" s="544"/>
      <c r="AA109" s="544"/>
      <c r="AB109" s="544"/>
      <c r="AC109" s="544"/>
      <c r="AD109" s="544"/>
      <c r="AE109" s="544"/>
      <c r="AF109" s="544"/>
      <c r="AG109" s="544"/>
      <c r="AH109" s="544"/>
      <c r="AI109" s="544"/>
      <c r="AJ109" s="544"/>
      <c r="AK109" s="544"/>
      <c r="AL109" s="544"/>
      <c r="AM109" s="544"/>
      <c r="AN109" s="544"/>
      <c r="AO109" s="544"/>
      <c r="AP109" s="544"/>
      <c r="AQ109" s="539"/>
      <c r="AR109" s="539"/>
      <c r="AS109" s="539"/>
      <c r="AT109" s="539"/>
      <c r="AU109" s="539"/>
      <c r="AV109" s="539"/>
      <c r="AW109" s="539"/>
      <c r="AX109" s="539"/>
      <c r="AY109" s="539"/>
      <c r="AZ109" s="539"/>
      <c r="BA109" s="539"/>
      <c r="BB109" s="539"/>
      <c r="BC109" s="539"/>
      <c r="BD109" s="539"/>
      <c r="BE109" s="539"/>
      <c r="BF109" s="539"/>
      <c r="BG109" s="539"/>
      <c r="BH109" s="539"/>
      <c r="BI109" s="539"/>
      <c r="BJ109" s="539"/>
      <c r="BK109" s="539"/>
      <c r="BL109" s="539"/>
      <c r="BM109" s="539"/>
      <c r="BN109" s="539"/>
      <c r="BO109" s="539"/>
      <c r="BP109" s="539"/>
      <c r="BQ109" s="539"/>
      <c r="BR109" s="539"/>
      <c r="BS109" s="539"/>
      <c r="BT109" s="539"/>
      <c r="BU109" s="539"/>
      <c r="BV109" s="539"/>
      <c r="BW109" s="539"/>
      <c r="BX109" s="539"/>
      <c r="BY109" s="539"/>
      <c r="BZ109" s="539"/>
      <c r="CA109" s="539"/>
      <c r="CB109" s="539"/>
      <c r="CC109" s="539"/>
      <c r="CD109" s="539"/>
      <c r="CE109" s="539"/>
      <c r="CF109" s="539"/>
      <c r="CG109" s="539"/>
      <c r="CH109" s="539"/>
      <c r="CI109" s="539"/>
      <c r="CJ109" s="539"/>
      <c r="CK109" s="539"/>
      <c r="CL109" s="539"/>
      <c r="CM109" s="539"/>
      <c r="CN109" s="539"/>
      <c r="CO109" s="539"/>
      <c r="CP109" s="539"/>
      <c r="CQ109" s="539"/>
      <c r="CR109" s="539"/>
      <c r="CS109" s="539"/>
      <c r="CT109" s="539"/>
      <c r="CU109" s="539"/>
      <c r="CV109" s="539"/>
      <c r="CW109" s="539"/>
      <c r="CX109" s="539"/>
      <c r="CY109" s="539"/>
      <c r="CZ109" s="539"/>
      <c r="DA109" s="539"/>
      <c r="DB109" s="539"/>
      <c r="DC109" s="539"/>
      <c r="DD109" s="539"/>
      <c r="DE109" s="539"/>
      <c r="DF109" s="539"/>
      <c r="DG109" s="539"/>
      <c r="DH109" s="539"/>
      <c r="DI109" s="539"/>
      <c r="DJ109" s="539"/>
      <c r="DK109" s="539"/>
      <c r="DL109" s="539"/>
      <c r="DM109" s="539"/>
      <c r="DN109" s="539"/>
      <c r="DO109" s="539"/>
      <c r="DP109" s="539"/>
      <c r="DQ109" s="539"/>
      <c r="DR109" s="539"/>
      <c r="DS109" s="539"/>
      <c r="DT109" s="539"/>
      <c r="DU109" s="539"/>
      <c r="DV109" s="539"/>
      <c r="DW109" s="539"/>
      <c r="DX109" s="539"/>
      <c r="DY109" s="539"/>
      <c r="DZ109" s="539"/>
      <c r="EA109" s="539"/>
      <c r="EB109" s="539"/>
      <c r="EC109" s="539"/>
      <c r="ED109" s="539"/>
    </row>
    <row r="110" spans="1:134" ht="13.5" hidden="1" customHeight="1">
      <c r="A110" s="543"/>
      <c r="B110" s="5" t="e">
        <f>+#REF!</f>
        <v>#REF!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539"/>
      <c r="AR110" s="539"/>
      <c r="AS110" s="539"/>
      <c r="AT110" s="539"/>
      <c r="AU110" s="539"/>
      <c r="AV110" s="539"/>
      <c r="AW110" s="539"/>
      <c r="AX110" s="539"/>
      <c r="AY110" s="539"/>
      <c r="AZ110" s="539"/>
      <c r="BA110" s="539"/>
      <c r="BB110" s="539"/>
      <c r="BC110" s="539"/>
      <c r="BD110" s="539"/>
      <c r="BE110" s="539"/>
      <c r="BF110" s="539"/>
      <c r="BG110" s="539"/>
      <c r="BH110" s="539"/>
      <c r="BI110" s="539"/>
      <c r="BJ110" s="539"/>
      <c r="BK110" s="539"/>
      <c r="BL110" s="539"/>
      <c r="BM110" s="539"/>
      <c r="BN110" s="539"/>
      <c r="BO110" s="539"/>
      <c r="BP110" s="539"/>
      <c r="BQ110" s="539"/>
      <c r="BR110" s="539"/>
      <c r="BS110" s="539"/>
      <c r="BT110" s="539"/>
      <c r="BU110" s="539"/>
      <c r="BV110" s="539"/>
      <c r="BW110" s="539"/>
      <c r="BX110" s="539"/>
      <c r="BY110" s="539"/>
      <c r="BZ110" s="539"/>
      <c r="CA110" s="539"/>
      <c r="CB110" s="539"/>
      <c r="CC110" s="539"/>
      <c r="CD110" s="539"/>
      <c r="CE110" s="539"/>
      <c r="CF110" s="539"/>
      <c r="CG110" s="539"/>
      <c r="CH110" s="539"/>
      <c r="CI110" s="539"/>
      <c r="CJ110" s="539"/>
      <c r="CK110" s="539"/>
      <c r="CL110" s="539"/>
      <c r="CM110" s="539"/>
      <c r="CN110" s="539"/>
      <c r="CO110" s="539"/>
      <c r="CP110" s="539"/>
      <c r="CQ110" s="539"/>
      <c r="CR110" s="539"/>
      <c r="CS110" s="539"/>
      <c r="CT110" s="539"/>
      <c r="CU110" s="539"/>
      <c r="CV110" s="539"/>
      <c r="CW110" s="539"/>
      <c r="CX110" s="539"/>
      <c r="CY110" s="539"/>
      <c r="CZ110" s="539"/>
      <c r="DA110" s="539"/>
      <c r="DB110" s="539"/>
      <c r="DC110" s="539"/>
      <c r="DD110" s="539"/>
      <c r="DE110" s="539"/>
      <c r="DF110" s="539"/>
      <c r="DG110" s="539"/>
      <c r="DH110" s="539"/>
      <c r="DI110" s="539"/>
      <c r="DJ110" s="539"/>
      <c r="DK110" s="539"/>
      <c r="DL110" s="539"/>
      <c r="DM110" s="539"/>
      <c r="DN110" s="539"/>
      <c r="DO110" s="539"/>
      <c r="DP110" s="539"/>
      <c r="DQ110" s="539"/>
      <c r="DR110" s="539"/>
      <c r="DS110" s="539"/>
      <c r="DT110" s="539"/>
      <c r="DU110" s="539"/>
      <c r="DV110" s="539"/>
      <c r="DW110" s="539"/>
      <c r="DX110" s="539"/>
      <c r="DY110" s="539"/>
      <c r="DZ110" s="539"/>
      <c r="EA110" s="539"/>
      <c r="EB110" s="539"/>
      <c r="EC110" s="539"/>
      <c r="ED110" s="539"/>
    </row>
    <row r="111" spans="1:134" ht="13.5" hidden="1" customHeight="1">
      <c r="A111" s="543"/>
      <c r="B111" s="5" t="e">
        <f>+#REF!</f>
        <v>#REF!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539"/>
      <c r="AR111" s="539"/>
      <c r="AS111" s="539"/>
      <c r="AT111" s="539"/>
      <c r="AU111" s="539"/>
      <c r="AV111" s="539"/>
      <c r="AW111" s="539"/>
      <c r="AX111" s="539"/>
      <c r="AY111" s="539"/>
      <c r="AZ111" s="539"/>
      <c r="BA111" s="539"/>
      <c r="BB111" s="539"/>
      <c r="BC111" s="539"/>
      <c r="BD111" s="539"/>
      <c r="BE111" s="539"/>
      <c r="BF111" s="539"/>
      <c r="BG111" s="539"/>
      <c r="BH111" s="539"/>
      <c r="BI111" s="539"/>
      <c r="BJ111" s="539"/>
      <c r="BK111" s="539"/>
      <c r="BL111" s="539"/>
      <c r="BM111" s="539"/>
      <c r="BN111" s="539"/>
      <c r="BO111" s="539"/>
      <c r="BP111" s="539"/>
      <c r="BQ111" s="539"/>
      <c r="BR111" s="539"/>
      <c r="BS111" s="539"/>
      <c r="BT111" s="539"/>
      <c r="BU111" s="539"/>
      <c r="BV111" s="539"/>
      <c r="BW111" s="539"/>
      <c r="BX111" s="539"/>
      <c r="BY111" s="539"/>
      <c r="BZ111" s="539"/>
      <c r="CA111" s="539"/>
      <c r="CB111" s="539"/>
      <c r="CC111" s="539"/>
      <c r="CD111" s="539"/>
      <c r="CE111" s="539"/>
      <c r="CF111" s="539"/>
      <c r="CG111" s="539"/>
      <c r="CH111" s="539"/>
      <c r="CI111" s="539"/>
      <c r="CJ111" s="539"/>
      <c r="CK111" s="539"/>
      <c r="CL111" s="539"/>
      <c r="CM111" s="539"/>
      <c r="CN111" s="539"/>
      <c r="CO111" s="539"/>
      <c r="CP111" s="539"/>
      <c r="CQ111" s="539"/>
      <c r="CR111" s="539"/>
      <c r="CS111" s="539"/>
      <c r="CT111" s="539"/>
      <c r="CU111" s="539"/>
      <c r="CV111" s="539"/>
      <c r="CW111" s="539"/>
      <c r="CX111" s="539"/>
      <c r="CY111" s="539"/>
      <c r="CZ111" s="539"/>
      <c r="DA111" s="539"/>
      <c r="DB111" s="539"/>
      <c r="DC111" s="539"/>
      <c r="DD111" s="539"/>
      <c r="DE111" s="539"/>
      <c r="DF111" s="539"/>
      <c r="DG111" s="539"/>
      <c r="DH111" s="539"/>
      <c r="DI111" s="539"/>
      <c r="DJ111" s="539"/>
      <c r="DK111" s="539"/>
      <c r="DL111" s="539"/>
      <c r="DM111" s="539"/>
      <c r="DN111" s="539"/>
      <c r="DO111" s="539"/>
      <c r="DP111" s="539"/>
      <c r="DQ111" s="539"/>
      <c r="DR111" s="539"/>
      <c r="DS111" s="539"/>
      <c r="DT111" s="539"/>
      <c r="DU111" s="539"/>
      <c r="DV111" s="539"/>
      <c r="DW111" s="539"/>
      <c r="DX111" s="539"/>
      <c r="DY111" s="539"/>
      <c r="DZ111" s="539"/>
      <c r="EA111" s="539"/>
      <c r="EB111" s="539"/>
      <c r="EC111" s="539"/>
      <c r="ED111" s="539"/>
    </row>
    <row r="112" spans="1:134" ht="13.5" hidden="1" customHeight="1">
      <c r="A112" s="543"/>
      <c r="B112" s="5" t="e">
        <f>+#REF!</f>
        <v>#REF!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539"/>
      <c r="AR112" s="539"/>
      <c r="AS112" s="539"/>
      <c r="AT112" s="539"/>
      <c r="AU112" s="539"/>
      <c r="AV112" s="539"/>
      <c r="AW112" s="539"/>
      <c r="AX112" s="539"/>
      <c r="AY112" s="539"/>
      <c r="AZ112" s="539"/>
      <c r="BA112" s="539"/>
      <c r="BB112" s="539"/>
      <c r="BC112" s="539"/>
      <c r="BD112" s="539"/>
      <c r="BE112" s="539"/>
      <c r="BF112" s="539"/>
      <c r="BG112" s="539"/>
      <c r="BH112" s="539"/>
      <c r="BI112" s="539"/>
      <c r="BJ112" s="539"/>
      <c r="BK112" s="539"/>
      <c r="BL112" s="539"/>
      <c r="BM112" s="539"/>
      <c r="BN112" s="539"/>
      <c r="BO112" s="539"/>
      <c r="BP112" s="539"/>
      <c r="BQ112" s="539"/>
      <c r="BR112" s="539"/>
      <c r="BS112" s="539"/>
      <c r="BT112" s="539"/>
      <c r="BU112" s="539"/>
      <c r="BV112" s="539"/>
      <c r="BW112" s="539"/>
      <c r="BX112" s="539"/>
      <c r="BY112" s="539"/>
      <c r="BZ112" s="539"/>
      <c r="CA112" s="539"/>
      <c r="CB112" s="539"/>
      <c r="CC112" s="539"/>
      <c r="CD112" s="539"/>
      <c r="CE112" s="539"/>
      <c r="CF112" s="539"/>
      <c r="CG112" s="539"/>
      <c r="CH112" s="539"/>
      <c r="CI112" s="539"/>
      <c r="CJ112" s="539"/>
      <c r="CK112" s="539"/>
      <c r="CL112" s="539"/>
      <c r="CM112" s="539"/>
      <c r="CN112" s="539"/>
      <c r="CO112" s="539"/>
      <c r="CP112" s="539"/>
      <c r="CQ112" s="539"/>
      <c r="CR112" s="539"/>
      <c r="CS112" s="539"/>
      <c r="CT112" s="539"/>
      <c r="CU112" s="539"/>
      <c r="CV112" s="539"/>
      <c r="CW112" s="539"/>
      <c r="CX112" s="539"/>
      <c r="CY112" s="539"/>
      <c r="CZ112" s="539"/>
      <c r="DA112" s="539"/>
      <c r="DB112" s="539"/>
      <c r="DC112" s="539"/>
      <c r="DD112" s="539"/>
      <c r="DE112" s="539"/>
      <c r="DF112" s="539"/>
      <c r="DG112" s="539"/>
      <c r="DH112" s="539"/>
      <c r="DI112" s="539"/>
      <c r="DJ112" s="539"/>
      <c r="DK112" s="539"/>
      <c r="DL112" s="539"/>
      <c r="DM112" s="539"/>
      <c r="DN112" s="539"/>
      <c r="DO112" s="539"/>
      <c r="DP112" s="539"/>
      <c r="DQ112" s="539"/>
      <c r="DR112" s="539"/>
      <c r="DS112" s="539"/>
      <c r="DT112" s="539"/>
      <c r="DU112" s="539"/>
      <c r="DV112" s="539"/>
      <c r="DW112" s="539"/>
      <c r="DX112" s="539"/>
      <c r="DY112" s="539"/>
      <c r="DZ112" s="539"/>
      <c r="EA112" s="539"/>
      <c r="EB112" s="539"/>
      <c r="EC112" s="539"/>
      <c r="ED112" s="539"/>
    </row>
    <row r="113" spans="1:134" ht="13.5" hidden="1" customHeight="1">
      <c r="A113" s="543"/>
      <c r="B113" s="5" t="e">
        <f>+#REF!</f>
        <v>#REF!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539"/>
      <c r="AR113" s="539"/>
      <c r="AS113" s="539"/>
      <c r="AT113" s="539"/>
      <c r="AU113" s="539"/>
      <c r="AV113" s="539"/>
      <c r="AW113" s="539"/>
      <c r="AX113" s="539"/>
      <c r="AY113" s="539"/>
      <c r="AZ113" s="539"/>
      <c r="BA113" s="539"/>
      <c r="BB113" s="539"/>
      <c r="BC113" s="539"/>
      <c r="BD113" s="539"/>
      <c r="BE113" s="539"/>
      <c r="BF113" s="539"/>
      <c r="BG113" s="539"/>
      <c r="BH113" s="539"/>
      <c r="BI113" s="539"/>
      <c r="BJ113" s="539"/>
      <c r="BK113" s="539"/>
      <c r="BL113" s="539"/>
      <c r="BM113" s="539"/>
      <c r="BN113" s="539"/>
      <c r="BO113" s="539"/>
      <c r="BP113" s="539"/>
      <c r="BQ113" s="539"/>
      <c r="BR113" s="539"/>
      <c r="BS113" s="539"/>
      <c r="BT113" s="539"/>
      <c r="BU113" s="539"/>
      <c r="BV113" s="539"/>
      <c r="BW113" s="539"/>
      <c r="BX113" s="539"/>
      <c r="BY113" s="539"/>
      <c r="BZ113" s="539"/>
      <c r="CA113" s="539"/>
      <c r="CB113" s="539"/>
      <c r="CC113" s="539"/>
      <c r="CD113" s="539"/>
      <c r="CE113" s="539"/>
      <c r="CF113" s="539"/>
      <c r="CG113" s="539"/>
      <c r="CH113" s="539"/>
      <c r="CI113" s="539"/>
      <c r="CJ113" s="539"/>
      <c r="CK113" s="539"/>
      <c r="CL113" s="539"/>
      <c r="CM113" s="539"/>
      <c r="CN113" s="539"/>
      <c r="CO113" s="539"/>
      <c r="CP113" s="539"/>
      <c r="CQ113" s="539"/>
      <c r="CR113" s="539"/>
      <c r="CS113" s="539"/>
      <c r="CT113" s="539"/>
      <c r="CU113" s="539"/>
      <c r="CV113" s="539"/>
      <c r="CW113" s="539"/>
      <c r="CX113" s="539"/>
      <c r="CY113" s="539"/>
      <c r="CZ113" s="539"/>
      <c r="DA113" s="539"/>
      <c r="DB113" s="539"/>
      <c r="DC113" s="539"/>
      <c r="DD113" s="539"/>
      <c r="DE113" s="539"/>
      <c r="DF113" s="539"/>
      <c r="DG113" s="539"/>
      <c r="DH113" s="539"/>
      <c r="DI113" s="539"/>
      <c r="DJ113" s="539"/>
      <c r="DK113" s="539"/>
      <c r="DL113" s="539"/>
      <c r="DM113" s="539"/>
      <c r="DN113" s="539"/>
      <c r="DO113" s="539"/>
      <c r="DP113" s="539"/>
      <c r="DQ113" s="539"/>
      <c r="DR113" s="539"/>
      <c r="DS113" s="539"/>
      <c r="DT113" s="539"/>
      <c r="DU113" s="539"/>
      <c r="DV113" s="539"/>
      <c r="DW113" s="539"/>
      <c r="DX113" s="539"/>
      <c r="DY113" s="539"/>
      <c r="DZ113" s="539"/>
      <c r="EA113" s="539"/>
      <c r="EB113" s="539"/>
      <c r="EC113" s="539"/>
      <c r="ED113" s="539"/>
    </row>
    <row r="114" spans="1:134" ht="13.5" hidden="1" customHeight="1">
      <c r="A114" s="543"/>
      <c r="B114" s="5" t="e">
        <f>+#REF!</f>
        <v>#REF!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539"/>
      <c r="AR114" s="539"/>
      <c r="AS114" s="539"/>
      <c r="AT114" s="539"/>
      <c r="AU114" s="539"/>
      <c r="AV114" s="539"/>
      <c r="AW114" s="539"/>
      <c r="AX114" s="539"/>
      <c r="AY114" s="539"/>
      <c r="AZ114" s="539"/>
      <c r="BA114" s="539"/>
      <c r="BB114" s="539"/>
      <c r="BC114" s="539"/>
      <c r="BD114" s="539"/>
      <c r="BE114" s="539"/>
      <c r="BF114" s="539"/>
      <c r="BG114" s="539"/>
      <c r="BH114" s="539"/>
      <c r="BI114" s="539"/>
      <c r="BJ114" s="539"/>
      <c r="BK114" s="539"/>
      <c r="BL114" s="539"/>
      <c r="BM114" s="539"/>
      <c r="BN114" s="539"/>
      <c r="BO114" s="539"/>
      <c r="BP114" s="539"/>
      <c r="BQ114" s="539"/>
      <c r="BR114" s="539"/>
      <c r="BS114" s="539"/>
      <c r="BT114" s="539"/>
      <c r="BU114" s="539"/>
      <c r="BV114" s="539"/>
      <c r="BW114" s="539"/>
      <c r="BX114" s="539"/>
      <c r="BY114" s="539"/>
      <c r="BZ114" s="539"/>
      <c r="CA114" s="539"/>
      <c r="CB114" s="539"/>
      <c r="CC114" s="539"/>
      <c r="CD114" s="539"/>
      <c r="CE114" s="539"/>
      <c r="CF114" s="539"/>
      <c r="CG114" s="539"/>
      <c r="CH114" s="539"/>
      <c r="CI114" s="539"/>
      <c r="CJ114" s="539"/>
      <c r="CK114" s="539"/>
      <c r="CL114" s="539"/>
      <c r="CM114" s="539"/>
      <c r="CN114" s="539"/>
      <c r="CO114" s="539"/>
      <c r="CP114" s="539"/>
      <c r="CQ114" s="539"/>
      <c r="CR114" s="539"/>
      <c r="CS114" s="539"/>
      <c r="CT114" s="539"/>
      <c r="CU114" s="539"/>
      <c r="CV114" s="539"/>
      <c r="CW114" s="539"/>
      <c r="CX114" s="539"/>
      <c r="CY114" s="539"/>
      <c r="CZ114" s="539"/>
      <c r="DA114" s="539"/>
      <c r="DB114" s="539"/>
      <c r="DC114" s="539"/>
      <c r="DD114" s="539"/>
      <c r="DE114" s="539"/>
      <c r="DF114" s="539"/>
      <c r="DG114" s="539"/>
      <c r="DH114" s="539"/>
      <c r="DI114" s="539"/>
      <c r="DJ114" s="539"/>
      <c r="DK114" s="539"/>
      <c r="DL114" s="539"/>
      <c r="DM114" s="539"/>
      <c r="DN114" s="539"/>
      <c r="DO114" s="539"/>
      <c r="DP114" s="539"/>
      <c r="DQ114" s="539"/>
      <c r="DR114" s="539"/>
      <c r="DS114" s="539"/>
      <c r="DT114" s="539"/>
      <c r="DU114" s="539"/>
      <c r="DV114" s="539"/>
      <c r="DW114" s="539"/>
      <c r="DX114" s="539"/>
      <c r="DY114" s="539"/>
      <c r="DZ114" s="539"/>
      <c r="EA114" s="539"/>
      <c r="EB114" s="539"/>
      <c r="EC114" s="539"/>
      <c r="ED114" s="539"/>
    </row>
    <row r="115" spans="1:134" ht="13.5" hidden="1" customHeight="1">
      <c r="A115" s="543">
        <v>0</v>
      </c>
      <c r="B115" s="5" t="e">
        <f>+#REF!</f>
        <v>#REF!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539"/>
      <c r="AR115" s="539"/>
      <c r="AS115" s="539"/>
      <c r="AT115" s="539"/>
      <c r="AU115" s="539"/>
      <c r="AV115" s="539"/>
      <c r="AW115" s="539"/>
      <c r="AX115" s="539"/>
      <c r="AY115" s="539"/>
      <c r="AZ115" s="539"/>
      <c r="BA115" s="539"/>
      <c r="BB115" s="539"/>
      <c r="BC115" s="539"/>
      <c r="BD115" s="539"/>
      <c r="BE115" s="539"/>
      <c r="BF115" s="539"/>
      <c r="BG115" s="539"/>
      <c r="BH115" s="539"/>
      <c r="BI115" s="539"/>
      <c r="BJ115" s="539"/>
      <c r="BK115" s="539"/>
      <c r="BL115" s="539"/>
      <c r="BM115" s="539"/>
      <c r="BN115" s="539"/>
      <c r="BO115" s="539"/>
      <c r="BP115" s="539"/>
      <c r="BQ115" s="539"/>
      <c r="BR115" s="539"/>
      <c r="BS115" s="539"/>
      <c r="BT115" s="539"/>
      <c r="BU115" s="539"/>
      <c r="BV115" s="539"/>
      <c r="BW115" s="539"/>
      <c r="BX115" s="539"/>
      <c r="BY115" s="539"/>
      <c r="BZ115" s="539"/>
      <c r="CA115" s="539"/>
      <c r="CB115" s="539"/>
      <c r="CC115" s="539"/>
      <c r="CD115" s="539"/>
      <c r="CE115" s="539"/>
      <c r="CF115" s="539"/>
      <c r="CG115" s="539"/>
      <c r="CH115" s="539"/>
      <c r="CI115" s="539"/>
      <c r="CJ115" s="539"/>
      <c r="CK115" s="539"/>
      <c r="CL115" s="539"/>
      <c r="CM115" s="539"/>
      <c r="CN115" s="539"/>
      <c r="CO115" s="539"/>
      <c r="CP115" s="539"/>
      <c r="CQ115" s="539"/>
      <c r="CR115" s="539"/>
      <c r="CS115" s="539"/>
      <c r="CT115" s="539"/>
      <c r="CU115" s="539"/>
      <c r="CV115" s="539"/>
      <c r="CW115" s="539"/>
      <c r="CX115" s="539"/>
      <c r="CY115" s="539"/>
      <c r="CZ115" s="539"/>
      <c r="DA115" s="539"/>
      <c r="DB115" s="539"/>
      <c r="DC115" s="539"/>
      <c r="DD115" s="539"/>
      <c r="DE115" s="539"/>
      <c r="DF115" s="539"/>
      <c r="DG115" s="539"/>
      <c r="DH115" s="539"/>
      <c r="DI115" s="539"/>
      <c r="DJ115" s="539"/>
      <c r="DK115" s="539"/>
      <c r="DL115" s="539"/>
      <c r="DM115" s="539"/>
      <c r="DN115" s="539"/>
      <c r="DO115" s="539"/>
      <c r="DP115" s="539"/>
      <c r="DQ115" s="539"/>
      <c r="DR115" s="539"/>
      <c r="DS115" s="539"/>
      <c r="DT115" s="539"/>
      <c r="DU115" s="539"/>
      <c r="DV115" s="539"/>
      <c r="DW115" s="539"/>
      <c r="DX115" s="539"/>
      <c r="DY115" s="539"/>
      <c r="DZ115" s="539"/>
      <c r="EA115" s="539"/>
      <c r="EB115" s="539"/>
      <c r="EC115" s="539"/>
      <c r="ED115" s="539"/>
    </row>
    <row r="116" spans="1:134" ht="13.5" hidden="1" customHeight="1">
      <c r="A116" s="543"/>
      <c r="B116" s="5" t="e">
        <f>+#REF!</f>
        <v>#REF!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539"/>
      <c r="AR116" s="539"/>
      <c r="AS116" s="539"/>
      <c r="AT116" s="539"/>
      <c r="AU116" s="539"/>
      <c r="AV116" s="539"/>
      <c r="AW116" s="539"/>
      <c r="AX116" s="539"/>
      <c r="AY116" s="539"/>
      <c r="AZ116" s="539"/>
      <c r="BA116" s="539"/>
      <c r="BB116" s="539"/>
      <c r="BC116" s="539"/>
      <c r="BD116" s="539"/>
      <c r="BE116" s="539"/>
      <c r="BF116" s="539"/>
      <c r="BG116" s="539"/>
      <c r="BH116" s="539"/>
      <c r="BI116" s="539"/>
      <c r="BJ116" s="539"/>
      <c r="BK116" s="539"/>
      <c r="BL116" s="539"/>
      <c r="BM116" s="539"/>
      <c r="BN116" s="539"/>
      <c r="BO116" s="539"/>
      <c r="BP116" s="539"/>
      <c r="BQ116" s="539"/>
      <c r="BR116" s="539"/>
      <c r="BS116" s="539"/>
      <c r="BT116" s="539"/>
      <c r="BU116" s="539"/>
      <c r="BV116" s="539"/>
      <c r="BW116" s="539"/>
      <c r="BX116" s="539"/>
      <c r="BY116" s="539"/>
      <c r="BZ116" s="539"/>
      <c r="CA116" s="539"/>
      <c r="CB116" s="539"/>
      <c r="CC116" s="539"/>
      <c r="CD116" s="539"/>
      <c r="CE116" s="539"/>
      <c r="CF116" s="539"/>
      <c r="CG116" s="539"/>
      <c r="CH116" s="539"/>
      <c r="CI116" s="539"/>
      <c r="CJ116" s="539"/>
      <c r="CK116" s="539"/>
      <c r="CL116" s="539"/>
      <c r="CM116" s="539"/>
      <c r="CN116" s="539"/>
      <c r="CO116" s="539"/>
      <c r="CP116" s="539"/>
      <c r="CQ116" s="539"/>
      <c r="CR116" s="539"/>
      <c r="CS116" s="539"/>
      <c r="CT116" s="539"/>
      <c r="CU116" s="539"/>
      <c r="CV116" s="539"/>
      <c r="CW116" s="539"/>
      <c r="CX116" s="539"/>
      <c r="CY116" s="539"/>
      <c r="CZ116" s="539"/>
      <c r="DA116" s="539"/>
      <c r="DB116" s="539"/>
      <c r="DC116" s="539"/>
      <c r="DD116" s="539"/>
      <c r="DE116" s="539"/>
      <c r="DF116" s="539"/>
      <c r="DG116" s="539"/>
      <c r="DH116" s="539"/>
      <c r="DI116" s="539"/>
      <c r="DJ116" s="539"/>
      <c r="DK116" s="539"/>
      <c r="DL116" s="539"/>
      <c r="DM116" s="539"/>
      <c r="DN116" s="539"/>
      <c r="DO116" s="539"/>
      <c r="DP116" s="539"/>
      <c r="DQ116" s="539"/>
      <c r="DR116" s="539"/>
      <c r="DS116" s="539"/>
      <c r="DT116" s="539"/>
      <c r="DU116" s="539"/>
      <c r="DV116" s="539"/>
      <c r="DW116" s="539"/>
      <c r="DX116" s="539"/>
      <c r="DY116" s="539"/>
      <c r="DZ116" s="539"/>
      <c r="EA116" s="539"/>
      <c r="EB116" s="539"/>
      <c r="EC116" s="539"/>
      <c r="ED116" s="539"/>
    </row>
    <row r="117" spans="1:134" ht="13.5" hidden="1" customHeight="1">
      <c r="A117" s="543"/>
      <c r="B117" s="5" t="e">
        <f>+#REF!</f>
        <v>#REF!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539"/>
      <c r="AR117" s="539"/>
      <c r="AS117" s="539"/>
      <c r="AT117" s="539"/>
      <c r="AU117" s="539"/>
      <c r="AV117" s="539"/>
      <c r="AW117" s="539"/>
      <c r="AX117" s="539"/>
      <c r="AY117" s="539"/>
      <c r="AZ117" s="539"/>
      <c r="BA117" s="539"/>
      <c r="BB117" s="539"/>
      <c r="BC117" s="539"/>
      <c r="BD117" s="539"/>
      <c r="BE117" s="539"/>
      <c r="BF117" s="539"/>
      <c r="BG117" s="539"/>
      <c r="BH117" s="539"/>
      <c r="BI117" s="539"/>
      <c r="BJ117" s="539"/>
      <c r="BK117" s="539"/>
      <c r="BL117" s="539"/>
      <c r="BM117" s="539"/>
      <c r="BN117" s="539"/>
      <c r="BO117" s="539"/>
      <c r="BP117" s="539"/>
      <c r="BQ117" s="539"/>
      <c r="BR117" s="539"/>
      <c r="BS117" s="539"/>
      <c r="BT117" s="539"/>
      <c r="BU117" s="539"/>
      <c r="BV117" s="539"/>
      <c r="BW117" s="539"/>
      <c r="BX117" s="539"/>
      <c r="BY117" s="539"/>
      <c r="BZ117" s="539"/>
      <c r="CA117" s="539"/>
      <c r="CB117" s="539"/>
      <c r="CC117" s="539"/>
      <c r="CD117" s="539"/>
      <c r="CE117" s="539"/>
      <c r="CF117" s="539"/>
      <c r="CG117" s="539"/>
      <c r="CH117" s="539"/>
      <c r="CI117" s="539"/>
      <c r="CJ117" s="539"/>
      <c r="CK117" s="539"/>
      <c r="CL117" s="539"/>
      <c r="CM117" s="539"/>
      <c r="CN117" s="539"/>
      <c r="CO117" s="539"/>
      <c r="CP117" s="539"/>
      <c r="CQ117" s="539"/>
      <c r="CR117" s="539"/>
      <c r="CS117" s="539"/>
      <c r="CT117" s="539"/>
      <c r="CU117" s="539"/>
      <c r="CV117" s="539"/>
      <c r="CW117" s="539"/>
      <c r="CX117" s="539"/>
      <c r="CY117" s="539"/>
      <c r="CZ117" s="539"/>
      <c r="DA117" s="539"/>
      <c r="DB117" s="539"/>
      <c r="DC117" s="539"/>
      <c r="DD117" s="539"/>
      <c r="DE117" s="539"/>
      <c r="DF117" s="539"/>
      <c r="DG117" s="539"/>
      <c r="DH117" s="539"/>
      <c r="DI117" s="539"/>
      <c r="DJ117" s="539"/>
      <c r="DK117" s="539"/>
      <c r="DL117" s="539"/>
      <c r="DM117" s="539"/>
      <c r="DN117" s="539"/>
      <c r="DO117" s="539"/>
      <c r="DP117" s="539"/>
      <c r="DQ117" s="539"/>
      <c r="DR117" s="539"/>
      <c r="DS117" s="539"/>
      <c r="DT117" s="539"/>
      <c r="DU117" s="539"/>
      <c r="DV117" s="539"/>
      <c r="DW117" s="539"/>
      <c r="DX117" s="539"/>
      <c r="DY117" s="539"/>
      <c r="DZ117" s="539"/>
      <c r="EA117" s="539"/>
      <c r="EB117" s="539"/>
      <c r="EC117" s="539"/>
      <c r="ED117" s="539"/>
    </row>
    <row r="118" spans="1:134" ht="13.5" customHeight="1">
      <c r="A118" s="547"/>
      <c r="B118" s="8" t="e">
        <f>+#REF!</f>
        <v>#REF!</v>
      </c>
      <c r="C118" s="9">
        <f t="shared" ref="C118:AP118" si="3">C85-C86-C102</f>
        <v>-51436.369533999998</v>
      </c>
      <c r="D118" s="9">
        <f t="shared" si="3"/>
        <v>60359.136641999998</v>
      </c>
      <c r="E118" s="9">
        <f t="shared" si="3"/>
        <v>886.16689099999871</v>
      </c>
      <c r="F118" s="9">
        <f t="shared" si="3"/>
        <v>25056.06609700001</v>
      </c>
      <c r="G118" s="9">
        <f t="shared" si="3"/>
        <v>46106.935056347596</v>
      </c>
      <c r="H118" s="9">
        <f t="shared" si="3"/>
        <v>50213.418297513228</v>
      </c>
      <c r="I118" s="9">
        <f t="shared" si="3"/>
        <v>54319.240214880003</v>
      </c>
      <c r="J118" s="9">
        <f t="shared" si="3"/>
        <v>57937.213766459477</v>
      </c>
      <c r="K118" s="9">
        <f t="shared" si="3"/>
        <v>61038.815377441366</v>
      </c>
      <c r="L118" s="9">
        <f t="shared" si="3"/>
        <v>791998.33335491805</v>
      </c>
      <c r="M118" s="9">
        <f t="shared" si="3"/>
        <v>791984.20407312037</v>
      </c>
      <c r="N118" s="9">
        <f t="shared" si="3"/>
        <v>791984.20407312037</v>
      </c>
      <c r="O118" s="9">
        <f t="shared" si="3"/>
        <v>791984.20407312037</v>
      </c>
      <c r="P118" s="9">
        <f t="shared" si="3"/>
        <v>0</v>
      </c>
      <c r="Q118" s="9">
        <f t="shared" si="3"/>
        <v>0</v>
      </c>
      <c r="R118" s="9">
        <f t="shared" si="3"/>
        <v>0</v>
      </c>
      <c r="S118" s="9">
        <f t="shared" si="3"/>
        <v>0</v>
      </c>
      <c r="T118" s="9">
        <f t="shared" si="3"/>
        <v>0</v>
      </c>
      <c r="U118" s="9">
        <f t="shared" si="3"/>
        <v>0</v>
      </c>
      <c r="V118" s="9">
        <f t="shared" si="3"/>
        <v>0</v>
      </c>
      <c r="W118" s="9">
        <f t="shared" si="3"/>
        <v>0</v>
      </c>
      <c r="X118" s="9">
        <f t="shared" si="3"/>
        <v>0</v>
      </c>
      <c r="Y118" s="9">
        <f t="shared" si="3"/>
        <v>0</v>
      </c>
      <c r="Z118" s="9">
        <f t="shared" si="3"/>
        <v>0</v>
      </c>
      <c r="AA118" s="9">
        <f t="shared" si="3"/>
        <v>0</v>
      </c>
      <c r="AB118" s="9">
        <f t="shared" si="3"/>
        <v>0</v>
      </c>
      <c r="AC118" s="9">
        <f t="shared" si="3"/>
        <v>0</v>
      </c>
      <c r="AD118" s="9">
        <f t="shared" si="3"/>
        <v>0</v>
      </c>
      <c r="AE118" s="9">
        <f t="shared" si="3"/>
        <v>0</v>
      </c>
      <c r="AF118" s="9">
        <f t="shared" si="3"/>
        <v>0</v>
      </c>
      <c r="AG118" s="9">
        <f t="shared" si="3"/>
        <v>0</v>
      </c>
      <c r="AH118" s="9">
        <f t="shared" si="3"/>
        <v>0</v>
      </c>
      <c r="AI118" s="9">
        <f t="shared" si="3"/>
        <v>0</v>
      </c>
      <c r="AJ118" s="9">
        <f t="shared" si="3"/>
        <v>0</v>
      </c>
      <c r="AK118" s="9">
        <f t="shared" si="3"/>
        <v>0</v>
      </c>
      <c r="AL118" s="9">
        <f t="shared" si="3"/>
        <v>0</v>
      </c>
      <c r="AM118" s="9">
        <f t="shared" si="3"/>
        <v>0</v>
      </c>
      <c r="AN118" s="9">
        <f t="shared" si="3"/>
        <v>0</v>
      </c>
      <c r="AO118" s="9">
        <f t="shared" si="3"/>
        <v>0</v>
      </c>
      <c r="AP118" s="9">
        <f t="shared" si="3"/>
        <v>0</v>
      </c>
      <c r="AQ118" s="539"/>
      <c r="AR118" s="539"/>
      <c r="AS118" s="539"/>
      <c r="AT118" s="539"/>
      <c r="AU118" s="539"/>
      <c r="AV118" s="539"/>
      <c r="AW118" s="539"/>
      <c r="AX118" s="539"/>
      <c r="AY118" s="539"/>
      <c r="AZ118" s="539"/>
      <c r="BA118" s="539"/>
      <c r="BB118" s="539"/>
      <c r="BC118" s="539"/>
      <c r="BD118" s="539"/>
      <c r="BE118" s="539"/>
      <c r="BF118" s="539"/>
      <c r="BG118" s="539"/>
      <c r="BH118" s="539"/>
      <c r="BI118" s="539"/>
      <c r="BJ118" s="539"/>
      <c r="BK118" s="539"/>
      <c r="BL118" s="539"/>
      <c r="BM118" s="539"/>
      <c r="BN118" s="539"/>
      <c r="BO118" s="539"/>
      <c r="BP118" s="539"/>
      <c r="BQ118" s="539"/>
      <c r="BR118" s="539"/>
      <c r="BS118" s="539"/>
      <c r="BT118" s="539"/>
      <c r="BU118" s="539"/>
      <c r="BV118" s="539"/>
      <c r="BW118" s="539"/>
      <c r="BX118" s="539"/>
      <c r="BY118" s="539"/>
      <c r="BZ118" s="539"/>
      <c r="CA118" s="539"/>
      <c r="CB118" s="539"/>
      <c r="CC118" s="539"/>
      <c r="CD118" s="539"/>
      <c r="CE118" s="539"/>
      <c r="CF118" s="539"/>
      <c r="CG118" s="539"/>
      <c r="CH118" s="539"/>
      <c r="CI118" s="539"/>
      <c r="CJ118" s="539"/>
      <c r="CK118" s="539"/>
      <c r="CL118" s="539"/>
      <c r="CM118" s="539"/>
      <c r="CN118" s="539"/>
      <c r="CO118" s="539"/>
      <c r="CP118" s="539"/>
      <c r="CQ118" s="539"/>
      <c r="CR118" s="539"/>
      <c r="CS118" s="539"/>
      <c r="CT118" s="539"/>
      <c r="CU118" s="539"/>
      <c r="CV118" s="539"/>
      <c r="CW118" s="539"/>
      <c r="CX118" s="539"/>
      <c r="CY118" s="539"/>
      <c r="CZ118" s="539"/>
      <c r="DA118" s="539"/>
      <c r="DB118" s="539"/>
      <c r="DC118" s="539"/>
      <c r="DD118" s="539"/>
      <c r="DE118" s="539"/>
      <c r="DF118" s="539"/>
      <c r="DG118" s="539"/>
      <c r="DH118" s="539"/>
      <c r="DI118" s="539"/>
      <c r="DJ118" s="539"/>
      <c r="DK118" s="539"/>
      <c r="DL118" s="539"/>
      <c r="DM118" s="539"/>
      <c r="DN118" s="539"/>
      <c r="DO118" s="539"/>
      <c r="DP118" s="539"/>
      <c r="DQ118" s="539"/>
      <c r="DR118" s="539"/>
      <c r="DS118" s="539"/>
      <c r="DT118" s="539"/>
      <c r="DU118" s="539"/>
      <c r="DV118" s="539"/>
      <c r="DW118" s="539"/>
      <c r="DX118" s="539"/>
      <c r="DY118" s="539"/>
      <c r="DZ118" s="539"/>
      <c r="EA118" s="539"/>
      <c r="EB118" s="539"/>
      <c r="EC118" s="539"/>
      <c r="ED118" s="539"/>
    </row>
    <row r="119" spans="1:134" ht="13.5" customHeight="1">
      <c r="A119" s="539">
        <v>0</v>
      </c>
      <c r="B119" s="3" t="e">
        <f>+#REF!</f>
        <v>#REF!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539"/>
      <c r="AR119" s="539"/>
      <c r="AS119" s="539"/>
      <c r="AT119" s="539"/>
      <c r="AU119" s="539"/>
      <c r="AV119" s="539"/>
      <c r="AW119" s="539"/>
      <c r="AX119" s="539"/>
      <c r="AY119" s="539"/>
      <c r="AZ119" s="539"/>
      <c r="BA119" s="539"/>
      <c r="BB119" s="539"/>
      <c r="BC119" s="539"/>
      <c r="BD119" s="539"/>
      <c r="BE119" s="539"/>
      <c r="BF119" s="539"/>
      <c r="BG119" s="539"/>
      <c r="BH119" s="539"/>
      <c r="BI119" s="539"/>
      <c r="BJ119" s="539"/>
      <c r="BK119" s="539"/>
      <c r="BL119" s="539"/>
      <c r="BM119" s="539"/>
      <c r="BN119" s="539"/>
      <c r="BO119" s="539"/>
      <c r="BP119" s="539"/>
      <c r="BQ119" s="539"/>
      <c r="BR119" s="539"/>
      <c r="BS119" s="539"/>
      <c r="BT119" s="539"/>
      <c r="BU119" s="539"/>
      <c r="BV119" s="539"/>
      <c r="BW119" s="539"/>
      <c r="BX119" s="539"/>
      <c r="BY119" s="539"/>
      <c r="BZ119" s="539"/>
      <c r="CA119" s="539"/>
      <c r="CB119" s="539"/>
      <c r="CC119" s="539"/>
      <c r="CD119" s="539"/>
      <c r="CE119" s="539"/>
      <c r="CF119" s="539"/>
      <c r="CG119" s="539"/>
      <c r="CH119" s="539"/>
      <c r="CI119" s="539"/>
      <c r="CJ119" s="539"/>
      <c r="CK119" s="539"/>
      <c r="CL119" s="539"/>
      <c r="CM119" s="539"/>
      <c r="CN119" s="539"/>
      <c r="CO119" s="539"/>
      <c r="CP119" s="539"/>
      <c r="CQ119" s="539"/>
      <c r="CR119" s="539"/>
      <c r="CS119" s="539"/>
      <c r="CT119" s="539"/>
      <c r="CU119" s="539"/>
      <c r="CV119" s="539"/>
      <c r="CW119" s="539"/>
      <c r="CX119" s="539"/>
      <c r="CY119" s="539"/>
      <c r="CZ119" s="539"/>
      <c r="DA119" s="539"/>
      <c r="DB119" s="539"/>
      <c r="DC119" s="539"/>
      <c r="DD119" s="539"/>
      <c r="DE119" s="539"/>
      <c r="DF119" s="539"/>
      <c r="DG119" s="539"/>
      <c r="DH119" s="539"/>
      <c r="DI119" s="539"/>
      <c r="DJ119" s="539"/>
      <c r="DK119" s="539"/>
      <c r="DL119" s="539"/>
      <c r="DM119" s="539"/>
      <c r="DN119" s="539"/>
      <c r="DO119" s="539"/>
      <c r="DP119" s="539"/>
      <c r="DQ119" s="539"/>
      <c r="DR119" s="539"/>
      <c r="DS119" s="539"/>
      <c r="DT119" s="539"/>
      <c r="DU119" s="539"/>
      <c r="DV119" s="539"/>
      <c r="DW119" s="539"/>
      <c r="DX119" s="539"/>
      <c r="DY119" s="539"/>
      <c r="DZ119" s="539"/>
      <c r="EA119" s="539"/>
      <c r="EB119" s="539"/>
      <c r="EC119" s="539"/>
      <c r="ED119" s="539"/>
    </row>
    <row r="120" spans="1:134" ht="13.5" hidden="1" customHeight="1">
      <c r="A120" s="543"/>
      <c r="B120" s="5" t="e">
        <f>+#REF!</f>
        <v>#REF!</v>
      </c>
      <c r="C120" s="4">
        <f>IF(ISNUMBER(Historical!E123),Historical!E123, )</f>
        <v>200</v>
      </c>
      <c r="D120" s="4">
        <f>IF(ISNUMBER(Historical!G123),Historical!G123, )</f>
        <v>300</v>
      </c>
      <c r="E120" s="4">
        <f>IF(ISNUMBER(Historical!I123),Historical!I123, )</f>
        <v>400</v>
      </c>
      <c r="F120" s="4">
        <f>IF(ISNUMBER(Projection!$H$7),IF(MONTH(Projection!$H$7)&lt;&gt;12,IF(ISNUMBER(Projection!L92),Projection!L92, ),IF(ISNUMBER(Projection!H92),Projection!H92, )), )</f>
        <v>520</v>
      </c>
      <c r="G120" s="4">
        <f>IF(ISNUMBER(Projection!$H$7),IF(MONTH(Projection!$H$7)&lt;&gt;12,IF(ISNUMBER(Projection!N92),Projection!N92, ),IF(ISNUMBER(Projection!L92),Projection!L92, )), )</f>
        <v>0</v>
      </c>
      <c r="H120" s="4">
        <f>IF(ISNUMBER(Projection!$H$7),IF(MONTH(Projection!$H$7)&lt;&gt;12,IF(ISNUMBER(Projection!P92),Projection!P92, ),IF(ISNUMBER(Projection!N92),Projection!N92, )), )</f>
        <v>0</v>
      </c>
      <c r="I120" s="4">
        <f>IF(ISNUMBER(Projection!$H$7),IF(MONTH(Projection!$H$7)&lt;&gt;12,IF(ISNUMBER(Projection!R92),Projection!R92, ),IF(ISNUMBER(Projection!P92),Projection!P92, )), )</f>
        <v>0</v>
      </c>
      <c r="J120" s="4">
        <f>IF(ISNUMBER(Projection!$H$7),IF(MONTH(Projection!$H$7)&lt;&gt;12,IF(ISNUMBER(Projection!T92),Projection!T92, ),IF(ISNUMBER(Projection!R92),Projection!R92, )), )</f>
        <v>0</v>
      </c>
      <c r="K120" s="4">
        <f>IF(ISNUMBER(Projection!$H$7),IF(MONTH(Projection!$H$7)&lt;&gt;12,IF(ISNUMBER(Projection!Z92),Projection!Z92, ),IF(ISNUMBER(Projection!U92),Projection!U92, )), )</f>
        <v>0</v>
      </c>
      <c r="L120" s="4">
        <f>IF(ISNUMBER(Projection!$H$7),IF(MONTH(Projection!$H$7)&lt;&gt;12,IF(ISNUMBER(Projection!AB92),Projection!AB92, ),IF(ISNUMBER(Projection!Z92),Projection!Z92, )), )</f>
        <v>0</v>
      </c>
      <c r="M120" s="4">
        <f>IF(ISNUMBER(Projection!$H$7),IF(MONTH(Projection!$H$7)&lt;&gt;12,IF(ISNUMBER(Projection!AD92),Projection!AD92, ),IF(ISNUMBER(Projection!AB92),Projection!AB92, )), )</f>
        <v>0</v>
      </c>
      <c r="N120" s="4">
        <f>IF(ISNUMBER(Projection!$H$7),IF(MONTH(Projection!$H$7)&lt;&gt;12,IF(ISNUMBER(Projection!AF92),Projection!AF92, ),IF(ISNUMBER(Projection!AD92),Projection!AD92, )), )</f>
        <v>0</v>
      </c>
      <c r="O120" s="4">
        <f>IF(ISNUMBER(Projection!$H$7),IF(MONTH(Projection!$H$7)&lt;&gt;12,IF(ISNUMBER(Projection!AH92),Projection!AH92, ),IF(ISNUMBER(Projection!AF92),Projection!AF92, )), )</f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539"/>
      <c r="AR120" s="539"/>
      <c r="AS120" s="539"/>
      <c r="AT120" s="539"/>
      <c r="AU120" s="539"/>
      <c r="AV120" s="539"/>
      <c r="AW120" s="539"/>
      <c r="AX120" s="539"/>
      <c r="AY120" s="539"/>
      <c r="AZ120" s="539"/>
      <c r="BA120" s="539"/>
      <c r="BB120" s="539"/>
      <c r="BC120" s="539"/>
      <c r="BD120" s="539"/>
      <c r="BE120" s="539"/>
      <c r="BF120" s="539"/>
      <c r="BG120" s="539"/>
      <c r="BH120" s="539"/>
      <c r="BI120" s="539"/>
      <c r="BJ120" s="539"/>
      <c r="BK120" s="539"/>
      <c r="BL120" s="539"/>
      <c r="BM120" s="539"/>
      <c r="BN120" s="539"/>
      <c r="BO120" s="539"/>
      <c r="BP120" s="539"/>
      <c r="BQ120" s="539"/>
      <c r="BR120" s="539"/>
      <c r="BS120" s="539"/>
      <c r="BT120" s="539"/>
      <c r="BU120" s="539"/>
      <c r="BV120" s="539"/>
      <c r="BW120" s="539"/>
      <c r="BX120" s="539"/>
      <c r="BY120" s="539"/>
      <c r="BZ120" s="539"/>
      <c r="CA120" s="539"/>
      <c r="CB120" s="539"/>
      <c r="CC120" s="539"/>
      <c r="CD120" s="539"/>
      <c r="CE120" s="539"/>
      <c r="CF120" s="539"/>
      <c r="CG120" s="539"/>
      <c r="CH120" s="539"/>
      <c r="CI120" s="539"/>
      <c r="CJ120" s="539"/>
      <c r="CK120" s="539"/>
      <c r="CL120" s="539"/>
      <c r="CM120" s="539"/>
      <c r="CN120" s="539"/>
      <c r="CO120" s="539"/>
      <c r="CP120" s="539"/>
      <c r="CQ120" s="539"/>
      <c r="CR120" s="539"/>
      <c r="CS120" s="539"/>
      <c r="CT120" s="539"/>
      <c r="CU120" s="539"/>
      <c r="CV120" s="539"/>
      <c r="CW120" s="539"/>
      <c r="CX120" s="539"/>
      <c r="CY120" s="539"/>
      <c r="CZ120" s="539"/>
      <c r="DA120" s="539"/>
      <c r="DB120" s="539"/>
      <c r="DC120" s="539"/>
      <c r="DD120" s="539"/>
      <c r="DE120" s="539"/>
      <c r="DF120" s="539"/>
      <c r="DG120" s="539"/>
      <c r="DH120" s="539"/>
      <c r="DI120" s="539"/>
      <c r="DJ120" s="539"/>
      <c r="DK120" s="539"/>
      <c r="DL120" s="539"/>
      <c r="DM120" s="539"/>
      <c r="DN120" s="539"/>
      <c r="DO120" s="539"/>
      <c r="DP120" s="539"/>
      <c r="DQ120" s="539"/>
      <c r="DR120" s="539"/>
      <c r="DS120" s="539"/>
      <c r="DT120" s="539"/>
      <c r="DU120" s="539"/>
      <c r="DV120" s="539"/>
      <c r="DW120" s="539"/>
      <c r="DX120" s="539"/>
      <c r="DY120" s="539"/>
      <c r="DZ120" s="539"/>
      <c r="EA120" s="539"/>
      <c r="EB120" s="539"/>
      <c r="EC120" s="539"/>
      <c r="ED120" s="539"/>
    </row>
    <row r="121" spans="1:134" ht="13.5" hidden="1" customHeight="1">
      <c r="A121" s="543"/>
      <c r="B121" s="5" t="e">
        <f>+#REF!</f>
        <v>#REF!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539"/>
      <c r="AR121" s="539"/>
      <c r="AS121" s="539"/>
      <c r="AT121" s="539"/>
      <c r="AU121" s="539"/>
      <c r="AV121" s="539"/>
      <c r="AW121" s="539"/>
      <c r="AX121" s="539"/>
      <c r="AY121" s="539"/>
      <c r="AZ121" s="539"/>
      <c r="BA121" s="539"/>
      <c r="BB121" s="539"/>
      <c r="BC121" s="539"/>
      <c r="BD121" s="539"/>
      <c r="BE121" s="539"/>
      <c r="BF121" s="539"/>
      <c r="BG121" s="539"/>
      <c r="BH121" s="539"/>
      <c r="BI121" s="539"/>
      <c r="BJ121" s="539"/>
      <c r="BK121" s="539"/>
      <c r="BL121" s="539"/>
      <c r="BM121" s="539"/>
      <c r="BN121" s="539"/>
      <c r="BO121" s="539"/>
      <c r="BP121" s="539"/>
      <c r="BQ121" s="539"/>
      <c r="BR121" s="539"/>
      <c r="BS121" s="539"/>
      <c r="BT121" s="539"/>
      <c r="BU121" s="539"/>
      <c r="BV121" s="539"/>
      <c r="BW121" s="539"/>
      <c r="BX121" s="539"/>
      <c r="BY121" s="539"/>
      <c r="BZ121" s="539"/>
      <c r="CA121" s="539"/>
      <c r="CB121" s="539"/>
      <c r="CC121" s="539"/>
      <c r="CD121" s="539"/>
      <c r="CE121" s="539"/>
      <c r="CF121" s="539"/>
      <c r="CG121" s="539"/>
      <c r="CH121" s="539"/>
      <c r="CI121" s="539"/>
      <c r="CJ121" s="539"/>
      <c r="CK121" s="539"/>
      <c r="CL121" s="539"/>
      <c r="CM121" s="539"/>
      <c r="CN121" s="539"/>
      <c r="CO121" s="539"/>
      <c r="CP121" s="539"/>
      <c r="CQ121" s="539"/>
      <c r="CR121" s="539"/>
      <c r="CS121" s="539"/>
      <c r="CT121" s="539"/>
      <c r="CU121" s="539"/>
      <c r="CV121" s="539"/>
      <c r="CW121" s="539"/>
      <c r="CX121" s="539"/>
      <c r="CY121" s="539"/>
      <c r="CZ121" s="539"/>
      <c r="DA121" s="539"/>
      <c r="DB121" s="539"/>
      <c r="DC121" s="539"/>
      <c r="DD121" s="539"/>
      <c r="DE121" s="539"/>
      <c r="DF121" s="539"/>
      <c r="DG121" s="539"/>
      <c r="DH121" s="539"/>
      <c r="DI121" s="539"/>
      <c r="DJ121" s="539"/>
      <c r="DK121" s="539"/>
      <c r="DL121" s="539"/>
      <c r="DM121" s="539"/>
      <c r="DN121" s="539"/>
      <c r="DO121" s="539"/>
      <c r="DP121" s="539"/>
      <c r="DQ121" s="539"/>
      <c r="DR121" s="539"/>
      <c r="DS121" s="539"/>
      <c r="DT121" s="539"/>
      <c r="DU121" s="539"/>
      <c r="DV121" s="539"/>
      <c r="DW121" s="539"/>
      <c r="DX121" s="539"/>
      <c r="DY121" s="539"/>
      <c r="DZ121" s="539"/>
      <c r="EA121" s="539"/>
      <c r="EB121" s="539"/>
      <c r="EC121" s="539"/>
      <c r="ED121" s="539"/>
    </row>
    <row r="122" spans="1:134" ht="13.5" hidden="1" customHeight="1">
      <c r="A122" s="543"/>
      <c r="B122" s="5" t="e">
        <f>+#REF!</f>
        <v>#REF!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539"/>
      <c r="AR122" s="539"/>
      <c r="AS122" s="539"/>
      <c r="AT122" s="539"/>
      <c r="AU122" s="539"/>
      <c r="AV122" s="539"/>
      <c r="AW122" s="539"/>
      <c r="AX122" s="539"/>
      <c r="AY122" s="539"/>
      <c r="AZ122" s="539"/>
      <c r="BA122" s="539"/>
      <c r="BB122" s="539"/>
      <c r="BC122" s="539"/>
      <c r="BD122" s="539"/>
      <c r="BE122" s="539"/>
      <c r="BF122" s="539"/>
      <c r="BG122" s="539"/>
      <c r="BH122" s="539"/>
      <c r="BI122" s="539"/>
      <c r="BJ122" s="539"/>
      <c r="BK122" s="539"/>
      <c r="BL122" s="539"/>
      <c r="BM122" s="539"/>
      <c r="BN122" s="539"/>
      <c r="BO122" s="539"/>
      <c r="BP122" s="539"/>
      <c r="BQ122" s="539"/>
      <c r="BR122" s="539"/>
      <c r="BS122" s="539"/>
      <c r="BT122" s="539"/>
      <c r="BU122" s="539"/>
      <c r="BV122" s="539"/>
      <c r="BW122" s="539"/>
      <c r="BX122" s="539"/>
      <c r="BY122" s="539"/>
      <c r="BZ122" s="539"/>
      <c r="CA122" s="539"/>
      <c r="CB122" s="539"/>
      <c r="CC122" s="539"/>
      <c r="CD122" s="539"/>
      <c r="CE122" s="539"/>
      <c r="CF122" s="539"/>
      <c r="CG122" s="539"/>
      <c r="CH122" s="539"/>
      <c r="CI122" s="539"/>
      <c r="CJ122" s="539"/>
      <c r="CK122" s="539"/>
      <c r="CL122" s="539"/>
      <c r="CM122" s="539"/>
      <c r="CN122" s="539"/>
      <c r="CO122" s="539"/>
      <c r="CP122" s="539"/>
      <c r="CQ122" s="539"/>
      <c r="CR122" s="539"/>
      <c r="CS122" s="539"/>
      <c r="CT122" s="539"/>
      <c r="CU122" s="539"/>
      <c r="CV122" s="539"/>
      <c r="CW122" s="539"/>
      <c r="CX122" s="539"/>
      <c r="CY122" s="539"/>
      <c r="CZ122" s="539"/>
      <c r="DA122" s="539"/>
      <c r="DB122" s="539"/>
      <c r="DC122" s="539"/>
      <c r="DD122" s="539"/>
      <c r="DE122" s="539"/>
      <c r="DF122" s="539"/>
      <c r="DG122" s="539"/>
      <c r="DH122" s="539"/>
      <c r="DI122" s="539"/>
      <c r="DJ122" s="539"/>
      <c r="DK122" s="539"/>
      <c r="DL122" s="539"/>
      <c r="DM122" s="539"/>
      <c r="DN122" s="539"/>
      <c r="DO122" s="539"/>
      <c r="DP122" s="539"/>
      <c r="DQ122" s="539"/>
      <c r="DR122" s="539"/>
      <c r="DS122" s="539"/>
      <c r="DT122" s="539"/>
      <c r="DU122" s="539"/>
      <c r="DV122" s="539"/>
      <c r="DW122" s="539"/>
      <c r="DX122" s="539"/>
      <c r="DY122" s="539"/>
      <c r="DZ122" s="539"/>
      <c r="EA122" s="539"/>
      <c r="EB122" s="539"/>
      <c r="EC122" s="539"/>
      <c r="ED122" s="539"/>
    </row>
    <row r="123" spans="1:134" ht="13.5" hidden="1" customHeight="1">
      <c r="A123" s="543"/>
      <c r="B123" s="5" t="e">
        <f>+#REF!</f>
        <v>#REF!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539"/>
      <c r="AR123" s="539"/>
      <c r="AS123" s="539"/>
      <c r="AT123" s="539"/>
      <c r="AU123" s="539"/>
      <c r="AV123" s="539"/>
      <c r="AW123" s="539"/>
      <c r="AX123" s="539"/>
      <c r="AY123" s="539"/>
      <c r="AZ123" s="539"/>
      <c r="BA123" s="539"/>
      <c r="BB123" s="539"/>
      <c r="BC123" s="539"/>
      <c r="BD123" s="539"/>
      <c r="BE123" s="539"/>
      <c r="BF123" s="539"/>
      <c r="BG123" s="539"/>
      <c r="BH123" s="539"/>
      <c r="BI123" s="539"/>
      <c r="BJ123" s="539"/>
      <c r="BK123" s="539"/>
      <c r="BL123" s="539"/>
      <c r="BM123" s="539"/>
      <c r="BN123" s="539"/>
      <c r="BO123" s="539"/>
      <c r="BP123" s="539"/>
      <c r="BQ123" s="539"/>
      <c r="BR123" s="539"/>
      <c r="BS123" s="539"/>
      <c r="BT123" s="539"/>
      <c r="BU123" s="539"/>
      <c r="BV123" s="539"/>
      <c r="BW123" s="539"/>
      <c r="BX123" s="539"/>
      <c r="BY123" s="539"/>
      <c r="BZ123" s="539"/>
      <c r="CA123" s="539"/>
      <c r="CB123" s="539"/>
      <c r="CC123" s="539"/>
      <c r="CD123" s="539"/>
      <c r="CE123" s="539"/>
      <c r="CF123" s="539"/>
      <c r="CG123" s="539"/>
      <c r="CH123" s="539"/>
      <c r="CI123" s="539"/>
      <c r="CJ123" s="539"/>
      <c r="CK123" s="539"/>
      <c r="CL123" s="539"/>
      <c r="CM123" s="539"/>
      <c r="CN123" s="539"/>
      <c r="CO123" s="539"/>
      <c r="CP123" s="539"/>
      <c r="CQ123" s="539"/>
      <c r="CR123" s="539"/>
      <c r="CS123" s="539"/>
      <c r="CT123" s="539"/>
      <c r="CU123" s="539"/>
      <c r="CV123" s="539"/>
      <c r="CW123" s="539"/>
      <c r="CX123" s="539"/>
      <c r="CY123" s="539"/>
      <c r="CZ123" s="539"/>
      <c r="DA123" s="539"/>
      <c r="DB123" s="539"/>
      <c r="DC123" s="539"/>
      <c r="DD123" s="539"/>
      <c r="DE123" s="539"/>
      <c r="DF123" s="539"/>
      <c r="DG123" s="539"/>
      <c r="DH123" s="539"/>
      <c r="DI123" s="539"/>
      <c r="DJ123" s="539"/>
      <c r="DK123" s="539"/>
      <c r="DL123" s="539"/>
      <c r="DM123" s="539"/>
      <c r="DN123" s="539"/>
      <c r="DO123" s="539"/>
      <c r="DP123" s="539"/>
      <c r="DQ123" s="539"/>
      <c r="DR123" s="539"/>
      <c r="DS123" s="539"/>
      <c r="DT123" s="539"/>
      <c r="DU123" s="539"/>
      <c r="DV123" s="539"/>
      <c r="DW123" s="539"/>
      <c r="DX123" s="539"/>
      <c r="DY123" s="539"/>
      <c r="DZ123" s="539"/>
      <c r="EA123" s="539"/>
      <c r="EB123" s="539"/>
      <c r="EC123" s="539"/>
      <c r="ED123" s="539"/>
    </row>
    <row r="124" spans="1:134" ht="13.5" hidden="1" customHeight="1">
      <c r="A124" s="543"/>
      <c r="B124" s="5" t="e">
        <f>+#REF!</f>
        <v>#REF!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539"/>
      <c r="AR124" s="539"/>
      <c r="AS124" s="539"/>
      <c r="AT124" s="539"/>
      <c r="AU124" s="539"/>
      <c r="AV124" s="539"/>
      <c r="AW124" s="539"/>
      <c r="AX124" s="539"/>
      <c r="AY124" s="539"/>
      <c r="AZ124" s="539"/>
      <c r="BA124" s="539"/>
      <c r="BB124" s="539"/>
      <c r="BC124" s="539"/>
      <c r="BD124" s="539"/>
      <c r="BE124" s="539"/>
      <c r="BF124" s="539"/>
      <c r="BG124" s="539"/>
      <c r="BH124" s="539"/>
      <c r="BI124" s="539"/>
      <c r="BJ124" s="539"/>
      <c r="BK124" s="539"/>
      <c r="BL124" s="539"/>
      <c r="BM124" s="539"/>
      <c r="BN124" s="539"/>
      <c r="BO124" s="539"/>
      <c r="BP124" s="539"/>
      <c r="BQ124" s="539"/>
      <c r="BR124" s="539"/>
      <c r="BS124" s="539"/>
      <c r="BT124" s="539"/>
      <c r="BU124" s="539"/>
      <c r="BV124" s="539"/>
      <c r="BW124" s="539"/>
      <c r="BX124" s="539"/>
      <c r="BY124" s="539"/>
      <c r="BZ124" s="539"/>
      <c r="CA124" s="539"/>
      <c r="CB124" s="539"/>
      <c r="CC124" s="539"/>
      <c r="CD124" s="539"/>
      <c r="CE124" s="539"/>
      <c r="CF124" s="539"/>
      <c r="CG124" s="539"/>
      <c r="CH124" s="539"/>
      <c r="CI124" s="539"/>
      <c r="CJ124" s="539"/>
      <c r="CK124" s="539"/>
      <c r="CL124" s="539"/>
      <c r="CM124" s="539"/>
      <c r="CN124" s="539"/>
      <c r="CO124" s="539"/>
      <c r="CP124" s="539"/>
      <c r="CQ124" s="539"/>
      <c r="CR124" s="539"/>
      <c r="CS124" s="539"/>
      <c r="CT124" s="539"/>
      <c r="CU124" s="539"/>
      <c r="CV124" s="539"/>
      <c r="CW124" s="539"/>
      <c r="CX124" s="539"/>
      <c r="CY124" s="539"/>
      <c r="CZ124" s="539"/>
      <c r="DA124" s="539"/>
      <c r="DB124" s="539"/>
      <c r="DC124" s="539"/>
      <c r="DD124" s="539"/>
      <c r="DE124" s="539"/>
      <c r="DF124" s="539"/>
      <c r="DG124" s="539"/>
      <c r="DH124" s="539"/>
      <c r="DI124" s="539"/>
      <c r="DJ124" s="539"/>
      <c r="DK124" s="539"/>
      <c r="DL124" s="539"/>
      <c r="DM124" s="539"/>
      <c r="DN124" s="539"/>
      <c r="DO124" s="539"/>
      <c r="DP124" s="539"/>
      <c r="DQ124" s="539"/>
      <c r="DR124" s="539"/>
      <c r="DS124" s="539"/>
      <c r="DT124" s="539"/>
      <c r="DU124" s="539"/>
      <c r="DV124" s="539"/>
      <c r="DW124" s="539"/>
      <c r="DX124" s="539"/>
      <c r="DY124" s="539"/>
      <c r="DZ124" s="539"/>
      <c r="EA124" s="539"/>
      <c r="EB124" s="539"/>
      <c r="EC124" s="539"/>
      <c r="ED124" s="539"/>
    </row>
    <row r="125" spans="1:134" ht="13.5" hidden="1" customHeight="1">
      <c r="A125" s="543"/>
      <c r="B125" s="5" t="e">
        <f>+#REF!</f>
        <v>#REF!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539"/>
      <c r="AR125" s="539"/>
      <c r="AS125" s="539"/>
      <c r="AT125" s="539"/>
      <c r="AU125" s="539"/>
      <c r="AV125" s="539"/>
      <c r="AW125" s="539"/>
      <c r="AX125" s="539"/>
      <c r="AY125" s="539"/>
      <c r="AZ125" s="539"/>
      <c r="BA125" s="539"/>
      <c r="BB125" s="539"/>
      <c r="BC125" s="539"/>
      <c r="BD125" s="539"/>
      <c r="BE125" s="539"/>
      <c r="BF125" s="539"/>
      <c r="BG125" s="539"/>
      <c r="BH125" s="539"/>
      <c r="BI125" s="539"/>
      <c r="BJ125" s="539"/>
      <c r="BK125" s="539"/>
      <c r="BL125" s="539"/>
      <c r="BM125" s="539"/>
      <c r="BN125" s="539"/>
      <c r="BO125" s="539"/>
      <c r="BP125" s="539"/>
      <c r="BQ125" s="539"/>
      <c r="BR125" s="539"/>
      <c r="BS125" s="539"/>
      <c r="BT125" s="539"/>
      <c r="BU125" s="539"/>
      <c r="BV125" s="539"/>
      <c r="BW125" s="539"/>
      <c r="BX125" s="539"/>
      <c r="BY125" s="539"/>
      <c r="BZ125" s="539"/>
      <c r="CA125" s="539"/>
      <c r="CB125" s="539"/>
      <c r="CC125" s="539"/>
      <c r="CD125" s="539"/>
      <c r="CE125" s="539"/>
      <c r="CF125" s="539"/>
      <c r="CG125" s="539"/>
      <c r="CH125" s="539"/>
      <c r="CI125" s="539"/>
      <c r="CJ125" s="539"/>
      <c r="CK125" s="539"/>
      <c r="CL125" s="539"/>
      <c r="CM125" s="539"/>
      <c r="CN125" s="539"/>
      <c r="CO125" s="539"/>
      <c r="CP125" s="539"/>
      <c r="CQ125" s="539"/>
      <c r="CR125" s="539"/>
      <c r="CS125" s="539"/>
      <c r="CT125" s="539"/>
      <c r="CU125" s="539"/>
      <c r="CV125" s="539"/>
      <c r="CW125" s="539"/>
      <c r="CX125" s="539"/>
      <c r="CY125" s="539"/>
      <c r="CZ125" s="539"/>
      <c r="DA125" s="539"/>
      <c r="DB125" s="539"/>
      <c r="DC125" s="539"/>
      <c r="DD125" s="539"/>
      <c r="DE125" s="539"/>
      <c r="DF125" s="539"/>
      <c r="DG125" s="539"/>
      <c r="DH125" s="539"/>
      <c r="DI125" s="539"/>
      <c r="DJ125" s="539"/>
      <c r="DK125" s="539"/>
      <c r="DL125" s="539"/>
      <c r="DM125" s="539"/>
      <c r="DN125" s="539"/>
      <c r="DO125" s="539"/>
      <c r="DP125" s="539"/>
      <c r="DQ125" s="539"/>
      <c r="DR125" s="539"/>
      <c r="DS125" s="539"/>
      <c r="DT125" s="539"/>
      <c r="DU125" s="539"/>
      <c r="DV125" s="539"/>
      <c r="DW125" s="539"/>
      <c r="DX125" s="539"/>
      <c r="DY125" s="539"/>
      <c r="DZ125" s="539"/>
      <c r="EA125" s="539"/>
      <c r="EB125" s="539"/>
      <c r="EC125" s="539"/>
      <c r="ED125" s="539"/>
    </row>
    <row r="126" spans="1:134" ht="13.5" hidden="1" customHeight="1">
      <c r="A126" s="543"/>
      <c r="B126" s="5" t="e">
        <f>+#REF!</f>
        <v>#REF!</v>
      </c>
      <c r="C126" s="544"/>
      <c r="D126" s="544"/>
      <c r="E126" s="544"/>
      <c r="F126" s="544"/>
      <c r="G126" s="544"/>
      <c r="H126" s="544"/>
      <c r="I126" s="544"/>
      <c r="J126" s="544"/>
      <c r="K126" s="544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  <c r="AA126" s="544"/>
      <c r="AB126" s="544"/>
      <c r="AC126" s="544"/>
      <c r="AD126" s="544"/>
      <c r="AE126" s="544"/>
      <c r="AF126" s="544"/>
      <c r="AG126" s="544"/>
      <c r="AH126" s="544"/>
      <c r="AI126" s="544"/>
      <c r="AJ126" s="544"/>
      <c r="AK126" s="544"/>
      <c r="AL126" s="544"/>
      <c r="AM126" s="544"/>
      <c r="AN126" s="544"/>
      <c r="AO126" s="544"/>
      <c r="AP126" s="544"/>
      <c r="AQ126" s="539"/>
      <c r="AR126" s="539"/>
      <c r="AS126" s="539"/>
      <c r="AT126" s="539"/>
      <c r="AU126" s="539"/>
      <c r="AV126" s="539"/>
      <c r="AW126" s="539"/>
      <c r="AX126" s="539"/>
      <c r="AY126" s="539"/>
      <c r="AZ126" s="539"/>
      <c r="BA126" s="539"/>
      <c r="BB126" s="539"/>
      <c r="BC126" s="539"/>
      <c r="BD126" s="539"/>
      <c r="BE126" s="539"/>
      <c r="BF126" s="539"/>
      <c r="BG126" s="539"/>
      <c r="BH126" s="539"/>
      <c r="BI126" s="539"/>
      <c r="BJ126" s="539"/>
      <c r="BK126" s="539"/>
      <c r="BL126" s="539"/>
      <c r="BM126" s="539"/>
      <c r="BN126" s="539"/>
      <c r="BO126" s="539"/>
      <c r="BP126" s="539"/>
      <c r="BQ126" s="539"/>
      <c r="BR126" s="539"/>
      <c r="BS126" s="539"/>
      <c r="BT126" s="539"/>
      <c r="BU126" s="539"/>
      <c r="BV126" s="539"/>
      <c r="BW126" s="539"/>
      <c r="BX126" s="539"/>
      <c r="BY126" s="539"/>
      <c r="BZ126" s="539"/>
      <c r="CA126" s="539"/>
      <c r="CB126" s="539"/>
      <c r="CC126" s="539"/>
      <c r="CD126" s="539"/>
      <c r="CE126" s="539"/>
      <c r="CF126" s="539"/>
      <c r="CG126" s="539"/>
      <c r="CH126" s="539"/>
      <c r="CI126" s="539"/>
      <c r="CJ126" s="539"/>
      <c r="CK126" s="539"/>
      <c r="CL126" s="539"/>
      <c r="CM126" s="539"/>
      <c r="CN126" s="539"/>
      <c r="CO126" s="539"/>
      <c r="CP126" s="539"/>
      <c r="CQ126" s="539"/>
      <c r="CR126" s="539"/>
      <c r="CS126" s="539"/>
      <c r="CT126" s="539"/>
      <c r="CU126" s="539"/>
      <c r="CV126" s="539"/>
      <c r="CW126" s="539"/>
      <c r="CX126" s="539"/>
      <c r="CY126" s="539"/>
      <c r="CZ126" s="539"/>
      <c r="DA126" s="539"/>
      <c r="DB126" s="539"/>
      <c r="DC126" s="539"/>
      <c r="DD126" s="539"/>
      <c r="DE126" s="539"/>
      <c r="DF126" s="539"/>
      <c r="DG126" s="539"/>
      <c r="DH126" s="539"/>
      <c r="DI126" s="539"/>
      <c r="DJ126" s="539"/>
      <c r="DK126" s="539"/>
      <c r="DL126" s="539"/>
      <c r="DM126" s="539"/>
      <c r="DN126" s="539"/>
      <c r="DO126" s="539"/>
      <c r="DP126" s="539"/>
      <c r="DQ126" s="539"/>
      <c r="DR126" s="539"/>
      <c r="DS126" s="539"/>
      <c r="DT126" s="539"/>
      <c r="DU126" s="539"/>
      <c r="DV126" s="539"/>
      <c r="DW126" s="539"/>
      <c r="DX126" s="539"/>
      <c r="DY126" s="539"/>
      <c r="DZ126" s="539"/>
      <c r="EA126" s="539"/>
      <c r="EB126" s="539"/>
      <c r="EC126" s="539"/>
      <c r="ED126" s="539"/>
    </row>
    <row r="127" spans="1:134" ht="13.5" hidden="1" customHeight="1">
      <c r="A127" s="543"/>
      <c r="B127" s="5" t="e">
        <f>+#REF!</f>
        <v>#REF!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539"/>
      <c r="AR127" s="539"/>
      <c r="AS127" s="539"/>
      <c r="AT127" s="539"/>
      <c r="AU127" s="539"/>
      <c r="AV127" s="539"/>
      <c r="AW127" s="539"/>
      <c r="AX127" s="539"/>
      <c r="AY127" s="539"/>
      <c r="AZ127" s="539"/>
      <c r="BA127" s="539"/>
      <c r="BB127" s="539"/>
      <c r="BC127" s="539"/>
      <c r="BD127" s="539"/>
      <c r="BE127" s="539"/>
      <c r="BF127" s="539"/>
      <c r="BG127" s="539"/>
      <c r="BH127" s="539"/>
      <c r="BI127" s="539"/>
      <c r="BJ127" s="539"/>
      <c r="BK127" s="539"/>
      <c r="BL127" s="539"/>
      <c r="BM127" s="539"/>
      <c r="BN127" s="539"/>
      <c r="BO127" s="539"/>
      <c r="BP127" s="539"/>
      <c r="BQ127" s="539"/>
      <c r="BR127" s="539"/>
      <c r="BS127" s="539"/>
      <c r="BT127" s="539"/>
      <c r="BU127" s="539"/>
      <c r="BV127" s="539"/>
      <c r="BW127" s="539"/>
      <c r="BX127" s="539"/>
      <c r="BY127" s="539"/>
      <c r="BZ127" s="539"/>
      <c r="CA127" s="539"/>
      <c r="CB127" s="539"/>
      <c r="CC127" s="539"/>
      <c r="CD127" s="539"/>
      <c r="CE127" s="539"/>
      <c r="CF127" s="539"/>
      <c r="CG127" s="539"/>
      <c r="CH127" s="539"/>
      <c r="CI127" s="539"/>
      <c r="CJ127" s="539"/>
      <c r="CK127" s="539"/>
      <c r="CL127" s="539"/>
      <c r="CM127" s="539"/>
      <c r="CN127" s="539"/>
      <c r="CO127" s="539"/>
      <c r="CP127" s="539"/>
      <c r="CQ127" s="539"/>
      <c r="CR127" s="539"/>
      <c r="CS127" s="539"/>
      <c r="CT127" s="539"/>
      <c r="CU127" s="539"/>
      <c r="CV127" s="539"/>
      <c r="CW127" s="539"/>
      <c r="CX127" s="539"/>
      <c r="CY127" s="539"/>
      <c r="CZ127" s="539"/>
      <c r="DA127" s="539"/>
      <c r="DB127" s="539"/>
      <c r="DC127" s="539"/>
      <c r="DD127" s="539"/>
      <c r="DE127" s="539"/>
      <c r="DF127" s="539"/>
      <c r="DG127" s="539"/>
      <c r="DH127" s="539"/>
      <c r="DI127" s="539"/>
      <c r="DJ127" s="539"/>
      <c r="DK127" s="539"/>
      <c r="DL127" s="539"/>
      <c r="DM127" s="539"/>
      <c r="DN127" s="539"/>
      <c r="DO127" s="539"/>
      <c r="DP127" s="539"/>
      <c r="DQ127" s="539"/>
      <c r="DR127" s="539"/>
      <c r="DS127" s="539"/>
      <c r="DT127" s="539"/>
      <c r="DU127" s="539"/>
      <c r="DV127" s="539"/>
      <c r="DW127" s="539"/>
      <c r="DX127" s="539"/>
      <c r="DY127" s="539"/>
      <c r="DZ127" s="539"/>
      <c r="EA127" s="539"/>
      <c r="EB127" s="539"/>
      <c r="EC127" s="539"/>
      <c r="ED127" s="539"/>
    </row>
    <row r="128" spans="1:134" ht="13.5" hidden="1" customHeight="1">
      <c r="A128" s="543"/>
      <c r="B128" s="5" t="e">
        <f>+#REF!</f>
        <v>#REF!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539"/>
      <c r="AR128" s="539"/>
      <c r="AS128" s="539"/>
      <c r="AT128" s="539"/>
      <c r="AU128" s="539"/>
      <c r="AV128" s="539"/>
      <c r="AW128" s="539"/>
      <c r="AX128" s="539"/>
      <c r="AY128" s="539"/>
      <c r="AZ128" s="539"/>
      <c r="BA128" s="539"/>
      <c r="BB128" s="539"/>
      <c r="BC128" s="539"/>
      <c r="BD128" s="539"/>
      <c r="BE128" s="539"/>
      <c r="BF128" s="539"/>
      <c r="BG128" s="539"/>
      <c r="BH128" s="539"/>
      <c r="BI128" s="539"/>
      <c r="BJ128" s="539"/>
      <c r="BK128" s="539"/>
      <c r="BL128" s="539"/>
      <c r="BM128" s="539"/>
      <c r="BN128" s="539"/>
      <c r="BO128" s="539"/>
      <c r="BP128" s="539"/>
      <c r="BQ128" s="539"/>
      <c r="BR128" s="539"/>
      <c r="BS128" s="539"/>
      <c r="BT128" s="539"/>
      <c r="BU128" s="539"/>
      <c r="BV128" s="539"/>
      <c r="BW128" s="539"/>
      <c r="BX128" s="539"/>
      <c r="BY128" s="539"/>
      <c r="BZ128" s="539"/>
      <c r="CA128" s="539"/>
      <c r="CB128" s="539"/>
      <c r="CC128" s="539"/>
      <c r="CD128" s="539"/>
      <c r="CE128" s="539"/>
      <c r="CF128" s="539"/>
      <c r="CG128" s="539"/>
      <c r="CH128" s="539"/>
      <c r="CI128" s="539"/>
      <c r="CJ128" s="539"/>
      <c r="CK128" s="539"/>
      <c r="CL128" s="539"/>
      <c r="CM128" s="539"/>
      <c r="CN128" s="539"/>
      <c r="CO128" s="539"/>
      <c r="CP128" s="539"/>
      <c r="CQ128" s="539"/>
      <c r="CR128" s="539"/>
      <c r="CS128" s="539"/>
      <c r="CT128" s="539"/>
      <c r="CU128" s="539"/>
      <c r="CV128" s="539"/>
      <c r="CW128" s="539"/>
      <c r="CX128" s="539"/>
      <c r="CY128" s="539"/>
      <c r="CZ128" s="539"/>
      <c r="DA128" s="539"/>
      <c r="DB128" s="539"/>
      <c r="DC128" s="539"/>
      <c r="DD128" s="539"/>
      <c r="DE128" s="539"/>
      <c r="DF128" s="539"/>
      <c r="DG128" s="539"/>
      <c r="DH128" s="539"/>
      <c r="DI128" s="539"/>
      <c r="DJ128" s="539"/>
      <c r="DK128" s="539"/>
      <c r="DL128" s="539"/>
      <c r="DM128" s="539"/>
      <c r="DN128" s="539"/>
      <c r="DO128" s="539"/>
      <c r="DP128" s="539"/>
      <c r="DQ128" s="539"/>
      <c r="DR128" s="539"/>
      <c r="DS128" s="539"/>
      <c r="DT128" s="539"/>
      <c r="DU128" s="539"/>
      <c r="DV128" s="539"/>
      <c r="DW128" s="539"/>
      <c r="DX128" s="539"/>
      <c r="DY128" s="539"/>
      <c r="DZ128" s="539"/>
      <c r="EA128" s="539"/>
      <c r="EB128" s="539"/>
      <c r="EC128" s="539"/>
      <c r="ED128" s="539"/>
    </row>
    <row r="129" spans="1:134" ht="13.5" hidden="1" customHeight="1">
      <c r="A129" s="543"/>
      <c r="B129" s="5" t="e">
        <f>+#REF!</f>
        <v>#REF!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539"/>
      <c r="AR129" s="539"/>
      <c r="AS129" s="539"/>
      <c r="AT129" s="539"/>
      <c r="AU129" s="539"/>
      <c r="AV129" s="539"/>
      <c r="AW129" s="539"/>
      <c r="AX129" s="539"/>
      <c r="AY129" s="539"/>
      <c r="AZ129" s="539"/>
      <c r="BA129" s="539"/>
      <c r="BB129" s="539"/>
      <c r="BC129" s="539"/>
      <c r="BD129" s="539"/>
      <c r="BE129" s="539"/>
      <c r="BF129" s="539"/>
      <c r="BG129" s="539"/>
      <c r="BH129" s="539"/>
      <c r="BI129" s="539"/>
      <c r="BJ129" s="539"/>
      <c r="BK129" s="539"/>
      <c r="BL129" s="539"/>
      <c r="BM129" s="539"/>
      <c r="BN129" s="539"/>
      <c r="BO129" s="539"/>
      <c r="BP129" s="539"/>
      <c r="BQ129" s="539"/>
      <c r="BR129" s="539"/>
      <c r="BS129" s="539"/>
      <c r="BT129" s="539"/>
      <c r="BU129" s="539"/>
      <c r="BV129" s="539"/>
      <c r="BW129" s="539"/>
      <c r="BX129" s="539"/>
      <c r="BY129" s="539"/>
      <c r="BZ129" s="539"/>
      <c r="CA129" s="539"/>
      <c r="CB129" s="539"/>
      <c r="CC129" s="539"/>
      <c r="CD129" s="539"/>
      <c r="CE129" s="539"/>
      <c r="CF129" s="539"/>
      <c r="CG129" s="539"/>
      <c r="CH129" s="539"/>
      <c r="CI129" s="539"/>
      <c r="CJ129" s="539"/>
      <c r="CK129" s="539"/>
      <c r="CL129" s="539"/>
      <c r="CM129" s="539"/>
      <c r="CN129" s="539"/>
      <c r="CO129" s="539"/>
      <c r="CP129" s="539"/>
      <c r="CQ129" s="539"/>
      <c r="CR129" s="539"/>
      <c r="CS129" s="539"/>
      <c r="CT129" s="539"/>
      <c r="CU129" s="539"/>
      <c r="CV129" s="539"/>
      <c r="CW129" s="539"/>
      <c r="CX129" s="539"/>
      <c r="CY129" s="539"/>
      <c r="CZ129" s="539"/>
      <c r="DA129" s="539"/>
      <c r="DB129" s="539"/>
      <c r="DC129" s="539"/>
      <c r="DD129" s="539"/>
      <c r="DE129" s="539"/>
      <c r="DF129" s="539"/>
      <c r="DG129" s="539"/>
      <c r="DH129" s="539"/>
      <c r="DI129" s="539"/>
      <c r="DJ129" s="539"/>
      <c r="DK129" s="539"/>
      <c r="DL129" s="539"/>
      <c r="DM129" s="539"/>
      <c r="DN129" s="539"/>
      <c r="DO129" s="539"/>
      <c r="DP129" s="539"/>
      <c r="DQ129" s="539"/>
      <c r="DR129" s="539"/>
      <c r="DS129" s="539"/>
      <c r="DT129" s="539"/>
      <c r="DU129" s="539"/>
      <c r="DV129" s="539"/>
      <c r="DW129" s="539"/>
      <c r="DX129" s="539"/>
      <c r="DY129" s="539"/>
      <c r="DZ129" s="539"/>
      <c r="EA129" s="539"/>
      <c r="EB129" s="539"/>
      <c r="EC129" s="539"/>
      <c r="ED129" s="539"/>
    </row>
    <row r="130" spans="1:134" ht="13.5" hidden="1" customHeight="1">
      <c r="A130" s="543"/>
      <c r="B130" s="5" t="e">
        <f>+#REF!</f>
        <v>#REF!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539"/>
      <c r="AR130" s="539"/>
      <c r="AS130" s="539"/>
      <c r="AT130" s="539"/>
      <c r="AU130" s="539"/>
      <c r="AV130" s="539"/>
      <c r="AW130" s="539"/>
      <c r="AX130" s="539"/>
      <c r="AY130" s="539"/>
      <c r="AZ130" s="539"/>
      <c r="BA130" s="539"/>
      <c r="BB130" s="539"/>
      <c r="BC130" s="539"/>
      <c r="BD130" s="539"/>
      <c r="BE130" s="539"/>
      <c r="BF130" s="539"/>
      <c r="BG130" s="539"/>
      <c r="BH130" s="539"/>
      <c r="BI130" s="539"/>
      <c r="BJ130" s="539"/>
      <c r="BK130" s="539"/>
      <c r="BL130" s="539"/>
      <c r="BM130" s="539"/>
      <c r="BN130" s="539"/>
      <c r="BO130" s="539"/>
      <c r="BP130" s="539"/>
      <c r="BQ130" s="539"/>
      <c r="BR130" s="539"/>
      <c r="BS130" s="539"/>
      <c r="BT130" s="539"/>
      <c r="BU130" s="539"/>
      <c r="BV130" s="539"/>
      <c r="BW130" s="539"/>
      <c r="BX130" s="539"/>
      <c r="BY130" s="539"/>
      <c r="BZ130" s="539"/>
      <c r="CA130" s="539"/>
      <c r="CB130" s="539"/>
      <c r="CC130" s="539"/>
      <c r="CD130" s="539"/>
      <c r="CE130" s="539"/>
      <c r="CF130" s="539"/>
      <c r="CG130" s="539"/>
      <c r="CH130" s="539"/>
      <c r="CI130" s="539"/>
      <c r="CJ130" s="539"/>
      <c r="CK130" s="539"/>
      <c r="CL130" s="539"/>
      <c r="CM130" s="539"/>
      <c r="CN130" s="539"/>
      <c r="CO130" s="539"/>
      <c r="CP130" s="539"/>
      <c r="CQ130" s="539"/>
      <c r="CR130" s="539"/>
      <c r="CS130" s="539"/>
      <c r="CT130" s="539"/>
      <c r="CU130" s="539"/>
      <c r="CV130" s="539"/>
      <c r="CW130" s="539"/>
      <c r="CX130" s="539"/>
      <c r="CY130" s="539"/>
      <c r="CZ130" s="539"/>
      <c r="DA130" s="539"/>
      <c r="DB130" s="539"/>
      <c r="DC130" s="539"/>
      <c r="DD130" s="539"/>
      <c r="DE130" s="539"/>
      <c r="DF130" s="539"/>
      <c r="DG130" s="539"/>
      <c r="DH130" s="539"/>
      <c r="DI130" s="539"/>
      <c r="DJ130" s="539"/>
      <c r="DK130" s="539"/>
      <c r="DL130" s="539"/>
      <c r="DM130" s="539"/>
      <c r="DN130" s="539"/>
      <c r="DO130" s="539"/>
      <c r="DP130" s="539"/>
      <c r="DQ130" s="539"/>
      <c r="DR130" s="539"/>
      <c r="DS130" s="539"/>
      <c r="DT130" s="539"/>
      <c r="DU130" s="539"/>
      <c r="DV130" s="539"/>
      <c r="DW130" s="539"/>
      <c r="DX130" s="539"/>
      <c r="DY130" s="539"/>
      <c r="DZ130" s="539"/>
      <c r="EA130" s="539"/>
      <c r="EB130" s="539"/>
      <c r="EC130" s="539"/>
      <c r="ED130" s="539"/>
    </row>
    <row r="131" spans="1:134" ht="13.5" hidden="1" customHeight="1">
      <c r="A131" s="543"/>
      <c r="B131" s="5" t="e">
        <f>+#REF!</f>
        <v>#REF!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539"/>
      <c r="AR131" s="539"/>
      <c r="AS131" s="539"/>
      <c r="AT131" s="539"/>
      <c r="AU131" s="539"/>
      <c r="AV131" s="539"/>
      <c r="AW131" s="539"/>
      <c r="AX131" s="539"/>
      <c r="AY131" s="539"/>
      <c r="AZ131" s="539"/>
      <c r="BA131" s="539"/>
      <c r="BB131" s="539"/>
      <c r="BC131" s="539"/>
      <c r="BD131" s="539"/>
      <c r="BE131" s="539"/>
      <c r="BF131" s="539"/>
      <c r="BG131" s="539"/>
      <c r="BH131" s="539"/>
      <c r="BI131" s="539"/>
      <c r="BJ131" s="539"/>
      <c r="BK131" s="539"/>
      <c r="BL131" s="539"/>
      <c r="BM131" s="539"/>
      <c r="BN131" s="539"/>
      <c r="BO131" s="539"/>
      <c r="BP131" s="539"/>
      <c r="BQ131" s="539"/>
      <c r="BR131" s="539"/>
      <c r="BS131" s="539"/>
      <c r="BT131" s="539"/>
      <c r="BU131" s="539"/>
      <c r="BV131" s="539"/>
      <c r="BW131" s="539"/>
      <c r="BX131" s="539"/>
      <c r="BY131" s="539"/>
      <c r="BZ131" s="539"/>
      <c r="CA131" s="539"/>
      <c r="CB131" s="539"/>
      <c r="CC131" s="539"/>
      <c r="CD131" s="539"/>
      <c r="CE131" s="539"/>
      <c r="CF131" s="539"/>
      <c r="CG131" s="539"/>
      <c r="CH131" s="539"/>
      <c r="CI131" s="539"/>
      <c r="CJ131" s="539"/>
      <c r="CK131" s="539"/>
      <c r="CL131" s="539"/>
      <c r="CM131" s="539"/>
      <c r="CN131" s="539"/>
      <c r="CO131" s="539"/>
      <c r="CP131" s="539"/>
      <c r="CQ131" s="539"/>
      <c r="CR131" s="539"/>
      <c r="CS131" s="539"/>
      <c r="CT131" s="539"/>
      <c r="CU131" s="539"/>
      <c r="CV131" s="539"/>
      <c r="CW131" s="539"/>
      <c r="CX131" s="539"/>
      <c r="CY131" s="539"/>
      <c r="CZ131" s="539"/>
      <c r="DA131" s="539"/>
      <c r="DB131" s="539"/>
      <c r="DC131" s="539"/>
      <c r="DD131" s="539"/>
      <c r="DE131" s="539"/>
      <c r="DF131" s="539"/>
      <c r="DG131" s="539"/>
      <c r="DH131" s="539"/>
      <c r="DI131" s="539"/>
      <c r="DJ131" s="539"/>
      <c r="DK131" s="539"/>
      <c r="DL131" s="539"/>
      <c r="DM131" s="539"/>
      <c r="DN131" s="539"/>
      <c r="DO131" s="539"/>
      <c r="DP131" s="539"/>
      <c r="DQ131" s="539"/>
      <c r="DR131" s="539"/>
      <c r="DS131" s="539"/>
      <c r="DT131" s="539"/>
      <c r="DU131" s="539"/>
      <c r="DV131" s="539"/>
      <c r="DW131" s="539"/>
      <c r="DX131" s="539"/>
      <c r="DY131" s="539"/>
      <c r="DZ131" s="539"/>
      <c r="EA131" s="539"/>
      <c r="EB131" s="539"/>
      <c r="EC131" s="539"/>
      <c r="ED131" s="539"/>
    </row>
    <row r="132" spans="1:134" ht="13.5" hidden="1" customHeight="1">
      <c r="A132" s="543"/>
      <c r="B132" s="5" t="e">
        <f>+#REF!</f>
        <v>#REF!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539"/>
      <c r="AR132" s="539"/>
      <c r="AS132" s="539"/>
      <c r="AT132" s="539"/>
      <c r="AU132" s="539"/>
      <c r="AV132" s="539"/>
      <c r="AW132" s="539"/>
      <c r="AX132" s="539"/>
      <c r="AY132" s="539"/>
      <c r="AZ132" s="539"/>
      <c r="BA132" s="539"/>
      <c r="BB132" s="539"/>
      <c r="BC132" s="539"/>
      <c r="BD132" s="539"/>
      <c r="BE132" s="539"/>
      <c r="BF132" s="539"/>
      <c r="BG132" s="539"/>
      <c r="BH132" s="539"/>
      <c r="BI132" s="539"/>
      <c r="BJ132" s="539"/>
      <c r="BK132" s="539"/>
      <c r="BL132" s="539"/>
      <c r="BM132" s="539"/>
      <c r="BN132" s="539"/>
      <c r="BO132" s="539"/>
      <c r="BP132" s="539"/>
      <c r="BQ132" s="539"/>
      <c r="BR132" s="539"/>
      <c r="BS132" s="539"/>
      <c r="BT132" s="539"/>
      <c r="BU132" s="539"/>
      <c r="BV132" s="539"/>
      <c r="BW132" s="539"/>
      <c r="BX132" s="539"/>
      <c r="BY132" s="539"/>
      <c r="BZ132" s="539"/>
      <c r="CA132" s="539"/>
      <c r="CB132" s="539"/>
      <c r="CC132" s="539"/>
      <c r="CD132" s="539"/>
      <c r="CE132" s="539"/>
      <c r="CF132" s="539"/>
      <c r="CG132" s="539"/>
      <c r="CH132" s="539"/>
      <c r="CI132" s="539"/>
      <c r="CJ132" s="539"/>
      <c r="CK132" s="539"/>
      <c r="CL132" s="539"/>
      <c r="CM132" s="539"/>
      <c r="CN132" s="539"/>
      <c r="CO132" s="539"/>
      <c r="CP132" s="539"/>
      <c r="CQ132" s="539"/>
      <c r="CR132" s="539"/>
      <c r="CS132" s="539"/>
      <c r="CT132" s="539"/>
      <c r="CU132" s="539"/>
      <c r="CV132" s="539"/>
      <c r="CW132" s="539"/>
      <c r="CX132" s="539"/>
      <c r="CY132" s="539"/>
      <c r="CZ132" s="539"/>
      <c r="DA132" s="539"/>
      <c r="DB132" s="539"/>
      <c r="DC132" s="539"/>
      <c r="DD132" s="539"/>
      <c r="DE132" s="539"/>
      <c r="DF132" s="539"/>
      <c r="DG132" s="539"/>
      <c r="DH132" s="539"/>
      <c r="DI132" s="539"/>
      <c r="DJ132" s="539"/>
      <c r="DK132" s="539"/>
      <c r="DL132" s="539"/>
      <c r="DM132" s="539"/>
      <c r="DN132" s="539"/>
      <c r="DO132" s="539"/>
      <c r="DP132" s="539"/>
      <c r="DQ132" s="539"/>
      <c r="DR132" s="539"/>
      <c r="DS132" s="539"/>
      <c r="DT132" s="539"/>
      <c r="DU132" s="539"/>
      <c r="DV132" s="539"/>
      <c r="DW132" s="539"/>
      <c r="DX132" s="539"/>
      <c r="DY132" s="539"/>
      <c r="DZ132" s="539"/>
      <c r="EA132" s="539"/>
      <c r="EB132" s="539"/>
      <c r="EC132" s="539"/>
      <c r="ED132" s="539"/>
    </row>
    <row r="133" spans="1:134" ht="13.5" hidden="1" customHeight="1">
      <c r="A133" s="543"/>
      <c r="B133" s="5" t="e">
        <f>+#REF!</f>
        <v>#REF!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539"/>
      <c r="AR133" s="539"/>
      <c r="AS133" s="539"/>
      <c r="AT133" s="539"/>
      <c r="AU133" s="539"/>
      <c r="AV133" s="539"/>
      <c r="AW133" s="539"/>
      <c r="AX133" s="539"/>
      <c r="AY133" s="539"/>
      <c r="AZ133" s="539"/>
      <c r="BA133" s="539"/>
      <c r="BB133" s="539"/>
      <c r="BC133" s="539"/>
      <c r="BD133" s="539"/>
      <c r="BE133" s="539"/>
      <c r="BF133" s="539"/>
      <c r="BG133" s="539"/>
      <c r="BH133" s="539"/>
      <c r="BI133" s="539"/>
      <c r="BJ133" s="539"/>
      <c r="BK133" s="539"/>
      <c r="BL133" s="539"/>
      <c r="BM133" s="539"/>
      <c r="BN133" s="539"/>
      <c r="BO133" s="539"/>
      <c r="BP133" s="539"/>
      <c r="BQ133" s="539"/>
      <c r="BR133" s="539"/>
      <c r="BS133" s="539"/>
      <c r="BT133" s="539"/>
      <c r="BU133" s="539"/>
      <c r="BV133" s="539"/>
      <c r="BW133" s="539"/>
      <c r="BX133" s="539"/>
      <c r="BY133" s="539"/>
      <c r="BZ133" s="539"/>
      <c r="CA133" s="539"/>
      <c r="CB133" s="539"/>
      <c r="CC133" s="539"/>
      <c r="CD133" s="539"/>
      <c r="CE133" s="539"/>
      <c r="CF133" s="539"/>
      <c r="CG133" s="539"/>
      <c r="CH133" s="539"/>
      <c r="CI133" s="539"/>
      <c r="CJ133" s="539"/>
      <c r="CK133" s="539"/>
      <c r="CL133" s="539"/>
      <c r="CM133" s="539"/>
      <c r="CN133" s="539"/>
      <c r="CO133" s="539"/>
      <c r="CP133" s="539"/>
      <c r="CQ133" s="539"/>
      <c r="CR133" s="539"/>
      <c r="CS133" s="539"/>
      <c r="CT133" s="539"/>
      <c r="CU133" s="539"/>
      <c r="CV133" s="539"/>
      <c r="CW133" s="539"/>
      <c r="CX133" s="539"/>
      <c r="CY133" s="539"/>
      <c r="CZ133" s="539"/>
      <c r="DA133" s="539"/>
      <c r="DB133" s="539"/>
      <c r="DC133" s="539"/>
      <c r="DD133" s="539"/>
      <c r="DE133" s="539"/>
      <c r="DF133" s="539"/>
      <c r="DG133" s="539"/>
      <c r="DH133" s="539"/>
      <c r="DI133" s="539"/>
      <c r="DJ133" s="539"/>
      <c r="DK133" s="539"/>
      <c r="DL133" s="539"/>
      <c r="DM133" s="539"/>
      <c r="DN133" s="539"/>
      <c r="DO133" s="539"/>
      <c r="DP133" s="539"/>
      <c r="DQ133" s="539"/>
      <c r="DR133" s="539"/>
      <c r="DS133" s="539"/>
      <c r="DT133" s="539"/>
      <c r="DU133" s="539"/>
      <c r="DV133" s="539"/>
      <c r="DW133" s="539"/>
      <c r="DX133" s="539"/>
      <c r="DY133" s="539"/>
      <c r="DZ133" s="539"/>
      <c r="EA133" s="539"/>
      <c r="EB133" s="539"/>
      <c r="EC133" s="539"/>
      <c r="ED133" s="539"/>
    </row>
    <row r="134" spans="1:134" ht="13.5" hidden="1" customHeight="1">
      <c r="A134" s="543"/>
      <c r="B134" s="5" t="e">
        <f>+#REF!</f>
        <v>#REF!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539"/>
      <c r="AR134" s="539"/>
      <c r="AS134" s="539"/>
      <c r="AT134" s="539"/>
      <c r="AU134" s="539"/>
      <c r="AV134" s="539"/>
      <c r="AW134" s="539"/>
      <c r="AX134" s="539"/>
      <c r="AY134" s="539"/>
      <c r="AZ134" s="539"/>
      <c r="BA134" s="539"/>
      <c r="BB134" s="539"/>
      <c r="BC134" s="539"/>
      <c r="BD134" s="539"/>
      <c r="BE134" s="539"/>
      <c r="BF134" s="539"/>
      <c r="BG134" s="539"/>
      <c r="BH134" s="539"/>
      <c r="BI134" s="539"/>
      <c r="BJ134" s="539"/>
      <c r="BK134" s="539"/>
      <c r="BL134" s="539"/>
      <c r="BM134" s="539"/>
      <c r="BN134" s="539"/>
      <c r="BO134" s="539"/>
      <c r="BP134" s="539"/>
      <c r="BQ134" s="539"/>
      <c r="BR134" s="539"/>
      <c r="BS134" s="539"/>
      <c r="BT134" s="539"/>
      <c r="BU134" s="539"/>
      <c r="BV134" s="539"/>
      <c r="BW134" s="539"/>
      <c r="BX134" s="539"/>
      <c r="BY134" s="539"/>
      <c r="BZ134" s="539"/>
      <c r="CA134" s="539"/>
      <c r="CB134" s="539"/>
      <c r="CC134" s="539"/>
      <c r="CD134" s="539"/>
      <c r="CE134" s="539"/>
      <c r="CF134" s="539"/>
      <c r="CG134" s="539"/>
      <c r="CH134" s="539"/>
      <c r="CI134" s="539"/>
      <c r="CJ134" s="539"/>
      <c r="CK134" s="539"/>
      <c r="CL134" s="539"/>
      <c r="CM134" s="539"/>
      <c r="CN134" s="539"/>
      <c r="CO134" s="539"/>
      <c r="CP134" s="539"/>
      <c r="CQ134" s="539"/>
      <c r="CR134" s="539"/>
      <c r="CS134" s="539"/>
      <c r="CT134" s="539"/>
      <c r="CU134" s="539"/>
      <c r="CV134" s="539"/>
      <c r="CW134" s="539"/>
      <c r="CX134" s="539"/>
      <c r="CY134" s="539"/>
      <c r="CZ134" s="539"/>
      <c r="DA134" s="539"/>
      <c r="DB134" s="539"/>
      <c r="DC134" s="539"/>
      <c r="DD134" s="539"/>
      <c r="DE134" s="539"/>
      <c r="DF134" s="539"/>
      <c r="DG134" s="539"/>
      <c r="DH134" s="539"/>
      <c r="DI134" s="539"/>
      <c r="DJ134" s="539"/>
      <c r="DK134" s="539"/>
      <c r="DL134" s="539"/>
      <c r="DM134" s="539"/>
      <c r="DN134" s="539"/>
      <c r="DO134" s="539"/>
      <c r="DP134" s="539"/>
      <c r="DQ134" s="539"/>
      <c r="DR134" s="539"/>
      <c r="DS134" s="539"/>
      <c r="DT134" s="539"/>
      <c r="DU134" s="539"/>
      <c r="DV134" s="539"/>
      <c r="DW134" s="539"/>
      <c r="DX134" s="539"/>
      <c r="DY134" s="539"/>
      <c r="DZ134" s="539"/>
      <c r="EA134" s="539"/>
      <c r="EB134" s="539"/>
      <c r="EC134" s="539"/>
      <c r="ED134" s="539"/>
    </row>
    <row r="135" spans="1:134" ht="13.5" customHeight="1">
      <c r="A135" s="543"/>
      <c r="B135" s="3" t="e">
        <f>+#REF!</f>
        <v>#REF!</v>
      </c>
      <c r="C135" s="3">
        <v>0</v>
      </c>
      <c r="D135" s="3">
        <v>-51394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539"/>
      <c r="AR135" s="539"/>
      <c r="AS135" s="539"/>
      <c r="AT135" s="539"/>
      <c r="AU135" s="539"/>
      <c r="AV135" s="539"/>
      <c r="AW135" s="539"/>
      <c r="AX135" s="539"/>
      <c r="AY135" s="539"/>
      <c r="AZ135" s="539"/>
      <c r="BA135" s="539"/>
      <c r="BB135" s="539"/>
      <c r="BC135" s="539"/>
      <c r="BD135" s="539"/>
      <c r="BE135" s="539"/>
      <c r="BF135" s="539"/>
      <c r="BG135" s="539"/>
      <c r="BH135" s="539"/>
      <c r="BI135" s="539"/>
      <c r="BJ135" s="539"/>
      <c r="BK135" s="539"/>
      <c r="BL135" s="539"/>
      <c r="BM135" s="539"/>
      <c r="BN135" s="539"/>
      <c r="BO135" s="539"/>
      <c r="BP135" s="539"/>
      <c r="BQ135" s="539"/>
      <c r="BR135" s="539"/>
      <c r="BS135" s="539"/>
      <c r="BT135" s="539"/>
      <c r="BU135" s="539"/>
      <c r="BV135" s="539"/>
      <c r="BW135" s="539"/>
      <c r="BX135" s="539"/>
      <c r="BY135" s="539"/>
      <c r="BZ135" s="539"/>
      <c r="CA135" s="539"/>
      <c r="CB135" s="539"/>
      <c r="CC135" s="539"/>
      <c r="CD135" s="539"/>
      <c r="CE135" s="539"/>
      <c r="CF135" s="539"/>
      <c r="CG135" s="539"/>
      <c r="CH135" s="539"/>
      <c r="CI135" s="539"/>
      <c r="CJ135" s="539"/>
      <c r="CK135" s="539"/>
      <c r="CL135" s="539"/>
      <c r="CM135" s="539"/>
      <c r="CN135" s="539"/>
      <c r="CO135" s="539"/>
      <c r="CP135" s="539"/>
      <c r="CQ135" s="539"/>
      <c r="CR135" s="539"/>
      <c r="CS135" s="539"/>
      <c r="CT135" s="539"/>
      <c r="CU135" s="539"/>
      <c r="CV135" s="539"/>
      <c r="CW135" s="539"/>
      <c r="CX135" s="539"/>
      <c r="CY135" s="539"/>
      <c r="CZ135" s="539"/>
      <c r="DA135" s="539"/>
      <c r="DB135" s="539"/>
      <c r="DC135" s="539"/>
      <c r="DD135" s="539"/>
      <c r="DE135" s="539"/>
      <c r="DF135" s="539"/>
      <c r="DG135" s="539"/>
      <c r="DH135" s="539"/>
      <c r="DI135" s="539"/>
      <c r="DJ135" s="539"/>
      <c r="DK135" s="539"/>
      <c r="DL135" s="539"/>
      <c r="DM135" s="539"/>
      <c r="DN135" s="539"/>
      <c r="DO135" s="539"/>
      <c r="DP135" s="539"/>
      <c r="DQ135" s="539"/>
      <c r="DR135" s="539"/>
      <c r="DS135" s="539"/>
      <c r="DT135" s="539"/>
      <c r="DU135" s="539"/>
      <c r="DV135" s="539"/>
      <c r="DW135" s="539"/>
      <c r="DX135" s="539"/>
      <c r="DY135" s="539"/>
      <c r="DZ135" s="539"/>
      <c r="EA135" s="539"/>
      <c r="EB135" s="539"/>
      <c r="EC135" s="539"/>
      <c r="ED135" s="539"/>
    </row>
    <row r="136" spans="1:134" ht="13.5" hidden="1" customHeight="1">
      <c r="A136" s="543"/>
      <c r="B136" s="5" t="e">
        <f>+#REF!</f>
        <v>#REF!</v>
      </c>
      <c r="C136" s="4">
        <f>IF(ISNUMBER(Historical!E124),Historical!E124, )</f>
        <v>1350</v>
      </c>
      <c r="D136" s="4">
        <f>IF(ISNUMBER(Historical!G124),Historical!G124, )</f>
        <v>13551</v>
      </c>
      <c r="E136" s="4">
        <f>IF(ISNUMBER(Historical!I124),Historical!I124, )</f>
        <v>18916</v>
      </c>
      <c r="F136" s="4">
        <f>IF(ISNUMBER(Projection!$H$7),IF(MONTH(Projection!$H$7)&lt;&gt;12,IF(ISNUMBER(Projection!L93),Projection!L93, ),IF(ISNUMBER(Projection!H93),Projection!H93, )), )</f>
        <v>18521</v>
      </c>
      <c r="G136" s="4">
        <f>IF(ISNUMBER(Projection!$H$7),IF(MONTH(Projection!$H$7)&lt;&gt;12,IF(ISNUMBER(Projection!N93),Projection!N93, ),IF(ISNUMBER(Projection!L93),Projection!L93, )), )</f>
        <v>0</v>
      </c>
      <c r="H136" s="4">
        <f>IF(ISNUMBER(Projection!$H$7),IF(MONTH(Projection!$H$7)&lt;&gt;12,IF(ISNUMBER(Projection!P93),Projection!P93, ),IF(ISNUMBER(Projection!N93),Projection!N93, )), )</f>
        <v>0</v>
      </c>
      <c r="I136" s="4">
        <f>IF(ISNUMBER(Projection!$H$7),IF(MONTH(Projection!$H$7)&lt;&gt;12,IF(ISNUMBER(Projection!R93),Projection!R93, ),IF(ISNUMBER(Projection!P93),Projection!P93, )), )</f>
        <v>0</v>
      </c>
      <c r="J136" s="4">
        <f>IF(ISNUMBER(Projection!$H$7),IF(MONTH(Projection!$H$7)&lt;&gt;12,IF(ISNUMBER(Projection!T93),Projection!T93, ),IF(ISNUMBER(Projection!R93),Projection!R93, )), )</f>
        <v>0</v>
      </c>
      <c r="K136" s="4">
        <f>IF(ISNUMBER(Projection!$H$7),IF(MONTH(Projection!$H$7)&lt;&gt;12,IF(ISNUMBER(Projection!Z93),Projection!Z93, ),IF(ISNUMBER(Projection!T93),Projection!T93, )), )</f>
        <v>0</v>
      </c>
      <c r="L136" s="4">
        <f>IF(ISNUMBER(Projection!$H$7),IF(MONTH(Projection!$H$7)&lt;&gt;12,IF(ISNUMBER(Projection!AB93),Projection!AB93, ),IF(ISNUMBER(Projection!Z93),Projection!Z93, )), )</f>
        <v>0</v>
      </c>
      <c r="M136" s="4">
        <f>IF(ISNUMBER(Projection!$H$7),IF(MONTH(Projection!$H$7)&lt;&gt;12,IF(ISNUMBER(Projection!AD93),Projection!AD93, ),IF(ISNUMBER(Projection!AB93),Projection!AB93, )), )</f>
        <v>0</v>
      </c>
      <c r="N136" s="4">
        <f>IF(ISNUMBER(Projection!$H$7),IF(MONTH(Projection!$H$7)&lt;&gt;12,IF(ISNUMBER(Projection!AF93),Projection!AF93, ),IF(ISNUMBER(Projection!AD93),Projection!AD93, )), )</f>
        <v>0</v>
      </c>
      <c r="O136" s="4">
        <f>IF(ISNUMBER(Projection!$H$7),IF(MONTH(Projection!$H$7)&lt;&gt;12,IF(ISNUMBER(Projection!AH93),Projection!AH93, ),IF(ISNUMBER(Projection!AF93),Projection!AF93, )), )</f>
        <v>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539"/>
      <c r="AR136" s="539"/>
      <c r="AS136" s="539"/>
      <c r="AT136" s="539"/>
      <c r="AU136" s="539"/>
      <c r="AV136" s="539"/>
      <c r="AW136" s="539"/>
      <c r="AX136" s="539"/>
      <c r="AY136" s="539"/>
      <c r="AZ136" s="539"/>
      <c r="BA136" s="539"/>
      <c r="BB136" s="539"/>
      <c r="BC136" s="539"/>
      <c r="BD136" s="539"/>
      <c r="BE136" s="539"/>
      <c r="BF136" s="539"/>
      <c r="BG136" s="539"/>
      <c r="BH136" s="539"/>
      <c r="BI136" s="539"/>
      <c r="BJ136" s="539"/>
      <c r="BK136" s="539"/>
      <c r="BL136" s="539"/>
      <c r="BM136" s="539"/>
      <c r="BN136" s="539"/>
      <c r="BO136" s="539"/>
      <c r="BP136" s="539"/>
      <c r="BQ136" s="539"/>
      <c r="BR136" s="539"/>
      <c r="BS136" s="539"/>
      <c r="BT136" s="539"/>
      <c r="BU136" s="539"/>
      <c r="BV136" s="539"/>
      <c r="BW136" s="539"/>
      <c r="BX136" s="539"/>
      <c r="BY136" s="539"/>
      <c r="BZ136" s="539"/>
      <c r="CA136" s="539"/>
      <c r="CB136" s="539"/>
      <c r="CC136" s="539"/>
      <c r="CD136" s="539"/>
      <c r="CE136" s="539"/>
      <c r="CF136" s="539"/>
      <c r="CG136" s="539"/>
      <c r="CH136" s="539"/>
      <c r="CI136" s="539"/>
      <c r="CJ136" s="539"/>
      <c r="CK136" s="539"/>
      <c r="CL136" s="539"/>
      <c r="CM136" s="539"/>
      <c r="CN136" s="539"/>
      <c r="CO136" s="539"/>
      <c r="CP136" s="539"/>
      <c r="CQ136" s="539"/>
      <c r="CR136" s="539"/>
      <c r="CS136" s="539"/>
      <c r="CT136" s="539"/>
      <c r="CU136" s="539"/>
      <c r="CV136" s="539"/>
      <c r="CW136" s="539"/>
      <c r="CX136" s="539"/>
      <c r="CY136" s="539"/>
      <c r="CZ136" s="539"/>
      <c r="DA136" s="539"/>
      <c r="DB136" s="539"/>
      <c r="DC136" s="539"/>
      <c r="DD136" s="539"/>
      <c r="DE136" s="539"/>
      <c r="DF136" s="539"/>
      <c r="DG136" s="539"/>
      <c r="DH136" s="539"/>
      <c r="DI136" s="539"/>
      <c r="DJ136" s="539"/>
      <c r="DK136" s="539"/>
      <c r="DL136" s="539"/>
      <c r="DM136" s="539"/>
      <c r="DN136" s="539"/>
      <c r="DO136" s="539"/>
      <c r="DP136" s="539"/>
      <c r="DQ136" s="539"/>
      <c r="DR136" s="539"/>
      <c r="DS136" s="539"/>
      <c r="DT136" s="539"/>
      <c r="DU136" s="539"/>
      <c r="DV136" s="539"/>
      <c r="DW136" s="539"/>
      <c r="DX136" s="539"/>
      <c r="DY136" s="539"/>
      <c r="DZ136" s="539"/>
      <c r="EA136" s="539"/>
      <c r="EB136" s="539"/>
      <c r="EC136" s="539"/>
      <c r="ED136" s="539"/>
    </row>
    <row r="137" spans="1:134" ht="13.5" hidden="1" customHeight="1">
      <c r="A137" s="543"/>
      <c r="B137" s="5" t="e">
        <f>+#REF!</f>
        <v>#REF!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539"/>
      <c r="AR137" s="539"/>
      <c r="AS137" s="539"/>
      <c r="AT137" s="539"/>
      <c r="AU137" s="539"/>
      <c r="AV137" s="539"/>
      <c r="AW137" s="539"/>
      <c r="AX137" s="539"/>
      <c r="AY137" s="539"/>
      <c r="AZ137" s="539"/>
      <c r="BA137" s="539"/>
      <c r="BB137" s="539"/>
      <c r="BC137" s="539"/>
      <c r="BD137" s="539"/>
      <c r="BE137" s="539"/>
      <c r="BF137" s="539"/>
      <c r="BG137" s="539"/>
      <c r="BH137" s="539"/>
      <c r="BI137" s="539"/>
      <c r="BJ137" s="539"/>
      <c r="BK137" s="539"/>
      <c r="BL137" s="539"/>
      <c r="BM137" s="539"/>
      <c r="BN137" s="539"/>
      <c r="BO137" s="539"/>
      <c r="BP137" s="539"/>
      <c r="BQ137" s="539"/>
      <c r="BR137" s="539"/>
      <c r="BS137" s="539"/>
      <c r="BT137" s="539"/>
      <c r="BU137" s="539"/>
      <c r="BV137" s="539"/>
      <c r="BW137" s="539"/>
      <c r="BX137" s="539"/>
      <c r="BY137" s="539"/>
      <c r="BZ137" s="539"/>
      <c r="CA137" s="539"/>
      <c r="CB137" s="539"/>
      <c r="CC137" s="539"/>
      <c r="CD137" s="539"/>
      <c r="CE137" s="539"/>
      <c r="CF137" s="539"/>
      <c r="CG137" s="539"/>
      <c r="CH137" s="539"/>
      <c r="CI137" s="539"/>
      <c r="CJ137" s="539"/>
      <c r="CK137" s="539"/>
      <c r="CL137" s="539"/>
      <c r="CM137" s="539"/>
      <c r="CN137" s="539"/>
      <c r="CO137" s="539"/>
      <c r="CP137" s="539"/>
      <c r="CQ137" s="539"/>
      <c r="CR137" s="539"/>
      <c r="CS137" s="539"/>
      <c r="CT137" s="539"/>
      <c r="CU137" s="539"/>
      <c r="CV137" s="539"/>
      <c r="CW137" s="539"/>
      <c r="CX137" s="539"/>
      <c r="CY137" s="539"/>
      <c r="CZ137" s="539"/>
      <c r="DA137" s="539"/>
      <c r="DB137" s="539"/>
      <c r="DC137" s="539"/>
      <c r="DD137" s="539"/>
      <c r="DE137" s="539"/>
      <c r="DF137" s="539"/>
      <c r="DG137" s="539"/>
      <c r="DH137" s="539"/>
      <c r="DI137" s="539"/>
      <c r="DJ137" s="539"/>
      <c r="DK137" s="539"/>
      <c r="DL137" s="539"/>
      <c r="DM137" s="539"/>
      <c r="DN137" s="539"/>
      <c r="DO137" s="539"/>
      <c r="DP137" s="539"/>
      <c r="DQ137" s="539"/>
      <c r="DR137" s="539"/>
      <c r="DS137" s="539"/>
      <c r="DT137" s="539"/>
      <c r="DU137" s="539"/>
      <c r="DV137" s="539"/>
      <c r="DW137" s="539"/>
      <c r="DX137" s="539"/>
      <c r="DY137" s="539"/>
      <c r="DZ137" s="539"/>
      <c r="EA137" s="539"/>
      <c r="EB137" s="539"/>
      <c r="EC137" s="539"/>
      <c r="ED137" s="539"/>
    </row>
    <row r="138" spans="1:134" ht="13.5" hidden="1" customHeight="1">
      <c r="A138" s="543"/>
      <c r="B138" s="5" t="e">
        <f>+#REF!</f>
        <v>#REF!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539"/>
      <c r="AR138" s="539"/>
      <c r="AS138" s="539"/>
      <c r="AT138" s="539"/>
      <c r="AU138" s="539"/>
      <c r="AV138" s="539"/>
      <c r="AW138" s="539"/>
      <c r="AX138" s="539"/>
      <c r="AY138" s="539"/>
      <c r="AZ138" s="539"/>
      <c r="BA138" s="539"/>
      <c r="BB138" s="539"/>
      <c r="BC138" s="539"/>
      <c r="BD138" s="539"/>
      <c r="BE138" s="539"/>
      <c r="BF138" s="539"/>
      <c r="BG138" s="539"/>
      <c r="BH138" s="539"/>
      <c r="BI138" s="539"/>
      <c r="BJ138" s="539"/>
      <c r="BK138" s="539"/>
      <c r="BL138" s="539"/>
      <c r="BM138" s="539"/>
      <c r="BN138" s="539"/>
      <c r="BO138" s="539"/>
      <c r="BP138" s="539"/>
      <c r="BQ138" s="539"/>
      <c r="BR138" s="539"/>
      <c r="BS138" s="539"/>
      <c r="BT138" s="539"/>
      <c r="BU138" s="539"/>
      <c r="BV138" s="539"/>
      <c r="BW138" s="539"/>
      <c r="BX138" s="539"/>
      <c r="BY138" s="539"/>
      <c r="BZ138" s="539"/>
      <c r="CA138" s="539"/>
      <c r="CB138" s="539"/>
      <c r="CC138" s="539"/>
      <c r="CD138" s="539"/>
      <c r="CE138" s="539"/>
      <c r="CF138" s="539"/>
      <c r="CG138" s="539"/>
      <c r="CH138" s="539"/>
      <c r="CI138" s="539"/>
      <c r="CJ138" s="539"/>
      <c r="CK138" s="539"/>
      <c r="CL138" s="539"/>
      <c r="CM138" s="539"/>
      <c r="CN138" s="539"/>
      <c r="CO138" s="539"/>
      <c r="CP138" s="539"/>
      <c r="CQ138" s="539"/>
      <c r="CR138" s="539"/>
      <c r="CS138" s="539"/>
      <c r="CT138" s="539"/>
      <c r="CU138" s="539"/>
      <c r="CV138" s="539"/>
      <c r="CW138" s="539"/>
      <c r="CX138" s="539"/>
      <c r="CY138" s="539"/>
      <c r="CZ138" s="539"/>
      <c r="DA138" s="539"/>
      <c r="DB138" s="539"/>
      <c r="DC138" s="539"/>
      <c r="DD138" s="539"/>
      <c r="DE138" s="539"/>
      <c r="DF138" s="539"/>
      <c r="DG138" s="539"/>
      <c r="DH138" s="539"/>
      <c r="DI138" s="539"/>
      <c r="DJ138" s="539"/>
      <c r="DK138" s="539"/>
      <c r="DL138" s="539"/>
      <c r="DM138" s="539"/>
      <c r="DN138" s="539"/>
      <c r="DO138" s="539"/>
      <c r="DP138" s="539"/>
      <c r="DQ138" s="539"/>
      <c r="DR138" s="539"/>
      <c r="DS138" s="539"/>
      <c r="DT138" s="539"/>
      <c r="DU138" s="539"/>
      <c r="DV138" s="539"/>
      <c r="DW138" s="539"/>
      <c r="DX138" s="539"/>
      <c r="DY138" s="539"/>
      <c r="DZ138" s="539"/>
      <c r="EA138" s="539"/>
      <c r="EB138" s="539"/>
      <c r="EC138" s="539"/>
      <c r="ED138" s="539"/>
    </row>
    <row r="139" spans="1:134" ht="13.5" hidden="1" customHeight="1">
      <c r="A139" s="543"/>
      <c r="B139" s="5" t="e">
        <f>+#REF!</f>
        <v>#REF!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539"/>
      <c r="AR139" s="539"/>
      <c r="AS139" s="539"/>
      <c r="AT139" s="539"/>
      <c r="AU139" s="539"/>
      <c r="AV139" s="539"/>
      <c r="AW139" s="539"/>
      <c r="AX139" s="539"/>
      <c r="AY139" s="539"/>
      <c r="AZ139" s="539"/>
      <c r="BA139" s="539"/>
      <c r="BB139" s="539"/>
      <c r="BC139" s="539"/>
      <c r="BD139" s="539"/>
      <c r="BE139" s="539"/>
      <c r="BF139" s="539"/>
      <c r="BG139" s="539"/>
      <c r="BH139" s="539"/>
      <c r="BI139" s="539"/>
      <c r="BJ139" s="539"/>
      <c r="BK139" s="539"/>
      <c r="BL139" s="539"/>
      <c r="BM139" s="539"/>
      <c r="BN139" s="539"/>
      <c r="BO139" s="539"/>
      <c r="BP139" s="539"/>
      <c r="BQ139" s="539"/>
      <c r="BR139" s="539"/>
      <c r="BS139" s="539"/>
      <c r="BT139" s="539"/>
      <c r="BU139" s="539"/>
      <c r="BV139" s="539"/>
      <c r="BW139" s="539"/>
      <c r="BX139" s="539"/>
      <c r="BY139" s="539"/>
      <c r="BZ139" s="539"/>
      <c r="CA139" s="539"/>
      <c r="CB139" s="539"/>
      <c r="CC139" s="539"/>
      <c r="CD139" s="539"/>
      <c r="CE139" s="539"/>
      <c r="CF139" s="539"/>
      <c r="CG139" s="539"/>
      <c r="CH139" s="539"/>
      <c r="CI139" s="539"/>
      <c r="CJ139" s="539"/>
      <c r="CK139" s="539"/>
      <c r="CL139" s="539"/>
      <c r="CM139" s="539"/>
      <c r="CN139" s="539"/>
      <c r="CO139" s="539"/>
      <c r="CP139" s="539"/>
      <c r="CQ139" s="539"/>
      <c r="CR139" s="539"/>
      <c r="CS139" s="539"/>
      <c r="CT139" s="539"/>
      <c r="CU139" s="539"/>
      <c r="CV139" s="539"/>
      <c r="CW139" s="539"/>
      <c r="CX139" s="539"/>
      <c r="CY139" s="539"/>
      <c r="CZ139" s="539"/>
      <c r="DA139" s="539"/>
      <c r="DB139" s="539"/>
      <c r="DC139" s="539"/>
      <c r="DD139" s="539"/>
      <c r="DE139" s="539"/>
      <c r="DF139" s="539"/>
      <c r="DG139" s="539"/>
      <c r="DH139" s="539"/>
      <c r="DI139" s="539"/>
      <c r="DJ139" s="539"/>
      <c r="DK139" s="539"/>
      <c r="DL139" s="539"/>
      <c r="DM139" s="539"/>
      <c r="DN139" s="539"/>
      <c r="DO139" s="539"/>
      <c r="DP139" s="539"/>
      <c r="DQ139" s="539"/>
      <c r="DR139" s="539"/>
      <c r="DS139" s="539"/>
      <c r="DT139" s="539"/>
      <c r="DU139" s="539"/>
      <c r="DV139" s="539"/>
      <c r="DW139" s="539"/>
      <c r="DX139" s="539"/>
      <c r="DY139" s="539"/>
      <c r="DZ139" s="539"/>
      <c r="EA139" s="539"/>
      <c r="EB139" s="539"/>
      <c r="EC139" s="539"/>
      <c r="ED139" s="539"/>
    </row>
    <row r="140" spans="1:134" ht="13.5" hidden="1" customHeight="1">
      <c r="A140" s="543"/>
      <c r="B140" s="5" t="e">
        <f>+#REF!</f>
        <v>#REF!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539"/>
      <c r="AR140" s="539"/>
      <c r="AS140" s="539"/>
      <c r="AT140" s="539"/>
      <c r="AU140" s="539"/>
      <c r="AV140" s="539"/>
      <c r="AW140" s="539"/>
      <c r="AX140" s="539"/>
      <c r="AY140" s="539"/>
      <c r="AZ140" s="539"/>
      <c r="BA140" s="539"/>
      <c r="BB140" s="539"/>
      <c r="BC140" s="539"/>
      <c r="BD140" s="539"/>
      <c r="BE140" s="539"/>
      <c r="BF140" s="539"/>
      <c r="BG140" s="539"/>
      <c r="BH140" s="539"/>
      <c r="BI140" s="539"/>
      <c r="BJ140" s="539"/>
      <c r="BK140" s="539"/>
      <c r="BL140" s="539"/>
      <c r="BM140" s="539"/>
      <c r="BN140" s="539"/>
      <c r="BO140" s="539"/>
      <c r="BP140" s="539"/>
      <c r="BQ140" s="539"/>
      <c r="BR140" s="539"/>
      <c r="BS140" s="539"/>
      <c r="BT140" s="539"/>
      <c r="BU140" s="539"/>
      <c r="BV140" s="539"/>
      <c r="BW140" s="539"/>
      <c r="BX140" s="539"/>
      <c r="BY140" s="539"/>
      <c r="BZ140" s="539"/>
      <c r="CA140" s="539"/>
      <c r="CB140" s="539"/>
      <c r="CC140" s="539"/>
      <c r="CD140" s="539"/>
      <c r="CE140" s="539"/>
      <c r="CF140" s="539"/>
      <c r="CG140" s="539"/>
      <c r="CH140" s="539"/>
      <c r="CI140" s="539"/>
      <c r="CJ140" s="539"/>
      <c r="CK140" s="539"/>
      <c r="CL140" s="539"/>
      <c r="CM140" s="539"/>
      <c r="CN140" s="539"/>
      <c r="CO140" s="539"/>
      <c r="CP140" s="539"/>
      <c r="CQ140" s="539"/>
      <c r="CR140" s="539"/>
      <c r="CS140" s="539"/>
      <c r="CT140" s="539"/>
      <c r="CU140" s="539"/>
      <c r="CV140" s="539"/>
      <c r="CW140" s="539"/>
      <c r="CX140" s="539"/>
      <c r="CY140" s="539"/>
      <c r="CZ140" s="539"/>
      <c r="DA140" s="539"/>
      <c r="DB140" s="539"/>
      <c r="DC140" s="539"/>
      <c r="DD140" s="539"/>
      <c r="DE140" s="539"/>
      <c r="DF140" s="539"/>
      <c r="DG140" s="539"/>
      <c r="DH140" s="539"/>
      <c r="DI140" s="539"/>
      <c r="DJ140" s="539"/>
      <c r="DK140" s="539"/>
      <c r="DL140" s="539"/>
      <c r="DM140" s="539"/>
      <c r="DN140" s="539"/>
      <c r="DO140" s="539"/>
      <c r="DP140" s="539"/>
      <c r="DQ140" s="539"/>
      <c r="DR140" s="539"/>
      <c r="DS140" s="539"/>
      <c r="DT140" s="539"/>
      <c r="DU140" s="539"/>
      <c r="DV140" s="539"/>
      <c r="DW140" s="539"/>
      <c r="DX140" s="539"/>
      <c r="DY140" s="539"/>
      <c r="DZ140" s="539"/>
      <c r="EA140" s="539"/>
      <c r="EB140" s="539"/>
      <c r="EC140" s="539"/>
      <c r="ED140" s="539"/>
    </row>
    <row r="141" spans="1:134" ht="13.5" hidden="1" customHeight="1">
      <c r="A141" s="543">
        <v>0</v>
      </c>
      <c r="B141" s="5" t="e">
        <f>+#REF!</f>
        <v>#REF!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539"/>
      <c r="AR141" s="539"/>
      <c r="AS141" s="539"/>
      <c r="AT141" s="539"/>
      <c r="AU141" s="539"/>
      <c r="AV141" s="539"/>
      <c r="AW141" s="539"/>
      <c r="AX141" s="539"/>
      <c r="AY141" s="539"/>
      <c r="AZ141" s="539"/>
      <c r="BA141" s="539"/>
      <c r="BB141" s="539"/>
      <c r="BC141" s="539"/>
      <c r="BD141" s="539"/>
      <c r="BE141" s="539"/>
      <c r="BF141" s="539"/>
      <c r="BG141" s="539"/>
      <c r="BH141" s="539"/>
      <c r="BI141" s="539"/>
      <c r="BJ141" s="539"/>
      <c r="BK141" s="539"/>
      <c r="BL141" s="539"/>
      <c r="BM141" s="539"/>
      <c r="BN141" s="539"/>
      <c r="BO141" s="539"/>
      <c r="BP141" s="539"/>
      <c r="BQ141" s="539"/>
      <c r="BR141" s="539"/>
      <c r="BS141" s="539"/>
      <c r="BT141" s="539"/>
      <c r="BU141" s="539"/>
      <c r="BV141" s="539"/>
      <c r="BW141" s="539"/>
      <c r="BX141" s="539"/>
      <c r="BY141" s="539"/>
      <c r="BZ141" s="539"/>
      <c r="CA141" s="539"/>
      <c r="CB141" s="539"/>
      <c r="CC141" s="539"/>
      <c r="CD141" s="539"/>
      <c r="CE141" s="539"/>
      <c r="CF141" s="539"/>
      <c r="CG141" s="539"/>
      <c r="CH141" s="539"/>
      <c r="CI141" s="539"/>
      <c r="CJ141" s="539"/>
      <c r="CK141" s="539"/>
      <c r="CL141" s="539"/>
      <c r="CM141" s="539"/>
      <c r="CN141" s="539"/>
      <c r="CO141" s="539"/>
      <c r="CP141" s="539"/>
      <c r="CQ141" s="539"/>
      <c r="CR141" s="539"/>
      <c r="CS141" s="539"/>
      <c r="CT141" s="539"/>
      <c r="CU141" s="539"/>
      <c r="CV141" s="539"/>
      <c r="CW141" s="539"/>
      <c r="CX141" s="539"/>
      <c r="CY141" s="539"/>
      <c r="CZ141" s="539"/>
      <c r="DA141" s="539"/>
      <c r="DB141" s="539"/>
      <c r="DC141" s="539"/>
      <c r="DD141" s="539"/>
      <c r="DE141" s="539"/>
      <c r="DF141" s="539"/>
      <c r="DG141" s="539"/>
      <c r="DH141" s="539"/>
      <c r="DI141" s="539"/>
      <c r="DJ141" s="539"/>
      <c r="DK141" s="539"/>
      <c r="DL141" s="539"/>
      <c r="DM141" s="539"/>
      <c r="DN141" s="539"/>
      <c r="DO141" s="539"/>
      <c r="DP141" s="539"/>
      <c r="DQ141" s="539"/>
      <c r="DR141" s="539"/>
      <c r="DS141" s="539"/>
      <c r="DT141" s="539"/>
      <c r="DU141" s="539"/>
      <c r="DV141" s="539"/>
      <c r="DW141" s="539"/>
      <c r="DX141" s="539"/>
      <c r="DY141" s="539"/>
      <c r="DZ141" s="539"/>
      <c r="EA141" s="539"/>
      <c r="EB141" s="539"/>
      <c r="EC141" s="539"/>
      <c r="ED141" s="539"/>
    </row>
    <row r="142" spans="1:134" ht="13.5" hidden="1" customHeight="1">
      <c r="A142" s="543"/>
      <c r="B142" s="5" t="e">
        <f>+#REF!</f>
        <v>#REF!</v>
      </c>
      <c r="C142" s="544"/>
      <c r="D142" s="544"/>
      <c r="E142" s="544"/>
      <c r="F142" s="544"/>
      <c r="G142" s="544"/>
      <c r="H142" s="544"/>
      <c r="I142" s="544"/>
      <c r="J142" s="544"/>
      <c r="K142" s="544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  <c r="AA142" s="544"/>
      <c r="AB142" s="544"/>
      <c r="AC142" s="544"/>
      <c r="AD142" s="544"/>
      <c r="AE142" s="544"/>
      <c r="AF142" s="544"/>
      <c r="AG142" s="544"/>
      <c r="AH142" s="544"/>
      <c r="AI142" s="544"/>
      <c r="AJ142" s="544"/>
      <c r="AK142" s="544"/>
      <c r="AL142" s="544"/>
      <c r="AM142" s="544"/>
      <c r="AN142" s="544"/>
      <c r="AO142" s="544"/>
      <c r="AP142" s="544"/>
      <c r="AQ142" s="539"/>
      <c r="AR142" s="539"/>
      <c r="AS142" s="539"/>
      <c r="AT142" s="539"/>
      <c r="AU142" s="539"/>
      <c r="AV142" s="539"/>
      <c r="AW142" s="539"/>
      <c r="AX142" s="539"/>
      <c r="AY142" s="539"/>
      <c r="AZ142" s="539"/>
      <c r="BA142" s="539"/>
      <c r="BB142" s="539"/>
      <c r="BC142" s="539"/>
      <c r="BD142" s="539"/>
      <c r="BE142" s="539"/>
      <c r="BF142" s="539"/>
      <c r="BG142" s="539"/>
      <c r="BH142" s="539"/>
      <c r="BI142" s="539"/>
      <c r="BJ142" s="539"/>
      <c r="BK142" s="539"/>
      <c r="BL142" s="539"/>
      <c r="BM142" s="539"/>
      <c r="BN142" s="539"/>
      <c r="BO142" s="539"/>
      <c r="BP142" s="539"/>
      <c r="BQ142" s="539"/>
      <c r="BR142" s="539"/>
      <c r="BS142" s="539"/>
      <c r="BT142" s="539"/>
      <c r="BU142" s="539"/>
      <c r="BV142" s="539"/>
      <c r="BW142" s="539"/>
      <c r="BX142" s="539"/>
      <c r="BY142" s="539"/>
      <c r="BZ142" s="539"/>
      <c r="CA142" s="539"/>
      <c r="CB142" s="539"/>
      <c r="CC142" s="539"/>
      <c r="CD142" s="539"/>
      <c r="CE142" s="539"/>
      <c r="CF142" s="539"/>
      <c r="CG142" s="539"/>
      <c r="CH142" s="539"/>
      <c r="CI142" s="539"/>
      <c r="CJ142" s="539"/>
      <c r="CK142" s="539"/>
      <c r="CL142" s="539"/>
      <c r="CM142" s="539"/>
      <c r="CN142" s="539"/>
      <c r="CO142" s="539"/>
      <c r="CP142" s="539"/>
      <c r="CQ142" s="539"/>
      <c r="CR142" s="539"/>
      <c r="CS142" s="539"/>
      <c r="CT142" s="539"/>
      <c r="CU142" s="539"/>
      <c r="CV142" s="539"/>
      <c r="CW142" s="539"/>
      <c r="CX142" s="539"/>
      <c r="CY142" s="539"/>
      <c r="CZ142" s="539"/>
      <c r="DA142" s="539"/>
      <c r="DB142" s="539"/>
      <c r="DC142" s="539"/>
      <c r="DD142" s="539"/>
      <c r="DE142" s="539"/>
      <c r="DF142" s="539"/>
      <c r="DG142" s="539"/>
      <c r="DH142" s="539"/>
      <c r="DI142" s="539"/>
      <c r="DJ142" s="539"/>
      <c r="DK142" s="539"/>
      <c r="DL142" s="539"/>
      <c r="DM142" s="539"/>
      <c r="DN142" s="539"/>
      <c r="DO142" s="539"/>
      <c r="DP142" s="539"/>
      <c r="DQ142" s="539"/>
      <c r="DR142" s="539"/>
      <c r="DS142" s="539"/>
      <c r="DT142" s="539"/>
      <c r="DU142" s="539"/>
      <c r="DV142" s="539"/>
      <c r="DW142" s="539"/>
      <c r="DX142" s="539"/>
      <c r="DY142" s="539"/>
      <c r="DZ142" s="539"/>
      <c r="EA142" s="539"/>
      <c r="EB142" s="539"/>
      <c r="EC142" s="539"/>
      <c r="ED142" s="539"/>
    </row>
    <row r="143" spans="1:134" ht="13.5" hidden="1" customHeight="1">
      <c r="A143" s="543"/>
      <c r="B143" s="5" t="e">
        <f>+#REF!</f>
        <v>#REF!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539"/>
      <c r="AR143" s="539"/>
      <c r="AS143" s="539"/>
      <c r="AT143" s="539"/>
      <c r="AU143" s="539"/>
      <c r="AV143" s="539"/>
      <c r="AW143" s="539"/>
      <c r="AX143" s="539"/>
      <c r="AY143" s="539"/>
      <c r="AZ143" s="539"/>
      <c r="BA143" s="539"/>
      <c r="BB143" s="539"/>
      <c r="BC143" s="539"/>
      <c r="BD143" s="539"/>
      <c r="BE143" s="539"/>
      <c r="BF143" s="539"/>
      <c r="BG143" s="539"/>
      <c r="BH143" s="539"/>
      <c r="BI143" s="539"/>
      <c r="BJ143" s="539"/>
      <c r="BK143" s="539"/>
      <c r="BL143" s="539"/>
      <c r="BM143" s="539"/>
      <c r="BN143" s="539"/>
      <c r="BO143" s="539"/>
      <c r="BP143" s="539"/>
      <c r="BQ143" s="539"/>
      <c r="BR143" s="539"/>
      <c r="BS143" s="539"/>
      <c r="BT143" s="539"/>
      <c r="BU143" s="539"/>
      <c r="BV143" s="539"/>
      <c r="BW143" s="539"/>
      <c r="BX143" s="539"/>
      <c r="BY143" s="539"/>
      <c r="BZ143" s="539"/>
      <c r="CA143" s="539"/>
      <c r="CB143" s="539"/>
      <c r="CC143" s="539"/>
      <c r="CD143" s="539"/>
      <c r="CE143" s="539"/>
      <c r="CF143" s="539"/>
      <c r="CG143" s="539"/>
      <c r="CH143" s="539"/>
      <c r="CI143" s="539"/>
      <c r="CJ143" s="539"/>
      <c r="CK143" s="539"/>
      <c r="CL143" s="539"/>
      <c r="CM143" s="539"/>
      <c r="CN143" s="539"/>
      <c r="CO143" s="539"/>
      <c r="CP143" s="539"/>
      <c r="CQ143" s="539"/>
      <c r="CR143" s="539"/>
      <c r="CS143" s="539"/>
      <c r="CT143" s="539"/>
      <c r="CU143" s="539"/>
      <c r="CV143" s="539"/>
      <c r="CW143" s="539"/>
      <c r="CX143" s="539"/>
      <c r="CY143" s="539"/>
      <c r="CZ143" s="539"/>
      <c r="DA143" s="539"/>
      <c r="DB143" s="539"/>
      <c r="DC143" s="539"/>
      <c r="DD143" s="539"/>
      <c r="DE143" s="539"/>
      <c r="DF143" s="539"/>
      <c r="DG143" s="539"/>
      <c r="DH143" s="539"/>
      <c r="DI143" s="539"/>
      <c r="DJ143" s="539"/>
      <c r="DK143" s="539"/>
      <c r="DL143" s="539"/>
      <c r="DM143" s="539"/>
      <c r="DN143" s="539"/>
      <c r="DO143" s="539"/>
      <c r="DP143" s="539"/>
      <c r="DQ143" s="539"/>
      <c r="DR143" s="539"/>
      <c r="DS143" s="539"/>
      <c r="DT143" s="539"/>
      <c r="DU143" s="539"/>
      <c r="DV143" s="539"/>
      <c r="DW143" s="539"/>
      <c r="DX143" s="539"/>
      <c r="DY143" s="539"/>
      <c r="DZ143" s="539"/>
      <c r="EA143" s="539"/>
      <c r="EB143" s="539"/>
      <c r="EC143" s="539"/>
      <c r="ED143" s="539"/>
    </row>
    <row r="144" spans="1:134" ht="13.5" hidden="1" customHeight="1">
      <c r="A144" s="543"/>
      <c r="B144" s="5" t="e">
        <f>+#REF!</f>
        <v>#REF!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539"/>
      <c r="AR144" s="539"/>
      <c r="AS144" s="539"/>
      <c r="AT144" s="539"/>
      <c r="AU144" s="539"/>
      <c r="AV144" s="539"/>
      <c r="AW144" s="539"/>
      <c r="AX144" s="539"/>
      <c r="AY144" s="539"/>
      <c r="AZ144" s="539"/>
      <c r="BA144" s="539"/>
      <c r="BB144" s="539"/>
      <c r="BC144" s="539"/>
      <c r="BD144" s="539"/>
      <c r="BE144" s="539"/>
      <c r="BF144" s="539"/>
      <c r="BG144" s="539"/>
      <c r="BH144" s="539"/>
      <c r="BI144" s="539"/>
      <c r="BJ144" s="539"/>
      <c r="BK144" s="539"/>
      <c r="BL144" s="539"/>
      <c r="BM144" s="539"/>
      <c r="BN144" s="539"/>
      <c r="BO144" s="539"/>
      <c r="BP144" s="539"/>
      <c r="BQ144" s="539"/>
      <c r="BR144" s="539"/>
      <c r="BS144" s="539"/>
      <c r="BT144" s="539"/>
      <c r="BU144" s="539"/>
      <c r="BV144" s="539"/>
      <c r="BW144" s="539"/>
      <c r="BX144" s="539"/>
      <c r="BY144" s="539"/>
      <c r="BZ144" s="539"/>
      <c r="CA144" s="539"/>
      <c r="CB144" s="539"/>
      <c r="CC144" s="539"/>
      <c r="CD144" s="539"/>
      <c r="CE144" s="539"/>
      <c r="CF144" s="539"/>
      <c r="CG144" s="539"/>
      <c r="CH144" s="539"/>
      <c r="CI144" s="539"/>
      <c r="CJ144" s="539"/>
      <c r="CK144" s="539"/>
      <c r="CL144" s="539"/>
      <c r="CM144" s="539"/>
      <c r="CN144" s="539"/>
      <c r="CO144" s="539"/>
      <c r="CP144" s="539"/>
      <c r="CQ144" s="539"/>
      <c r="CR144" s="539"/>
      <c r="CS144" s="539"/>
      <c r="CT144" s="539"/>
      <c r="CU144" s="539"/>
      <c r="CV144" s="539"/>
      <c r="CW144" s="539"/>
      <c r="CX144" s="539"/>
      <c r="CY144" s="539"/>
      <c r="CZ144" s="539"/>
      <c r="DA144" s="539"/>
      <c r="DB144" s="539"/>
      <c r="DC144" s="539"/>
      <c r="DD144" s="539"/>
      <c r="DE144" s="539"/>
      <c r="DF144" s="539"/>
      <c r="DG144" s="539"/>
      <c r="DH144" s="539"/>
      <c r="DI144" s="539"/>
      <c r="DJ144" s="539"/>
      <c r="DK144" s="539"/>
      <c r="DL144" s="539"/>
      <c r="DM144" s="539"/>
      <c r="DN144" s="539"/>
      <c r="DO144" s="539"/>
      <c r="DP144" s="539"/>
      <c r="DQ144" s="539"/>
      <c r="DR144" s="539"/>
      <c r="DS144" s="539"/>
      <c r="DT144" s="539"/>
      <c r="DU144" s="539"/>
      <c r="DV144" s="539"/>
      <c r="DW144" s="539"/>
      <c r="DX144" s="539"/>
      <c r="DY144" s="539"/>
      <c r="DZ144" s="539"/>
      <c r="EA144" s="539"/>
      <c r="EB144" s="539"/>
      <c r="EC144" s="539"/>
      <c r="ED144" s="539"/>
    </row>
    <row r="145" spans="1:134" ht="13.5" hidden="1" customHeight="1">
      <c r="A145" s="543">
        <v>0</v>
      </c>
      <c r="B145" s="5" t="e">
        <f>+#REF!</f>
        <v>#REF!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539"/>
      <c r="AR145" s="539"/>
      <c r="AS145" s="539"/>
      <c r="AT145" s="539"/>
      <c r="AU145" s="539"/>
      <c r="AV145" s="539"/>
      <c r="AW145" s="539"/>
      <c r="AX145" s="539"/>
      <c r="AY145" s="539"/>
      <c r="AZ145" s="539"/>
      <c r="BA145" s="539"/>
      <c r="BB145" s="539"/>
      <c r="BC145" s="539"/>
      <c r="BD145" s="539"/>
      <c r="BE145" s="539"/>
      <c r="BF145" s="539"/>
      <c r="BG145" s="539"/>
      <c r="BH145" s="539"/>
      <c r="BI145" s="539"/>
      <c r="BJ145" s="539"/>
      <c r="BK145" s="539"/>
      <c r="BL145" s="539"/>
      <c r="BM145" s="539"/>
      <c r="BN145" s="539"/>
      <c r="BO145" s="539"/>
      <c r="BP145" s="539"/>
      <c r="BQ145" s="539"/>
      <c r="BR145" s="539"/>
      <c r="BS145" s="539"/>
      <c r="BT145" s="539"/>
      <c r="BU145" s="539"/>
      <c r="BV145" s="539"/>
      <c r="BW145" s="539"/>
      <c r="BX145" s="539"/>
      <c r="BY145" s="539"/>
      <c r="BZ145" s="539"/>
      <c r="CA145" s="539"/>
      <c r="CB145" s="539"/>
      <c r="CC145" s="539"/>
      <c r="CD145" s="539"/>
      <c r="CE145" s="539"/>
      <c r="CF145" s="539"/>
      <c r="CG145" s="539"/>
      <c r="CH145" s="539"/>
      <c r="CI145" s="539"/>
      <c r="CJ145" s="539"/>
      <c r="CK145" s="539"/>
      <c r="CL145" s="539"/>
      <c r="CM145" s="539"/>
      <c r="CN145" s="539"/>
      <c r="CO145" s="539"/>
      <c r="CP145" s="539"/>
      <c r="CQ145" s="539"/>
      <c r="CR145" s="539"/>
      <c r="CS145" s="539"/>
      <c r="CT145" s="539"/>
      <c r="CU145" s="539"/>
      <c r="CV145" s="539"/>
      <c r="CW145" s="539"/>
      <c r="CX145" s="539"/>
      <c r="CY145" s="539"/>
      <c r="CZ145" s="539"/>
      <c r="DA145" s="539"/>
      <c r="DB145" s="539"/>
      <c r="DC145" s="539"/>
      <c r="DD145" s="539"/>
      <c r="DE145" s="539"/>
      <c r="DF145" s="539"/>
      <c r="DG145" s="539"/>
      <c r="DH145" s="539"/>
      <c r="DI145" s="539"/>
      <c r="DJ145" s="539"/>
      <c r="DK145" s="539"/>
      <c r="DL145" s="539"/>
      <c r="DM145" s="539"/>
      <c r="DN145" s="539"/>
      <c r="DO145" s="539"/>
      <c r="DP145" s="539"/>
      <c r="DQ145" s="539"/>
      <c r="DR145" s="539"/>
      <c r="DS145" s="539"/>
      <c r="DT145" s="539"/>
      <c r="DU145" s="539"/>
      <c r="DV145" s="539"/>
      <c r="DW145" s="539"/>
      <c r="DX145" s="539"/>
      <c r="DY145" s="539"/>
      <c r="DZ145" s="539"/>
      <c r="EA145" s="539"/>
      <c r="EB145" s="539"/>
      <c r="EC145" s="539"/>
      <c r="ED145" s="539"/>
    </row>
    <row r="146" spans="1:134" ht="13.5" hidden="1" customHeight="1">
      <c r="A146" s="543"/>
      <c r="B146" s="5" t="e">
        <f>+#REF!</f>
        <v>#REF!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539"/>
      <c r="AR146" s="539"/>
      <c r="AS146" s="539"/>
      <c r="AT146" s="539"/>
      <c r="AU146" s="539"/>
      <c r="AV146" s="539"/>
      <c r="AW146" s="539"/>
      <c r="AX146" s="539"/>
      <c r="AY146" s="539"/>
      <c r="AZ146" s="539"/>
      <c r="BA146" s="539"/>
      <c r="BB146" s="539"/>
      <c r="BC146" s="539"/>
      <c r="BD146" s="539"/>
      <c r="BE146" s="539"/>
      <c r="BF146" s="539"/>
      <c r="BG146" s="539"/>
      <c r="BH146" s="539"/>
      <c r="BI146" s="539"/>
      <c r="BJ146" s="539"/>
      <c r="BK146" s="539"/>
      <c r="BL146" s="539"/>
      <c r="BM146" s="539"/>
      <c r="BN146" s="539"/>
      <c r="BO146" s="539"/>
      <c r="BP146" s="539"/>
      <c r="BQ146" s="539"/>
      <c r="BR146" s="539"/>
      <c r="BS146" s="539"/>
      <c r="BT146" s="539"/>
      <c r="BU146" s="539"/>
      <c r="BV146" s="539"/>
      <c r="BW146" s="539"/>
      <c r="BX146" s="539"/>
      <c r="BY146" s="539"/>
      <c r="BZ146" s="539"/>
      <c r="CA146" s="539"/>
      <c r="CB146" s="539"/>
      <c r="CC146" s="539"/>
      <c r="CD146" s="539"/>
      <c r="CE146" s="539"/>
      <c r="CF146" s="539"/>
      <c r="CG146" s="539"/>
      <c r="CH146" s="539"/>
      <c r="CI146" s="539"/>
      <c r="CJ146" s="539"/>
      <c r="CK146" s="539"/>
      <c r="CL146" s="539"/>
      <c r="CM146" s="539"/>
      <c r="CN146" s="539"/>
      <c r="CO146" s="539"/>
      <c r="CP146" s="539"/>
      <c r="CQ146" s="539"/>
      <c r="CR146" s="539"/>
      <c r="CS146" s="539"/>
      <c r="CT146" s="539"/>
      <c r="CU146" s="539"/>
      <c r="CV146" s="539"/>
      <c r="CW146" s="539"/>
      <c r="CX146" s="539"/>
      <c r="CY146" s="539"/>
      <c r="CZ146" s="539"/>
      <c r="DA146" s="539"/>
      <c r="DB146" s="539"/>
      <c r="DC146" s="539"/>
      <c r="DD146" s="539"/>
      <c r="DE146" s="539"/>
      <c r="DF146" s="539"/>
      <c r="DG146" s="539"/>
      <c r="DH146" s="539"/>
      <c r="DI146" s="539"/>
      <c r="DJ146" s="539"/>
      <c r="DK146" s="539"/>
      <c r="DL146" s="539"/>
      <c r="DM146" s="539"/>
      <c r="DN146" s="539"/>
      <c r="DO146" s="539"/>
      <c r="DP146" s="539"/>
      <c r="DQ146" s="539"/>
      <c r="DR146" s="539"/>
      <c r="DS146" s="539"/>
      <c r="DT146" s="539"/>
      <c r="DU146" s="539"/>
      <c r="DV146" s="539"/>
      <c r="DW146" s="539"/>
      <c r="DX146" s="539"/>
      <c r="DY146" s="539"/>
      <c r="DZ146" s="539"/>
      <c r="EA146" s="539"/>
      <c r="EB146" s="539"/>
      <c r="EC146" s="539"/>
      <c r="ED146" s="539"/>
    </row>
    <row r="147" spans="1:134" ht="13.5" hidden="1" customHeight="1">
      <c r="A147" s="543"/>
      <c r="B147" s="5" t="e">
        <f>+#REF!</f>
        <v>#REF!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539"/>
      <c r="AR147" s="539"/>
      <c r="AS147" s="539"/>
      <c r="AT147" s="539"/>
      <c r="AU147" s="539"/>
      <c r="AV147" s="539"/>
      <c r="AW147" s="539"/>
      <c r="AX147" s="539"/>
      <c r="AY147" s="539"/>
      <c r="AZ147" s="539"/>
      <c r="BA147" s="539"/>
      <c r="BB147" s="539"/>
      <c r="BC147" s="539"/>
      <c r="BD147" s="539"/>
      <c r="BE147" s="539"/>
      <c r="BF147" s="539"/>
      <c r="BG147" s="539"/>
      <c r="BH147" s="539"/>
      <c r="BI147" s="539"/>
      <c r="BJ147" s="539"/>
      <c r="BK147" s="539"/>
      <c r="BL147" s="539"/>
      <c r="BM147" s="539"/>
      <c r="BN147" s="539"/>
      <c r="BO147" s="539"/>
      <c r="BP147" s="539"/>
      <c r="BQ147" s="539"/>
      <c r="BR147" s="539"/>
      <c r="BS147" s="539"/>
      <c r="BT147" s="539"/>
      <c r="BU147" s="539"/>
      <c r="BV147" s="539"/>
      <c r="BW147" s="539"/>
      <c r="BX147" s="539"/>
      <c r="BY147" s="539"/>
      <c r="BZ147" s="539"/>
      <c r="CA147" s="539"/>
      <c r="CB147" s="539"/>
      <c r="CC147" s="539"/>
      <c r="CD147" s="539"/>
      <c r="CE147" s="539"/>
      <c r="CF147" s="539"/>
      <c r="CG147" s="539"/>
      <c r="CH147" s="539"/>
      <c r="CI147" s="539"/>
      <c r="CJ147" s="539"/>
      <c r="CK147" s="539"/>
      <c r="CL147" s="539"/>
      <c r="CM147" s="539"/>
      <c r="CN147" s="539"/>
      <c r="CO147" s="539"/>
      <c r="CP147" s="539"/>
      <c r="CQ147" s="539"/>
      <c r="CR147" s="539"/>
      <c r="CS147" s="539"/>
      <c r="CT147" s="539"/>
      <c r="CU147" s="539"/>
      <c r="CV147" s="539"/>
      <c r="CW147" s="539"/>
      <c r="CX147" s="539"/>
      <c r="CY147" s="539"/>
      <c r="CZ147" s="539"/>
      <c r="DA147" s="539"/>
      <c r="DB147" s="539"/>
      <c r="DC147" s="539"/>
      <c r="DD147" s="539"/>
      <c r="DE147" s="539"/>
      <c r="DF147" s="539"/>
      <c r="DG147" s="539"/>
      <c r="DH147" s="539"/>
      <c r="DI147" s="539"/>
      <c r="DJ147" s="539"/>
      <c r="DK147" s="539"/>
      <c r="DL147" s="539"/>
      <c r="DM147" s="539"/>
      <c r="DN147" s="539"/>
      <c r="DO147" s="539"/>
      <c r="DP147" s="539"/>
      <c r="DQ147" s="539"/>
      <c r="DR147" s="539"/>
      <c r="DS147" s="539"/>
      <c r="DT147" s="539"/>
      <c r="DU147" s="539"/>
      <c r="DV147" s="539"/>
      <c r="DW147" s="539"/>
      <c r="DX147" s="539"/>
      <c r="DY147" s="539"/>
      <c r="DZ147" s="539"/>
      <c r="EA147" s="539"/>
      <c r="EB147" s="539"/>
      <c r="EC147" s="539"/>
      <c r="ED147" s="539"/>
    </row>
    <row r="148" spans="1:134" ht="13.5" hidden="1" customHeight="1">
      <c r="A148" s="543">
        <v>0</v>
      </c>
      <c r="B148" s="5" t="e">
        <f>+#REF!</f>
        <v>#REF!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539"/>
      <c r="AR148" s="539"/>
      <c r="AS148" s="539"/>
      <c r="AT148" s="539"/>
      <c r="AU148" s="539"/>
      <c r="AV148" s="539"/>
      <c r="AW148" s="539"/>
      <c r="AX148" s="539"/>
      <c r="AY148" s="539"/>
      <c r="AZ148" s="539"/>
      <c r="BA148" s="539"/>
      <c r="BB148" s="539"/>
      <c r="BC148" s="539"/>
      <c r="BD148" s="539"/>
      <c r="BE148" s="539"/>
      <c r="BF148" s="539"/>
      <c r="BG148" s="539"/>
      <c r="BH148" s="539"/>
      <c r="BI148" s="539"/>
      <c r="BJ148" s="539"/>
      <c r="BK148" s="539"/>
      <c r="BL148" s="539"/>
      <c r="BM148" s="539"/>
      <c r="BN148" s="539"/>
      <c r="BO148" s="539"/>
      <c r="BP148" s="539"/>
      <c r="BQ148" s="539"/>
      <c r="BR148" s="539"/>
      <c r="BS148" s="539"/>
      <c r="BT148" s="539"/>
      <c r="BU148" s="539"/>
      <c r="BV148" s="539"/>
      <c r="BW148" s="539"/>
      <c r="BX148" s="539"/>
      <c r="BY148" s="539"/>
      <c r="BZ148" s="539"/>
      <c r="CA148" s="539"/>
      <c r="CB148" s="539"/>
      <c r="CC148" s="539"/>
      <c r="CD148" s="539"/>
      <c r="CE148" s="539"/>
      <c r="CF148" s="539"/>
      <c r="CG148" s="539"/>
      <c r="CH148" s="539"/>
      <c r="CI148" s="539"/>
      <c r="CJ148" s="539"/>
      <c r="CK148" s="539"/>
      <c r="CL148" s="539"/>
      <c r="CM148" s="539"/>
      <c r="CN148" s="539"/>
      <c r="CO148" s="539"/>
      <c r="CP148" s="539"/>
      <c r="CQ148" s="539"/>
      <c r="CR148" s="539"/>
      <c r="CS148" s="539"/>
      <c r="CT148" s="539"/>
      <c r="CU148" s="539"/>
      <c r="CV148" s="539"/>
      <c r="CW148" s="539"/>
      <c r="CX148" s="539"/>
      <c r="CY148" s="539"/>
      <c r="CZ148" s="539"/>
      <c r="DA148" s="539"/>
      <c r="DB148" s="539"/>
      <c r="DC148" s="539"/>
      <c r="DD148" s="539"/>
      <c r="DE148" s="539"/>
      <c r="DF148" s="539"/>
      <c r="DG148" s="539"/>
      <c r="DH148" s="539"/>
      <c r="DI148" s="539"/>
      <c r="DJ148" s="539"/>
      <c r="DK148" s="539"/>
      <c r="DL148" s="539"/>
      <c r="DM148" s="539"/>
      <c r="DN148" s="539"/>
      <c r="DO148" s="539"/>
      <c r="DP148" s="539"/>
      <c r="DQ148" s="539"/>
      <c r="DR148" s="539"/>
      <c r="DS148" s="539"/>
      <c r="DT148" s="539"/>
      <c r="DU148" s="539"/>
      <c r="DV148" s="539"/>
      <c r="DW148" s="539"/>
      <c r="DX148" s="539"/>
      <c r="DY148" s="539"/>
      <c r="DZ148" s="539"/>
      <c r="EA148" s="539"/>
      <c r="EB148" s="539"/>
      <c r="EC148" s="539"/>
      <c r="ED148" s="539"/>
    </row>
    <row r="149" spans="1:134" ht="13.5" hidden="1" customHeight="1">
      <c r="A149" s="543"/>
      <c r="B149" s="5" t="e">
        <f>+#REF!</f>
        <v>#REF!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539"/>
      <c r="AR149" s="539"/>
      <c r="AS149" s="539"/>
      <c r="AT149" s="539"/>
      <c r="AU149" s="539"/>
      <c r="AV149" s="539"/>
      <c r="AW149" s="539"/>
      <c r="AX149" s="539"/>
      <c r="AY149" s="539"/>
      <c r="AZ149" s="539"/>
      <c r="BA149" s="539"/>
      <c r="BB149" s="539"/>
      <c r="BC149" s="539"/>
      <c r="BD149" s="539"/>
      <c r="BE149" s="539"/>
      <c r="BF149" s="539"/>
      <c r="BG149" s="539"/>
      <c r="BH149" s="539"/>
      <c r="BI149" s="539"/>
      <c r="BJ149" s="539"/>
      <c r="BK149" s="539"/>
      <c r="BL149" s="539"/>
      <c r="BM149" s="539"/>
      <c r="BN149" s="539"/>
      <c r="BO149" s="539"/>
      <c r="BP149" s="539"/>
      <c r="BQ149" s="539"/>
      <c r="BR149" s="539"/>
      <c r="BS149" s="539"/>
      <c r="BT149" s="539"/>
      <c r="BU149" s="539"/>
      <c r="BV149" s="539"/>
      <c r="BW149" s="539"/>
      <c r="BX149" s="539"/>
      <c r="BY149" s="539"/>
      <c r="BZ149" s="539"/>
      <c r="CA149" s="539"/>
      <c r="CB149" s="539"/>
      <c r="CC149" s="539"/>
      <c r="CD149" s="539"/>
      <c r="CE149" s="539"/>
      <c r="CF149" s="539"/>
      <c r="CG149" s="539"/>
      <c r="CH149" s="539"/>
      <c r="CI149" s="539"/>
      <c r="CJ149" s="539"/>
      <c r="CK149" s="539"/>
      <c r="CL149" s="539"/>
      <c r="CM149" s="539"/>
      <c r="CN149" s="539"/>
      <c r="CO149" s="539"/>
      <c r="CP149" s="539"/>
      <c r="CQ149" s="539"/>
      <c r="CR149" s="539"/>
      <c r="CS149" s="539"/>
      <c r="CT149" s="539"/>
      <c r="CU149" s="539"/>
      <c r="CV149" s="539"/>
      <c r="CW149" s="539"/>
      <c r="CX149" s="539"/>
      <c r="CY149" s="539"/>
      <c r="CZ149" s="539"/>
      <c r="DA149" s="539"/>
      <c r="DB149" s="539"/>
      <c r="DC149" s="539"/>
      <c r="DD149" s="539"/>
      <c r="DE149" s="539"/>
      <c r="DF149" s="539"/>
      <c r="DG149" s="539"/>
      <c r="DH149" s="539"/>
      <c r="DI149" s="539"/>
      <c r="DJ149" s="539"/>
      <c r="DK149" s="539"/>
      <c r="DL149" s="539"/>
      <c r="DM149" s="539"/>
      <c r="DN149" s="539"/>
      <c r="DO149" s="539"/>
      <c r="DP149" s="539"/>
      <c r="DQ149" s="539"/>
      <c r="DR149" s="539"/>
      <c r="DS149" s="539"/>
      <c r="DT149" s="539"/>
      <c r="DU149" s="539"/>
      <c r="DV149" s="539"/>
      <c r="DW149" s="539"/>
      <c r="DX149" s="539"/>
      <c r="DY149" s="539"/>
      <c r="DZ149" s="539"/>
      <c r="EA149" s="539"/>
      <c r="EB149" s="539"/>
      <c r="EC149" s="539"/>
      <c r="ED149" s="539"/>
    </row>
    <row r="150" spans="1:134" ht="13.5" hidden="1" customHeight="1">
      <c r="A150" s="543"/>
      <c r="B150" s="5" t="e">
        <f>+#REF!</f>
        <v>#REF!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539"/>
      <c r="AR150" s="539"/>
      <c r="AS150" s="539"/>
      <c r="AT150" s="539"/>
      <c r="AU150" s="539"/>
      <c r="AV150" s="539"/>
      <c r="AW150" s="539"/>
      <c r="AX150" s="539"/>
      <c r="AY150" s="539"/>
      <c r="AZ150" s="539"/>
      <c r="BA150" s="539"/>
      <c r="BB150" s="539"/>
      <c r="BC150" s="539"/>
      <c r="BD150" s="539"/>
      <c r="BE150" s="539"/>
      <c r="BF150" s="539"/>
      <c r="BG150" s="539"/>
      <c r="BH150" s="539"/>
      <c r="BI150" s="539"/>
      <c r="BJ150" s="539"/>
      <c r="BK150" s="539"/>
      <c r="BL150" s="539"/>
      <c r="BM150" s="539"/>
      <c r="BN150" s="539"/>
      <c r="BO150" s="539"/>
      <c r="BP150" s="539"/>
      <c r="BQ150" s="539"/>
      <c r="BR150" s="539"/>
      <c r="BS150" s="539"/>
      <c r="BT150" s="539"/>
      <c r="BU150" s="539"/>
      <c r="BV150" s="539"/>
      <c r="BW150" s="539"/>
      <c r="BX150" s="539"/>
      <c r="BY150" s="539"/>
      <c r="BZ150" s="539"/>
      <c r="CA150" s="539"/>
      <c r="CB150" s="539"/>
      <c r="CC150" s="539"/>
      <c r="CD150" s="539"/>
      <c r="CE150" s="539"/>
      <c r="CF150" s="539"/>
      <c r="CG150" s="539"/>
      <c r="CH150" s="539"/>
      <c r="CI150" s="539"/>
      <c r="CJ150" s="539"/>
      <c r="CK150" s="539"/>
      <c r="CL150" s="539"/>
      <c r="CM150" s="539"/>
      <c r="CN150" s="539"/>
      <c r="CO150" s="539"/>
      <c r="CP150" s="539"/>
      <c r="CQ150" s="539"/>
      <c r="CR150" s="539"/>
      <c r="CS150" s="539"/>
      <c r="CT150" s="539"/>
      <c r="CU150" s="539"/>
      <c r="CV150" s="539"/>
      <c r="CW150" s="539"/>
      <c r="CX150" s="539"/>
      <c r="CY150" s="539"/>
      <c r="CZ150" s="539"/>
      <c r="DA150" s="539"/>
      <c r="DB150" s="539"/>
      <c r="DC150" s="539"/>
      <c r="DD150" s="539"/>
      <c r="DE150" s="539"/>
      <c r="DF150" s="539"/>
      <c r="DG150" s="539"/>
      <c r="DH150" s="539"/>
      <c r="DI150" s="539"/>
      <c r="DJ150" s="539"/>
      <c r="DK150" s="539"/>
      <c r="DL150" s="539"/>
      <c r="DM150" s="539"/>
      <c r="DN150" s="539"/>
      <c r="DO150" s="539"/>
      <c r="DP150" s="539"/>
      <c r="DQ150" s="539"/>
      <c r="DR150" s="539"/>
      <c r="DS150" s="539"/>
      <c r="DT150" s="539"/>
      <c r="DU150" s="539"/>
      <c r="DV150" s="539"/>
      <c r="DW150" s="539"/>
      <c r="DX150" s="539"/>
      <c r="DY150" s="539"/>
      <c r="DZ150" s="539"/>
      <c r="EA150" s="539"/>
      <c r="EB150" s="539"/>
      <c r="EC150" s="539"/>
      <c r="ED150" s="539"/>
    </row>
    <row r="151" spans="1:134" ht="13.5" customHeight="1">
      <c r="A151" s="545"/>
      <c r="B151" s="6" t="e">
        <f>+#REF!</f>
        <v>#REF!</v>
      </c>
      <c r="C151" s="7">
        <f t="shared" ref="C151:AP151" si="4">C118-C119-C135</f>
        <v>-51436.369533999998</v>
      </c>
      <c r="D151" s="7">
        <f t="shared" si="4"/>
        <v>111753.136642</v>
      </c>
      <c r="E151" s="7">
        <f t="shared" si="4"/>
        <v>886.16689099999871</v>
      </c>
      <c r="F151" s="7">
        <f t="shared" si="4"/>
        <v>25056.06609700001</v>
      </c>
      <c r="G151" s="7">
        <f t="shared" si="4"/>
        <v>46106.935056347596</v>
      </c>
      <c r="H151" s="7">
        <f t="shared" si="4"/>
        <v>50213.418297513228</v>
      </c>
      <c r="I151" s="7">
        <f t="shared" si="4"/>
        <v>54319.240214880003</v>
      </c>
      <c r="J151" s="7">
        <f t="shared" si="4"/>
        <v>57937.213766459477</v>
      </c>
      <c r="K151" s="7">
        <f t="shared" si="4"/>
        <v>61038.815377441366</v>
      </c>
      <c r="L151" s="7">
        <f t="shared" si="4"/>
        <v>791998.33335491805</v>
      </c>
      <c r="M151" s="7">
        <f t="shared" si="4"/>
        <v>791984.20407312037</v>
      </c>
      <c r="N151" s="7">
        <f t="shared" si="4"/>
        <v>791984.20407312037</v>
      </c>
      <c r="O151" s="7">
        <f t="shared" si="4"/>
        <v>791984.20407312037</v>
      </c>
      <c r="P151" s="7">
        <f t="shared" si="4"/>
        <v>0</v>
      </c>
      <c r="Q151" s="7">
        <f t="shared" si="4"/>
        <v>0</v>
      </c>
      <c r="R151" s="7">
        <f t="shared" si="4"/>
        <v>0</v>
      </c>
      <c r="S151" s="7">
        <f t="shared" si="4"/>
        <v>0</v>
      </c>
      <c r="T151" s="7">
        <f t="shared" si="4"/>
        <v>0</v>
      </c>
      <c r="U151" s="7">
        <f t="shared" si="4"/>
        <v>0</v>
      </c>
      <c r="V151" s="7">
        <f t="shared" si="4"/>
        <v>0</v>
      </c>
      <c r="W151" s="7">
        <f t="shared" si="4"/>
        <v>0</v>
      </c>
      <c r="X151" s="7">
        <f t="shared" si="4"/>
        <v>0</v>
      </c>
      <c r="Y151" s="7">
        <f t="shared" si="4"/>
        <v>0</v>
      </c>
      <c r="Z151" s="7">
        <f t="shared" si="4"/>
        <v>0</v>
      </c>
      <c r="AA151" s="7">
        <f t="shared" si="4"/>
        <v>0</v>
      </c>
      <c r="AB151" s="7">
        <f t="shared" si="4"/>
        <v>0</v>
      </c>
      <c r="AC151" s="7">
        <f t="shared" si="4"/>
        <v>0</v>
      </c>
      <c r="AD151" s="7">
        <f t="shared" si="4"/>
        <v>0</v>
      </c>
      <c r="AE151" s="7">
        <f t="shared" si="4"/>
        <v>0</v>
      </c>
      <c r="AF151" s="7">
        <f t="shared" si="4"/>
        <v>0</v>
      </c>
      <c r="AG151" s="7">
        <f t="shared" si="4"/>
        <v>0</v>
      </c>
      <c r="AH151" s="7">
        <f t="shared" si="4"/>
        <v>0</v>
      </c>
      <c r="AI151" s="7">
        <f t="shared" si="4"/>
        <v>0</v>
      </c>
      <c r="AJ151" s="7">
        <f t="shared" si="4"/>
        <v>0</v>
      </c>
      <c r="AK151" s="7">
        <f t="shared" si="4"/>
        <v>0</v>
      </c>
      <c r="AL151" s="7">
        <f t="shared" si="4"/>
        <v>0</v>
      </c>
      <c r="AM151" s="7">
        <f t="shared" si="4"/>
        <v>0</v>
      </c>
      <c r="AN151" s="7">
        <f t="shared" si="4"/>
        <v>0</v>
      </c>
      <c r="AO151" s="7">
        <f t="shared" si="4"/>
        <v>0</v>
      </c>
      <c r="AP151" s="7">
        <f t="shared" si="4"/>
        <v>0</v>
      </c>
      <c r="AQ151" s="539"/>
      <c r="AR151" s="539"/>
      <c r="AS151" s="539"/>
      <c r="AT151" s="539"/>
      <c r="AU151" s="539"/>
      <c r="AV151" s="539"/>
      <c r="AW151" s="539"/>
      <c r="AX151" s="539"/>
      <c r="AY151" s="539"/>
      <c r="AZ151" s="539"/>
      <c r="BA151" s="539"/>
      <c r="BB151" s="539"/>
      <c r="BC151" s="539"/>
      <c r="BD151" s="539"/>
      <c r="BE151" s="539"/>
      <c r="BF151" s="539"/>
      <c r="BG151" s="539"/>
      <c r="BH151" s="539"/>
      <c r="BI151" s="539"/>
      <c r="BJ151" s="539"/>
      <c r="BK151" s="539"/>
      <c r="BL151" s="539"/>
      <c r="BM151" s="539"/>
      <c r="BN151" s="539"/>
      <c r="BO151" s="539"/>
      <c r="BP151" s="539"/>
      <c r="BQ151" s="539"/>
      <c r="BR151" s="539"/>
      <c r="BS151" s="539"/>
      <c r="BT151" s="539"/>
      <c r="BU151" s="539"/>
      <c r="BV151" s="539"/>
      <c r="BW151" s="539"/>
      <c r="BX151" s="539"/>
      <c r="BY151" s="539"/>
      <c r="BZ151" s="539"/>
      <c r="CA151" s="539"/>
      <c r="CB151" s="539"/>
      <c r="CC151" s="539"/>
      <c r="CD151" s="539"/>
      <c r="CE151" s="539"/>
      <c r="CF151" s="539"/>
      <c r="CG151" s="539"/>
      <c r="CH151" s="539"/>
      <c r="CI151" s="539"/>
      <c r="CJ151" s="539"/>
      <c r="CK151" s="539"/>
      <c r="CL151" s="539"/>
      <c r="CM151" s="539"/>
      <c r="CN151" s="539"/>
      <c r="CO151" s="539"/>
      <c r="CP151" s="539"/>
      <c r="CQ151" s="539"/>
      <c r="CR151" s="539"/>
      <c r="CS151" s="539"/>
      <c r="CT151" s="539"/>
      <c r="CU151" s="539"/>
      <c r="CV151" s="539"/>
      <c r="CW151" s="539"/>
      <c r="CX151" s="539"/>
      <c r="CY151" s="539"/>
      <c r="CZ151" s="539"/>
      <c r="DA151" s="539"/>
      <c r="DB151" s="539"/>
      <c r="DC151" s="539"/>
      <c r="DD151" s="539"/>
      <c r="DE151" s="539"/>
      <c r="DF151" s="539"/>
      <c r="DG151" s="539"/>
      <c r="DH151" s="539"/>
      <c r="DI151" s="539"/>
      <c r="DJ151" s="539"/>
      <c r="DK151" s="539"/>
      <c r="DL151" s="539"/>
      <c r="DM151" s="539"/>
      <c r="DN151" s="539"/>
      <c r="DO151" s="539"/>
      <c r="DP151" s="539"/>
      <c r="DQ151" s="539"/>
      <c r="DR151" s="539"/>
      <c r="DS151" s="539"/>
      <c r="DT151" s="539"/>
      <c r="DU151" s="539"/>
      <c r="DV151" s="539"/>
      <c r="DW151" s="539"/>
      <c r="DX151" s="539"/>
      <c r="DY151" s="539"/>
      <c r="DZ151" s="539"/>
      <c r="EA151" s="539"/>
      <c r="EB151" s="539"/>
      <c r="EC151" s="539"/>
      <c r="ED151" s="539"/>
    </row>
    <row r="152" spans="1:134" ht="21" customHeight="1">
      <c r="A152" s="548"/>
      <c r="B152" s="1" t="s">
        <v>42</v>
      </c>
      <c r="C152" s="2" t="s">
        <v>1</v>
      </c>
      <c r="D152" s="2" t="s">
        <v>2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8</v>
      </c>
      <c r="K152" s="2" t="s">
        <v>9</v>
      </c>
      <c r="L152" s="2" t="s">
        <v>10</v>
      </c>
      <c r="M152" s="2" t="s">
        <v>11</v>
      </c>
      <c r="N152" s="2" t="s">
        <v>12</v>
      </c>
      <c r="O152" s="2" t="s">
        <v>13</v>
      </c>
      <c r="P152" s="2" t="s">
        <v>14</v>
      </c>
      <c r="Q152" s="2" t="s">
        <v>15</v>
      </c>
      <c r="R152" s="2" t="s">
        <v>16</v>
      </c>
      <c r="S152" s="2" t="s">
        <v>17</v>
      </c>
      <c r="T152" s="2" t="s">
        <v>18</v>
      </c>
      <c r="U152" s="2" t="s">
        <v>19</v>
      </c>
      <c r="V152" s="2" t="s">
        <v>20</v>
      </c>
      <c r="W152" s="2" t="s">
        <v>21</v>
      </c>
      <c r="X152" s="2" t="s">
        <v>22</v>
      </c>
      <c r="Y152" s="2" t="s">
        <v>23</v>
      </c>
      <c r="Z152" s="2" t="s">
        <v>24</v>
      </c>
      <c r="AA152" s="2" t="s">
        <v>25</v>
      </c>
      <c r="AB152" s="2" t="s">
        <v>26</v>
      </c>
      <c r="AC152" s="2" t="s">
        <v>27</v>
      </c>
      <c r="AD152" s="2" t="s">
        <v>28</v>
      </c>
      <c r="AE152" s="2" t="s">
        <v>29</v>
      </c>
      <c r="AF152" s="2" t="s">
        <v>30</v>
      </c>
      <c r="AG152" s="2" t="s">
        <v>31</v>
      </c>
      <c r="AH152" s="2" t="s">
        <v>32</v>
      </c>
      <c r="AI152" s="2" t="s">
        <v>33</v>
      </c>
      <c r="AJ152" s="2" t="s">
        <v>34</v>
      </c>
      <c r="AK152" s="2" t="s">
        <v>35</v>
      </c>
      <c r="AL152" s="2" t="s">
        <v>36</v>
      </c>
      <c r="AM152" s="2" t="s">
        <v>37</v>
      </c>
      <c r="AN152" s="2" t="s">
        <v>38</v>
      </c>
      <c r="AO152" s="2" t="s">
        <v>39</v>
      </c>
      <c r="AP152" s="2" t="s">
        <v>40</v>
      </c>
      <c r="AQ152" s="539"/>
      <c r="AR152" s="539"/>
      <c r="AS152" s="539"/>
      <c r="AT152" s="539"/>
      <c r="AU152" s="539"/>
      <c r="AV152" s="539"/>
      <c r="AW152" s="539"/>
      <c r="AX152" s="539"/>
      <c r="AY152" s="539"/>
      <c r="AZ152" s="539"/>
      <c r="BA152" s="539"/>
      <c r="BB152" s="539"/>
      <c r="BC152" s="539"/>
      <c r="BD152" s="539"/>
      <c r="BE152" s="539"/>
      <c r="BF152" s="539"/>
      <c r="BG152" s="539"/>
      <c r="BH152" s="539"/>
      <c r="BI152" s="539"/>
      <c r="BJ152" s="539"/>
      <c r="BK152" s="539"/>
      <c r="BL152" s="539"/>
      <c r="BM152" s="539"/>
      <c r="BN152" s="539"/>
      <c r="BO152" s="539"/>
      <c r="BP152" s="539"/>
      <c r="BQ152" s="539"/>
      <c r="BR152" s="539"/>
      <c r="BS152" s="539"/>
      <c r="BT152" s="539"/>
      <c r="BU152" s="539"/>
      <c r="BV152" s="539"/>
      <c r="BW152" s="539"/>
      <c r="BX152" s="539"/>
      <c r="BY152" s="539"/>
      <c r="BZ152" s="539"/>
      <c r="CA152" s="539"/>
      <c r="CB152" s="539"/>
      <c r="CC152" s="539"/>
      <c r="CD152" s="539"/>
      <c r="CE152" s="539"/>
      <c r="CF152" s="539"/>
      <c r="CG152" s="539"/>
      <c r="CH152" s="539"/>
      <c r="CI152" s="539"/>
      <c r="CJ152" s="539"/>
      <c r="CK152" s="539"/>
      <c r="CL152" s="539"/>
      <c r="CM152" s="539"/>
      <c r="CN152" s="539"/>
      <c r="CO152" s="539"/>
      <c r="CP152" s="539"/>
      <c r="CQ152" s="539"/>
      <c r="CR152" s="539"/>
      <c r="CS152" s="539"/>
      <c r="CT152" s="539"/>
      <c r="CU152" s="539"/>
      <c r="CV152" s="539"/>
      <c r="CW152" s="539"/>
      <c r="CX152" s="539"/>
      <c r="CY152" s="539"/>
      <c r="CZ152" s="539"/>
      <c r="DA152" s="539"/>
      <c r="DB152" s="539"/>
      <c r="DC152" s="539"/>
      <c r="DD152" s="539"/>
      <c r="DE152" s="539"/>
      <c r="DF152" s="539"/>
      <c r="DG152" s="539"/>
      <c r="DH152" s="539"/>
      <c r="DI152" s="539"/>
      <c r="DJ152" s="539"/>
      <c r="DK152" s="539"/>
      <c r="DL152" s="539"/>
      <c r="DM152" s="539"/>
      <c r="DN152" s="539"/>
      <c r="DO152" s="539"/>
      <c r="DP152" s="539"/>
      <c r="DQ152" s="539"/>
      <c r="DR152" s="539"/>
      <c r="DS152" s="539"/>
      <c r="DT152" s="539"/>
      <c r="DU152" s="539"/>
      <c r="DV152" s="539"/>
      <c r="DW152" s="539"/>
      <c r="DX152" s="539"/>
      <c r="DY152" s="539"/>
      <c r="DZ152" s="539"/>
      <c r="EA152" s="539"/>
      <c r="EB152" s="539"/>
      <c r="EC152" s="539"/>
      <c r="ED152" s="539"/>
    </row>
    <row r="153" spans="1:134" ht="13.5" customHeight="1">
      <c r="A153" s="539">
        <v>0</v>
      </c>
      <c r="B153" s="10" t="e">
        <f>+#REF!</f>
        <v>#REF!</v>
      </c>
      <c r="C153" s="10">
        <v>1195.3989509999383</v>
      </c>
      <c r="D153" s="10">
        <v>505.29996500003114</v>
      </c>
      <c r="E153" s="10">
        <v>2370.9839300000467</v>
      </c>
      <c r="F153" s="10">
        <v>149988.90918299987</v>
      </c>
      <c r="G153" s="10">
        <v>3321.5262606144015</v>
      </c>
      <c r="H153" s="10">
        <v>3832.5546622509401</v>
      </c>
      <c r="I153" s="10">
        <v>8835.3181238968609</v>
      </c>
      <c r="J153" s="10">
        <v>-9497.7674623719722</v>
      </c>
      <c r="K153" s="10">
        <v>345.43622312348452</v>
      </c>
      <c r="L153" s="10">
        <v>829998.11258613714</v>
      </c>
      <c r="M153" s="10">
        <v>1988560.780464689</v>
      </c>
      <c r="N153" s="10">
        <v>2782539.0848028106</v>
      </c>
      <c r="O153" s="10">
        <v>3576517.3891409324</v>
      </c>
      <c r="P153" s="10">
        <v>0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539"/>
      <c r="AR153" s="539"/>
      <c r="AS153" s="539"/>
      <c r="AT153" s="539"/>
      <c r="AU153" s="539"/>
      <c r="AV153" s="539"/>
      <c r="AW153" s="539"/>
      <c r="AX153" s="539"/>
      <c r="AY153" s="539"/>
      <c r="AZ153" s="539"/>
      <c r="BA153" s="539"/>
      <c r="BB153" s="539"/>
      <c r="BC153" s="539"/>
      <c r="BD153" s="539"/>
      <c r="BE153" s="539"/>
      <c r="BF153" s="539"/>
      <c r="BG153" s="539"/>
      <c r="BH153" s="539"/>
      <c r="BI153" s="539"/>
      <c r="BJ153" s="539"/>
      <c r="BK153" s="539"/>
      <c r="BL153" s="539"/>
      <c r="BM153" s="539"/>
      <c r="BN153" s="539"/>
      <c r="BO153" s="539"/>
      <c r="BP153" s="539"/>
      <c r="BQ153" s="539"/>
      <c r="BR153" s="539"/>
      <c r="BS153" s="539"/>
      <c r="BT153" s="539"/>
      <c r="BU153" s="539"/>
      <c r="BV153" s="539"/>
      <c r="BW153" s="539"/>
      <c r="BX153" s="539"/>
      <c r="BY153" s="539"/>
      <c r="BZ153" s="539"/>
      <c r="CA153" s="539"/>
      <c r="CB153" s="539"/>
      <c r="CC153" s="539"/>
      <c r="CD153" s="539"/>
      <c r="CE153" s="539"/>
      <c r="CF153" s="539"/>
      <c r="CG153" s="539"/>
      <c r="CH153" s="539"/>
      <c r="CI153" s="539"/>
      <c r="CJ153" s="539"/>
      <c r="CK153" s="539"/>
      <c r="CL153" s="539"/>
      <c r="CM153" s="539"/>
      <c r="CN153" s="539"/>
      <c r="CO153" s="539"/>
      <c r="CP153" s="539"/>
      <c r="CQ153" s="539"/>
      <c r="CR153" s="539"/>
      <c r="CS153" s="539"/>
      <c r="CT153" s="539"/>
      <c r="CU153" s="539"/>
      <c r="CV153" s="539"/>
      <c r="CW153" s="539"/>
      <c r="CX153" s="539"/>
      <c r="CY153" s="539"/>
      <c r="CZ153" s="539"/>
      <c r="DA153" s="539"/>
      <c r="DB153" s="539"/>
      <c r="DC153" s="539"/>
      <c r="DD153" s="539"/>
      <c r="DE153" s="539"/>
      <c r="DF153" s="539"/>
      <c r="DG153" s="539"/>
      <c r="DH153" s="539"/>
      <c r="DI153" s="539"/>
      <c r="DJ153" s="539"/>
      <c r="DK153" s="539"/>
      <c r="DL153" s="539"/>
      <c r="DM153" s="539"/>
      <c r="DN153" s="539"/>
      <c r="DO153" s="539"/>
      <c r="DP153" s="539"/>
      <c r="DQ153" s="539"/>
      <c r="DR153" s="539"/>
      <c r="DS153" s="539"/>
      <c r="DT153" s="539"/>
      <c r="DU153" s="539"/>
      <c r="DV153" s="539"/>
      <c r="DW153" s="539"/>
      <c r="DX153" s="539"/>
      <c r="DY153" s="539"/>
      <c r="DZ153" s="539"/>
      <c r="EA153" s="539"/>
      <c r="EB153" s="539"/>
      <c r="EC153" s="539"/>
      <c r="ED153" s="539"/>
    </row>
    <row r="154" spans="1:134" ht="13.5" hidden="1" customHeight="1">
      <c r="A154" s="549"/>
      <c r="B154" s="11" t="e">
        <f>+#REF!</f>
        <v>#REF!</v>
      </c>
      <c r="C154" s="12">
        <f>IF(ISNUMBER(Historical!E16),Historical!E16, )</f>
        <v>100</v>
      </c>
      <c r="D154" s="12">
        <f>IF(ISNUMBER(Historical!G16),Historical!G16, )</f>
        <v>101</v>
      </c>
      <c r="E154" s="12">
        <f>IF(ISNUMBER(Historical!I16),Historical!I16, )</f>
        <v>102</v>
      </c>
      <c r="F154" s="12">
        <f>IF(ISNUMBER(Projection!H7),IF(MONTH(Projection!H7)&lt;&gt;12,IF(ISNUMBER(Projection!L9),Projection!L9, ),IF(ISNUMBER(Historical!K16),Historical!K16, )), )</f>
        <v>500</v>
      </c>
      <c r="G154" s="12">
        <f>IF(ISNUMBER(Projection!H7),IF(MONTH(Projection!$H$7)&lt;&gt;12,IF(ISNUMBER(Projection!N9),Projection!N9, ),IF(ISNUMBER(Projection!L9),Projection!L9, )), )</f>
        <v>500</v>
      </c>
      <c r="H154" s="12">
        <f>IF(ISNUMBER(Projection!H7),IF(MONTH(Projection!$H$7)&lt;&gt;12,IF(ISNUMBER(Projection!P9),Projection!P9, ),IF(ISNUMBER(Projection!N9),Projection!N9, )), )</f>
        <v>500</v>
      </c>
      <c r="I154" s="12">
        <f>IF(ISNUMBER(Projection!H7),IF(MONTH(Projection!$H$7)&lt;&gt;12,IF(ISNUMBER(Projection!R9),Projection!R9, ),IF(ISNUMBER(Projection!P9),Projection!P9, )), )</f>
        <v>500</v>
      </c>
      <c r="J154" s="12">
        <f>IF(ISNUMBER(Projection!H7),IF(MONTH(Projection!$H$7)&lt;&gt;12,IF(ISNUMBER(Projection!T9),Projection!T9, ),IF(ISNUMBER(Projection!R9),Projection!R9, )), )</f>
        <v>19821.240488916494</v>
      </c>
      <c r="K154" s="12">
        <f>IF(ISNUMBER(Projection!H7),IF(MONTH(Projection!$H$7)&lt;&gt;12,IF(ISNUMBER(Projection!Z9),Projection!Z9, ),IF(ISNUMBER(Projection!T9),Projection!T9, )), )</f>
        <v>71103.486907879706</v>
      </c>
      <c r="L154" s="12">
        <f>IF(ISNUMBER(Projection!$H$7),IF(MONTH(Projection!$H$7)&lt;&gt;12,IF(ISNUMBER(Projection!AB9),Projection!AB9, ),IF(ISNUMBER(Projection!Z9),Projection!Z9, )), )</f>
        <v>41368.086783928818</v>
      </c>
      <c r="M154" s="12">
        <f>IF(ISNUMBER(Projection!$H$7),IF(MONTH(Projection!$H$7)&lt;&gt;12,IF(ISNUMBER(Projection!AD9),Projection!AD9, ),IF(ISNUMBER(Projection!AB9),Projection!AB9, )), )</f>
        <v>51083.578568977922</v>
      </c>
      <c r="N154" s="12">
        <f>IF(ISNUMBER(Projection!$H$7),IF(MONTH(Projection!$H$7)&lt;&gt;12,IF(ISNUMBER(Projection!AF9),Projection!AF9, ),IF(ISNUMBER(Projection!AD9),Projection!AD9, )), )</f>
        <v>60799.070354027026</v>
      </c>
      <c r="O154" s="12">
        <f>IF(ISNUMBER(Projection!$H$7),IF(MONTH(Projection!$H$7)&lt;&gt;12,IF(ISNUMBER(Projection!AH9),Projection!AH9, ),IF(ISNUMBER(Projection!AF9),Projection!AF9, )), )</f>
        <v>70514.562139076108</v>
      </c>
      <c r="P154" s="12"/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539"/>
      <c r="AR154" s="539"/>
      <c r="AS154" s="539"/>
      <c r="AT154" s="539"/>
      <c r="AU154" s="539"/>
      <c r="AV154" s="539"/>
      <c r="AW154" s="539"/>
      <c r="AX154" s="539"/>
      <c r="AY154" s="539"/>
      <c r="AZ154" s="539"/>
      <c r="BA154" s="539"/>
      <c r="BB154" s="539"/>
      <c r="BC154" s="539"/>
      <c r="BD154" s="539"/>
      <c r="BE154" s="539"/>
      <c r="BF154" s="539"/>
      <c r="BG154" s="539"/>
      <c r="BH154" s="539"/>
      <c r="BI154" s="539"/>
      <c r="BJ154" s="539"/>
      <c r="BK154" s="539"/>
      <c r="BL154" s="539"/>
      <c r="BM154" s="539"/>
      <c r="BN154" s="539"/>
      <c r="BO154" s="539"/>
      <c r="BP154" s="539"/>
      <c r="BQ154" s="539"/>
      <c r="BR154" s="539"/>
      <c r="BS154" s="539"/>
      <c r="BT154" s="539"/>
      <c r="BU154" s="539"/>
      <c r="BV154" s="539"/>
      <c r="BW154" s="539"/>
      <c r="BX154" s="539"/>
      <c r="BY154" s="539"/>
      <c r="BZ154" s="539"/>
      <c r="CA154" s="539"/>
      <c r="CB154" s="539"/>
      <c r="CC154" s="539"/>
      <c r="CD154" s="539"/>
      <c r="CE154" s="539"/>
      <c r="CF154" s="539"/>
      <c r="CG154" s="539"/>
      <c r="CH154" s="539"/>
      <c r="CI154" s="539"/>
      <c r="CJ154" s="539"/>
      <c r="CK154" s="539"/>
      <c r="CL154" s="539"/>
      <c r="CM154" s="539"/>
      <c r="CN154" s="539"/>
      <c r="CO154" s="539"/>
      <c r="CP154" s="539"/>
      <c r="CQ154" s="539"/>
      <c r="CR154" s="539"/>
      <c r="CS154" s="539"/>
      <c r="CT154" s="539"/>
      <c r="CU154" s="539"/>
      <c r="CV154" s="539"/>
      <c r="CW154" s="539"/>
      <c r="CX154" s="539"/>
      <c r="CY154" s="539"/>
      <c r="CZ154" s="539"/>
      <c r="DA154" s="539"/>
      <c r="DB154" s="539"/>
      <c r="DC154" s="539"/>
      <c r="DD154" s="539"/>
      <c r="DE154" s="539"/>
      <c r="DF154" s="539"/>
      <c r="DG154" s="539"/>
      <c r="DH154" s="539"/>
      <c r="DI154" s="539"/>
      <c r="DJ154" s="539"/>
      <c r="DK154" s="539"/>
      <c r="DL154" s="539"/>
      <c r="DM154" s="539"/>
      <c r="DN154" s="539"/>
      <c r="DO154" s="539"/>
      <c r="DP154" s="539"/>
      <c r="DQ154" s="539"/>
      <c r="DR154" s="539"/>
      <c r="DS154" s="539"/>
      <c r="DT154" s="539"/>
      <c r="DU154" s="539"/>
      <c r="DV154" s="539"/>
      <c r="DW154" s="539"/>
      <c r="DX154" s="539"/>
      <c r="DY154" s="539"/>
      <c r="DZ154" s="539"/>
      <c r="EA154" s="539"/>
      <c r="EB154" s="539"/>
      <c r="EC154" s="539"/>
      <c r="ED154" s="539"/>
    </row>
    <row r="155" spans="1:134" ht="13.5" hidden="1" customHeight="1">
      <c r="A155" s="549"/>
      <c r="B155" s="11" t="e">
        <f>+#REF!</f>
        <v>#REF!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539"/>
      <c r="AR155" s="539"/>
      <c r="AS155" s="539"/>
      <c r="AT155" s="539"/>
      <c r="AU155" s="539"/>
      <c r="AV155" s="539"/>
      <c r="AW155" s="539"/>
      <c r="AX155" s="539"/>
      <c r="AY155" s="539"/>
      <c r="AZ155" s="539"/>
      <c r="BA155" s="539"/>
      <c r="BB155" s="539"/>
      <c r="BC155" s="539"/>
      <c r="BD155" s="539"/>
      <c r="BE155" s="539"/>
      <c r="BF155" s="539"/>
      <c r="BG155" s="539"/>
      <c r="BH155" s="539"/>
      <c r="BI155" s="539"/>
      <c r="BJ155" s="539"/>
      <c r="BK155" s="539"/>
      <c r="BL155" s="539"/>
      <c r="BM155" s="539"/>
      <c r="BN155" s="539"/>
      <c r="BO155" s="539"/>
      <c r="BP155" s="539"/>
      <c r="BQ155" s="539"/>
      <c r="BR155" s="539"/>
      <c r="BS155" s="539"/>
      <c r="BT155" s="539"/>
      <c r="BU155" s="539"/>
      <c r="BV155" s="539"/>
      <c r="BW155" s="539"/>
      <c r="BX155" s="539"/>
      <c r="BY155" s="539"/>
      <c r="BZ155" s="539"/>
      <c r="CA155" s="539"/>
      <c r="CB155" s="539"/>
      <c r="CC155" s="539"/>
      <c r="CD155" s="539"/>
      <c r="CE155" s="539"/>
      <c r="CF155" s="539"/>
      <c r="CG155" s="539"/>
      <c r="CH155" s="539"/>
      <c r="CI155" s="539"/>
      <c r="CJ155" s="539"/>
      <c r="CK155" s="539"/>
      <c r="CL155" s="539"/>
      <c r="CM155" s="539"/>
      <c r="CN155" s="539"/>
      <c r="CO155" s="539"/>
      <c r="CP155" s="539"/>
      <c r="CQ155" s="539"/>
      <c r="CR155" s="539"/>
      <c r="CS155" s="539"/>
      <c r="CT155" s="539"/>
      <c r="CU155" s="539"/>
      <c r="CV155" s="539"/>
      <c r="CW155" s="539"/>
      <c r="CX155" s="539"/>
      <c r="CY155" s="539"/>
      <c r="CZ155" s="539"/>
      <c r="DA155" s="539"/>
      <c r="DB155" s="539"/>
      <c r="DC155" s="539"/>
      <c r="DD155" s="539"/>
      <c r="DE155" s="539"/>
      <c r="DF155" s="539"/>
      <c r="DG155" s="539"/>
      <c r="DH155" s="539"/>
      <c r="DI155" s="539"/>
      <c r="DJ155" s="539"/>
      <c r="DK155" s="539"/>
      <c r="DL155" s="539"/>
      <c r="DM155" s="539"/>
      <c r="DN155" s="539"/>
      <c r="DO155" s="539"/>
      <c r="DP155" s="539"/>
      <c r="DQ155" s="539"/>
      <c r="DR155" s="539"/>
      <c r="DS155" s="539"/>
      <c r="DT155" s="539"/>
      <c r="DU155" s="539"/>
      <c r="DV155" s="539"/>
      <c r="DW155" s="539"/>
      <c r="DX155" s="539"/>
      <c r="DY155" s="539"/>
      <c r="DZ155" s="539"/>
      <c r="EA155" s="539"/>
      <c r="EB155" s="539"/>
      <c r="EC155" s="539"/>
      <c r="ED155" s="539"/>
    </row>
    <row r="156" spans="1:134" ht="13.5" hidden="1" customHeight="1">
      <c r="A156" s="549"/>
      <c r="B156" s="11" t="e">
        <f>+#REF!</f>
        <v>#REF!</v>
      </c>
      <c r="C156" s="12">
        <f>IF(ISNUMBER(Historical!E18),Historical!E18, )</f>
        <v>300</v>
      </c>
      <c r="D156" s="12">
        <f>IF(ISNUMBER(Historical!G18),Historical!G18, )</f>
        <v>301</v>
      </c>
      <c r="E156" s="12">
        <f>IF(ISNUMBER(Historical!I18),Historical!I18, )</f>
        <v>302</v>
      </c>
      <c r="F156" s="12">
        <f>IF(ISNUMBER(Projection!H7),IF(MONTH(Projection!H7)&lt;&gt;12,IF(ISNUMBER(Projection!L11),Projection!L11, ),IF(ISNUMBER(Historical!K18),Historical!K18, )), )</f>
        <v>303</v>
      </c>
      <c r="G156" s="12">
        <f>IF(ISNUMBER(Projection!H7),IF(MONTH(Projection!$H$7)&lt;&gt;12,IF(ISNUMBER(Projection!N11),Projection!N11, ),IF(ISNUMBER(Projection!L11),Projection!L11, )), )</f>
        <v>303</v>
      </c>
      <c r="H156" s="12">
        <f>IF(ISNUMBER(Projection!H7),IF(MONTH(Projection!$H$7)&lt;&gt;12,IF(ISNUMBER(Projection!P11),Projection!P11, ),IF(ISNUMBER(Projection!N11),Projection!N11, )), )</f>
        <v>303</v>
      </c>
      <c r="I156" s="12">
        <f>IF(ISNUMBER(Projection!H7),IF(MONTH(Projection!$H$7)&lt;&gt;12,IF(ISNUMBER(Projection!R11),Projection!R11, ),IF(ISNUMBER(Projection!P11),Projection!P11, )), )</f>
        <v>303</v>
      </c>
      <c r="J156" s="12">
        <f>IF(ISNUMBER(Projection!H7),IF(MONTH(Projection!$H$7)&lt;&gt;12,IF(ISNUMBER(Projection!T11),Projection!T11, ),IF(ISNUMBER(Projection!R11),Projection!R11, )), )</f>
        <v>303</v>
      </c>
      <c r="K156" s="12">
        <f>IF(ISNUMBER(Projection!H7),IF(MONTH(Projection!$H$7)&lt;&gt;12,IF(ISNUMBER(Projection!Z11),Projection!Z11, ),IF(ISNUMBER(Projection!T11),Projection!T11, )), )</f>
        <v>303</v>
      </c>
      <c r="L156" s="12">
        <f>IF(ISNUMBER(Projection!H7),IF(MONTH(Projection!$H$7)&lt;&gt;12,IF(ISNUMBER(Projection!AB11),Projection!AB11, ),IF(ISNUMBER(Projection!Z11),Projection!Z11, )), )</f>
        <v>303</v>
      </c>
      <c r="M156" s="12">
        <f>IF(ISNUMBER(Projection!$H$7),IF(MONTH(Projection!$H$7)&lt;&gt;12,IF(ISNUMBER(Projection!AD11),Projection!AD11, ),IF(ISNUMBER(Projection!AB11),Projection!AB11, )), )</f>
        <v>303</v>
      </c>
      <c r="N156" s="12">
        <f>IF(ISNUMBER(Projection!$H$7),IF(MONTH(Projection!$H$7)&lt;&gt;12,IF(ISNUMBER(Projection!AF11),Projection!AF11, ),IF(ISNUMBER(Projection!AD11),Projection!AD11, )), )</f>
        <v>303</v>
      </c>
      <c r="O156" s="12">
        <f>IF(ISNUMBER(Projection!$H$7),IF(MONTH(Projection!$H$7)&lt;&gt;12,IF(ISNUMBER(Projection!AH11),Projection!AH11, ),IF(ISNUMBER(Projection!AF11),Projection!AF11, )), )</f>
        <v>303</v>
      </c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539"/>
      <c r="AR156" s="539"/>
      <c r="AS156" s="539"/>
      <c r="AT156" s="539"/>
      <c r="AU156" s="539"/>
      <c r="AV156" s="539"/>
      <c r="AW156" s="539"/>
      <c r="AX156" s="539"/>
      <c r="AY156" s="539"/>
      <c r="AZ156" s="539"/>
      <c r="BA156" s="539"/>
      <c r="BB156" s="539"/>
      <c r="BC156" s="539"/>
      <c r="BD156" s="539"/>
      <c r="BE156" s="539"/>
      <c r="BF156" s="539"/>
      <c r="BG156" s="539"/>
      <c r="BH156" s="539"/>
      <c r="BI156" s="539"/>
      <c r="BJ156" s="539"/>
      <c r="BK156" s="539"/>
      <c r="BL156" s="539"/>
      <c r="BM156" s="539"/>
      <c r="BN156" s="539"/>
      <c r="BO156" s="539"/>
      <c r="BP156" s="539"/>
      <c r="BQ156" s="539"/>
      <c r="BR156" s="539"/>
      <c r="BS156" s="539"/>
      <c r="BT156" s="539"/>
      <c r="BU156" s="539"/>
      <c r="BV156" s="539"/>
      <c r="BW156" s="539"/>
      <c r="BX156" s="539"/>
      <c r="BY156" s="539"/>
      <c r="BZ156" s="539"/>
      <c r="CA156" s="539"/>
      <c r="CB156" s="539"/>
      <c r="CC156" s="539"/>
      <c r="CD156" s="539"/>
      <c r="CE156" s="539"/>
      <c r="CF156" s="539"/>
      <c r="CG156" s="539"/>
      <c r="CH156" s="539"/>
      <c r="CI156" s="539"/>
      <c r="CJ156" s="539"/>
      <c r="CK156" s="539"/>
      <c r="CL156" s="539"/>
      <c r="CM156" s="539"/>
      <c r="CN156" s="539"/>
      <c r="CO156" s="539"/>
      <c r="CP156" s="539"/>
      <c r="CQ156" s="539"/>
      <c r="CR156" s="539"/>
      <c r="CS156" s="539"/>
      <c r="CT156" s="539"/>
      <c r="CU156" s="539"/>
      <c r="CV156" s="539"/>
      <c r="CW156" s="539"/>
      <c r="CX156" s="539"/>
      <c r="CY156" s="539"/>
      <c r="CZ156" s="539"/>
      <c r="DA156" s="539"/>
      <c r="DB156" s="539"/>
      <c r="DC156" s="539"/>
      <c r="DD156" s="539"/>
      <c r="DE156" s="539"/>
      <c r="DF156" s="539"/>
      <c r="DG156" s="539"/>
      <c r="DH156" s="539"/>
      <c r="DI156" s="539"/>
      <c r="DJ156" s="539"/>
      <c r="DK156" s="539"/>
      <c r="DL156" s="539"/>
      <c r="DM156" s="539"/>
      <c r="DN156" s="539"/>
      <c r="DO156" s="539"/>
      <c r="DP156" s="539"/>
      <c r="DQ156" s="539"/>
      <c r="DR156" s="539"/>
      <c r="DS156" s="539"/>
      <c r="DT156" s="539"/>
      <c r="DU156" s="539"/>
      <c r="DV156" s="539"/>
      <c r="DW156" s="539"/>
      <c r="DX156" s="539"/>
      <c r="DY156" s="539"/>
      <c r="DZ156" s="539"/>
      <c r="EA156" s="539"/>
      <c r="EB156" s="539"/>
      <c r="EC156" s="539"/>
      <c r="ED156" s="539"/>
    </row>
    <row r="157" spans="1:134" ht="13.5" hidden="1" customHeight="1">
      <c r="A157" s="549"/>
      <c r="B157" s="11" t="e">
        <f>+#REF!</f>
        <v>#REF!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539"/>
      <c r="AR157" s="539"/>
      <c r="AS157" s="539"/>
      <c r="AT157" s="539"/>
      <c r="AU157" s="539"/>
      <c r="AV157" s="539"/>
      <c r="AW157" s="539"/>
      <c r="AX157" s="539"/>
      <c r="AY157" s="539"/>
      <c r="AZ157" s="539"/>
      <c r="BA157" s="539"/>
      <c r="BB157" s="539"/>
      <c r="BC157" s="539"/>
      <c r="BD157" s="539"/>
      <c r="BE157" s="539"/>
      <c r="BF157" s="539"/>
      <c r="BG157" s="539"/>
      <c r="BH157" s="539"/>
      <c r="BI157" s="539"/>
      <c r="BJ157" s="539"/>
      <c r="BK157" s="539"/>
      <c r="BL157" s="539"/>
      <c r="BM157" s="539"/>
      <c r="BN157" s="539"/>
      <c r="BO157" s="539"/>
      <c r="BP157" s="539"/>
      <c r="BQ157" s="539"/>
      <c r="BR157" s="539"/>
      <c r="BS157" s="539"/>
      <c r="BT157" s="539"/>
      <c r="BU157" s="539"/>
      <c r="BV157" s="539"/>
      <c r="BW157" s="539"/>
      <c r="BX157" s="539"/>
      <c r="BY157" s="539"/>
      <c r="BZ157" s="539"/>
      <c r="CA157" s="539"/>
      <c r="CB157" s="539"/>
      <c r="CC157" s="539"/>
      <c r="CD157" s="539"/>
      <c r="CE157" s="539"/>
      <c r="CF157" s="539"/>
      <c r="CG157" s="539"/>
      <c r="CH157" s="539"/>
      <c r="CI157" s="539"/>
      <c r="CJ157" s="539"/>
      <c r="CK157" s="539"/>
      <c r="CL157" s="539"/>
      <c r="CM157" s="539"/>
      <c r="CN157" s="539"/>
      <c r="CO157" s="539"/>
      <c r="CP157" s="539"/>
      <c r="CQ157" s="539"/>
      <c r="CR157" s="539"/>
      <c r="CS157" s="539"/>
      <c r="CT157" s="539"/>
      <c r="CU157" s="539"/>
      <c r="CV157" s="539"/>
      <c r="CW157" s="539"/>
      <c r="CX157" s="539"/>
      <c r="CY157" s="539"/>
      <c r="CZ157" s="539"/>
      <c r="DA157" s="539"/>
      <c r="DB157" s="539"/>
      <c r="DC157" s="539"/>
      <c r="DD157" s="539"/>
      <c r="DE157" s="539"/>
      <c r="DF157" s="539"/>
      <c r="DG157" s="539"/>
      <c r="DH157" s="539"/>
      <c r="DI157" s="539"/>
      <c r="DJ157" s="539"/>
      <c r="DK157" s="539"/>
      <c r="DL157" s="539"/>
      <c r="DM157" s="539"/>
      <c r="DN157" s="539"/>
      <c r="DO157" s="539"/>
      <c r="DP157" s="539"/>
      <c r="DQ157" s="539"/>
      <c r="DR157" s="539"/>
      <c r="DS157" s="539"/>
      <c r="DT157" s="539"/>
      <c r="DU157" s="539"/>
      <c r="DV157" s="539"/>
      <c r="DW157" s="539"/>
      <c r="DX157" s="539"/>
      <c r="DY157" s="539"/>
      <c r="DZ157" s="539"/>
      <c r="EA157" s="539"/>
      <c r="EB157" s="539"/>
      <c r="EC157" s="539"/>
      <c r="ED157" s="539"/>
    </row>
    <row r="158" spans="1:134" ht="13.5" hidden="1" customHeight="1">
      <c r="A158" s="549"/>
      <c r="B158" s="11" t="e">
        <f>+#REF!</f>
        <v>#REF!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539"/>
      <c r="AR158" s="539"/>
      <c r="AS158" s="539"/>
      <c r="AT158" s="539"/>
      <c r="AU158" s="539"/>
      <c r="AV158" s="539"/>
      <c r="AW158" s="539"/>
      <c r="AX158" s="539"/>
      <c r="AY158" s="539"/>
      <c r="AZ158" s="539"/>
      <c r="BA158" s="539"/>
      <c r="BB158" s="539"/>
      <c r="BC158" s="539"/>
      <c r="BD158" s="539"/>
      <c r="BE158" s="539"/>
      <c r="BF158" s="539"/>
      <c r="BG158" s="539"/>
      <c r="BH158" s="539"/>
      <c r="BI158" s="539"/>
      <c r="BJ158" s="539"/>
      <c r="BK158" s="539"/>
      <c r="BL158" s="539"/>
      <c r="BM158" s="539"/>
      <c r="BN158" s="539"/>
      <c r="BO158" s="539"/>
      <c r="BP158" s="539"/>
      <c r="BQ158" s="539"/>
      <c r="BR158" s="539"/>
      <c r="BS158" s="539"/>
      <c r="BT158" s="539"/>
      <c r="BU158" s="539"/>
      <c r="BV158" s="539"/>
      <c r="BW158" s="539"/>
      <c r="BX158" s="539"/>
      <c r="BY158" s="539"/>
      <c r="BZ158" s="539"/>
      <c r="CA158" s="539"/>
      <c r="CB158" s="539"/>
      <c r="CC158" s="539"/>
      <c r="CD158" s="539"/>
      <c r="CE158" s="539"/>
      <c r="CF158" s="539"/>
      <c r="CG158" s="539"/>
      <c r="CH158" s="539"/>
      <c r="CI158" s="539"/>
      <c r="CJ158" s="539"/>
      <c r="CK158" s="539"/>
      <c r="CL158" s="539"/>
      <c r="CM158" s="539"/>
      <c r="CN158" s="539"/>
      <c r="CO158" s="539"/>
      <c r="CP158" s="539"/>
      <c r="CQ158" s="539"/>
      <c r="CR158" s="539"/>
      <c r="CS158" s="539"/>
      <c r="CT158" s="539"/>
      <c r="CU158" s="539"/>
      <c r="CV158" s="539"/>
      <c r="CW158" s="539"/>
      <c r="CX158" s="539"/>
      <c r="CY158" s="539"/>
      <c r="CZ158" s="539"/>
      <c r="DA158" s="539"/>
      <c r="DB158" s="539"/>
      <c r="DC158" s="539"/>
      <c r="DD158" s="539"/>
      <c r="DE158" s="539"/>
      <c r="DF158" s="539"/>
      <c r="DG158" s="539"/>
      <c r="DH158" s="539"/>
      <c r="DI158" s="539"/>
      <c r="DJ158" s="539"/>
      <c r="DK158" s="539"/>
      <c r="DL158" s="539"/>
      <c r="DM158" s="539"/>
      <c r="DN158" s="539"/>
      <c r="DO158" s="539"/>
      <c r="DP158" s="539"/>
      <c r="DQ158" s="539"/>
      <c r="DR158" s="539"/>
      <c r="DS158" s="539"/>
      <c r="DT158" s="539"/>
      <c r="DU158" s="539"/>
      <c r="DV158" s="539"/>
      <c r="DW158" s="539"/>
      <c r="DX158" s="539"/>
      <c r="DY158" s="539"/>
      <c r="DZ158" s="539"/>
      <c r="EA158" s="539"/>
      <c r="EB158" s="539"/>
      <c r="EC158" s="539"/>
      <c r="ED158" s="539"/>
    </row>
    <row r="159" spans="1:134" ht="13.5" hidden="1" customHeight="1">
      <c r="A159" s="549"/>
      <c r="B159" s="11" t="e">
        <f>+#REF!</f>
        <v>#REF!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539"/>
      <c r="AR159" s="539"/>
      <c r="AS159" s="539"/>
      <c r="AT159" s="539"/>
      <c r="AU159" s="539"/>
      <c r="AV159" s="539"/>
      <c r="AW159" s="539"/>
      <c r="AX159" s="539"/>
      <c r="AY159" s="539"/>
      <c r="AZ159" s="539"/>
      <c r="BA159" s="539"/>
      <c r="BB159" s="539"/>
      <c r="BC159" s="539"/>
      <c r="BD159" s="539"/>
      <c r="BE159" s="539"/>
      <c r="BF159" s="539"/>
      <c r="BG159" s="539"/>
      <c r="BH159" s="539"/>
      <c r="BI159" s="539"/>
      <c r="BJ159" s="539"/>
      <c r="BK159" s="539"/>
      <c r="BL159" s="539"/>
      <c r="BM159" s="539"/>
      <c r="BN159" s="539"/>
      <c r="BO159" s="539"/>
      <c r="BP159" s="539"/>
      <c r="BQ159" s="539"/>
      <c r="BR159" s="539"/>
      <c r="BS159" s="539"/>
      <c r="BT159" s="539"/>
      <c r="BU159" s="539"/>
      <c r="BV159" s="539"/>
      <c r="BW159" s="539"/>
      <c r="BX159" s="539"/>
      <c r="BY159" s="539"/>
      <c r="BZ159" s="539"/>
      <c r="CA159" s="539"/>
      <c r="CB159" s="539"/>
      <c r="CC159" s="539"/>
      <c r="CD159" s="539"/>
      <c r="CE159" s="539"/>
      <c r="CF159" s="539"/>
      <c r="CG159" s="539"/>
      <c r="CH159" s="539"/>
      <c r="CI159" s="539"/>
      <c r="CJ159" s="539"/>
      <c r="CK159" s="539"/>
      <c r="CL159" s="539"/>
      <c r="CM159" s="539"/>
      <c r="CN159" s="539"/>
      <c r="CO159" s="539"/>
      <c r="CP159" s="539"/>
      <c r="CQ159" s="539"/>
      <c r="CR159" s="539"/>
      <c r="CS159" s="539"/>
      <c r="CT159" s="539"/>
      <c r="CU159" s="539"/>
      <c r="CV159" s="539"/>
      <c r="CW159" s="539"/>
      <c r="CX159" s="539"/>
      <c r="CY159" s="539"/>
      <c r="CZ159" s="539"/>
      <c r="DA159" s="539"/>
      <c r="DB159" s="539"/>
      <c r="DC159" s="539"/>
      <c r="DD159" s="539"/>
      <c r="DE159" s="539"/>
      <c r="DF159" s="539"/>
      <c r="DG159" s="539"/>
      <c r="DH159" s="539"/>
      <c r="DI159" s="539"/>
      <c r="DJ159" s="539"/>
      <c r="DK159" s="539"/>
      <c r="DL159" s="539"/>
      <c r="DM159" s="539"/>
      <c r="DN159" s="539"/>
      <c r="DO159" s="539"/>
      <c r="DP159" s="539"/>
      <c r="DQ159" s="539"/>
      <c r="DR159" s="539"/>
      <c r="DS159" s="539"/>
      <c r="DT159" s="539"/>
      <c r="DU159" s="539"/>
      <c r="DV159" s="539"/>
      <c r="DW159" s="539"/>
      <c r="DX159" s="539"/>
      <c r="DY159" s="539"/>
      <c r="DZ159" s="539"/>
      <c r="EA159" s="539"/>
      <c r="EB159" s="539"/>
      <c r="EC159" s="539"/>
      <c r="ED159" s="539"/>
    </row>
    <row r="160" spans="1:134" ht="13.5" hidden="1" customHeight="1">
      <c r="A160" s="549"/>
      <c r="B160" s="11" t="e">
        <f>+#REF!</f>
        <v>#REF!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539"/>
      <c r="AR160" s="539"/>
      <c r="AS160" s="539"/>
      <c r="AT160" s="539"/>
      <c r="AU160" s="539"/>
      <c r="AV160" s="539"/>
      <c r="AW160" s="539"/>
      <c r="AX160" s="539"/>
      <c r="AY160" s="539"/>
      <c r="AZ160" s="539"/>
      <c r="BA160" s="539"/>
      <c r="BB160" s="539"/>
      <c r="BC160" s="539"/>
      <c r="BD160" s="539"/>
      <c r="BE160" s="539"/>
      <c r="BF160" s="539"/>
      <c r="BG160" s="539"/>
      <c r="BH160" s="539"/>
      <c r="BI160" s="539"/>
      <c r="BJ160" s="539"/>
      <c r="BK160" s="539"/>
      <c r="BL160" s="539"/>
      <c r="BM160" s="539"/>
      <c r="BN160" s="539"/>
      <c r="BO160" s="539"/>
      <c r="BP160" s="539"/>
      <c r="BQ160" s="539"/>
      <c r="BR160" s="539"/>
      <c r="BS160" s="539"/>
      <c r="BT160" s="539"/>
      <c r="BU160" s="539"/>
      <c r="BV160" s="539"/>
      <c r="BW160" s="539"/>
      <c r="BX160" s="539"/>
      <c r="BY160" s="539"/>
      <c r="BZ160" s="539"/>
      <c r="CA160" s="539"/>
      <c r="CB160" s="539"/>
      <c r="CC160" s="539"/>
      <c r="CD160" s="539"/>
      <c r="CE160" s="539"/>
      <c r="CF160" s="539"/>
      <c r="CG160" s="539"/>
      <c r="CH160" s="539"/>
      <c r="CI160" s="539"/>
      <c r="CJ160" s="539"/>
      <c r="CK160" s="539"/>
      <c r="CL160" s="539"/>
      <c r="CM160" s="539"/>
      <c r="CN160" s="539"/>
      <c r="CO160" s="539"/>
      <c r="CP160" s="539"/>
      <c r="CQ160" s="539"/>
      <c r="CR160" s="539"/>
      <c r="CS160" s="539"/>
      <c r="CT160" s="539"/>
      <c r="CU160" s="539"/>
      <c r="CV160" s="539"/>
      <c r="CW160" s="539"/>
      <c r="CX160" s="539"/>
      <c r="CY160" s="539"/>
      <c r="CZ160" s="539"/>
      <c r="DA160" s="539"/>
      <c r="DB160" s="539"/>
      <c r="DC160" s="539"/>
      <c r="DD160" s="539"/>
      <c r="DE160" s="539"/>
      <c r="DF160" s="539"/>
      <c r="DG160" s="539"/>
      <c r="DH160" s="539"/>
      <c r="DI160" s="539"/>
      <c r="DJ160" s="539"/>
      <c r="DK160" s="539"/>
      <c r="DL160" s="539"/>
      <c r="DM160" s="539"/>
      <c r="DN160" s="539"/>
      <c r="DO160" s="539"/>
      <c r="DP160" s="539"/>
      <c r="DQ160" s="539"/>
      <c r="DR160" s="539"/>
      <c r="DS160" s="539"/>
      <c r="DT160" s="539"/>
      <c r="DU160" s="539"/>
      <c r="DV160" s="539"/>
      <c r="DW160" s="539"/>
      <c r="DX160" s="539"/>
      <c r="DY160" s="539"/>
      <c r="DZ160" s="539"/>
      <c r="EA160" s="539"/>
      <c r="EB160" s="539"/>
      <c r="EC160" s="539"/>
      <c r="ED160" s="539"/>
    </row>
    <row r="161" spans="1:134" ht="13.5" hidden="1" customHeight="1">
      <c r="A161" s="549"/>
      <c r="B161" s="11" t="e">
        <f>+#REF!</f>
        <v>#REF!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550"/>
      <c r="Q161" s="550"/>
      <c r="R161" s="550"/>
      <c r="S161" s="550"/>
      <c r="T161" s="550"/>
      <c r="U161" s="550"/>
      <c r="V161" s="550"/>
      <c r="W161" s="550"/>
      <c r="X161" s="550"/>
      <c r="Y161" s="550"/>
      <c r="Z161" s="550"/>
      <c r="AA161" s="550"/>
      <c r="AB161" s="550"/>
      <c r="AC161" s="550"/>
      <c r="AD161" s="550"/>
      <c r="AE161" s="550"/>
      <c r="AF161" s="550"/>
      <c r="AG161" s="550"/>
      <c r="AH161" s="550"/>
      <c r="AI161" s="550"/>
      <c r="AJ161" s="550"/>
      <c r="AK161" s="550"/>
      <c r="AL161" s="550"/>
      <c r="AM161" s="550"/>
      <c r="AN161" s="550"/>
      <c r="AO161" s="550"/>
      <c r="AP161" s="550"/>
      <c r="AQ161" s="539"/>
      <c r="AR161" s="539"/>
      <c r="AS161" s="539"/>
      <c r="AT161" s="539"/>
      <c r="AU161" s="539"/>
      <c r="AV161" s="539"/>
      <c r="AW161" s="539"/>
      <c r="AX161" s="539"/>
      <c r="AY161" s="539"/>
      <c r="AZ161" s="539"/>
      <c r="BA161" s="539"/>
      <c r="BB161" s="539"/>
      <c r="BC161" s="539"/>
      <c r="BD161" s="539"/>
      <c r="BE161" s="539"/>
      <c r="BF161" s="539"/>
      <c r="BG161" s="539"/>
      <c r="BH161" s="539"/>
      <c r="BI161" s="539"/>
      <c r="BJ161" s="539"/>
      <c r="BK161" s="539"/>
      <c r="BL161" s="539"/>
      <c r="BM161" s="539"/>
      <c r="BN161" s="539"/>
      <c r="BO161" s="539"/>
      <c r="BP161" s="539"/>
      <c r="BQ161" s="539"/>
      <c r="BR161" s="539"/>
      <c r="BS161" s="539"/>
      <c r="BT161" s="539"/>
      <c r="BU161" s="539"/>
      <c r="BV161" s="539"/>
      <c r="BW161" s="539"/>
      <c r="BX161" s="539"/>
      <c r="BY161" s="539"/>
      <c r="BZ161" s="539"/>
      <c r="CA161" s="539"/>
      <c r="CB161" s="539"/>
      <c r="CC161" s="539"/>
      <c r="CD161" s="539"/>
      <c r="CE161" s="539"/>
      <c r="CF161" s="539"/>
      <c r="CG161" s="539"/>
      <c r="CH161" s="539"/>
      <c r="CI161" s="539"/>
      <c r="CJ161" s="539"/>
      <c r="CK161" s="539"/>
      <c r="CL161" s="539"/>
      <c r="CM161" s="539"/>
      <c r="CN161" s="539"/>
      <c r="CO161" s="539"/>
      <c r="CP161" s="539"/>
      <c r="CQ161" s="539"/>
      <c r="CR161" s="539"/>
      <c r="CS161" s="539"/>
      <c r="CT161" s="539"/>
      <c r="CU161" s="539"/>
      <c r="CV161" s="539"/>
      <c r="CW161" s="539"/>
      <c r="CX161" s="539"/>
      <c r="CY161" s="539"/>
      <c r="CZ161" s="539"/>
      <c r="DA161" s="539"/>
      <c r="DB161" s="539"/>
      <c r="DC161" s="539"/>
      <c r="DD161" s="539"/>
      <c r="DE161" s="539"/>
      <c r="DF161" s="539"/>
      <c r="DG161" s="539"/>
      <c r="DH161" s="539"/>
      <c r="DI161" s="539"/>
      <c r="DJ161" s="539"/>
      <c r="DK161" s="539"/>
      <c r="DL161" s="539"/>
      <c r="DM161" s="539"/>
      <c r="DN161" s="539"/>
      <c r="DO161" s="539"/>
      <c r="DP161" s="539"/>
      <c r="DQ161" s="539"/>
      <c r="DR161" s="539"/>
      <c r="DS161" s="539"/>
      <c r="DT161" s="539"/>
      <c r="DU161" s="539"/>
      <c r="DV161" s="539"/>
      <c r="DW161" s="539"/>
      <c r="DX161" s="539"/>
      <c r="DY161" s="539"/>
      <c r="DZ161" s="539"/>
      <c r="EA161" s="539"/>
      <c r="EB161" s="539"/>
      <c r="EC161" s="539"/>
      <c r="ED161" s="539"/>
    </row>
    <row r="162" spans="1:134" ht="13.5" hidden="1" customHeight="1">
      <c r="A162" s="549"/>
      <c r="B162" s="11" t="e">
        <f>+#REF!</f>
        <v>#REF!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539"/>
      <c r="AR162" s="539"/>
      <c r="AS162" s="539"/>
      <c r="AT162" s="539"/>
      <c r="AU162" s="539"/>
      <c r="AV162" s="539"/>
      <c r="AW162" s="539"/>
      <c r="AX162" s="539"/>
      <c r="AY162" s="539"/>
      <c r="AZ162" s="539"/>
      <c r="BA162" s="539"/>
      <c r="BB162" s="539"/>
      <c r="BC162" s="539"/>
      <c r="BD162" s="539"/>
      <c r="BE162" s="539"/>
      <c r="BF162" s="539"/>
      <c r="BG162" s="539"/>
      <c r="BH162" s="539"/>
      <c r="BI162" s="539"/>
      <c r="BJ162" s="539"/>
      <c r="BK162" s="539"/>
      <c r="BL162" s="539"/>
      <c r="BM162" s="539"/>
      <c r="BN162" s="539"/>
      <c r="BO162" s="539"/>
      <c r="BP162" s="539"/>
      <c r="BQ162" s="539"/>
      <c r="BR162" s="539"/>
      <c r="BS162" s="539"/>
      <c r="BT162" s="539"/>
      <c r="BU162" s="539"/>
      <c r="BV162" s="539"/>
      <c r="BW162" s="539"/>
      <c r="BX162" s="539"/>
      <c r="BY162" s="539"/>
      <c r="BZ162" s="539"/>
      <c r="CA162" s="539"/>
      <c r="CB162" s="539"/>
      <c r="CC162" s="539"/>
      <c r="CD162" s="539"/>
      <c r="CE162" s="539"/>
      <c r="CF162" s="539"/>
      <c r="CG162" s="539"/>
      <c r="CH162" s="539"/>
      <c r="CI162" s="539"/>
      <c r="CJ162" s="539"/>
      <c r="CK162" s="539"/>
      <c r="CL162" s="539"/>
      <c r="CM162" s="539"/>
      <c r="CN162" s="539"/>
      <c r="CO162" s="539"/>
      <c r="CP162" s="539"/>
      <c r="CQ162" s="539"/>
      <c r="CR162" s="539"/>
      <c r="CS162" s="539"/>
      <c r="CT162" s="539"/>
      <c r="CU162" s="539"/>
      <c r="CV162" s="539"/>
      <c r="CW162" s="539"/>
      <c r="CX162" s="539"/>
      <c r="CY162" s="539"/>
      <c r="CZ162" s="539"/>
      <c r="DA162" s="539"/>
      <c r="DB162" s="539"/>
      <c r="DC162" s="539"/>
      <c r="DD162" s="539"/>
      <c r="DE162" s="539"/>
      <c r="DF162" s="539"/>
      <c r="DG162" s="539"/>
      <c r="DH162" s="539"/>
      <c r="DI162" s="539"/>
      <c r="DJ162" s="539"/>
      <c r="DK162" s="539"/>
      <c r="DL162" s="539"/>
      <c r="DM162" s="539"/>
      <c r="DN162" s="539"/>
      <c r="DO162" s="539"/>
      <c r="DP162" s="539"/>
      <c r="DQ162" s="539"/>
      <c r="DR162" s="539"/>
      <c r="DS162" s="539"/>
      <c r="DT162" s="539"/>
      <c r="DU162" s="539"/>
      <c r="DV162" s="539"/>
      <c r="DW162" s="539"/>
      <c r="DX162" s="539"/>
      <c r="DY162" s="539"/>
      <c r="DZ162" s="539"/>
      <c r="EA162" s="539"/>
      <c r="EB162" s="539"/>
      <c r="EC162" s="539"/>
      <c r="ED162" s="539"/>
    </row>
    <row r="163" spans="1:134" ht="13.5" hidden="1" customHeight="1">
      <c r="A163" s="549"/>
      <c r="B163" s="11" t="e">
        <f>+#REF!</f>
        <v>#REF!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539"/>
      <c r="AR163" s="539"/>
      <c r="AS163" s="539"/>
      <c r="AT163" s="539"/>
      <c r="AU163" s="539"/>
      <c r="AV163" s="539"/>
      <c r="AW163" s="539"/>
      <c r="AX163" s="539"/>
      <c r="AY163" s="539"/>
      <c r="AZ163" s="539"/>
      <c r="BA163" s="539"/>
      <c r="BB163" s="539"/>
      <c r="BC163" s="539"/>
      <c r="BD163" s="539"/>
      <c r="BE163" s="539"/>
      <c r="BF163" s="539"/>
      <c r="BG163" s="539"/>
      <c r="BH163" s="539"/>
      <c r="BI163" s="539"/>
      <c r="BJ163" s="539"/>
      <c r="BK163" s="539"/>
      <c r="BL163" s="539"/>
      <c r="BM163" s="539"/>
      <c r="BN163" s="539"/>
      <c r="BO163" s="539"/>
      <c r="BP163" s="539"/>
      <c r="BQ163" s="539"/>
      <c r="BR163" s="539"/>
      <c r="BS163" s="539"/>
      <c r="BT163" s="539"/>
      <c r="BU163" s="539"/>
      <c r="BV163" s="539"/>
      <c r="BW163" s="539"/>
      <c r="BX163" s="539"/>
      <c r="BY163" s="539"/>
      <c r="BZ163" s="539"/>
      <c r="CA163" s="539"/>
      <c r="CB163" s="539"/>
      <c r="CC163" s="539"/>
      <c r="CD163" s="539"/>
      <c r="CE163" s="539"/>
      <c r="CF163" s="539"/>
      <c r="CG163" s="539"/>
      <c r="CH163" s="539"/>
      <c r="CI163" s="539"/>
      <c r="CJ163" s="539"/>
      <c r="CK163" s="539"/>
      <c r="CL163" s="539"/>
      <c r="CM163" s="539"/>
      <c r="CN163" s="539"/>
      <c r="CO163" s="539"/>
      <c r="CP163" s="539"/>
      <c r="CQ163" s="539"/>
      <c r="CR163" s="539"/>
      <c r="CS163" s="539"/>
      <c r="CT163" s="539"/>
      <c r="CU163" s="539"/>
      <c r="CV163" s="539"/>
      <c r="CW163" s="539"/>
      <c r="CX163" s="539"/>
      <c r="CY163" s="539"/>
      <c r="CZ163" s="539"/>
      <c r="DA163" s="539"/>
      <c r="DB163" s="539"/>
      <c r="DC163" s="539"/>
      <c r="DD163" s="539"/>
      <c r="DE163" s="539"/>
      <c r="DF163" s="539"/>
      <c r="DG163" s="539"/>
      <c r="DH163" s="539"/>
      <c r="DI163" s="539"/>
      <c r="DJ163" s="539"/>
      <c r="DK163" s="539"/>
      <c r="DL163" s="539"/>
      <c r="DM163" s="539"/>
      <c r="DN163" s="539"/>
      <c r="DO163" s="539"/>
      <c r="DP163" s="539"/>
      <c r="DQ163" s="539"/>
      <c r="DR163" s="539"/>
      <c r="DS163" s="539"/>
      <c r="DT163" s="539"/>
      <c r="DU163" s="539"/>
      <c r="DV163" s="539"/>
      <c r="DW163" s="539"/>
      <c r="DX163" s="539"/>
      <c r="DY163" s="539"/>
      <c r="DZ163" s="539"/>
      <c r="EA163" s="539"/>
      <c r="EB163" s="539"/>
      <c r="EC163" s="539"/>
      <c r="ED163" s="539"/>
    </row>
    <row r="164" spans="1:134" ht="13.5" hidden="1" customHeight="1">
      <c r="A164" s="549"/>
      <c r="B164" s="11" t="e">
        <f>+#REF!</f>
        <v>#REF!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539"/>
      <c r="AR164" s="539"/>
      <c r="AS164" s="539"/>
      <c r="AT164" s="539"/>
      <c r="AU164" s="539"/>
      <c r="AV164" s="539"/>
      <c r="AW164" s="539"/>
      <c r="AX164" s="539"/>
      <c r="AY164" s="539"/>
      <c r="AZ164" s="539"/>
      <c r="BA164" s="539"/>
      <c r="BB164" s="539"/>
      <c r="BC164" s="539"/>
      <c r="BD164" s="539"/>
      <c r="BE164" s="539"/>
      <c r="BF164" s="539"/>
      <c r="BG164" s="539"/>
      <c r="BH164" s="539"/>
      <c r="BI164" s="539"/>
      <c r="BJ164" s="539"/>
      <c r="BK164" s="539"/>
      <c r="BL164" s="539"/>
      <c r="BM164" s="539"/>
      <c r="BN164" s="539"/>
      <c r="BO164" s="539"/>
      <c r="BP164" s="539"/>
      <c r="BQ164" s="539"/>
      <c r="BR164" s="539"/>
      <c r="BS164" s="539"/>
      <c r="BT164" s="539"/>
      <c r="BU164" s="539"/>
      <c r="BV164" s="539"/>
      <c r="BW164" s="539"/>
      <c r="BX164" s="539"/>
      <c r="BY164" s="539"/>
      <c r="BZ164" s="539"/>
      <c r="CA164" s="539"/>
      <c r="CB164" s="539"/>
      <c r="CC164" s="539"/>
      <c r="CD164" s="539"/>
      <c r="CE164" s="539"/>
      <c r="CF164" s="539"/>
      <c r="CG164" s="539"/>
      <c r="CH164" s="539"/>
      <c r="CI164" s="539"/>
      <c r="CJ164" s="539"/>
      <c r="CK164" s="539"/>
      <c r="CL164" s="539"/>
      <c r="CM164" s="539"/>
      <c r="CN164" s="539"/>
      <c r="CO164" s="539"/>
      <c r="CP164" s="539"/>
      <c r="CQ164" s="539"/>
      <c r="CR164" s="539"/>
      <c r="CS164" s="539"/>
      <c r="CT164" s="539"/>
      <c r="CU164" s="539"/>
      <c r="CV164" s="539"/>
      <c r="CW164" s="539"/>
      <c r="CX164" s="539"/>
      <c r="CY164" s="539"/>
      <c r="CZ164" s="539"/>
      <c r="DA164" s="539"/>
      <c r="DB164" s="539"/>
      <c r="DC164" s="539"/>
      <c r="DD164" s="539"/>
      <c r="DE164" s="539"/>
      <c r="DF164" s="539"/>
      <c r="DG164" s="539"/>
      <c r="DH164" s="539"/>
      <c r="DI164" s="539"/>
      <c r="DJ164" s="539"/>
      <c r="DK164" s="539"/>
      <c r="DL164" s="539"/>
      <c r="DM164" s="539"/>
      <c r="DN164" s="539"/>
      <c r="DO164" s="539"/>
      <c r="DP164" s="539"/>
      <c r="DQ164" s="539"/>
      <c r="DR164" s="539"/>
      <c r="DS164" s="539"/>
      <c r="DT164" s="539"/>
      <c r="DU164" s="539"/>
      <c r="DV164" s="539"/>
      <c r="DW164" s="539"/>
      <c r="DX164" s="539"/>
      <c r="DY164" s="539"/>
      <c r="DZ164" s="539"/>
      <c r="EA164" s="539"/>
      <c r="EB164" s="539"/>
      <c r="EC164" s="539"/>
      <c r="ED164" s="539"/>
    </row>
    <row r="165" spans="1:134" ht="13.5" hidden="1" customHeight="1">
      <c r="A165" s="549"/>
      <c r="B165" s="11" t="e">
        <f>+#REF!</f>
        <v>#REF!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539"/>
      <c r="AR165" s="539"/>
      <c r="AS165" s="539"/>
      <c r="AT165" s="539"/>
      <c r="AU165" s="539"/>
      <c r="AV165" s="539"/>
      <c r="AW165" s="539"/>
      <c r="AX165" s="539"/>
      <c r="AY165" s="539"/>
      <c r="AZ165" s="539"/>
      <c r="BA165" s="539"/>
      <c r="BB165" s="539"/>
      <c r="BC165" s="539"/>
      <c r="BD165" s="539"/>
      <c r="BE165" s="539"/>
      <c r="BF165" s="539"/>
      <c r="BG165" s="539"/>
      <c r="BH165" s="539"/>
      <c r="BI165" s="539"/>
      <c r="BJ165" s="539"/>
      <c r="BK165" s="539"/>
      <c r="BL165" s="539"/>
      <c r="BM165" s="539"/>
      <c r="BN165" s="539"/>
      <c r="BO165" s="539"/>
      <c r="BP165" s="539"/>
      <c r="BQ165" s="539"/>
      <c r="BR165" s="539"/>
      <c r="BS165" s="539"/>
      <c r="BT165" s="539"/>
      <c r="BU165" s="539"/>
      <c r="BV165" s="539"/>
      <c r="BW165" s="539"/>
      <c r="BX165" s="539"/>
      <c r="BY165" s="539"/>
      <c r="BZ165" s="539"/>
      <c r="CA165" s="539"/>
      <c r="CB165" s="539"/>
      <c r="CC165" s="539"/>
      <c r="CD165" s="539"/>
      <c r="CE165" s="539"/>
      <c r="CF165" s="539"/>
      <c r="CG165" s="539"/>
      <c r="CH165" s="539"/>
      <c r="CI165" s="539"/>
      <c r="CJ165" s="539"/>
      <c r="CK165" s="539"/>
      <c r="CL165" s="539"/>
      <c r="CM165" s="539"/>
      <c r="CN165" s="539"/>
      <c r="CO165" s="539"/>
      <c r="CP165" s="539"/>
      <c r="CQ165" s="539"/>
      <c r="CR165" s="539"/>
      <c r="CS165" s="539"/>
      <c r="CT165" s="539"/>
      <c r="CU165" s="539"/>
      <c r="CV165" s="539"/>
      <c r="CW165" s="539"/>
      <c r="CX165" s="539"/>
      <c r="CY165" s="539"/>
      <c r="CZ165" s="539"/>
      <c r="DA165" s="539"/>
      <c r="DB165" s="539"/>
      <c r="DC165" s="539"/>
      <c r="DD165" s="539"/>
      <c r="DE165" s="539"/>
      <c r="DF165" s="539"/>
      <c r="DG165" s="539"/>
      <c r="DH165" s="539"/>
      <c r="DI165" s="539"/>
      <c r="DJ165" s="539"/>
      <c r="DK165" s="539"/>
      <c r="DL165" s="539"/>
      <c r="DM165" s="539"/>
      <c r="DN165" s="539"/>
      <c r="DO165" s="539"/>
      <c r="DP165" s="539"/>
      <c r="DQ165" s="539"/>
      <c r="DR165" s="539"/>
      <c r="DS165" s="539"/>
      <c r="DT165" s="539"/>
      <c r="DU165" s="539"/>
      <c r="DV165" s="539"/>
      <c r="DW165" s="539"/>
      <c r="DX165" s="539"/>
      <c r="DY165" s="539"/>
      <c r="DZ165" s="539"/>
      <c r="EA165" s="539"/>
      <c r="EB165" s="539"/>
      <c r="EC165" s="539"/>
      <c r="ED165" s="539"/>
    </row>
    <row r="166" spans="1:134" ht="13.5" hidden="1" customHeight="1">
      <c r="A166" s="549"/>
      <c r="B166" s="11" t="e">
        <f>+#REF!</f>
        <v>#REF!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539"/>
      <c r="AR166" s="539"/>
      <c r="AS166" s="539"/>
      <c r="AT166" s="539"/>
      <c r="AU166" s="539"/>
      <c r="AV166" s="539"/>
      <c r="AW166" s="539"/>
      <c r="AX166" s="539"/>
      <c r="AY166" s="539"/>
      <c r="AZ166" s="539"/>
      <c r="BA166" s="539"/>
      <c r="BB166" s="539"/>
      <c r="BC166" s="539"/>
      <c r="BD166" s="539"/>
      <c r="BE166" s="539"/>
      <c r="BF166" s="539"/>
      <c r="BG166" s="539"/>
      <c r="BH166" s="539"/>
      <c r="BI166" s="539"/>
      <c r="BJ166" s="539"/>
      <c r="BK166" s="539"/>
      <c r="BL166" s="539"/>
      <c r="BM166" s="539"/>
      <c r="BN166" s="539"/>
      <c r="BO166" s="539"/>
      <c r="BP166" s="539"/>
      <c r="BQ166" s="539"/>
      <c r="BR166" s="539"/>
      <c r="BS166" s="539"/>
      <c r="BT166" s="539"/>
      <c r="BU166" s="539"/>
      <c r="BV166" s="539"/>
      <c r="BW166" s="539"/>
      <c r="BX166" s="539"/>
      <c r="BY166" s="539"/>
      <c r="BZ166" s="539"/>
      <c r="CA166" s="539"/>
      <c r="CB166" s="539"/>
      <c r="CC166" s="539"/>
      <c r="CD166" s="539"/>
      <c r="CE166" s="539"/>
      <c r="CF166" s="539"/>
      <c r="CG166" s="539"/>
      <c r="CH166" s="539"/>
      <c r="CI166" s="539"/>
      <c r="CJ166" s="539"/>
      <c r="CK166" s="539"/>
      <c r="CL166" s="539"/>
      <c r="CM166" s="539"/>
      <c r="CN166" s="539"/>
      <c r="CO166" s="539"/>
      <c r="CP166" s="539"/>
      <c r="CQ166" s="539"/>
      <c r="CR166" s="539"/>
      <c r="CS166" s="539"/>
      <c r="CT166" s="539"/>
      <c r="CU166" s="539"/>
      <c r="CV166" s="539"/>
      <c r="CW166" s="539"/>
      <c r="CX166" s="539"/>
      <c r="CY166" s="539"/>
      <c r="CZ166" s="539"/>
      <c r="DA166" s="539"/>
      <c r="DB166" s="539"/>
      <c r="DC166" s="539"/>
      <c r="DD166" s="539"/>
      <c r="DE166" s="539"/>
      <c r="DF166" s="539"/>
      <c r="DG166" s="539"/>
      <c r="DH166" s="539"/>
      <c r="DI166" s="539"/>
      <c r="DJ166" s="539"/>
      <c r="DK166" s="539"/>
      <c r="DL166" s="539"/>
      <c r="DM166" s="539"/>
      <c r="DN166" s="539"/>
      <c r="DO166" s="539"/>
      <c r="DP166" s="539"/>
      <c r="DQ166" s="539"/>
      <c r="DR166" s="539"/>
      <c r="DS166" s="539"/>
      <c r="DT166" s="539"/>
      <c r="DU166" s="539"/>
      <c r="DV166" s="539"/>
      <c r="DW166" s="539"/>
      <c r="DX166" s="539"/>
      <c r="DY166" s="539"/>
      <c r="DZ166" s="539"/>
      <c r="EA166" s="539"/>
      <c r="EB166" s="539"/>
      <c r="EC166" s="539"/>
      <c r="ED166" s="539"/>
    </row>
    <row r="167" spans="1:134" ht="13.5" hidden="1" customHeight="1">
      <c r="A167" s="549"/>
      <c r="B167" s="11" t="e">
        <f>+#REF!</f>
        <v>#REF!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539"/>
      <c r="AR167" s="539"/>
      <c r="AS167" s="539"/>
      <c r="AT167" s="539"/>
      <c r="AU167" s="539"/>
      <c r="AV167" s="539"/>
      <c r="AW167" s="539"/>
      <c r="AX167" s="539"/>
      <c r="AY167" s="539"/>
      <c r="AZ167" s="539"/>
      <c r="BA167" s="539"/>
      <c r="BB167" s="539"/>
      <c r="BC167" s="539"/>
      <c r="BD167" s="539"/>
      <c r="BE167" s="539"/>
      <c r="BF167" s="539"/>
      <c r="BG167" s="539"/>
      <c r="BH167" s="539"/>
      <c r="BI167" s="539"/>
      <c r="BJ167" s="539"/>
      <c r="BK167" s="539"/>
      <c r="BL167" s="539"/>
      <c r="BM167" s="539"/>
      <c r="BN167" s="539"/>
      <c r="BO167" s="539"/>
      <c r="BP167" s="539"/>
      <c r="BQ167" s="539"/>
      <c r="BR167" s="539"/>
      <c r="BS167" s="539"/>
      <c r="BT167" s="539"/>
      <c r="BU167" s="539"/>
      <c r="BV167" s="539"/>
      <c r="BW167" s="539"/>
      <c r="BX167" s="539"/>
      <c r="BY167" s="539"/>
      <c r="BZ167" s="539"/>
      <c r="CA167" s="539"/>
      <c r="CB167" s="539"/>
      <c r="CC167" s="539"/>
      <c r="CD167" s="539"/>
      <c r="CE167" s="539"/>
      <c r="CF167" s="539"/>
      <c r="CG167" s="539"/>
      <c r="CH167" s="539"/>
      <c r="CI167" s="539"/>
      <c r="CJ167" s="539"/>
      <c r="CK167" s="539"/>
      <c r="CL167" s="539"/>
      <c r="CM167" s="539"/>
      <c r="CN167" s="539"/>
      <c r="CO167" s="539"/>
      <c r="CP167" s="539"/>
      <c r="CQ167" s="539"/>
      <c r="CR167" s="539"/>
      <c r="CS167" s="539"/>
      <c r="CT167" s="539"/>
      <c r="CU167" s="539"/>
      <c r="CV167" s="539"/>
      <c r="CW167" s="539"/>
      <c r="CX167" s="539"/>
      <c r="CY167" s="539"/>
      <c r="CZ167" s="539"/>
      <c r="DA167" s="539"/>
      <c r="DB167" s="539"/>
      <c r="DC167" s="539"/>
      <c r="DD167" s="539"/>
      <c r="DE167" s="539"/>
      <c r="DF167" s="539"/>
      <c r="DG167" s="539"/>
      <c r="DH167" s="539"/>
      <c r="DI167" s="539"/>
      <c r="DJ167" s="539"/>
      <c r="DK167" s="539"/>
      <c r="DL167" s="539"/>
      <c r="DM167" s="539"/>
      <c r="DN167" s="539"/>
      <c r="DO167" s="539"/>
      <c r="DP167" s="539"/>
      <c r="DQ167" s="539"/>
      <c r="DR167" s="539"/>
      <c r="DS167" s="539"/>
      <c r="DT167" s="539"/>
      <c r="DU167" s="539"/>
      <c r="DV167" s="539"/>
      <c r="DW167" s="539"/>
      <c r="DX167" s="539"/>
      <c r="DY167" s="539"/>
      <c r="DZ167" s="539"/>
      <c r="EA167" s="539"/>
      <c r="EB167" s="539"/>
      <c r="EC167" s="539"/>
      <c r="ED167" s="539"/>
    </row>
    <row r="168" spans="1:134" ht="13.5" hidden="1" customHeight="1">
      <c r="A168" s="549"/>
      <c r="B168" s="11" t="e">
        <f>+#REF!</f>
        <v>#REF!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539"/>
      <c r="AR168" s="539"/>
      <c r="AS168" s="539"/>
      <c r="AT168" s="539"/>
      <c r="AU168" s="539"/>
      <c r="AV168" s="539"/>
      <c r="AW168" s="539"/>
      <c r="AX168" s="539"/>
      <c r="AY168" s="539"/>
      <c r="AZ168" s="539"/>
      <c r="BA168" s="539"/>
      <c r="BB168" s="539"/>
      <c r="BC168" s="539"/>
      <c r="BD168" s="539"/>
      <c r="BE168" s="539"/>
      <c r="BF168" s="539"/>
      <c r="BG168" s="539"/>
      <c r="BH168" s="539"/>
      <c r="BI168" s="539"/>
      <c r="BJ168" s="539"/>
      <c r="BK168" s="539"/>
      <c r="BL168" s="539"/>
      <c r="BM168" s="539"/>
      <c r="BN168" s="539"/>
      <c r="BO168" s="539"/>
      <c r="BP168" s="539"/>
      <c r="BQ168" s="539"/>
      <c r="BR168" s="539"/>
      <c r="BS168" s="539"/>
      <c r="BT168" s="539"/>
      <c r="BU168" s="539"/>
      <c r="BV168" s="539"/>
      <c r="BW168" s="539"/>
      <c r="BX168" s="539"/>
      <c r="BY168" s="539"/>
      <c r="BZ168" s="539"/>
      <c r="CA168" s="539"/>
      <c r="CB168" s="539"/>
      <c r="CC168" s="539"/>
      <c r="CD168" s="539"/>
      <c r="CE168" s="539"/>
      <c r="CF168" s="539"/>
      <c r="CG168" s="539"/>
      <c r="CH168" s="539"/>
      <c r="CI168" s="539"/>
      <c r="CJ168" s="539"/>
      <c r="CK168" s="539"/>
      <c r="CL168" s="539"/>
      <c r="CM168" s="539"/>
      <c r="CN168" s="539"/>
      <c r="CO168" s="539"/>
      <c r="CP168" s="539"/>
      <c r="CQ168" s="539"/>
      <c r="CR168" s="539"/>
      <c r="CS168" s="539"/>
      <c r="CT168" s="539"/>
      <c r="CU168" s="539"/>
      <c r="CV168" s="539"/>
      <c r="CW168" s="539"/>
      <c r="CX168" s="539"/>
      <c r="CY168" s="539"/>
      <c r="CZ168" s="539"/>
      <c r="DA168" s="539"/>
      <c r="DB168" s="539"/>
      <c r="DC168" s="539"/>
      <c r="DD168" s="539"/>
      <c r="DE168" s="539"/>
      <c r="DF168" s="539"/>
      <c r="DG168" s="539"/>
      <c r="DH168" s="539"/>
      <c r="DI168" s="539"/>
      <c r="DJ168" s="539"/>
      <c r="DK168" s="539"/>
      <c r="DL168" s="539"/>
      <c r="DM168" s="539"/>
      <c r="DN168" s="539"/>
      <c r="DO168" s="539"/>
      <c r="DP168" s="539"/>
      <c r="DQ168" s="539"/>
      <c r="DR168" s="539"/>
      <c r="DS168" s="539"/>
      <c r="DT168" s="539"/>
      <c r="DU168" s="539"/>
      <c r="DV168" s="539"/>
      <c r="DW168" s="539"/>
      <c r="DX168" s="539"/>
      <c r="DY168" s="539"/>
      <c r="DZ168" s="539"/>
      <c r="EA168" s="539"/>
      <c r="EB168" s="539"/>
      <c r="EC168" s="539"/>
      <c r="ED168" s="539"/>
    </row>
    <row r="169" spans="1:134" ht="13.5" customHeight="1">
      <c r="A169" s="539"/>
      <c r="B169" s="10" t="e">
        <f>+#REF!</f>
        <v>#REF!</v>
      </c>
      <c r="C169" s="10">
        <v>682.12144000000001</v>
      </c>
      <c r="D169" s="10">
        <v>5102.4909939999998</v>
      </c>
      <c r="E169" s="10">
        <v>11971.510386</v>
      </c>
      <c r="F169" s="10">
        <v>137299.068367</v>
      </c>
      <c r="G169" s="10">
        <v>285506.35986592202</v>
      </c>
      <c r="H169" s="10">
        <v>303274.46770866914</v>
      </c>
      <c r="I169" s="10">
        <v>320339.4704573584</v>
      </c>
      <c r="J169" s="10">
        <v>336104.45130044781</v>
      </c>
      <c r="K169" s="10">
        <v>352657.67978287302</v>
      </c>
      <c r="L169" s="10">
        <v>352657.67978287302</v>
      </c>
      <c r="M169" s="10">
        <v>0</v>
      </c>
      <c r="N169" s="10">
        <v>0</v>
      </c>
      <c r="O169" s="10"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539"/>
      <c r="AR169" s="539"/>
      <c r="AS169" s="539"/>
      <c r="AT169" s="539"/>
      <c r="AU169" s="539"/>
      <c r="AV169" s="539"/>
      <c r="AW169" s="539"/>
      <c r="AX169" s="539"/>
      <c r="AY169" s="539"/>
      <c r="AZ169" s="539"/>
      <c r="BA169" s="539"/>
      <c r="BB169" s="539"/>
      <c r="BC169" s="539"/>
      <c r="BD169" s="539"/>
      <c r="BE169" s="539"/>
      <c r="BF169" s="539"/>
      <c r="BG169" s="539"/>
      <c r="BH169" s="539"/>
      <c r="BI169" s="539"/>
      <c r="BJ169" s="539"/>
      <c r="BK169" s="539"/>
      <c r="BL169" s="539"/>
      <c r="BM169" s="539"/>
      <c r="BN169" s="539"/>
      <c r="BO169" s="539"/>
      <c r="BP169" s="539"/>
      <c r="BQ169" s="539"/>
      <c r="BR169" s="539"/>
      <c r="BS169" s="539"/>
      <c r="BT169" s="539"/>
      <c r="BU169" s="539"/>
      <c r="BV169" s="539"/>
      <c r="BW169" s="539"/>
      <c r="BX169" s="539"/>
      <c r="BY169" s="539"/>
      <c r="BZ169" s="539"/>
      <c r="CA169" s="539"/>
      <c r="CB169" s="539"/>
      <c r="CC169" s="539"/>
      <c r="CD169" s="539"/>
      <c r="CE169" s="539"/>
      <c r="CF169" s="539"/>
      <c r="CG169" s="539"/>
      <c r="CH169" s="539"/>
      <c r="CI169" s="539"/>
      <c r="CJ169" s="539"/>
      <c r="CK169" s="539"/>
      <c r="CL169" s="539"/>
      <c r="CM169" s="539"/>
      <c r="CN169" s="539"/>
      <c r="CO169" s="539"/>
      <c r="CP169" s="539"/>
      <c r="CQ169" s="539"/>
      <c r="CR169" s="539"/>
      <c r="CS169" s="539"/>
      <c r="CT169" s="539"/>
      <c r="CU169" s="539"/>
      <c r="CV169" s="539"/>
      <c r="CW169" s="539"/>
      <c r="CX169" s="539"/>
      <c r="CY169" s="539"/>
      <c r="CZ169" s="539"/>
      <c r="DA169" s="539"/>
      <c r="DB169" s="539"/>
      <c r="DC169" s="539"/>
      <c r="DD169" s="539"/>
      <c r="DE169" s="539"/>
      <c r="DF169" s="539"/>
      <c r="DG169" s="539"/>
      <c r="DH169" s="539"/>
      <c r="DI169" s="539"/>
      <c r="DJ169" s="539"/>
      <c r="DK169" s="539"/>
      <c r="DL169" s="539"/>
      <c r="DM169" s="539"/>
      <c r="DN169" s="539"/>
      <c r="DO169" s="539"/>
      <c r="DP169" s="539"/>
      <c r="DQ169" s="539"/>
      <c r="DR169" s="539"/>
      <c r="DS169" s="539"/>
      <c r="DT169" s="539"/>
      <c r="DU169" s="539"/>
      <c r="DV169" s="539"/>
      <c r="DW169" s="539"/>
      <c r="DX169" s="539"/>
      <c r="DY169" s="539"/>
      <c r="DZ169" s="539"/>
      <c r="EA169" s="539"/>
      <c r="EB169" s="539"/>
      <c r="EC169" s="539"/>
      <c r="ED169" s="539"/>
    </row>
    <row r="170" spans="1:134" ht="13.5" hidden="1" customHeight="1">
      <c r="A170" s="549"/>
      <c r="B170" s="11" t="e">
        <f>+#REF!</f>
        <v>#REF!</v>
      </c>
      <c r="C170" s="12">
        <f>IF(ISNUMBER(Historical!E19),Historical!E19, )</f>
        <v>400</v>
      </c>
      <c r="D170" s="12">
        <f>IF(ISNUMBER(Historical!G19),Historical!G19, )</f>
        <v>401</v>
      </c>
      <c r="E170" s="12">
        <f>IF(ISNUMBER(Historical!I19),Historical!I19, )</f>
        <v>402</v>
      </c>
      <c r="F170" s="12">
        <f>IF(ISNUMBER(Projection!H7),IF(MONTH(Projection!H7)&lt;&gt;12,IF(ISNUMBER(Projection!L12),Projection!L12, ),IF(ISNUMBER(Historical!K19),Historical!K19, )), )</f>
        <v>16500</v>
      </c>
      <c r="G170" s="12">
        <f>IF(ISNUMBER(Projection!H7),IF(MONTH(Projection!$H$7)&lt;&gt;12,IF(ISNUMBER(Projection!N12),Projection!N12, ),IF(ISNUMBER(Projection!L12),Projection!L12, )), )</f>
        <v>19662.5</v>
      </c>
      <c r="H170" s="12">
        <f>IF(ISNUMBER(Projection!H7),IF(MONTH(Projection!$H$7)&lt;&gt;12,IF(ISNUMBER(Projection!P12),Projection!P12, ),IF(ISNUMBER(Projection!N12),Projection!N12, )), )</f>
        <v>21628.749999999996</v>
      </c>
      <c r="I170" s="12">
        <f>IF(ISNUMBER(Projection!H7),IF(MONTH(Projection!$H$7)&lt;&gt;12,IF(ISNUMBER(Projection!R12),Projection!R12, ),IF(ISNUMBER(Projection!P12),Projection!P12, )), )</f>
        <v>23791.625000000007</v>
      </c>
      <c r="J170" s="12">
        <f>IF(ISNUMBER(Projection!H7),IF(MONTH(Projection!$H$7)&lt;&gt;12,IF(ISNUMBER(Projection!T12),Projection!T12, ),IF(ISNUMBER(Projection!R12),Projection!R12, )), )</f>
        <v>26170.787500000006</v>
      </c>
      <c r="K170" s="12">
        <f>IF(ISNUMBER(Projection!H7),IF(MONTH(Projection!$H$7)&lt;&gt;12,IF(ISNUMBER(Projection!Z12),Projection!Z12, ),IF(ISNUMBER(Projection!T12),Projection!T12, )), )</f>
        <v>26170.787500000006</v>
      </c>
      <c r="L170" s="12">
        <f>IF(ISNUMBER(Projection!H7),IF(MONTH(Projection!$H$7)&lt;&gt;12,IF(ISNUMBER(Projection!AB12),Projection!AB12, ),IF(ISNUMBER(Projection!Z12),Projection!Z12, )), )</f>
        <v>69788.766666666677</v>
      </c>
      <c r="M170" s="12">
        <f>IF(ISNUMBER(Projection!$H$7),IF(MONTH(Projection!$H$7)&lt;&gt;12,IF(ISNUMBER(Projection!AD12),Projection!AD12, ),IF(ISNUMBER(Projection!AB12),Projection!AB12, )), )</f>
        <v>69788.766666666677</v>
      </c>
      <c r="N170" s="12">
        <f>IF(ISNUMBER(Projection!$H$7),IF(MONTH(Projection!$H$7)&lt;&gt;12,IF(ISNUMBER(Projection!AF12),Projection!AF12, ),IF(ISNUMBER(Projection!AD12),Projection!AD12, )), )</f>
        <v>69788.766666666677</v>
      </c>
      <c r="O170" s="12">
        <f>IF(ISNUMBER(Projection!$H$7),IF(MONTH(Projection!$H$7)&lt;&gt;12,IF(ISNUMBER(Projection!AH12),Projection!AH12, ),IF(ISNUMBER(Projection!AF12),Projection!AF12, )), )</f>
        <v>69788.766666666677</v>
      </c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539"/>
      <c r="AR170" s="539"/>
      <c r="AS170" s="539"/>
      <c r="AT170" s="539"/>
      <c r="AU170" s="539"/>
      <c r="AV170" s="539"/>
      <c r="AW170" s="539"/>
      <c r="AX170" s="539"/>
      <c r="AY170" s="539"/>
      <c r="AZ170" s="539"/>
      <c r="BA170" s="539"/>
      <c r="BB170" s="539"/>
      <c r="BC170" s="539"/>
      <c r="BD170" s="539"/>
      <c r="BE170" s="539"/>
      <c r="BF170" s="539"/>
      <c r="BG170" s="539"/>
      <c r="BH170" s="539"/>
      <c r="BI170" s="539"/>
      <c r="BJ170" s="539"/>
      <c r="BK170" s="539"/>
      <c r="BL170" s="539"/>
      <c r="BM170" s="539"/>
      <c r="BN170" s="539"/>
      <c r="BO170" s="539"/>
      <c r="BP170" s="539"/>
      <c r="BQ170" s="539"/>
      <c r="BR170" s="539"/>
      <c r="BS170" s="539"/>
      <c r="BT170" s="539"/>
      <c r="BU170" s="539"/>
      <c r="BV170" s="539"/>
      <c r="BW170" s="539"/>
      <c r="BX170" s="539"/>
      <c r="BY170" s="539"/>
      <c r="BZ170" s="539"/>
      <c r="CA170" s="539"/>
      <c r="CB170" s="539"/>
      <c r="CC170" s="539"/>
      <c r="CD170" s="539"/>
      <c r="CE170" s="539"/>
      <c r="CF170" s="539"/>
      <c r="CG170" s="539"/>
      <c r="CH170" s="539"/>
      <c r="CI170" s="539"/>
      <c r="CJ170" s="539"/>
      <c r="CK170" s="539"/>
      <c r="CL170" s="539"/>
      <c r="CM170" s="539"/>
      <c r="CN170" s="539"/>
      <c r="CO170" s="539"/>
      <c r="CP170" s="539"/>
      <c r="CQ170" s="539"/>
      <c r="CR170" s="539"/>
      <c r="CS170" s="539"/>
      <c r="CT170" s="539"/>
      <c r="CU170" s="539"/>
      <c r="CV170" s="539"/>
      <c r="CW170" s="539"/>
      <c r="CX170" s="539"/>
      <c r="CY170" s="539"/>
      <c r="CZ170" s="539"/>
      <c r="DA170" s="539"/>
      <c r="DB170" s="539"/>
      <c r="DC170" s="539"/>
      <c r="DD170" s="539"/>
      <c r="DE170" s="539"/>
      <c r="DF170" s="539"/>
      <c r="DG170" s="539"/>
      <c r="DH170" s="539"/>
      <c r="DI170" s="539"/>
      <c r="DJ170" s="539"/>
      <c r="DK170" s="539"/>
      <c r="DL170" s="539"/>
      <c r="DM170" s="539"/>
      <c r="DN170" s="539"/>
      <c r="DO170" s="539"/>
      <c r="DP170" s="539"/>
      <c r="DQ170" s="539"/>
      <c r="DR170" s="539"/>
      <c r="DS170" s="539"/>
      <c r="DT170" s="539"/>
      <c r="DU170" s="539"/>
      <c r="DV170" s="539"/>
      <c r="DW170" s="539"/>
      <c r="DX170" s="539"/>
      <c r="DY170" s="539"/>
      <c r="DZ170" s="539"/>
      <c r="EA170" s="539"/>
      <c r="EB170" s="539"/>
      <c r="EC170" s="539"/>
      <c r="ED170" s="539"/>
    </row>
    <row r="171" spans="1:134" ht="13.5" hidden="1" customHeight="1">
      <c r="A171" s="549"/>
      <c r="B171" s="11" t="e">
        <f>+#REF!</f>
        <v>#REF!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539"/>
      <c r="AR171" s="539"/>
      <c r="AS171" s="539"/>
      <c r="AT171" s="539"/>
      <c r="AU171" s="539"/>
      <c r="AV171" s="539"/>
      <c r="AW171" s="539"/>
      <c r="AX171" s="539"/>
      <c r="AY171" s="539"/>
      <c r="AZ171" s="539"/>
      <c r="BA171" s="539"/>
      <c r="BB171" s="539"/>
      <c r="BC171" s="539"/>
      <c r="BD171" s="539"/>
      <c r="BE171" s="539"/>
      <c r="BF171" s="539"/>
      <c r="BG171" s="539"/>
      <c r="BH171" s="539"/>
      <c r="BI171" s="539"/>
      <c r="BJ171" s="539"/>
      <c r="BK171" s="539"/>
      <c r="BL171" s="539"/>
      <c r="BM171" s="539"/>
      <c r="BN171" s="539"/>
      <c r="BO171" s="539"/>
      <c r="BP171" s="539"/>
      <c r="BQ171" s="539"/>
      <c r="BR171" s="539"/>
      <c r="BS171" s="539"/>
      <c r="BT171" s="539"/>
      <c r="BU171" s="539"/>
      <c r="BV171" s="539"/>
      <c r="BW171" s="539"/>
      <c r="BX171" s="539"/>
      <c r="BY171" s="539"/>
      <c r="BZ171" s="539"/>
      <c r="CA171" s="539"/>
      <c r="CB171" s="539"/>
      <c r="CC171" s="539"/>
      <c r="CD171" s="539"/>
      <c r="CE171" s="539"/>
      <c r="CF171" s="539"/>
      <c r="CG171" s="539"/>
      <c r="CH171" s="539"/>
      <c r="CI171" s="539"/>
      <c r="CJ171" s="539"/>
      <c r="CK171" s="539"/>
      <c r="CL171" s="539"/>
      <c r="CM171" s="539"/>
      <c r="CN171" s="539"/>
      <c r="CO171" s="539"/>
      <c r="CP171" s="539"/>
      <c r="CQ171" s="539"/>
      <c r="CR171" s="539"/>
      <c r="CS171" s="539"/>
      <c r="CT171" s="539"/>
      <c r="CU171" s="539"/>
      <c r="CV171" s="539"/>
      <c r="CW171" s="539"/>
      <c r="CX171" s="539"/>
      <c r="CY171" s="539"/>
      <c r="CZ171" s="539"/>
      <c r="DA171" s="539"/>
      <c r="DB171" s="539"/>
      <c r="DC171" s="539"/>
      <c r="DD171" s="539"/>
      <c r="DE171" s="539"/>
      <c r="DF171" s="539"/>
      <c r="DG171" s="539"/>
      <c r="DH171" s="539"/>
      <c r="DI171" s="539"/>
      <c r="DJ171" s="539"/>
      <c r="DK171" s="539"/>
      <c r="DL171" s="539"/>
      <c r="DM171" s="539"/>
      <c r="DN171" s="539"/>
      <c r="DO171" s="539"/>
      <c r="DP171" s="539"/>
      <c r="DQ171" s="539"/>
      <c r="DR171" s="539"/>
      <c r="DS171" s="539"/>
      <c r="DT171" s="539"/>
      <c r="DU171" s="539"/>
      <c r="DV171" s="539"/>
      <c r="DW171" s="539"/>
      <c r="DX171" s="539"/>
      <c r="DY171" s="539"/>
      <c r="DZ171" s="539"/>
      <c r="EA171" s="539"/>
      <c r="EB171" s="539"/>
      <c r="EC171" s="539"/>
      <c r="ED171" s="539"/>
    </row>
    <row r="172" spans="1:134" ht="13.5" hidden="1" customHeight="1">
      <c r="A172" s="549"/>
      <c r="B172" s="11" t="e">
        <f>+#REF!</f>
        <v>#REF!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539"/>
      <c r="AR172" s="539"/>
      <c r="AS172" s="539"/>
      <c r="AT172" s="539"/>
      <c r="AU172" s="539"/>
      <c r="AV172" s="539"/>
      <c r="AW172" s="539"/>
      <c r="AX172" s="539"/>
      <c r="AY172" s="539"/>
      <c r="AZ172" s="539"/>
      <c r="BA172" s="539"/>
      <c r="BB172" s="539"/>
      <c r="BC172" s="539"/>
      <c r="BD172" s="539"/>
      <c r="BE172" s="539"/>
      <c r="BF172" s="539"/>
      <c r="BG172" s="539"/>
      <c r="BH172" s="539"/>
      <c r="BI172" s="539"/>
      <c r="BJ172" s="539"/>
      <c r="BK172" s="539"/>
      <c r="BL172" s="539"/>
      <c r="BM172" s="539"/>
      <c r="BN172" s="539"/>
      <c r="BO172" s="539"/>
      <c r="BP172" s="539"/>
      <c r="BQ172" s="539"/>
      <c r="BR172" s="539"/>
      <c r="BS172" s="539"/>
      <c r="BT172" s="539"/>
      <c r="BU172" s="539"/>
      <c r="BV172" s="539"/>
      <c r="BW172" s="539"/>
      <c r="BX172" s="539"/>
      <c r="BY172" s="539"/>
      <c r="BZ172" s="539"/>
      <c r="CA172" s="539"/>
      <c r="CB172" s="539"/>
      <c r="CC172" s="539"/>
      <c r="CD172" s="539"/>
      <c r="CE172" s="539"/>
      <c r="CF172" s="539"/>
      <c r="CG172" s="539"/>
      <c r="CH172" s="539"/>
      <c r="CI172" s="539"/>
      <c r="CJ172" s="539"/>
      <c r="CK172" s="539"/>
      <c r="CL172" s="539"/>
      <c r="CM172" s="539"/>
      <c r="CN172" s="539"/>
      <c r="CO172" s="539"/>
      <c r="CP172" s="539"/>
      <c r="CQ172" s="539"/>
      <c r="CR172" s="539"/>
      <c r="CS172" s="539"/>
      <c r="CT172" s="539"/>
      <c r="CU172" s="539"/>
      <c r="CV172" s="539"/>
      <c r="CW172" s="539"/>
      <c r="CX172" s="539"/>
      <c r="CY172" s="539"/>
      <c r="CZ172" s="539"/>
      <c r="DA172" s="539"/>
      <c r="DB172" s="539"/>
      <c r="DC172" s="539"/>
      <c r="DD172" s="539"/>
      <c r="DE172" s="539"/>
      <c r="DF172" s="539"/>
      <c r="DG172" s="539"/>
      <c r="DH172" s="539"/>
      <c r="DI172" s="539"/>
      <c r="DJ172" s="539"/>
      <c r="DK172" s="539"/>
      <c r="DL172" s="539"/>
      <c r="DM172" s="539"/>
      <c r="DN172" s="539"/>
      <c r="DO172" s="539"/>
      <c r="DP172" s="539"/>
      <c r="DQ172" s="539"/>
      <c r="DR172" s="539"/>
      <c r="DS172" s="539"/>
      <c r="DT172" s="539"/>
      <c r="DU172" s="539"/>
      <c r="DV172" s="539"/>
      <c r="DW172" s="539"/>
      <c r="DX172" s="539"/>
      <c r="DY172" s="539"/>
      <c r="DZ172" s="539"/>
      <c r="EA172" s="539"/>
      <c r="EB172" s="539"/>
      <c r="EC172" s="539"/>
      <c r="ED172" s="539"/>
    </row>
    <row r="173" spans="1:134" ht="13.5" hidden="1" customHeight="1">
      <c r="A173" s="549"/>
      <c r="B173" s="11" t="e">
        <f>+#REF!</f>
        <v>#REF!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539"/>
      <c r="AR173" s="539"/>
      <c r="AS173" s="539"/>
      <c r="AT173" s="539"/>
      <c r="AU173" s="539"/>
      <c r="AV173" s="539"/>
      <c r="AW173" s="539"/>
      <c r="AX173" s="539"/>
      <c r="AY173" s="539"/>
      <c r="AZ173" s="539"/>
      <c r="BA173" s="539"/>
      <c r="BB173" s="539"/>
      <c r="BC173" s="539"/>
      <c r="BD173" s="539"/>
      <c r="BE173" s="539"/>
      <c r="BF173" s="539"/>
      <c r="BG173" s="539"/>
      <c r="BH173" s="539"/>
      <c r="BI173" s="539"/>
      <c r="BJ173" s="539"/>
      <c r="BK173" s="539"/>
      <c r="BL173" s="539"/>
      <c r="BM173" s="539"/>
      <c r="BN173" s="539"/>
      <c r="BO173" s="539"/>
      <c r="BP173" s="539"/>
      <c r="BQ173" s="539"/>
      <c r="BR173" s="539"/>
      <c r="BS173" s="539"/>
      <c r="BT173" s="539"/>
      <c r="BU173" s="539"/>
      <c r="BV173" s="539"/>
      <c r="BW173" s="539"/>
      <c r="BX173" s="539"/>
      <c r="BY173" s="539"/>
      <c r="BZ173" s="539"/>
      <c r="CA173" s="539"/>
      <c r="CB173" s="539"/>
      <c r="CC173" s="539"/>
      <c r="CD173" s="539"/>
      <c r="CE173" s="539"/>
      <c r="CF173" s="539"/>
      <c r="CG173" s="539"/>
      <c r="CH173" s="539"/>
      <c r="CI173" s="539"/>
      <c r="CJ173" s="539"/>
      <c r="CK173" s="539"/>
      <c r="CL173" s="539"/>
      <c r="CM173" s="539"/>
      <c r="CN173" s="539"/>
      <c r="CO173" s="539"/>
      <c r="CP173" s="539"/>
      <c r="CQ173" s="539"/>
      <c r="CR173" s="539"/>
      <c r="CS173" s="539"/>
      <c r="CT173" s="539"/>
      <c r="CU173" s="539"/>
      <c r="CV173" s="539"/>
      <c r="CW173" s="539"/>
      <c r="CX173" s="539"/>
      <c r="CY173" s="539"/>
      <c r="CZ173" s="539"/>
      <c r="DA173" s="539"/>
      <c r="DB173" s="539"/>
      <c r="DC173" s="539"/>
      <c r="DD173" s="539"/>
      <c r="DE173" s="539"/>
      <c r="DF173" s="539"/>
      <c r="DG173" s="539"/>
      <c r="DH173" s="539"/>
      <c r="DI173" s="539"/>
      <c r="DJ173" s="539"/>
      <c r="DK173" s="539"/>
      <c r="DL173" s="539"/>
      <c r="DM173" s="539"/>
      <c r="DN173" s="539"/>
      <c r="DO173" s="539"/>
      <c r="DP173" s="539"/>
      <c r="DQ173" s="539"/>
      <c r="DR173" s="539"/>
      <c r="DS173" s="539"/>
      <c r="DT173" s="539"/>
      <c r="DU173" s="539"/>
      <c r="DV173" s="539"/>
      <c r="DW173" s="539"/>
      <c r="DX173" s="539"/>
      <c r="DY173" s="539"/>
      <c r="DZ173" s="539"/>
      <c r="EA173" s="539"/>
      <c r="EB173" s="539"/>
      <c r="EC173" s="539"/>
      <c r="ED173" s="539"/>
    </row>
    <row r="174" spans="1:134" ht="13.5" hidden="1" customHeight="1">
      <c r="A174" s="549"/>
      <c r="B174" s="11" t="e">
        <f>+#REF!</f>
        <v>#REF!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539"/>
      <c r="AR174" s="539"/>
      <c r="AS174" s="539"/>
      <c r="AT174" s="539"/>
      <c r="AU174" s="539"/>
      <c r="AV174" s="539"/>
      <c r="AW174" s="539"/>
      <c r="AX174" s="539"/>
      <c r="AY174" s="539"/>
      <c r="AZ174" s="539"/>
      <c r="BA174" s="539"/>
      <c r="BB174" s="539"/>
      <c r="BC174" s="539"/>
      <c r="BD174" s="539"/>
      <c r="BE174" s="539"/>
      <c r="BF174" s="539"/>
      <c r="BG174" s="539"/>
      <c r="BH174" s="539"/>
      <c r="BI174" s="539"/>
      <c r="BJ174" s="539"/>
      <c r="BK174" s="539"/>
      <c r="BL174" s="539"/>
      <c r="BM174" s="539"/>
      <c r="BN174" s="539"/>
      <c r="BO174" s="539"/>
      <c r="BP174" s="539"/>
      <c r="BQ174" s="539"/>
      <c r="BR174" s="539"/>
      <c r="BS174" s="539"/>
      <c r="BT174" s="539"/>
      <c r="BU174" s="539"/>
      <c r="BV174" s="539"/>
      <c r="BW174" s="539"/>
      <c r="BX174" s="539"/>
      <c r="BY174" s="539"/>
      <c r="BZ174" s="539"/>
      <c r="CA174" s="539"/>
      <c r="CB174" s="539"/>
      <c r="CC174" s="539"/>
      <c r="CD174" s="539"/>
      <c r="CE174" s="539"/>
      <c r="CF174" s="539"/>
      <c r="CG174" s="539"/>
      <c r="CH174" s="539"/>
      <c r="CI174" s="539"/>
      <c r="CJ174" s="539"/>
      <c r="CK174" s="539"/>
      <c r="CL174" s="539"/>
      <c r="CM174" s="539"/>
      <c r="CN174" s="539"/>
      <c r="CO174" s="539"/>
      <c r="CP174" s="539"/>
      <c r="CQ174" s="539"/>
      <c r="CR174" s="539"/>
      <c r="CS174" s="539"/>
      <c r="CT174" s="539"/>
      <c r="CU174" s="539"/>
      <c r="CV174" s="539"/>
      <c r="CW174" s="539"/>
      <c r="CX174" s="539"/>
      <c r="CY174" s="539"/>
      <c r="CZ174" s="539"/>
      <c r="DA174" s="539"/>
      <c r="DB174" s="539"/>
      <c r="DC174" s="539"/>
      <c r="DD174" s="539"/>
      <c r="DE174" s="539"/>
      <c r="DF174" s="539"/>
      <c r="DG174" s="539"/>
      <c r="DH174" s="539"/>
      <c r="DI174" s="539"/>
      <c r="DJ174" s="539"/>
      <c r="DK174" s="539"/>
      <c r="DL174" s="539"/>
      <c r="DM174" s="539"/>
      <c r="DN174" s="539"/>
      <c r="DO174" s="539"/>
      <c r="DP174" s="539"/>
      <c r="DQ174" s="539"/>
      <c r="DR174" s="539"/>
      <c r="DS174" s="539"/>
      <c r="DT174" s="539"/>
      <c r="DU174" s="539"/>
      <c r="DV174" s="539"/>
      <c r="DW174" s="539"/>
      <c r="DX174" s="539"/>
      <c r="DY174" s="539"/>
      <c r="DZ174" s="539"/>
      <c r="EA174" s="539"/>
      <c r="EB174" s="539"/>
      <c r="EC174" s="539"/>
      <c r="ED174" s="539"/>
    </row>
    <row r="175" spans="1:134" ht="13.5" hidden="1" customHeight="1">
      <c r="A175" s="549">
        <v>0</v>
      </c>
      <c r="B175" s="11" t="e">
        <f>+#REF!</f>
        <v>#REF!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539"/>
      <c r="AR175" s="539"/>
      <c r="AS175" s="539"/>
      <c r="AT175" s="539"/>
      <c r="AU175" s="539"/>
      <c r="AV175" s="539"/>
      <c r="AW175" s="539"/>
      <c r="AX175" s="539"/>
      <c r="AY175" s="539"/>
      <c r="AZ175" s="539"/>
      <c r="BA175" s="539"/>
      <c r="BB175" s="539"/>
      <c r="BC175" s="539"/>
      <c r="BD175" s="539"/>
      <c r="BE175" s="539"/>
      <c r="BF175" s="539"/>
      <c r="BG175" s="539"/>
      <c r="BH175" s="539"/>
      <c r="BI175" s="539"/>
      <c r="BJ175" s="539"/>
      <c r="BK175" s="539"/>
      <c r="BL175" s="539"/>
      <c r="BM175" s="539"/>
      <c r="BN175" s="539"/>
      <c r="BO175" s="539"/>
      <c r="BP175" s="539"/>
      <c r="BQ175" s="539"/>
      <c r="BR175" s="539"/>
      <c r="BS175" s="539"/>
      <c r="BT175" s="539"/>
      <c r="BU175" s="539"/>
      <c r="BV175" s="539"/>
      <c r="BW175" s="539"/>
      <c r="BX175" s="539"/>
      <c r="BY175" s="539"/>
      <c r="BZ175" s="539"/>
      <c r="CA175" s="539"/>
      <c r="CB175" s="539"/>
      <c r="CC175" s="539"/>
      <c r="CD175" s="539"/>
      <c r="CE175" s="539"/>
      <c r="CF175" s="539"/>
      <c r="CG175" s="539"/>
      <c r="CH175" s="539"/>
      <c r="CI175" s="539"/>
      <c r="CJ175" s="539"/>
      <c r="CK175" s="539"/>
      <c r="CL175" s="539"/>
      <c r="CM175" s="539"/>
      <c r="CN175" s="539"/>
      <c r="CO175" s="539"/>
      <c r="CP175" s="539"/>
      <c r="CQ175" s="539"/>
      <c r="CR175" s="539"/>
      <c r="CS175" s="539"/>
      <c r="CT175" s="539"/>
      <c r="CU175" s="539"/>
      <c r="CV175" s="539"/>
      <c r="CW175" s="539"/>
      <c r="CX175" s="539"/>
      <c r="CY175" s="539"/>
      <c r="CZ175" s="539"/>
      <c r="DA175" s="539"/>
      <c r="DB175" s="539"/>
      <c r="DC175" s="539"/>
      <c r="DD175" s="539"/>
      <c r="DE175" s="539"/>
      <c r="DF175" s="539"/>
      <c r="DG175" s="539"/>
      <c r="DH175" s="539"/>
      <c r="DI175" s="539"/>
      <c r="DJ175" s="539"/>
      <c r="DK175" s="539"/>
      <c r="DL175" s="539"/>
      <c r="DM175" s="539"/>
      <c r="DN175" s="539"/>
      <c r="DO175" s="539"/>
      <c r="DP175" s="539"/>
      <c r="DQ175" s="539"/>
      <c r="DR175" s="539"/>
      <c r="DS175" s="539"/>
      <c r="DT175" s="539"/>
      <c r="DU175" s="539"/>
      <c r="DV175" s="539"/>
      <c r="DW175" s="539"/>
      <c r="DX175" s="539"/>
      <c r="DY175" s="539"/>
      <c r="DZ175" s="539"/>
      <c r="EA175" s="539"/>
      <c r="EB175" s="539"/>
      <c r="EC175" s="539"/>
      <c r="ED175" s="539"/>
    </row>
    <row r="176" spans="1:134" ht="13.5" hidden="1" customHeight="1">
      <c r="A176" s="549"/>
      <c r="B176" s="11" t="e">
        <f>+#REF!</f>
        <v>#REF!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539"/>
      <c r="AR176" s="539"/>
      <c r="AS176" s="539"/>
      <c r="AT176" s="539"/>
      <c r="AU176" s="539"/>
      <c r="AV176" s="539"/>
      <c r="AW176" s="539"/>
      <c r="AX176" s="539"/>
      <c r="AY176" s="539"/>
      <c r="AZ176" s="539"/>
      <c r="BA176" s="539"/>
      <c r="BB176" s="539"/>
      <c r="BC176" s="539"/>
      <c r="BD176" s="539"/>
      <c r="BE176" s="539"/>
      <c r="BF176" s="539"/>
      <c r="BG176" s="539"/>
      <c r="BH176" s="539"/>
      <c r="BI176" s="539"/>
      <c r="BJ176" s="539"/>
      <c r="BK176" s="539"/>
      <c r="BL176" s="539"/>
      <c r="BM176" s="539"/>
      <c r="BN176" s="539"/>
      <c r="BO176" s="539"/>
      <c r="BP176" s="539"/>
      <c r="BQ176" s="539"/>
      <c r="BR176" s="539"/>
      <c r="BS176" s="539"/>
      <c r="BT176" s="539"/>
      <c r="BU176" s="539"/>
      <c r="BV176" s="539"/>
      <c r="BW176" s="539"/>
      <c r="BX176" s="539"/>
      <c r="BY176" s="539"/>
      <c r="BZ176" s="539"/>
      <c r="CA176" s="539"/>
      <c r="CB176" s="539"/>
      <c r="CC176" s="539"/>
      <c r="CD176" s="539"/>
      <c r="CE176" s="539"/>
      <c r="CF176" s="539"/>
      <c r="CG176" s="539"/>
      <c r="CH176" s="539"/>
      <c r="CI176" s="539"/>
      <c r="CJ176" s="539"/>
      <c r="CK176" s="539"/>
      <c r="CL176" s="539"/>
      <c r="CM176" s="539"/>
      <c r="CN176" s="539"/>
      <c r="CO176" s="539"/>
      <c r="CP176" s="539"/>
      <c r="CQ176" s="539"/>
      <c r="CR176" s="539"/>
      <c r="CS176" s="539"/>
      <c r="CT176" s="539"/>
      <c r="CU176" s="539"/>
      <c r="CV176" s="539"/>
      <c r="CW176" s="539"/>
      <c r="CX176" s="539"/>
      <c r="CY176" s="539"/>
      <c r="CZ176" s="539"/>
      <c r="DA176" s="539"/>
      <c r="DB176" s="539"/>
      <c r="DC176" s="539"/>
      <c r="DD176" s="539"/>
      <c r="DE176" s="539"/>
      <c r="DF176" s="539"/>
      <c r="DG176" s="539"/>
      <c r="DH176" s="539"/>
      <c r="DI176" s="539"/>
      <c r="DJ176" s="539"/>
      <c r="DK176" s="539"/>
      <c r="DL176" s="539"/>
      <c r="DM176" s="539"/>
      <c r="DN176" s="539"/>
      <c r="DO176" s="539"/>
      <c r="DP176" s="539"/>
      <c r="DQ176" s="539"/>
      <c r="DR176" s="539"/>
      <c r="DS176" s="539"/>
      <c r="DT176" s="539"/>
      <c r="DU176" s="539"/>
      <c r="DV176" s="539"/>
      <c r="DW176" s="539"/>
      <c r="DX176" s="539"/>
      <c r="DY176" s="539"/>
      <c r="DZ176" s="539"/>
      <c r="EA176" s="539"/>
      <c r="EB176" s="539"/>
      <c r="EC176" s="539"/>
      <c r="ED176" s="539"/>
    </row>
    <row r="177" spans="1:134" ht="13.5" hidden="1" customHeight="1">
      <c r="A177" s="549"/>
      <c r="B177" s="11" t="e">
        <f>+#REF!</f>
        <v>#REF!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550"/>
      <c r="V177" s="550"/>
      <c r="W177" s="550"/>
      <c r="X177" s="550"/>
      <c r="Y177" s="550"/>
      <c r="Z177" s="550"/>
      <c r="AA177" s="550"/>
      <c r="AB177" s="550"/>
      <c r="AC177" s="550"/>
      <c r="AD177" s="550"/>
      <c r="AE177" s="550"/>
      <c r="AF177" s="550"/>
      <c r="AG177" s="550"/>
      <c r="AH177" s="550"/>
      <c r="AI177" s="550"/>
      <c r="AJ177" s="550"/>
      <c r="AK177" s="550"/>
      <c r="AL177" s="550"/>
      <c r="AM177" s="550"/>
      <c r="AN177" s="550"/>
      <c r="AO177" s="550"/>
      <c r="AP177" s="550"/>
      <c r="AQ177" s="539"/>
      <c r="AR177" s="539"/>
      <c r="AS177" s="539"/>
      <c r="AT177" s="539"/>
      <c r="AU177" s="539"/>
      <c r="AV177" s="539"/>
      <c r="AW177" s="539"/>
      <c r="AX177" s="539"/>
      <c r="AY177" s="539"/>
      <c r="AZ177" s="539"/>
      <c r="BA177" s="539"/>
      <c r="BB177" s="539"/>
      <c r="BC177" s="539"/>
      <c r="BD177" s="539"/>
      <c r="BE177" s="539"/>
      <c r="BF177" s="539"/>
      <c r="BG177" s="539"/>
      <c r="BH177" s="539"/>
      <c r="BI177" s="539"/>
      <c r="BJ177" s="539"/>
      <c r="BK177" s="539"/>
      <c r="BL177" s="539"/>
      <c r="BM177" s="539"/>
      <c r="BN177" s="539"/>
      <c r="BO177" s="539"/>
      <c r="BP177" s="539"/>
      <c r="BQ177" s="539"/>
      <c r="BR177" s="539"/>
      <c r="BS177" s="539"/>
      <c r="BT177" s="539"/>
      <c r="BU177" s="539"/>
      <c r="BV177" s="539"/>
      <c r="BW177" s="539"/>
      <c r="BX177" s="539"/>
      <c r="BY177" s="539"/>
      <c r="BZ177" s="539"/>
      <c r="CA177" s="539"/>
      <c r="CB177" s="539"/>
      <c r="CC177" s="539"/>
      <c r="CD177" s="539"/>
      <c r="CE177" s="539"/>
      <c r="CF177" s="539"/>
      <c r="CG177" s="539"/>
      <c r="CH177" s="539"/>
      <c r="CI177" s="539"/>
      <c r="CJ177" s="539"/>
      <c r="CK177" s="539"/>
      <c r="CL177" s="539"/>
      <c r="CM177" s="539"/>
      <c r="CN177" s="539"/>
      <c r="CO177" s="539"/>
      <c r="CP177" s="539"/>
      <c r="CQ177" s="539"/>
      <c r="CR177" s="539"/>
      <c r="CS177" s="539"/>
      <c r="CT177" s="539"/>
      <c r="CU177" s="539"/>
      <c r="CV177" s="539"/>
      <c r="CW177" s="539"/>
      <c r="CX177" s="539"/>
      <c r="CY177" s="539"/>
      <c r="CZ177" s="539"/>
      <c r="DA177" s="539"/>
      <c r="DB177" s="539"/>
      <c r="DC177" s="539"/>
      <c r="DD177" s="539"/>
      <c r="DE177" s="539"/>
      <c r="DF177" s="539"/>
      <c r="DG177" s="539"/>
      <c r="DH177" s="539"/>
      <c r="DI177" s="539"/>
      <c r="DJ177" s="539"/>
      <c r="DK177" s="539"/>
      <c r="DL177" s="539"/>
      <c r="DM177" s="539"/>
      <c r="DN177" s="539"/>
      <c r="DO177" s="539"/>
      <c r="DP177" s="539"/>
      <c r="DQ177" s="539"/>
      <c r="DR177" s="539"/>
      <c r="DS177" s="539"/>
      <c r="DT177" s="539"/>
      <c r="DU177" s="539"/>
      <c r="DV177" s="539"/>
      <c r="DW177" s="539"/>
      <c r="DX177" s="539"/>
      <c r="DY177" s="539"/>
      <c r="DZ177" s="539"/>
      <c r="EA177" s="539"/>
      <c r="EB177" s="539"/>
      <c r="EC177" s="539"/>
      <c r="ED177" s="539"/>
    </row>
    <row r="178" spans="1:134" ht="13.5" hidden="1" customHeight="1">
      <c r="A178" s="549"/>
      <c r="B178" s="11" t="e">
        <f>+#REF!</f>
        <v>#REF!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539"/>
      <c r="AR178" s="539"/>
      <c r="AS178" s="539"/>
      <c r="AT178" s="539"/>
      <c r="AU178" s="539"/>
      <c r="AV178" s="539"/>
      <c r="AW178" s="539"/>
      <c r="AX178" s="539"/>
      <c r="AY178" s="539"/>
      <c r="AZ178" s="539"/>
      <c r="BA178" s="539"/>
      <c r="BB178" s="539"/>
      <c r="BC178" s="539"/>
      <c r="BD178" s="539"/>
      <c r="BE178" s="539"/>
      <c r="BF178" s="539"/>
      <c r="BG178" s="539"/>
      <c r="BH178" s="539"/>
      <c r="BI178" s="539"/>
      <c r="BJ178" s="539"/>
      <c r="BK178" s="539"/>
      <c r="BL178" s="539"/>
      <c r="BM178" s="539"/>
      <c r="BN178" s="539"/>
      <c r="BO178" s="539"/>
      <c r="BP178" s="539"/>
      <c r="BQ178" s="539"/>
      <c r="BR178" s="539"/>
      <c r="BS178" s="539"/>
      <c r="BT178" s="539"/>
      <c r="BU178" s="539"/>
      <c r="BV178" s="539"/>
      <c r="BW178" s="539"/>
      <c r="BX178" s="539"/>
      <c r="BY178" s="539"/>
      <c r="BZ178" s="539"/>
      <c r="CA178" s="539"/>
      <c r="CB178" s="539"/>
      <c r="CC178" s="539"/>
      <c r="CD178" s="539"/>
      <c r="CE178" s="539"/>
      <c r="CF178" s="539"/>
      <c r="CG178" s="539"/>
      <c r="CH178" s="539"/>
      <c r="CI178" s="539"/>
      <c r="CJ178" s="539"/>
      <c r="CK178" s="539"/>
      <c r="CL178" s="539"/>
      <c r="CM178" s="539"/>
      <c r="CN178" s="539"/>
      <c r="CO178" s="539"/>
      <c r="CP178" s="539"/>
      <c r="CQ178" s="539"/>
      <c r="CR178" s="539"/>
      <c r="CS178" s="539"/>
      <c r="CT178" s="539"/>
      <c r="CU178" s="539"/>
      <c r="CV178" s="539"/>
      <c r="CW178" s="539"/>
      <c r="CX178" s="539"/>
      <c r="CY178" s="539"/>
      <c r="CZ178" s="539"/>
      <c r="DA178" s="539"/>
      <c r="DB178" s="539"/>
      <c r="DC178" s="539"/>
      <c r="DD178" s="539"/>
      <c r="DE178" s="539"/>
      <c r="DF178" s="539"/>
      <c r="DG178" s="539"/>
      <c r="DH178" s="539"/>
      <c r="DI178" s="539"/>
      <c r="DJ178" s="539"/>
      <c r="DK178" s="539"/>
      <c r="DL178" s="539"/>
      <c r="DM178" s="539"/>
      <c r="DN178" s="539"/>
      <c r="DO178" s="539"/>
      <c r="DP178" s="539"/>
      <c r="DQ178" s="539"/>
      <c r="DR178" s="539"/>
      <c r="DS178" s="539"/>
      <c r="DT178" s="539"/>
      <c r="DU178" s="539"/>
      <c r="DV178" s="539"/>
      <c r="DW178" s="539"/>
      <c r="DX178" s="539"/>
      <c r="DY178" s="539"/>
      <c r="DZ178" s="539"/>
      <c r="EA178" s="539"/>
      <c r="EB178" s="539"/>
      <c r="EC178" s="539"/>
      <c r="ED178" s="539"/>
    </row>
    <row r="179" spans="1:134" ht="13.5" hidden="1" customHeight="1">
      <c r="A179" s="549"/>
      <c r="B179" s="11" t="e">
        <f>+#REF!</f>
        <v>#REF!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539"/>
      <c r="AR179" s="539"/>
      <c r="AS179" s="539"/>
      <c r="AT179" s="539"/>
      <c r="AU179" s="539"/>
      <c r="AV179" s="539"/>
      <c r="AW179" s="539"/>
      <c r="AX179" s="539"/>
      <c r="AY179" s="539"/>
      <c r="AZ179" s="539"/>
      <c r="BA179" s="539"/>
      <c r="BB179" s="539"/>
      <c r="BC179" s="539"/>
      <c r="BD179" s="539"/>
      <c r="BE179" s="539"/>
      <c r="BF179" s="539"/>
      <c r="BG179" s="539"/>
      <c r="BH179" s="539"/>
      <c r="BI179" s="539"/>
      <c r="BJ179" s="539"/>
      <c r="BK179" s="539"/>
      <c r="BL179" s="539"/>
      <c r="BM179" s="539"/>
      <c r="BN179" s="539"/>
      <c r="BO179" s="539"/>
      <c r="BP179" s="539"/>
      <c r="BQ179" s="539"/>
      <c r="BR179" s="539"/>
      <c r="BS179" s="539"/>
      <c r="BT179" s="539"/>
      <c r="BU179" s="539"/>
      <c r="BV179" s="539"/>
      <c r="BW179" s="539"/>
      <c r="BX179" s="539"/>
      <c r="BY179" s="539"/>
      <c r="BZ179" s="539"/>
      <c r="CA179" s="539"/>
      <c r="CB179" s="539"/>
      <c r="CC179" s="539"/>
      <c r="CD179" s="539"/>
      <c r="CE179" s="539"/>
      <c r="CF179" s="539"/>
      <c r="CG179" s="539"/>
      <c r="CH179" s="539"/>
      <c r="CI179" s="539"/>
      <c r="CJ179" s="539"/>
      <c r="CK179" s="539"/>
      <c r="CL179" s="539"/>
      <c r="CM179" s="539"/>
      <c r="CN179" s="539"/>
      <c r="CO179" s="539"/>
      <c r="CP179" s="539"/>
      <c r="CQ179" s="539"/>
      <c r="CR179" s="539"/>
      <c r="CS179" s="539"/>
      <c r="CT179" s="539"/>
      <c r="CU179" s="539"/>
      <c r="CV179" s="539"/>
      <c r="CW179" s="539"/>
      <c r="CX179" s="539"/>
      <c r="CY179" s="539"/>
      <c r="CZ179" s="539"/>
      <c r="DA179" s="539"/>
      <c r="DB179" s="539"/>
      <c r="DC179" s="539"/>
      <c r="DD179" s="539"/>
      <c r="DE179" s="539"/>
      <c r="DF179" s="539"/>
      <c r="DG179" s="539"/>
      <c r="DH179" s="539"/>
      <c r="DI179" s="539"/>
      <c r="DJ179" s="539"/>
      <c r="DK179" s="539"/>
      <c r="DL179" s="539"/>
      <c r="DM179" s="539"/>
      <c r="DN179" s="539"/>
      <c r="DO179" s="539"/>
      <c r="DP179" s="539"/>
      <c r="DQ179" s="539"/>
      <c r="DR179" s="539"/>
      <c r="DS179" s="539"/>
      <c r="DT179" s="539"/>
      <c r="DU179" s="539"/>
      <c r="DV179" s="539"/>
      <c r="DW179" s="539"/>
      <c r="DX179" s="539"/>
      <c r="DY179" s="539"/>
      <c r="DZ179" s="539"/>
      <c r="EA179" s="539"/>
      <c r="EB179" s="539"/>
      <c r="EC179" s="539"/>
      <c r="ED179" s="539"/>
    </row>
    <row r="180" spans="1:134" ht="13.5" hidden="1" customHeight="1">
      <c r="A180" s="549"/>
      <c r="B180" s="11" t="e">
        <f>+#REF!</f>
        <v>#REF!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539"/>
      <c r="AR180" s="539"/>
      <c r="AS180" s="539"/>
      <c r="AT180" s="539"/>
      <c r="AU180" s="539"/>
      <c r="AV180" s="539"/>
      <c r="AW180" s="539"/>
      <c r="AX180" s="539"/>
      <c r="AY180" s="539"/>
      <c r="AZ180" s="539"/>
      <c r="BA180" s="539"/>
      <c r="BB180" s="539"/>
      <c r="BC180" s="539"/>
      <c r="BD180" s="539"/>
      <c r="BE180" s="539"/>
      <c r="BF180" s="539"/>
      <c r="BG180" s="539"/>
      <c r="BH180" s="539"/>
      <c r="BI180" s="539"/>
      <c r="BJ180" s="539"/>
      <c r="BK180" s="539"/>
      <c r="BL180" s="539"/>
      <c r="BM180" s="539"/>
      <c r="BN180" s="539"/>
      <c r="BO180" s="539"/>
      <c r="BP180" s="539"/>
      <c r="BQ180" s="539"/>
      <c r="BR180" s="539"/>
      <c r="BS180" s="539"/>
      <c r="BT180" s="539"/>
      <c r="BU180" s="539"/>
      <c r="BV180" s="539"/>
      <c r="BW180" s="539"/>
      <c r="BX180" s="539"/>
      <c r="BY180" s="539"/>
      <c r="BZ180" s="539"/>
      <c r="CA180" s="539"/>
      <c r="CB180" s="539"/>
      <c r="CC180" s="539"/>
      <c r="CD180" s="539"/>
      <c r="CE180" s="539"/>
      <c r="CF180" s="539"/>
      <c r="CG180" s="539"/>
      <c r="CH180" s="539"/>
      <c r="CI180" s="539"/>
      <c r="CJ180" s="539"/>
      <c r="CK180" s="539"/>
      <c r="CL180" s="539"/>
      <c r="CM180" s="539"/>
      <c r="CN180" s="539"/>
      <c r="CO180" s="539"/>
      <c r="CP180" s="539"/>
      <c r="CQ180" s="539"/>
      <c r="CR180" s="539"/>
      <c r="CS180" s="539"/>
      <c r="CT180" s="539"/>
      <c r="CU180" s="539"/>
      <c r="CV180" s="539"/>
      <c r="CW180" s="539"/>
      <c r="CX180" s="539"/>
      <c r="CY180" s="539"/>
      <c r="CZ180" s="539"/>
      <c r="DA180" s="539"/>
      <c r="DB180" s="539"/>
      <c r="DC180" s="539"/>
      <c r="DD180" s="539"/>
      <c r="DE180" s="539"/>
      <c r="DF180" s="539"/>
      <c r="DG180" s="539"/>
      <c r="DH180" s="539"/>
      <c r="DI180" s="539"/>
      <c r="DJ180" s="539"/>
      <c r="DK180" s="539"/>
      <c r="DL180" s="539"/>
      <c r="DM180" s="539"/>
      <c r="DN180" s="539"/>
      <c r="DO180" s="539"/>
      <c r="DP180" s="539"/>
      <c r="DQ180" s="539"/>
      <c r="DR180" s="539"/>
      <c r="DS180" s="539"/>
      <c r="DT180" s="539"/>
      <c r="DU180" s="539"/>
      <c r="DV180" s="539"/>
      <c r="DW180" s="539"/>
      <c r="DX180" s="539"/>
      <c r="DY180" s="539"/>
      <c r="DZ180" s="539"/>
      <c r="EA180" s="539"/>
      <c r="EB180" s="539"/>
      <c r="EC180" s="539"/>
      <c r="ED180" s="539"/>
    </row>
    <row r="181" spans="1:134" ht="13.5" hidden="1" customHeight="1">
      <c r="A181" s="549"/>
      <c r="B181" s="11" t="e">
        <f>+#REF!</f>
        <v>#REF!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539"/>
      <c r="AR181" s="539"/>
      <c r="AS181" s="539"/>
      <c r="AT181" s="539"/>
      <c r="AU181" s="539"/>
      <c r="AV181" s="539"/>
      <c r="AW181" s="539"/>
      <c r="AX181" s="539"/>
      <c r="AY181" s="539"/>
      <c r="AZ181" s="539"/>
      <c r="BA181" s="539"/>
      <c r="BB181" s="539"/>
      <c r="BC181" s="539"/>
      <c r="BD181" s="539"/>
      <c r="BE181" s="539"/>
      <c r="BF181" s="539"/>
      <c r="BG181" s="539"/>
      <c r="BH181" s="539"/>
      <c r="BI181" s="539"/>
      <c r="BJ181" s="539"/>
      <c r="BK181" s="539"/>
      <c r="BL181" s="539"/>
      <c r="BM181" s="539"/>
      <c r="BN181" s="539"/>
      <c r="BO181" s="539"/>
      <c r="BP181" s="539"/>
      <c r="BQ181" s="539"/>
      <c r="BR181" s="539"/>
      <c r="BS181" s="539"/>
      <c r="BT181" s="539"/>
      <c r="BU181" s="539"/>
      <c r="BV181" s="539"/>
      <c r="BW181" s="539"/>
      <c r="BX181" s="539"/>
      <c r="BY181" s="539"/>
      <c r="BZ181" s="539"/>
      <c r="CA181" s="539"/>
      <c r="CB181" s="539"/>
      <c r="CC181" s="539"/>
      <c r="CD181" s="539"/>
      <c r="CE181" s="539"/>
      <c r="CF181" s="539"/>
      <c r="CG181" s="539"/>
      <c r="CH181" s="539"/>
      <c r="CI181" s="539"/>
      <c r="CJ181" s="539"/>
      <c r="CK181" s="539"/>
      <c r="CL181" s="539"/>
      <c r="CM181" s="539"/>
      <c r="CN181" s="539"/>
      <c r="CO181" s="539"/>
      <c r="CP181" s="539"/>
      <c r="CQ181" s="539"/>
      <c r="CR181" s="539"/>
      <c r="CS181" s="539"/>
      <c r="CT181" s="539"/>
      <c r="CU181" s="539"/>
      <c r="CV181" s="539"/>
      <c r="CW181" s="539"/>
      <c r="CX181" s="539"/>
      <c r="CY181" s="539"/>
      <c r="CZ181" s="539"/>
      <c r="DA181" s="539"/>
      <c r="DB181" s="539"/>
      <c r="DC181" s="539"/>
      <c r="DD181" s="539"/>
      <c r="DE181" s="539"/>
      <c r="DF181" s="539"/>
      <c r="DG181" s="539"/>
      <c r="DH181" s="539"/>
      <c r="DI181" s="539"/>
      <c r="DJ181" s="539"/>
      <c r="DK181" s="539"/>
      <c r="DL181" s="539"/>
      <c r="DM181" s="539"/>
      <c r="DN181" s="539"/>
      <c r="DO181" s="539"/>
      <c r="DP181" s="539"/>
      <c r="DQ181" s="539"/>
      <c r="DR181" s="539"/>
      <c r="DS181" s="539"/>
      <c r="DT181" s="539"/>
      <c r="DU181" s="539"/>
      <c r="DV181" s="539"/>
      <c r="DW181" s="539"/>
      <c r="DX181" s="539"/>
      <c r="DY181" s="539"/>
      <c r="DZ181" s="539"/>
      <c r="EA181" s="539"/>
      <c r="EB181" s="539"/>
      <c r="EC181" s="539"/>
      <c r="ED181" s="539"/>
    </row>
    <row r="182" spans="1:134" ht="13.5" hidden="1" customHeight="1">
      <c r="A182" s="549">
        <v>0</v>
      </c>
      <c r="B182" s="11" t="e">
        <f>+#REF!</f>
        <v>#REF!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539"/>
      <c r="AR182" s="539"/>
      <c r="AS182" s="539"/>
      <c r="AT182" s="539"/>
      <c r="AU182" s="539"/>
      <c r="AV182" s="539"/>
      <c r="AW182" s="539"/>
      <c r="AX182" s="539"/>
      <c r="AY182" s="539"/>
      <c r="AZ182" s="539"/>
      <c r="BA182" s="539"/>
      <c r="BB182" s="539"/>
      <c r="BC182" s="539"/>
      <c r="BD182" s="539"/>
      <c r="BE182" s="539"/>
      <c r="BF182" s="539"/>
      <c r="BG182" s="539"/>
      <c r="BH182" s="539"/>
      <c r="BI182" s="539"/>
      <c r="BJ182" s="539"/>
      <c r="BK182" s="539"/>
      <c r="BL182" s="539"/>
      <c r="BM182" s="539"/>
      <c r="BN182" s="539"/>
      <c r="BO182" s="539"/>
      <c r="BP182" s="539"/>
      <c r="BQ182" s="539"/>
      <c r="BR182" s="539"/>
      <c r="BS182" s="539"/>
      <c r="BT182" s="539"/>
      <c r="BU182" s="539"/>
      <c r="BV182" s="539"/>
      <c r="BW182" s="539"/>
      <c r="BX182" s="539"/>
      <c r="BY182" s="539"/>
      <c r="BZ182" s="539"/>
      <c r="CA182" s="539"/>
      <c r="CB182" s="539"/>
      <c r="CC182" s="539"/>
      <c r="CD182" s="539"/>
      <c r="CE182" s="539"/>
      <c r="CF182" s="539"/>
      <c r="CG182" s="539"/>
      <c r="CH182" s="539"/>
      <c r="CI182" s="539"/>
      <c r="CJ182" s="539"/>
      <c r="CK182" s="539"/>
      <c r="CL182" s="539"/>
      <c r="CM182" s="539"/>
      <c r="CN182" s="539"/>
      <c r="CO182" s="539"/>
      <c r="CP182" s="539"/>
      <c r="CQ182" s="539"/>
      <c r="CR182" s="539"/>
      <c r="CS182" s="539"/>
      <c r="CT182" s="539"/>
      <c r="CU182" s="539"/>
      <c r="CV182" s="539"/>
      <c r="CW182" s="539"/>
      <c r="CX182" s="539"/>
      <c r="CY182" s="539"/>
      <c r="CZ182" s="539"/>
      <c r="DA182" s="539"/>
      <c r="DB182" s="539"/>
      <c r="DC182" s="539"/>
      <c r="DD182" s="539"/>
      <c r="DE182" s="539"/>
      <c r="DF182" s="539"/>
      <c r="DG182" s="539"/>
      <c r="DH182" s="539"/>
      <c r="DI182" s="539"/>
      <c r="DJ182" s="539"/>
      <c r="DK182" s="539"/>
      <c r="DL182" s="539"/>
      <c r="DM182" s="539"/>
      <c r="DN182" s="539"/>
      <c r="DO182" s="539"/>
      <c r="DP182" s="539"/>
      <c r="DQ182" s="539"/>
      <c r="DR182" s="539"/>
      <c r="DS182" s="539"/>
      <c r="DT182" s="539"/>
      <c r="DU182" s="539"/>
      <c r="DV182" s="539"/>
      <c r="DW182" s="539"/>
      <c r="DX182" s="539"/>
      <c r="DY182" s="539"/>
      <c r="DZ182" s="539"/>
      <c r="EA182" s="539"/>
      <c r="EB182" s="539"/>
      <c r="EC182" s="539"/>
      <c r="ED182" s="539"/>
    </row>
    <row r="183" spans="1:134" ht="13.5" hidden="1" customHeight="1">
      <c r="A183" s="549"/>
      <c r="B183" s="11" t="e">
        <f>+#REF!</f>
        <v>#REF!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539"/>
      <c r="AR183" s="539"/>
      <c r="AS183" s="539"/>
      <c r="AT183" s="539"/>
      <c r="AU183" s="539"/>
      <c r="AV183" s="539"/>
      <c r="AW183" s="539"/>
      <c r="AX183" s="539"/>
      <c r="AY183" s="539"/>
      <c r="AZ183" s="539"/>
      <c r="BA183" s="539"/>
      <c r="BB183" s="539"/>
      <c r="BC183" s="539"/>
      <c r="BD183" s="539"/>
      <c r="BE183" s="539"/>
      <c r="BF183" s="539"/>
      <c r="BG183" s="539"/>
      <c r="BH183" s="539"/>
      <c r="BI183" s="539"/>
      <c r="BJ183" s="539"/>
      <c r="BK183" s="539"/>
      <c r="BL183" s="539"/>
      <c r="BM183" s="539"/>
      <c r="BN183" s="539"/>
      <c r="BO183" s="539"/>
      <c r="BP183" s="539"/>
      <c r="BQ183" s="539"/>
      <c r="BR183" s="539"/>
      <c r="BS183" s="539"/>
      <c r="BT183" s="539"/>
      <c r="BU183" s="539"/>
      <c r="BV183" s="539"/>
      <c r="BW183" s="539"/>
      <c r="BX183" s="539"/>
      <c r="BY183" s="539"/>
      <c r="BZ183" s="539"/>
      <c r="CA183" s="539"/>
      <c r="CB183" s="539"/>
      <c r="CC183" s="539"/>
      <c r="CD183" s="539"/>
      <c r="CE183" s="539"/>
      <c r="CF183" s="539"/>
      <c r="CG183" s="539"/>
      <c r="CH183" s="539"/>
      <c r="CI183" s="539"/>
      <c r="CJ183" s="539"/>
      <c r="CK183" s="539"/>
      <c r="CL183" s="539"/>
      <c r="CM183" s="539"/>
      <c r="CN183" s="539"/>
      <c r="CO183" s="539"/>
      <c r="CP183" s="539"/>
      <c r="CQ183" s="539"/>
      <c r="CR183" s="539"/>
      <c r="CS183" s="539"/>
      <c r="CT183" s="539"/>
      <c r="CU183" s="539"/>
      <c r="CV183" s="539"/>
      <c r="CW183" s="539"/>
      <c r="CX183" s="539"/>
      <c r="CY183" s="539"/>
      <c r="CZ183" s="539"/>
      <c r="DA183" s="539"/>
      <c r="DB183" s="539"/>
      <c r="DC183" s="539"/>
      <c r="DD183" s="539"/>
      <c r="DE183" s="539"/>
      <c r="DF183" s="539"/>
      <c r="DG183" s="539"/>
      <c r="DH183" s="539"/>
      <c r="DI183" s="539"/>
      <c r="DJ183" s="539"/>
      <c r="DK183" s="539"/>
      <c r="DL183" s="539"/>
      <c r="DM183" s="539"/>
      <c r="DN183" s="539"/>
      <c r="DO183" s="539"/>
      <c r="DP183" s="539"/>
      <c r="DQ183" s="539"/>
      <c r="DR183" s="539"/>
      <c r="DS183" s="539"/>
      <c r="DT183" s="539"/>
      <c r="DU183" s="539"/>
      <c r="DV183" s="539"/>
      <c r="DW183" s="539"/>
      <c r="DX183" s="539"/>
      <c r="DY183" s="539"/>
      <c r="DZ183" s="539"/>
      <c r="EA183" s="539"/>
      <c r="EB183" s="539"/>
      <c r="EC183" s="539"/>
      <c r="ED183" s="539"/>
    </row>
    <row r="184" spans="1:134" ht="13.5" hidden="1" customHeight="1">
      <c r="A184" s="549"/>
      <c r="B184" s="11" t="e">
        <f>+#REF!</f>
        <v>#REF!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539"/>
      <c r="AR184" s="539"/>
      <c r="AS184" s="539"/>
      <c r="AT184" s="539"/>
      <c r="AU184" s="539"/>
      <c r="AV184" s="539"/>
      <c r="AW184" s="539"/>
      <c r="AX184" s="539"/>
      <c r="AY184" s="539"/>
      <c r="AZ184" s="539"/>
      <c r="BA184" s="539"/>
      <c r="BB184" s="539"/>
      <c r="BC184" s="539"/>
      <c r="BD184" s="539"/>
      <c r="BE184" s="539"/>
      <c r="BF184" s="539"/>
      <c r="BG184" s="539"/>
      <c r="BH184" s="539"/>
      <c r="BI184" s="539"/>
      <c r="BJ184" s="539"/>
      <c r="BK184" s="539"/>
      <c r="BL184" s="539"/>
      <c r="BM184" s="539"/>
      <c r="BN184" s="539"/>
      <c r="BO184" s="539"/>
      <c r="BP184" s="539"/>
      <c r="BQ184" s="539"/>
      <c r="BR184" s="539"/>
      <c r="BS184" s="539"/>
      <c r="BT184" s="539"/>
      <c r="BU184" s="539"/>
      <c r="BV184" s="539"/>
      <c r="BW184" s="539"/>
      <c r="BX184" s="539"/>
      <c r="BY184" s="539"/>
      <c r="BZ184" s="539"/>
      <c r="CA184" s="539"/>
      <c r="CB184" s="539"/>
      <c r="CC184" s="539"/>
      <c r="CD184" s="539"/>
      <c r="CE184" s="539"/>
      <c r="CF184" s="539"/>
      <c r="CG184" s="539"/>
      <c r="CH184" s="539"/>
      <c r="CI184" s="539"/>
      <c r="CJ184" s="539"/>
      <c r="CK184" s="539"/>
      <c r="CL184" s="539"/>
      <c r="CM184" s="539"/>
      <c r="CN184" s="539"/>
      <c r="CO184" s="539"/>
      <c r="CP184" s="539"/>
      <c r="CQ184" s="539"/>
      <c r="CR184" s="539"/>
      <c r="CS184" s="539"/>
      <c r="CT184" s="539"/>
      <c r="CU184" s="539"/>
      <c r="CV184" s="539"/>
      <c r="CW184" s="539"/>
      <c r="CX184" s="539"/>
      <c r="CY184" s="539"/>
      <c r="CZ184" s="539"/>
      <c r="DA184" s="539"/>
      <c r="DB184" s="539"/>
      <c r="DC184" s="539"/>
      <c r="DD184" s="539"/>
      <c r="DE184" s="539"/>
      <c r="DF184" s="539"/>
      <c r="DG184" s="539"/>
      <c r="DH184" s="539"/>
      <c r="DI184" s="539"/>
      <c r="DJ184" s="539"/>
      <c r="DK184" s="539"/>
      <c r="DL184" s="539"/>
      <c r="DM184" s="539"/>
      <c r="DN184" s="539"/>
      <c r="DO184" s="539"/>
      <c r="DP184" s="539"/>
      <c r="DQ184" s="539"/>
      <c r="DR184" s="539"/>
      <c r="DS184" s="539"/>
      <c r="DT184" s="539"/>
      <c r="DU184" s="539"/>
      <c r="DV184" s="539"/>
      <c r="DW184" s="539"/>
      <c r="DX184" s="539"/>
      <c r="DY184" s="539"/>
      <c r="DZ184" s="539"/>
      <c r="EA184" s="539"/>
      <c r="EB184" s="539"/>
      <c r="EC184" s="539"/>
      <c r="ED184" s="539"/>
    </row>
    <row r="185" spans="1:134" ht="13.5" customHeight="1">
      <c r="A185" s="539"/>
      <c r="B185" s="10" t="e">
        <f>+#REF!</f>
        <v>#REF!</v>
      </c>
      <c r="C185" s="10">
        <v>49.781118999999997</v>
      </c>
      <c r="D185" s="10">
        <v>0</v>
      </c>
      <c r="E185" s="10">
        <v>4533.5447480000003</v>
      </c>
      <c r="F185" s="10">
        <v>7184.5593829999998</v>
      </c>
      <c r="G185" s="10">
        <v>15220.921818086936</v>
      </c>
      <c r="H185" s="10">
        <v>16171.788308988358</v>
      </c>
      <c r="I185" s="10">
        <v>17089.161208545636</v>
      </c>
      <c r="J185" s="10">
        <v>17942.76182576572</v>
      </c>
      <c r="K185" s="10">
        <v>18839.042397090263</v>
      </c>
      <c r="L185" s="10">
        <v>0</v>
      </c>
      <c r="M185" s="10">
        <v>0</v>
      </c>
      <c r="N185" s="10">
        <v>0</v>
      </c>
      <c r="O185" s="10"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539"/>
      <c r="AR185" s="539"/>
      <c r="AS185" s="539"/>
      <c r="AT185" s="539"/>
      <c r="AU185" s="539"/>
      <c r="AV185" s="539"/>
      <c r="AW185" s="539"/>
      <c r="AX185" s="539"/>
      <c r="AY185" s="539"/>
      <c r="AZ185" s="539"/>
      <c r="BA185" s="539"/>
      <c r="BB185" s="539"/>
      <c r="BC185" s="539"/>
      <c r="BD185" s="539"/>
      <c r="BE185" s="539"/>
      <c r="BF185" s="539"/>
      <c r="BG185" s="539"/>
      <c r="BH185" s="539"/>
      <c r="BI185" s="539"/>
      <c r="BJ185" s="539"/>
      <c r="BK185" s="539"/>
      <c r="BL185" s="539"/>
      <c r="BM185" s="539"/>
      <c r="BN185" s="539"/>
      <c r="BO185" s="539"/>
      <c r="BP185" s="539"/>
      <c r="BQ185" s="539"/>
      <c r="BR185" s="539"/>
      <c r="BS185" s="539"/>
      <c r="BT185" s="539"/>
      <c r="BU185" s="539"/>
      <c r="BV185" s="539"/>
      <c r="BW185" s="539"/>
      <c r="BX185" s="539"/>
      <c r="BY185" s="539"/>
      <c r="BZ185" s="539"/>
      <c r="CA185" s="539"/>
      <c r="CB185" s="539"/>
      <c r="CC185" s="539"/>
      <c r="CD185" s="539"/>
      <c r="CE185" s="539"/>
      <c r="CF185" s="539"/>
      <c r="CG185" s="539"/>
      <c r="CH185" s="539"/>
      <c r="CI185" s="539"/>
      <c r="CJ185" s="539"/>
      <c r="CK185" s="539"/>
      <c r="CL185" s="539"/>
      <c r="CM185" s="539"/>
      <c r="CN185" s="539"/>
      <c r="CO185" s="539"/>
      <c r="CP185" s="539"/>
      <c r="CQ185" s="539"/>
      <c r="CR185" s="539"/>
      <c r="CS185" s="539"/>
      <c r="CT185" s="539"/>
      <c r="CU185" s="539"/>
      <c r="CV185" s="539"/>
      <c r="CW185" s="539"/>
      <c r="CX185" s="539"/>
      <c r="CY185" s="539"/>
      <c r="CZ185" s="539"/>
      <c r="DA185" s="539"/>
      <c r="DB185" s="539"/>
      <c r="DC185" s="539"/>
      <c r="DD185" s="539"/>
      <c r="DE185" s="539"/>
      <c r="DF185" s="539"/>
      <c r="DG185" s="539"/>
      <c r="DH185" s="539"/>
      <c r="DI185" s="539"/>
      <c r="DJ185" s="539"/>
      <c r="DK185" s="539"/>
      <c r="DL185" s="539"/>
      <c r="DM185" s="539"/>
      <c r="DN185" s="539"/>
      <c r="DO185" s="539"/>
      <c r="DP185" s="539"/>
      <c r="DQ185" s="539"/>
      <c r="DR185" s="539"/>
      <c r="DS185" s="539"/>
      <c r="DT185" s="539"/>
      <c r="DU185" s="539"/>
      <c r="DV185" s="539"/>
      <c r="DW185" s="539"/>
      <c r="DX185" s="539"/>
      <c r="DY185" s="539"/>
      <c r="DZ185" s="539"/>
      <c r="EA185" s="539"/>
      <c r="EB185" s="539"/>
      <c r="EC185" s="539"/>
      <c r="ED185" s="539"/>
    </row>
    <row r="186" spans="1:134" ht="13.5" hidden="1" customHeight="1">
      <c r="A186" s="549"/>
      <c r="B186" s="11" t="e">
        <f>+#REF!</f>
        <v>#REF!</v>
      </c>
      <c r="C186" s="12">
        <f>IF(ISNUMBER(Historical!E20),Historical!E20, )</f>
        <v>500</v>
      </c>
      <c r="D186" s="12">
        <f>IF(ISNUMBER(Historical!G20),Historical!G20, )</f>
        <v>501</v>
      </c>
      <c r="E186" s="12">
        <f>IF(ISNUMBER(Historical!I20),Historical!I20, )</f>
        <v>502</v>
      </c>
      <c r="F186" s="12">
        <f>IF(ISNUMBER(Projection!H7),IF(MONTH(Projection!H7)&lt;&gt;12,IF(ISNUMBER(Projection!L13),Projection!L13, ),IF(ISNUMBER(Historical!K20),Historical!K20, )), )</f>
        <v>15840</v>
      </c>
      <c r="G186" s="12">
        <f>IF(ISNUMBER(Projection!H7),IF(MONTH(Projection!$H$7)&lt;&gt;12,IF(ISNUMBER(Projection!N13),Projection!N13, ),IF(ISNUMBER(Projection!L13),Projection!L13, )), )</f>
        <v>18876</v>
      </c>
      <c r="H186" s="12">
        <f>IF(ISNUMBER(Projection!H7),IF(MONTH(Projection!$H$7)&lt;&gt;12,IF(ISNUMBER(Projection!P13),Projection!P13, ),IF(ISNUMBER(Projection!N13),Projection!N13, )), )</f>
        <v>20763.599999999999</v>
      </c>
      <c r="I186" s="12">
        <f>IF(ISNUMBER(Projection!H7),IF(MONTH(Projection!$H$7)&lt;&gt;12,IF(ISNUMBER(Projection!R13),Projection!R13, ),IF(ISNUMBER(Projection!P13),Projection!P13, )), )</f>
        <v>22839.96</v>
      </c>
      <c r="J186" s="12">
        <f>IF(ISNUMBER(Projection!H7),IF(MONTH(Projection!$H$7)&lt;&gt;12,IF(ISNUMBER(Projection!T13),Projection!T13, ),IF(ISNUMBER(Projection!R13),Projection!R13, )), )</f>
        <v>25123.955999999998</v>
      </c>
      <c r="K186" s="12">
        <f>IF(ISNUMBER(Projection!H7),IF(MONTH(Projection!$H$7)&lt;&gt;12,IF(ISNUMBER(Projection!Z13),Projection!Z13, ),IF(ISNUMBER(Projection!T13),Projection!T13, )), )</f>
        <v>3693.2215320000005</v>
      </c>
      <c r="L186" s="12">
        <f>IF(ISNUMBER(Projection!H7),IF(MONTH(Projection!$H$7)&lt;&gt;12,IF(ISNUMBER(Projection!AB13),Projection!AB13, ),IF(ISNUMBER(Projection!Z13),Projection!Z13, )), )</f>
        <v>3693.2215320000005</v>
      </c>
      <c r="M186" s="12">
        <f>IF(ISNUMBER(Projection!$H$7),IF(MONTH(Projection!$H$7)&lt;&gt;12,IF(ISNUMBER(Projection!AD13),Projection!AD13, ),IF(ISNUMBER(Projection!AB13),Projection!AB13, )), )</f>
        <v>3693.2215320000005</v>
      </c>
      <c r="N186" s="12">
        <f>IF(ISNUMBER(Projection!$H$7),IF(MONTH(Projection!$H$7)&lt;&gt;12,IF(ISNUMBER(Projection!AF13),Projection!AF13, ),IF(ISNUMBER(Projection!AD13),Projection!AD13, )), )</f>
        <v>3693.2215320000005</v>
      </c>
      <c r="O186" s="12">
        <f>IF(ISNUMBER(Projection!$H$7),IF(MONTH(Projection!$H$7)&lt;&gt;12,IF(ISNUMBER(Projection!AH13),Projection!AH13, ),IF(ISNUMBER(Projection!AF13),Projection!AF13, )), )</f>
        <v>3693.2215320000005</v>
      </c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539"/>
      <c r="AR186" s="539"/>
      <c r="AS186" s="539"/>
      <c r="AT186" s="539"/>
      <c r="AU186" s="539"/>
      <c r="AV186" s="539"/>
      <c r="AW186" s="539"/>
      <c r="AX186" s="539"/>
      <c r="AY186" s="539"/>
      <c r="AZ186" s="539"/>
      <c r="BA186" s="539"/>
      <c r="BB186" s="539"/>
      <c r="BC186" s="539"/>
      <c r="BD186" s="539"/>
      <c r="BE186" s="539"/>
      <c r="BF186" s="539"/>
      <c r="BG186" s="539"/>
      <c r="BH186" s="539"/>
      <c r="BI186" s="539"/>
      <c r="BJ186" s="539"/>
      <c r="BK186" s="539"/>
      <c r="BL186" s="539"/>
      <c r="BM186" s="539"/>
      <c r="BN186" s="539"/>
      <c r="BO186" s="539"/>
      <c r="BP186" s="539"/>
      <c r="BQ186" s="539"/>
      <c r="BR186" s="539"/>
      <c r="BS186" s="539"/>
      <c r="BT186" s="539"/>
      <c r="BU186" s="539"/>
      <c r="BV186" s="539"/>
      <c r="BW186" s="539"/>
      <c r="BX186" s="539"/>
      <c r="BY186" s="539"/>
      <c r="BZ186" s="539"/>
      <c r="CA186" s="539"/>
      <c r="CB186" s="539"/>
      <c r="CC186" s="539"/>
      <c r="CD186" s="539"/>
      <c r="CE186" s="539"/>
      <c r="CF186" s="539"/>
      <c r="CG186" s="539"/>
      <c r="CH186" s="539"/>
      <c r="CI186" s="539"/>
      <c r="CJ186" s="539"/>
      <c r="CK186" s="539"/>
      <c r="CL186" s="539"/>
      <c r="CM186" s="539"/>
      <c r="CN186" s="539"/>
      <c r="CO186" s="539"/>
      <c r="CP186" s="539"/>
      <c r="CQ186" s="539"/>
      <c r="CR186" s="539"/>
      <c r="CS186" s="539"/>
      <c r="CT186" s="539"/>
      <c r="CU186" s="539"/>
      <c r="CV186" s="539"/>
      <c r="CW186" s="539"/>
      <c r="CX186" s="539"/>
      <c r="CY186" s="539"/>
      <c r="CZ186" s="539"/>
      <c r="DA186" s="539"/>
      <c r="DB186" s="539"/>
      <c r="DC186" s="539"/>
      <c r="DD186" s="539"/>
      <c r="DE186" s="539"/>
      <c r="DF186" s="539"/>
      <c r="DG186" s="539"/>
      <c r="DH186" s="539"/>
      <c r="DI186" s="539"/>
      <c r="DJ186" s="539"/>
      <c r="DK186" s="539"/>
      <c r="DL186" s="539"/>
      <c r="DM186" s="539"/>
      <c r="DN186" s="539"/>
      <c r="DO186" s="539"/>
      <c r="DP186" s="539"/>
      <c r="DQ186" s="539"/>
      <c r="DR186" s="539"/>
      <c r="DS186" s="539"/>
      <c r="DT186" s="539"/>
      <c r="DU186" s="539"/>
      <c r="DV186" s="539"/>
      <c r="DW186" s="539"/>
      <c r="DX186" s="539"/>
      <c r="DY186" s="539"/>
      <c r="DZ186" s="539"/>
      <c r="EA186" s="539"/>
      <c r="EB186" s="539"/>
      <c r="EC186" s="539"/>
      <c r="ED186" s="539"/>
    </row>
    <row r="187" spans="1:134" ht="13.5" hidden="1" customHeight="1">
      <c r="A187" s="549"/>
      <c r="B187" s="11" t="e">
        <f>+#REF!</f>
        <v>#REF!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539"/>
      <c r="AR187" s="539"/>
      <c r="AS187" s="539"/>
      <c r="AT187" s="539"/>
      <c r="AU187" s="539"/>
      <c r="AV187" s="539"/>
      <c r="AW187" s="539"/>
      <c r="AX187" s="539"/>
      <c r="AY187" s="539"/>
      <c r="AZ187" s="539"/>
      <c r="BA187" s="539"/>
      <c r="BB187" s="539"/>
      <c r="BC187" s="539"/>
      <c r="BD187" s="539"/>
      <c r="BE187" s="539"/>
      <c r="BF187" s="539"/>
      <c r="BG187" s="539"/>
      <c r="BH187" s="539"/>
      <c r="BI187" s="539"/>
      <c r="BJ187" s="539"/>
      <c r="BK187" s="539"/>
      <c r="BL187" s="539"/>
      <c r="BM187" s="539"/>
      <c r="BN187" s="539"/>
      <c r="BO187" s="539"/>
      <c r="BP187" s="539"/>
      <c r="BQ187" s="539"/>
      <c r="BR187" s="539"/>
      <c r="BS187" s="539"/>
      <c r="BT187" s="539"/>
      <c r="BU187" s="539"/>
      <c r="BV187" s="539"/>
      <c r="BW187" s="539"/>
      <c r="BX187" s="539"/>
      <c r="BY187" s="539"/>
      <c r="BZ187" s="539"/>
      <c r="CA187" s="539"/>
      <c r="CB187" s="539"/>
      <c r="CC187" s="539"/>
      <c r="CD187" s="539"/>
      <c r="CE187" s="539"/>
      <c r="CF187" s="539"/>
      <c r="CG187" s="539"/>
      <c r="CH187" s="539"/>
      <c r="CI187" s="539"/>
      <c r="CJ187" s="539"/>
      <c r="CK187" s="539"/>
      <c r="CL187" s="539"/>
      <c r="CM187" s="539"/>
      <c r="CN187" s="539"/>
      <c r="CO187" s="539"/>
      <c r="CP187" s="539"/>
      <c r="CQ187" s="539"/>
      <c r="CR187" s="539"/>
      <c r="CS187" s="539"/>
      <c r="CT187" s="539"/>
      <c r="CU187" s="539"/>
      <c r="CV187" s="539"/>
      <c r="CW187" s="539"/>
      <c r="CX187" s="539"/>
      <c r="CY187" s="539"/>
      <c r="CZ187" s="539"/>
      <c r="DA187" s="539"/>
      <c r="DB187" s="539"/>
      <c r="DC187" s="539"/>
      <c r="DD187" s="539"/>
      <c r="DE187" s="539"/>
      <c r="DF187" s="539"/>
      <c r="DG187" s="539"/>
      <c r="DH187" s="539"/>
      <c r="DI187" s="539"/>
      <c r="DJ187" s="539"/>
      <c r="DK187" s="539"/>
      <c r="DL187" s="539"/>
      <c r="DM187" s="539"/>
      <c r="DN187" s="539"/>
      <c r="DO187" s="539"/>
      <c r="DP187" s="539"/>
      <c r="DQ187" s="539"/>
      <c r="DR187" s="539"/>
      <c r="DS187" s="539"/>
      <c r="DT187" s="539"/>
      <c r="DU187" s="539"/>
      <c r="DV187" s="539"/>
      <c r="DW187" s="539"/>
      <c r="DX187" s="539"/>
      <c r="DY187" s="539"/>
      <c r="DZ187" s="539"/>
      <c r="EA187" s="539"/>
      <c r="EB187" s="539"/>
      <c r="EC187" s="539"/>
      <c r="ED187" s="539"/>
    </row>
    <row r="188" spans="1:134" ht="13.5" hidden="1" customHeight="1">
      <c r="A188" s="549">
        <v>0</v>
      </c>
      <c r="B188" s="11" t="e">
        <f>+#REF!</f>
        <v>#REF!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539"/>
      <c r="AR188" s="539"/>
      <c r="AS188" s="539"/>
      <c r="AT188" s="539"/>
      <c r="AU188" s="539"/>
      <c r="AV188" s="539"/>
      <c r="AW188" s="539"/>
      <c r="AX188" s="539"/>
      <c r="AY188" s="539"/>
      <c r="AZ188" s="539"/>
      <c r="BA188" s="539"/>
      <c r="BB188" s="539"/>
      <c r="BC188" s="539"/>
      <c r="BD188" s="539"/>
      <c r="BE188" s="539"/>
      <c r="BF188" s="539"/>
      <c r="BG188" s="539"/>
      <c r="BH188" s="539"/>
      <c r="BI188" s="539"/>
      <c r="BJ188" s="539"/>
      <c r="BK188" s="539"/>
      <c r="BL188" s="539"/>
      <c r="BM188" s="539"/>
      <c r="BN188" s="539"/>
      <c r="BO188" s="539"/>
      <c r="BP188" s="539"/>
      <c r="BQ188" s="539"/>
      <c r="BR188" s="539"/>
      <c r="BS188" s="539"/>
      <c r="BT188" s="539"/>
      <c r="BU188" s="539"/>
      <c r="BV188" s="539"/>
      <c r="BW188" s="539"/>
      <c r="BX188" s="539"/>
      <c r="BY188" s="539"/>
      <c r="BZ188" s="539"/>
      <c r="CA188" s="539"/>
      <c r="CB188" s="539"/>
      <c r="CC188" s="539"/>
      <c r="CD188" s="539"/>
      <c r="CE188" s="539"/>
      <c r="CF188" s="539"/>
      <c r="CG188" s="539"/>
      <c r="CH188" s="539"/>
      <c r="CI188" s="539"/>
      <c r="CJ188" s="539"/>
      <c r="CK188" s="539"/>
      <c r="CL188" s="539"/>
      <c r="CM188" s="539"/>
      <c r="CN188" s="539"/>
      <c r="CO188" s="539"/>
      <c r="CP188" s="539"/>
      <c r="CQ188" s="539"/>
      <c r="CR188" s="539"/>
      <c r="CS188" s="539"/>
      <c r="CT188" s="539"/>
      <c r="CU188" s="539"/>
      <c r="CV188" s="539"/>
      <c r="CW188" s="539"/>
      <c r="CX188" s="539"/>
      <c r="CY188" s="539"/>
      <c r="CZ188" s="539"/>
      <c r="DA188" s="539"/>
      <c r="DB188" s="539"/>
      <c r="DC188" s="539"/>
      <c r="DD188" s="539"/>
      <c r="DE188" s="539"/>
      <c r="DF188" s="539"/>
      <c r="DG188" s="539"/>
      <c r="DH188" s="539"/>
      <c r="DI188" s="539"/>
      <c r="DJ188" s="539"/>
      <c r="DK188" s="539"/>
      <c r="DL188" s="539"/>
      <c r="DM188" s="539"/>
      <c r="DN188" s="539"/>
      <c r="DO188" s="539"/>
      <c r="DP188" s="539"/>
      <c r="DQ188" s="539"/>
      <c r="DR188" s="539"/>
      <c r="DS188" s="539"/>
      <c r="DT188" s="539"/>
      <c r="DU188" s="539"/>
      <c r="DV188" s="539"/>
      <c r="DW188" s="539"/>
      <c r="DX188" s="539"/>
      <c r="DY188" s="539"/>
      <c r="DZ188" s="539"/>
      <c r="EA188" s="539"/>
      <c r="EB188" s="539"/>
      <c r="EC188" s="539"/>
      <c r="ED188" s="539"/>
    </row>
    <row r="189" spans="1:134" ht="13.5" hidden="1" customHeight="1">
      <c r="A189" s="549"/>
      <c r="B189" s="11" t="e">
        <f>+#REF!</f>
        <v>#REF!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539"/>
      <c r="AR189" s="539"/>
      <c r="AS189" s="539"/>
      <c r="AT189" s="539"/>
      <c r="AU189" s="539"/>
      <c r="AV189" s="539"/>
      <c r="AW189" s="539"/>
      <c r="AX189" s="539"/>
      <c r="AY189" s="539"/>
      <c r="AZ189" s="539"/>
      <c r="BA189" s="539"/>
      <c r="BB189" s="539"/>
      <c r="BC189" s="539"/>
      <c r="BD189" s="539"/>
      <c r="BE189" s="539"/>
      <c r="BF189" s="539"/>
      <c r="BG189" s="539"/>
      <c r="BH189" s="539"/>
      <c r="BI189" s="539"/>
      <c r="BJ189" s="539"/>
      <c r="BK189" s="539"/>
      <c r="BL189" s="539"/>
      <c r="BM189" s="539"/>
      <c r="BN189" s="539"/>
      <c r="BO189" s="539"/>
      <c r="BP189" s="539"/>
      <c r="BQ189" s="539"/>
      <c r="BR189" s="539"/>
      <c r="BS189" s="539"/>
      <c r="BT189" s="539"/>
      <c r="BU189" s="539"/>
      <c r="BV189" s="539"/>
      <c r="BW189" s="539"/>
      <c r="BX189" s="539"/>
      <c r="BY189" s="539"/>
      <c r="BZ189" s="539"/>
      <c r="CA189" s="539"/>
      <c r="CB189" s="539"/>
      <c r="CC189" s="539"/>
      <c r="CD189" s="539"/>
      <c r="CE189" s="539"/>
      <c r="CF189" s="539"/>
      <c r="CG189" s="539"/>
      <c r="CH189" s="539"/>
      <c r="CI189" s="539"/>
      <c r="CJ189" s="539"/>
      <c r="CK189" s="539"/>
      <c r="CL189" s="539"/>
      <c r="CM189" s="539"/>
      <c r="CN189" s="539"/>
      <c r="CO189" s="539"/>
      <c r="CP189" s="539"/>
      <c r="CQ189" s="539"/>
      <c r="CR189" s="539"/>
      <c r="CS189" s="539"/>
      <c r="CT189" s="539"/>
      <c r="CU189" s="539"/>
      <c r="CV189" s="539"/>
      <c r="CW189" s="539"/>
      <c r="CX189" s="539"/>
      <c r="CY189" s="539"/>
      <c r="CZ189" s="539"/>
      <c r="DA189" s="539"/>
      <c r="DB189" s="539"/>
      <c r="DC189" s="539"/>
      <c r="DD189" s="539"/>
      <c r="DE189" s="539"/>
      <c r="DF189" s="539"/>
      <c r="DG189" s="539"/>
      <c r="DH189" s="539"/>
      <c r="DI189" s="539"/>
      <c r="DJ189" s="539"/>
      <c r="DK189" s="539"/>
      <c r="DL189" s="539"/>
      <c r="DM189" s="539"/>
      <c r="DN189" s="539"/>
      <c r="DO189" s="539"/>
      <c r="DP189" s="539"/>
      <c r="DQ189" s="539"/>
      <c r="DR189" s="539"/>
      <c r="DS189" s="539"/>
      <c r="DT189" s="539"/>
      <c r="DU189" s="539"/>
      <c r="DV189" s="539"/>
      <c r="DW189" s="539"/>
      <c r="DX189" s="539"/>
      <c r="DY189" s="539"/>
      <c r="DZ189" s="539"/>
      <c r="EA189" s="539"/>
      <c r="EB189" s="539"/>
      <c r="EC189" s="539"/>
      <c r="ED189" s="539"/>
    </row>
    <row r="190" spans="1:134" ht="13.5" hidden="1" customHeight="1">
      <c r="A190" s="549"/>
      <c r="B190" s="11" t="e">
        <f>+#REF!</f>
        <v>#REF!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539"/>
      <c r="AR190" s="539"/>
      <c r="AS190" s="539"/>
      <c r="AT190" s="539"/>
      <c r="AU190" s="539"/>
      <c r="AV190" s="539"/>
      <c r="AW190" s="539"/>
      <c r="AX190" s="539"/>
      <c r="AY190" s="539"/>
      <c r="AZ190" s="539"/>
      <c r="BA190" s="539"/>
      <c r="BB190" s="539"/>
      <c r="BC190" s="539"/>
      <c r="BD190" s="539"/>
      <c r="BE190" s="539"/>
      <c r="BF190" s="539"/>
      <c r="BG190" s="539"/>
      <c r="BH190" s="539"/>
      <c r="BI190" s="539"/>
      <c r="BJ190" s="539"/>
      <c r="BK190" s="539"/>
      <c r="BL190" s="539"/>
      <c r="BM190" s="539"/>
      <c r="BN190" s="539"/>
      <c r="BO190" s="539"/>
      <c r="BP190" s="539"/>
      <c r="BQ190" s="539"/>
      <c r="BR190" s="539"/>
      <c r="BS190" s="539"/>
      <c r="BT190" s="539"/>
      <c r="BU190" s="539"/>
      <c r="BV190" s="539"/>
      <c r="BW190" s="539"/>
      <c r="BX190" s="539"/>
      <c r="BY190" s="539"/>
      <c r="BZ190" s="539"/>
      <c r="CA190" s="539"/>
      <c r="CB190" s="539"/>
      <c r="CC190" s="539"/>
      <c r="CD190" s="539"/>
      <c r="CE190" s="539"/>
      <c r="CF190" s="539"/>
      <c r="CG190" s="539"/>
      <c r="CH190" s="539"/>
      <c r="CI190" s="539"/>
      <c r="CJ190" s="539"/>
      <c r="CK190" s="539"/>
      <c r="CL190" s="539"/>
      <c r="CM190" s="539"/>
      <c r="CN190" s="539"/>
      <c r="CO190" s="539"/>
      <c r="CP190" s="539"/>
      <c r="CQ190" s="539"/>
      <c r="CR190" s="539"/>
      <c r="CS190" s="539"/>
      <c r="CT190" s="539"/>
      <c r="CU190" s="539"/>
      <c r="CV190" s="539"/>
      <c r="CW190" s="539"/>
      <c r="CX190" s="539"/>
      <c r="CY190" s="539"/>
      <c r="CZ190" s="539"/>
      <c r="DA190" s="539"/>
      <c r="DB190" s="539"/>
      <c r="DC190" s="539"/>
      <c r="DD190" s="539"/>
      <c r="DE190" s="539"/>
      <c r="DF190" s="539"/>
      <c r="DG190" s="539"/>
      <c r="DH190" s="539"/>
      <c r="DI190" s="539"/>
      <c r="DJ190" s="539"/>
      <c r="DK190" s="539"/>
      <c r="DL190" s="539"/>
      <c r="DM190" s="539"/>
      <c r="DN190" s="539"/>
      <c r="DO190" s="539"/>
      <c r="DP190" s="539"/>
      <c r="DQ190" s="539"/>
      <c r="DR190" s="539"/>
      <c r="DS190" s="539"/>
      <c r="DT190" s="539"/>
      <c r="DU190" s="539"/>
      <c r="DV190" s="539"/>
      <c r="DW190" s="539"/>
      <c r="DX190" s="539"/>
      <c r="DY190" s="539"/>
      <c r="DZ190" s="539"/>
      <c r="EA190" s="539"/>
      <c r="EB190" s="539"/>
      <c r="EC190" s="539"/>
      <c r="ED190" s="539"/>
    </row>
    <row r="191" spans="1:134" ht="13.5" hidden="1" customHeight="1">
      <c r="A191" s="549"/>
      <c r="B191" s="11" t="e">
        <f>+#REF!</f>
        <v>#REF!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539"/>
      <c r="AR191" s="539"/>
      <c r="AS191" s="539"/>
      <c r="AT191" s="539"/>
      <c r="AU191" s="539"/>
      <c r="AV191" s="539"/>
      <c r="AW191" s="539"/>
      <c r="AX191" s="539"/>
      <c r="AY191" s="539"/>
      <c r="AZ191" s="539"/>
      <c r="BA191" s="539"/>
      <c r="BB191" s="539"/>
      <c r="BC191" s="539"/>
      <c r="BD191" s="539"/>
      <c r="BE191" s="539"/>
      <c r="BF191" s="539"/>
      <c r="BG191" s="539"/>
      <c r="BH191" s="539"/>
      <c r="BI191" s="539"/>
      <c r="BJ191" s="539"/>
      <c r="BK191" s="539"/>
      <c r="BL191" s="539"/>
      <c r="BM191" s="539"/>
      <c r="BN191" s="539"/>
      <c r="BO191" s="539"/>
      <c r="BP191" s="539"/>
      <c r="BQ191" s="539"/>
      <c r="BR191" s="539"/>
      <c r="BS191" s="539"/>
      <c r="BT191" s="539"/>
      <c r="BU191" s="539"/>
      <c r="BV191" s="539"/>
      <c r="BW191" s="539"/>
      <c r="BX191" s="539"/>
      <c r="BY191" s="539"/>
      <c r="BZ191" s="539"/>
      <c r="CA191" s="539"/>
      <c r="CB191" s="539"/>
      <c r="CC191" s="539"/>
      <c r="CD191" s="539"/>
      <c r="CE191" s="539"/>
      <c r="CF191" s="539"/>
      <c r="CG191" s="539"/>
      <c r="CH191" s="539"/>
      <c r="CI191" s="539"/>
      <c r="CJ191" s="539"/>
      <c r="CK191" s="539"/>
      <c r="CL191" s="539"/>
      <c r="CM191" s="539"/>
      <c r="CN191" s="539"/>
      <c r="CO191" s="539"/>
      <c r="CP191" s="539"/>
      <c r="CQ191" s="539"/>
      <c r="CR191" s="539"/>
      <c r="CS191" s="539"/>
      <c r="CT191" s="539"/>
      <c r="CU191" s="539"/>
      <c r="CV191" s="539"/>
      <c r="CW191" s="539"/>
      <c r="CX191" s="539"/>
      <c r="CY191" s="539"/>
      <c r="CZ191" s="539"/>
      <c r="DA191" s="539"/>
      <c r="DB191" s="539"/>
      <c r="DC191" s="539"/>
      <c r="DD191" s="539"/>
      <c r="DE191" s="539"/>
      <c r="DF191" s="539"/>
      <c r="DG191" s="539"/>
      <c r="DH191" s="539"/>
      <c r="DI191" s="539"/>
      <c r="DJ191" s="539"/>
      <c r="DK191" s="539"/>
      <c r="DL191" s="539"/>
      <c r="DM191" s="539"/>
      <c r="DN191" s="539"/>
      <c r="DO191" s="539"/>
      <c r="DP191" s="539"/>
      <c r="DQ191" s="539"/>
      <c r="DR191" s="539"/>
      <c r="DS191" s="539"/>
      <c r="DT191" s="539"/>
      <c r="DU191" s="539"/>
      <c r="DV191" s="539"/>
      <c r="DW191" s="539"/>
      <c r="DX191" s="539"/>
      <c r="DY191" s="539"/>
      <c r="DZ191" s="539"/>
      <c r="EA191" s="539"/>
      <c r="EB191" s="539"/>
      <c r="EC191" s="539"/>
      <c r="ED191" s="539"/>
    </row>
    <row r="192" spans="1:134" ht="13.5" hidden="1" customHeight="1">
      <c r="A192" s="549"/>
      <c r="B192" s="11" t="e">
        <f>+#REF!</f>
        <v>#REF!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539"/>
      <c r="AR192" s="539"/>
      <c r="AS192" s="539"/>
      <c r="AT192" s="539"/>
      <c r="AU192" s="539"/>
      <c r="AV192" s="539"/>
      <c r="AW192" s="539"/>
      <c r="AX192" s="539"/>
      <c r="AY192" s="539"/>
      <c r="AZ192" s="539"/>
      <c r="BA192" s="539"/>
      <c r="BB192" s="539"/>
      <c r="BC192" s="539"/>
      <c r="BD192" s="539"/>
      <c r="BE192" s="539"/>
      <c r="BF192" s="539"/>
      <c r="BG192" s="539"/>
      <c r="BH192" s="539"/>
      <c r="BI192" s="539"/>
      <c r="BJ192" s="539"/>
      <c r="BK192" s="539"/>
      <c r="BL192" s="539"/>
      <c r="BM192" s="539"/>
      <c r="BN192" s="539"/>
      <c r="BO192" s="539"/>
      <c r="BP192" s="539"/>
      <c r="BQ192" s="539"/>
      <c r="BR192" s="539"/>
      <c r="BS192" s="539"/>
      <c r="BT192" s="539"/>
      <c r="BU192" s="539"/>
      <c r="BV192" s="539"/>
      <c r="BW192" s="539"/>
      <c r="BX192" s="539"/>
      <c r="BY192" s="539"/>
      <c r="BZ192" s="539"/>
      <c r="CA192" s="539"/>
      <c r="CB192" s="539"/>
      <c r="CC192" s="539"/>
      <c r="CD192" s="539"/>
      <c r="CE192" s="539"/>
      <c r="CF192" s="539"/>
      <c r="CG192" s="539"/>
      <c r="CH192" s="539"/>
      <c r="CI192" s="539"/>
      <c r="CJ192" s="539"/>
      <c r="CK192" s="539"/>
      <c r="CL192" s="539"/>
      <c r="CM192" s="539"/>
      <c r="CN192" s="539"/>
      <c r="CO192" s="539"/>
      <c r="CP192" s="539"/>
      <c r="CQ192" s="539"/>
      <c r="CR192" s="539"/>
      <c r="CS192" s="539"/>
      <c r="CT192" s="539"/>
      <c r="CU192" s="539"/>
      <c r="CV192" s="539"/>
      <c r="CW192" s="539"/>
      <c r="CX192" s="539"/>
      <c r="CY192" s="539"/>
      <c r="CZ192" s="539"/>
      <c r="DA192" s="539"/>
      <c r="DB192" s="539"/>
      <c r="DC192" s="539"/>
      <c r="DD192" s="539"/>
      <c r="DE192" s="539"/>
      <c r="DF192" s="539"/>
      <c r="DG192" s="539"/>
      <c r="DH192" s="539"/>
      <c r="DI192" s="539"/>
      <c r="DJ192" s="539"/>
      <c r="DK192" s="539"/>
      <c r="DL192" s="539"/>
      <c r="DM192" s="539"/>
      <c r="DN192" s="539"/>
      <c r="DO192" s="539"/>
      <c r="DP192" s="539"/>
      <c r="DQ192" s="539"/>
      <c r="DR192" s="539"/>
      <c r="DS192" s="539"/>
      <c r="DT192" s="539"/>
      <c r="DU192" s="539"/>
      <c r="DV192" s="539"/>
      <c r="DW192" s="539"/>
      <c r="DX192" s="539"/>
      <c r="DY192" s="539"/>
      <c r="DZ192" s="539"/>
      <c r="EA192" s="539"/>
      <c r="EB192" s="539"/>
      <c r="EC192" s="539"/>
      <c r="ED192" s="539"/>
    </row>
    <row r="193" spans="1:134" ht="13.5" hidden="1" customHeight="1">
      <c r="A193" s="549"/>
      <c r="B193" s="11" t="e">
        <f>+#REF!</f>
        <v>#REF!</v>
      </c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50"/>
      <c r="P193" s="550"/>
      <c r="Q193" s="550"/>
      <c r="R193" s="550"/>
      <c r="S193" s="550"/>
      <c r="T193" s="550"/>
      <c r="U193" s="550"/>
      <c r="V193" s="550"/>
      <c r="W193" s="550"/>
      <c r="X193" s="550"/>
      <c r="Y193" s="550"/>
      <c r="Z193" s="550"/>
      <c r="AA193" s="550"/>
      <c r="AB193" s="550"/>
      <c r="AC193" s="550"/>
      <c r="AD193" s="550"/>
      <c r="AE193" s="550"/>
      <c r="AF193" s="550"/>
      <c r="AG193" s="550"/>
      <c r="AH193" s="550"/>
      <c r="AI193" s="550"/>
      <c r="AJ193" s="550"/>
      <c r="AK193" s="550"/>
      <c r="AL193" s="550"/>
      <c r="AM193" s="550"/>
      <c r="AN193" s="550"/>
      <c r="AO193" s="550"/>
      <c r="AP193" s="550"/>
      <c r="AQ193" s="539"/>
      <c r="AR193" s="539"/>
      <c r="AS193" s="539"/>
      <c r="AT193" s="539"/>
      <c r="AU193" s="539"/>
      <c r="AV193" s="539"/>
      <c r="AW193" s="539"/>
      <c r="AX193" s="539"/>
      <c r="AY193" s="539"/>
      <c r="AZ193" s="539"/>
      <c r="BA193" s="539"/>
      <c r="BB193" s="539"/>
      <c r="BC193" s="539"/>
      <c r="BD193" s="539"/>
      <c r="BE193" s="539"/>
      <c r="BF193" s="539"/>
      <c r="BG193" s="539"/>
      <c r="BH193" s="539"/>
      <c r="BI193" s="539"/>
      <c r="BJ193" s="539"/>
      <c r="BK193" s="539"/>
      <c r="BL193" s="539"/>
      <c r="BM193" s="539"/>
      <c r="BN193" s="539"/>
      <c r="BO193" s="539"/>
      <c r="BP193" s="539"/>
      <c r="BQ193" s="539"/>
      <c r="BR193" s="539"/>
      <c r="BS193" s="539"/>
      <c r="BT193" s="539"/>
      <c r="BU193" s="539"/>
      <c r="BV193" s="539"/>
      <c r="BW193" s="539"/>
      <c r="BX193" s="539"/>
      <c r="BY193" s="539"/>
      <c r="BZ193" s="539"/>
      <c r="CA193" s="539"/>
      <c r="CB193" s="539"/>
      <c r="CC193" s="539"/>
      <c r="CD193" s="539"/>
      <c r="CE193" s="539"/>
      <c r="CF193" s="539"/>
      <c r="CG193" s="539"/>
      <c r="CH193" s="539"/>
      <c r="CI193" s="539"/>
      <c r="CJ193" s="539"/>
      <c r="CK193" s="539"/>
      <c r="CL193" s="539"/>
      <c r="CM193" s="539"/>
      <c r="CN193" s="539"/>
      <c r="CO193" s="539"/>
      <c r="CP193" s="539"/>
      <c r="CQ193" s="539"/>
      <c r="CR193" s="539"/>
      <c r="CS193" s="539"/>
      <c r="CT193" s="539"/>
      <c r="CU193" s="539"/>
      <c r="CV193" s="539"/>
      <c r="CW193" s="539"/>
      <c r="CX193" s="539"/>
      <c r="CY193" s="539"/>
      <c r="CZ193" s="539"/>
      <c r="DA193" s="539"/>
      <c r="DB193" s="539"/>
      <c r="DC193" s="539"/>
      <c r="DD193" s="539"/>
      <c r="DE193" s="539"/>
      <c r="DF193" s="539"/>
      <c r="DG193" s="539"/>
      <c r="DH193" s="539"/>
      <c r="DI193" s="539"/>
      <c r="DJ193" s="539"/>
      <c r="DK193" s="539"/>
      <c r="DL193" s="539"/>
      <c r="DM193" s="539"/>
      <c r="DN193" s="539"/>
      <c r="DO193" s="539"/>
      <c r="DP193" s="539"/>
      <c r="DQ193" s="539"/>
      <c r="DR193" s="539"/>
      <c r="DS193" s="539"/>
      <c r="DT193" s="539"/>
      <c r="DU193" s="539"/>
      <c r="DV193" s="539"/>
      <c r="DW193" s="539"/>
      <c r="DX193" s="539"/>
      <c r="DY193" s="539"/>
      <c r="DZ193" s="539"/>
      <c r="EA193" s="539"/>
      <c r="EB193" s="539"/>
      <c r="EC193" s="539"/>
      <c r="ED193" s="539"/>
    </row>
    <row r="194" spans="1:134" ht="13.5" hidden="1" customHeight="1">
      <c r="A194" s="549"/>
      <c r="B194" s="11" t="e">
        <f>+#REF!</f>
        <v>#REF!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539"/>
      <c r="AR194" s="539"/>
      <c r="AS194" s="539"/>
      <c r="AT194" s="539"/>
      <c r="AU194" s="539"/>
      <c r="AV194" s="539"/>
      <c r="AW194" s="539"/>
      <c r="AX194" s="539"/>
      <c r="AY194" s="539"/>
      <c r="AZ194" s="539"/>
      <c r="BA194" s="539"/>
      <c r="BB194" s="539"/>
      <c r="BC194" s="539"/>
      <c r="BD194" s="539"/>
      <c r="BE194" s="539"/>
      <c r="BF194" s="539"/>
      <c r="BG194" s="539"/>
      <c r="BH194" s="539"/>
      <c r="BI194" s="539"/>
      <c r="BJ194" s="539"/>
      <c r="BK194" s="539"/>
      <c r="BL194" s="539"/>
      <c r="BM194" s="539"/>
      <c r="BN194" s="539"/>
      <c r="BO194" s="539"/>
      <c r="BP194" s="539"/>
      <c r="BQ194" s="539"/>
      <c r="BR194" s="539"/>
      <c r="BS194" s="539"/>
      <c r="BT194" s="539"/>
      <c r="BU194" s="539"/>
      <c r="BV194" s="539"/>
      <c r="BW194" s="539"/>
      <c r="BX194" s="539"/>
      <c r="BY194" s="539"/>
      <c r="BZ194" s="539"/>
      <c r="CA194" s="539"/>
      <c r="CB194" s="539"/>
      <c r="CC194" s="539"/>
      <c r="CD194" s="539"/>
      <c r="CE194" s="539"/>
      <c r="CF194" s="539"/>
      <c r="CG194" s="539"/>
      <c r="CH194" s="539"/>
      <c r="CI194" s="539"/>
      <c r="CJ194" s="539"/>
      <c r="CK194" s="539"/>
      <c r="CL194" s="539"/>
      <c r="CM194" s="539"/>
      <c r="CN194" s="539"/>
      <c r="CO194" s="539"/>
      <c r="CP194" s="539"/>
      <c r="CQ194" s="539"/>
      <c r="CR194" s="539"/>
      <c r="CS194" s="539"/>
      <c r="CT194" s="539"/>
      <c r="CU194" s="539"/>
      <c r="CV194" s="539"/>
      <c r="CW194" s="539"/>
      <c r="CX194" s="539"/>
      <c r="CY194" s="539"/>
      <c r="CZ194" s="539"/>
      <c r="DA194" s="539"/>
      <c r="DB194" s="539"/>
      <c r="DC194" s="539"/>
      <c r="DD194" s="539"/>
      <c r="DE194" s="539"/>
      <c r="DF194" s="539"/>
      <c r="DG194" s="539"/>
      <c r="DH194" s="539"/>
      <c r="DI194" s="539"/>
      <c r="DJ194" s="539"/>
      <c r="DK194" s="539"/>
      <c r="DL194" s="539"/>
      <c r="DM194" s="539"/>
      <c r="DN194" s="539"/>
      <c r="DO194" s="539"/>
      <c r="DP194" s="539"/>
      <c r="DQ194" s="539"/>
      <c r="DR194" s="539"/>
      <c r="DS194" s="539"/>
      <c r="DT194" s="539"/>
      <c r="DU194" s="539"/>
      <c r="DV194" s="539"/>
      <c r="DW194" s="539"/>
      <c r="DX194" s="539"/>
      <c r="DY194" s="539"/>
      <c r="DZ194" s="539"/>
      <c r="EA194" s="539"/>
      <c r="EB194" s="539"/>
      <c r="EC194" s="539"/>
      <c r="ED194" s="539"/>
    </row>
    <row r="195" spans="1:134" ht="13.5" hidden="1" customHeight="1">
      <c r="A195" s="549"/>
      <c r="B195" s="11" t="e">
        <f>+#REF!</f>
        <v>#REF!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539"/>
      <c r="AR195" s="539"/>
      <c r="AS195" s="539"/>
      <c r="AT195" s="539"/>
      <c r="AU195" s="539"/>
      <c r="AV195" s="539"/>
      <c r="AW195" s="539"/>
      <c r="AX195" s="539"/>
      <c r="AY195" s="539"/>
      <c r="AZ195" s="539"/>
      <c r="BA195" s="539"/>
      <c r="BB195" s="539"/>
      <c r="BC195" s="539"/>
      <c r="BD195" s="539"/>
      <c r="BE195" s="539"/>
      <c r="BF195" s="539"/>
      <c r="BG195" s="539"/>
      <c r="BH195" s="539"/>
      <c r="BI195" s="539"/>
      <c r="BJ195" s="539"/>
      <c r="BK195" s="539"/>
      <c r="BL195" s="539"/>
      <c r="BM195" s="539"/>
      <c r="BN195" s="539"/>
      <c r="BO195" s="539"/>
      <c r="BP195" s="539"/>
      <c r="BQ195" s="539"/>
      <c r="BR195" s="539"/>
      <c r="BS195" s="539"/>
      <c r="BT195" s="539"/>
      <c r="BU195" s="539"/>
      <c r="BV195" s="539"/>
      <c r="BW195" s="539"/>
      <c r="BX195" s="539"/>
      <c r="BY195" s="539"/>
      <c r="BZ195" s="539"/>
      <c r="CA195" s="539"/>
      <c r="CB195" s="539"/>
      <c r="CC195" s="539"/>
      <c r="CD195" s="539"/>
      <c r="CE195" s="539"/>
      <c r="CF195" s="539"/>
      <c r="CG195" s="539"/>
      <c r="CH195" s="539"/>
      <c r="CI195" s="539"/>
      <c r="CJ195" s="539"/>
      <c r="CK195" s="539"/>
      <c r="CL195" s="539"/>
      <c r="CM195" s="539"/>
      <c r="CN195" s="539"/>
      <c r="CO195" s="539"/>
      <c r="CP195" s="539"/>
      <c r="CQ195" s="539"/>
      <c r="CR195" s="539"/>
      <c r="CS195" s="539"/>
      <c r="CT195" s="539"/>
      <c r="CU195" s="539"/>
      <c r="CV195" s="539"/>
      <c r="CW195" s="539"/>
      <c r="CX195" s="539"/>
      <c r="CY195" s="539"/>
      <c r="CZ195" s="539"/>
      <c r="DA195" s="539"/>
      <c r="DB195" s="539"/>
      <c r="DC195" s="539"/>
      <c r="DD195" s="539"/>
      <c r="DE195" s="539"/>
      <c r="DF195" s="539"/>
      <c r="DG195" s="539"/>
      <c r="DH195" s="539"/>
      <c r="DI195" s="539"/>
      <c r="DJ195" s="539"/>
      <c r="DK195" s="539"/>
      <c r="DL195" s="539"/>
      <c r="DM195" s="539"/>
      <c r="DN195" s="539"/>
      <c r="DO195" s="539"/>
      <c r="DP195" s="539"/>
      <c r="DQ195" s="539"/>
      <c r="DR195" s="539"/>
      <c r="DS195" s="539"/>
      <c r="DT195" s="539"/>
      <c r="DU195" s="539"/>
      <c r="DV195" s="539"/>
      <c r="DW195" s="539"/>
      <c r="DX195" s="539"/>
      <c r="DY195" s="539"/>
      <c r="DZ195" s="539"/>
      <c r="EA195" s="539"/>
      <c r="EB195" s="539"/>
      <c r="EC195" s="539"/>
      <c r="ED195" s="539"/>
    </row>
    <row r="196" spans="1:134" ht="13.5" hidden="1" customHeight="1">
      <c r="A196" s="549"/>
      <c r="B196" s="11" t="e">
        <f>+#REF!</f>
        <v>#REF!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539"/>
      <c r="AR196" s="539"/>
      <c r="AS196" s="539"/>
      <c r="AT196" s="539"/>
      <c r="AU196" s="539"/>
      <c r="AV196" s="539"/>
      <c r="AW196" s="539"/>
      <c r="AX196" s="539"/>
      <c r="AY196" s="539"/>
      <c r="AZ196" s="539"/>
      <c r="BA196" s="539"/>
      <c r="BB196" s="539"/>
      <c r="BC196" s="539"/>
      <c r="BD196" s="539"/>
      <c r="BE196" s="539"/>
      <c r="BF196" s="539"/>
      <c r="BG196" s="539"/>
      <c r="BH196" s="539"/>
      <c r="BI196" s="539"/>
      <c r="BJ196" s="539"/>
      <c r="BK196" s="539"/>
      <c r="BL196" s="539"/>
      <c r="BM196" s="539"/>
      <c r="BN196" s="539"/>
      <c r="BO196" s="539"/>
      <c r="BP196" s="539"/>
      <c r="BQ196" s="539"/>
      <c r="BR196" s="539"/>
      <c r="BS196" s="539"/>
      <c r="BT196" s="539"/>
      <c r="BU196" s="539"/>
      <c r="BV196" s="539"/>
      <c r="BW196" s="539"/>
      <c r="BX196" s="539"/>
      <c r="BY196" s="539"/>
      <c r="BZ196" s="539"/>
      <c r="CA196" s="539"/>
      <c r="CB196" s="539"/>
      <c r="CC196" s="539"/>
      <c r="CD196" s="539"/>
      <c r="CE196" s="539"/>
      <c r="CF196" s="539"/>
      <c r="CG196" s="539"/>
      <c r="CH196" s="539"/>
      <c r="CI196" s="539"/>
      <c r="CJ196" s="539"/>
      <c r="CK196" s="539"/>
      <c r="CL196" s="539"/>
      <c r="CM196" s="539"/>
      <c r="CN196" s="539"/>
      <c r="CO196" s="539"/>
      <c r="CP196" s="539"/>
      <c r="CQ196" s="539"/>
      <c r="CR196" s="539"/>
      <c r="CS196" s="539"/>
      <c r="CT196" s="539"/>
      <c r="CU196" s="539"/>
      <c r="CV196" s="539"/>
      <c r="CW196" s="539"/>
      <c r="CX196" s="539"/>
      <c r="CY196" s="539"/>
      <c r="CZ196" s="539"/>
      <c r="DA196" s="539"/>
      <c r="DB196" s="539"/>
      <c r="DC196" s="539"/>
      <c r="DD196" s="539"/>
      <c r="DE196" s="539"/>
      <c r="DF196" s="539"/>
      <c r="DG196" s="539"/>
      <c r="DH196" s="539"/>
      <c r="DI196" s="539"/>
      <c r="DJ196" s="539"/>
      <c r="DK196" s="539"/>
      <c r="DL196" s="539"/>
      <c r="DM196" s="539"/>
      <c r="DN196" s="539"/>
      <c r="DO196" s="539"/>
      <c r="DP196" s="539"/>
      <c r="DQ196" s="539"/>
      <c r="DR196" s="539"/>
      <c r="DS196" s="539"/>
      <c r="DT196" s="539"/>
      <c r="DU196" s="539"/>
      <c r="DV196" s="539"/>
      <c r="DW196" s="539"/>
      <c r="DX196" s="539"/>
      <c r="DY196" s="539"/>
      <c r="DZ196" s="539"/>
      <c r="EA196" s="539"/>
      <c r="EB196" s="539"/>
      <c r="EC196" s="539"/>
      <c r="ED196" s="539"/>
    </row>
    <row r="197" spans="1:134" ht="13.5" hidden="1" customHeight="1">
      <c r="A197" s="549"/>
      <c r="B197" s="11" t="e">
        <f>+#REF!</f>
        <v>#REF!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539"/>
      <c r="AR197" s="539"/>
      <c r="AS197" s="539"/>
      <c r="AT197" s="539"/>
      <c r="AU197" s="539"/>
      <c r="AV197" s="539"/>
      <c r="AW197" s="539"/>
      <c r="AX197" s="539"/>
      <c r="AY197" s="539"/>
      <c r="AZ197" s="539"/>
      <c r="BA197" s="539"/>
      <c r="BB197" s="539"/>
      <c r="BC197" s="539"/>
      <c r="BD197" s="539"/>
      <c r="BE197" s="539"/>
      <c r="BF197" s="539"/>
      <c r="BG197" s="539"/>
      <c r="BH197" s="539"/>
      <c r="BI197" s="539"/>
      <c r="BJ197" s="539"/>
      <c r="BK197" s="539"/>
      <c r="BL197" s="539"/>
      <c r="BM197" s="539"/>
      <c r="BN197" s="539"/>
      <c r="BO197" s="539"/>
      <c r="BP197" s="539"/>
      <c r="BQ197" s="539"/>
      <c r="BR197" s="539"/>
      <c r="BS197" s="539"/>
      <c r="BT197" s="539"/>
      <c r="BU197" s="539"/>
      <c r="BV197" s="539"/>
      <c r="BW197" s="539"/>
      <c r="BX197" s="539"/>
      <c r="BY197" s="539"/>
      <c r="BZ197" s="539"/>
      <c r="CA197" s="539"/>
      <c r="CB197" s="539"/>
      <c r="CC197" s="539"/>
      <c r="CD197" s="539"/>
      <c r="CE197" s="539"/>
      <c r="CF197" s="539"/>
      <c r="CG197" s="539"/>
      <c r="CH197" s="539"/>
      <c r="CI197" s="539"/>
      <c r="CJ197" s="539"/>
      <c r="CK197" s="539"/>
      <c r="CL197" s="539"/>
      <c r="CM197" s="539"/>
      <c r="CN197" s="539"/>
      <c r="CO197" s="539"/>
      <c r="CP197" s="539"/>
      <c r="CQ197" s="539"/>
      <c r="CR197" s="539"/>
      <c r="CS197" s="539"/>
      <c r="CT197" s="539"/>
      <c r="CU197" s="539"/>
      <c r="CV197" s="539"/>
      <c r="CW197" s="539"/>
      <c r="CX197" s="539"/>
      <c r="CY197" s="539"/>
      <c r="CZ197" s="539"/>
      <c r="DA197" s="539"/>
      <c r="DB197" s="539"/>
      <c r="DC197" s="539"/>
      <c r="DD197" s="539"/>
      <c r="DE197" s="539"/>
      <c r="DF197" s="539"/>
      <c r="DG197" s="539"/>
      <c r="DH197" s="539"/>
      <c r="DI197" s="539"/>
      <c r="DJ197" s="539"/>
      <c r="DK197" s="539"/>
      <c r="DL197" s="539"/>
      <c r="DM197" s="539"/>
      <c r="DN197" s="539"/>
      <c r="DO197" s="539"/>
      <c r="DP197" s="539"/>
      <c r="DQ197" s="539"/>
      <c r="DR197" s="539"/>
      <c r="DS197" s="539"/>
      <c r="DT197" s="539"/>
      <c r="DU197" s="539"/>
      <c r="DV197" s="539"/>
      <c r="DW197" s="539"/>
      <c r="DX197" s="539"/>
      <c r="DY197" s="539"/>
      <c r="DZ197" s="539"/>
      <c r="EA197" s="539"/>
      <c r="EB197" s="539"/>
      <c r="EC197" s="539"/>
      <c r="ED197" s="539"/>
    </row>
    <row r="198" spans="1:134" ht="13.5" hidden="1" customHeight="1">
      <c r="A198" s="549"/>
      <c r="B198" s="11" t="e">
        <f>+#REF!</f>
        <v>#REF!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539"/>
      <c r="AR198" s="539"/>
      <c r="AS198" s="539"/>
      <c r="AT198" s="539"/>
      <c r="AU198" s="539"/>
      <c r="AV198" s="539"/>
      <c r="AW198" s="539"/>
      <c r="AX198" s="539"/>
      <c r="AY198" s="539"/>
      <c r="AZ198" s="539"/>
      <c r="BA198" s="539"/>
      <c r="BB198" s="539"/>
      <c r="BC198" s="539"/>
      <c r="BD198" s="539"/>
      <c r="BE198" s="539"/>
      <c r="BF198" s="539"/>
      <c r="BG198" s="539"/>
      <c r="BH198" s="539"/>
      <c r="BI198" s="539"/>
      <c r="BJ198" s="539"/>
      <c r="BK198" s="539"/>
      <c r="BL198" s="539"/>
      <c r="BM198" s="539"/>
      <c r="BN198" s="539"/>
      <c r="BO198" s="539"/>
      <c r="BP198" s="539"/>
      <c r="BQ198" s="539"/>
      <c r="BR198" s="539"/>
      <c r="BS198" s="539"/>
      <c r="BT198" s="539"/>
      <c r="BU198" s="539"/>
      <c r="BV198" s="539"/>
      <c r="BW198" s="539"/>
      <c r="BX198" s="539"/>
      <c r="BY198" s="539"/>
      <c r="BZ198" s="539"/>
      <c r="CA198" s="539"/>
      <c r="CB198" s="539"/>
      <c r="CC198" s="539"/>
      <c r="CD198" s="539"/>
      <c r="CE198" s="539"/>
      <c r="CF198" s="539"/>
      <c r="CG198" s="539"/>
      <c r="CH198" s="539"/>
      <c r="CI198" s="539"/>
      <c r="CJ198" s="539"/>
      <c r="CK198" s="539"/>
      <c r="CL198" s="539"/>
      <c r="CM198" s="539"/>
      <c r="CN198" s="539"/>
      <c r="CO198" s="539"/>
      <c r="CP198" s="539"/>
      <c r="CQ198" s="539"/>
      <c r="CR198" s="539"/>
      <c r="CS198" s="539"/>
      <c r="CT198" s="539"/>
      <c r="CU198" s="539"/>
      <c r="CV198" s="539"/>
      <c r="CW198" s="539"/>
      <c r="CX198" s="539"/>
      <c r="CY198" s="539"/>
      <c r="CZ198" s="539"/>
      <c r="DA198" s="539"/>
      <c r="DB198" s="539"/>
      <c r="DC198" s="539"/>
      <c r="DD198" s="539"/>
      <c r="DE198" s="539"/>
      <c r="DF198" s="539"/>
      <c r="DG198" s="539"/>
      <c r="DH198" s="539"/>
      <c r="DI198" s="539"/>
      <c r="DJ198" s="539"/>
      <c r="DK198" s="539"/>
      <c r="DL198" s="539"/>
      <c r="DM198" s="539"/>
      <c r="DN198" s="539"/>
      <c r="DO198" s="539"/>
      <c r="DP198" s="539"/>
      <c r="DQ198" s="539"/>
      <c r="DR198" s="539"/>
      <c r="DS198" s="539"/>
      <c r="DT198" s="539"/>
      <c r="DU198" s="539"/>
      <c r="DV198" s="539"/>
      <c r="DW198" s="539"/>
      <c r="DX198" s="539"/>
      <c r="DY198" s="539"/>
      <c r="DZ198" s="539"/>
      <c r="EA198" s="539"/>
      <c r="EB198" s="539"/>
      <c r="EC198" s="539"/>
      <c r="ED198" s="539"/>
    </row>
    <row r="199" spans="1:134" ht="13.5" hidden="1" customHeight="1">
      <c r="A199" s="549"/>
      <c r="B199" s="11" t="e">
        <f>+#REF!</f>
        <v>#REF!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539"/>
      <c r="AR199" s="539"/>
      <c r="AS199" s="539"/>
      <c r="AT199" s="539"/>
      <c r="AU199" s="539"/>
      <c r="AV199" s="539"/>
      <c r="AW199" s="539"/>
      <c r="AX199" s="539"/>
      <c r="AY199" s="539"/>
      <c r="AZ199" s="539"/>
      <c r="BA199" s="539"/>
      <c r="BB199" s="539"/>
      <c r="BC199" s="539"/>
      <c r="BD199" s="539"/>
      <c r="BE199" s="539"/>
      <c r="BF199" s="539"/>
      <c r="BG199" s="539"/>
      <c r="BH199" s="539"/>
      <c r="BI199" s="539"/>
      <c r="BJ199" s="539"/>
      <c r="BK199" s="539"/>
      <c r="BL199" s="539"/>
      <c r="BM199" s="539"/>
      <c r="BN199" s="539"/>
      <c r="BO199" s="539"/>
      <c r="BP199" s="539"/>
      <c r="BQ199" s="539"/>
      <c r="BR199" s="539"/>
      <c r="BS199" s="539"/>
      <c r="BT199" s="539"/>
      <c r="BU199" s="539"/>
      <c r="BV199" s="539"/>
      <c r="BW199" s="539"/>
      <c r="BX199" s="539"/>
      <c r="BY199" s="539"/>
      <c r="BZ199" s="539"/>
      <c r="CA199" s="539"/>
      <c r="CB199" s="539"/>
      <c r="CC199" s="539"/>
      <c r="CD199" s="539"/>
      <c r="CE199" s="539"/>
      <c r="CF199" s="539"/>
      <c r="CG199" s="539"/>
      <c r="CH199" s="539"/>
      <c r="CI199" s="539"/>
      <c r="CJ199" s="539"/>
      <c r="CK199" s="539"/>
      <c r="CL199" s="539"/>
      <c r="CM199" s="539"/>
      <c r="CN199" s="539"/>
      <c r="CO199" s="539"/>
      <c r="CP199" s="539"/>
      <c r="CQ199" s="539"/>
      <c r="CR199" s="539"/>
      <c r="CS199" s="539"/>
      <c r="CT199" s="539"/>
      <c r="CU199" s="539"/>
      <c r="CV199" s="539"/>
      <c r="CW199" s="539"/>
      <c r="CX199" s="539"/>
      <c r="CY199" s="539"/>
      <c r="CZ199" s="539"/>
      <c r="DA199" s="539"/>
      <c r="DB199" s="539"/>
      <c r="DC199" s="539"/>
      <c r="DD199" s="539"/>
      <c r="DE199" s="539"/>
      <c r="DF199" s="539"/>
      <c r="DG199" s="539"/>
      <c r="DH199" s="539"/>
      <c r="DI199" s="539"/>
      <c r="DJ199" s="539"/>
      <c r="DK199" s="539"/>
      <c r="DL199" s="539"/>
      <c r="DM199" s="539"/>
      <c r="DN199" s="539"/>
      <c r="DO199" s="539"/>
      <c r="DP199" s="539"/>
      <c r="DQ199" s="539"/>
      <c r="DR199" s="539"/>
      <c r="DS199" s="539"/>
      <c r="DT199" s="539"/>
      <c r="DU199" s="539"/>
      <c r="DV199" s="539"/>
      <c r="DW199" s="539"/>
      <c r="DX199" s="539"/>
      <c r="DY199" s="539"/>
      <c r="DZ199" s="539"/>
      <c r="EA199" s="539"/>
      <c r="EB199" s="539"/>
      <c r="EC199" s="539"/>
      <c r="ED199" s="539"/>
    </row>
    <row r="200" spans="1:134" ht="13.5" hidden="1" customHeight="1">
      <c r="A200" s="549"/>
      <c r="B200" s="11" t="e">
        <f>+#REF!</f>
        <v>#REF!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539"/>
      <c r="AR200" s="539"/>
      <c r="AS200" s="539"/>
      <c r="AT200" s="539"/>
      <c r="AU200" s="539"/>
      <c r="AV200" s="539"/>
      <c r="AW200" s="539"/>
      <c r="AX200" s="539"/>
      <c r="AY200" s="539"/>
      <c r="AZ200" s="539"/>
      <c r="BA200" s="539"/>
      <c r="BB200" s="539"/>
      <c r="BC200" s="539"/>
      <c r="BD200" s="539"/>
      <c r="BE200" s="539"/>
      <c r="BF200" s="539"/>
      <c r="BG200" s="539"/>
      <c r="BH200" s="539"/>
      <c r="BI200" s="539"/>
      <c r="BJ200" s="539"/>
      <c r="BK200" s="539"/>
      <c r="BL200" s="539"/>
      <c r="BM200" s="539"/>
      <c r="BN200" s="539"/>
      <c r="BO200" s="539"/>
      <c r="BP200" s="539"/>
      <c r="BQ200" s="539"/>
      <c r="BR200" s="539"/>
      <c r="BS200" s="539"/>
      <c r="BT200" s="539"/>
      <c r="BU200" s="539"/>
      <c r="BV200" s="539"/>
      <c r="BW200" s="539"/>
      <c r="BX200" s="539"/>
      <c r="BY200" s="539"/>
      <c r="BZ200" s="539"/>
      <c r="CA200" s="539"/>
      <c r="CB200" s="539"/>
      <c r="CC200" s="539"/>
      <c r="CD200" s="539"/>
      <c r="CE200" s="539"/>
      <c r="CF200" s="539"/>
      <c r="CG200" s="539"/>
      <c r="CH200" s="539"/>
      <c r="CI200" s="539"/>
      <c r="CJ200" s="539"/>
      <c r="CK200" s="539"/>
      <c r="CL200" s="539"/>
      <c r="CM200" s="539"/>
      <c r="CN200" s="539"/>
      <c r="CO200" s="539"/>
      <c r="CP200" s="539"/>
      <c r="CQ200" s="539"/>
      <c r="CR200" s="539"/>
      <c r="CS200" s="539"/>
      <c r="CT200" s="539"/>
      <c r="CU200" s="539"/>
      <c r="CV200" s="539"/>
      <c r="CW200" s="539"/>
      <c r="CX200" s="539"/>
      <c r="CY200" s="539"/>
      <c r="CZ200" s="539"/>
      <c r="DA200" s="539"/>
      <c r="DB200" s="539"/>
      <c r="DC200" s="539"/>
      <c r="DD200" s="539"/>
      <c r="DE200" s="539"/>
      <c r="DF200" s="539"/>
      <c r="DG200" s="539"/>
      <c r="DH200" s="539"/>
      <c r="DI200" s="539"/>
      <c r="DJ200" s="539"/>
      <c r="DK200" s="539"/>
      <c r="DL200" s="539"/>
      <c r="DM200" s="539"/>
      <c r="DN200" s="539"/>
      <c r="DO200" s="539"/>
      <c r="DP200" s="539"/>
      <c r="DQ200" s="539"/>
      <c r="DR200" s="539"/>
      <c r="DS200" s="539"/>
      <c r="DT200" s="539"/>
      <c r="DU200" s="539"/>
      <c r="DV200" s="539"/>
      <c r="DW200" s="539"/>
      <c r="DX200" s="539"/>
      <c r="DY200" s="539"/>
      <c r="DZ200" s="539"/>
      <c r="EA200" s="539"/>
      <c r="EB200" s="539"/>
      <c r="EC200" s="539"/>
      <c r="ED200" s="539"/>
    </row>
    <row r="201" spans="1:134" ht="13.5" customHeight="1">
      <c r="A201" s="539"/>
      <c r="B201" s="10" t="e">
        <f>+#REF!</f>
        <v>#REF!</v>
      </c>
      <c r="C201" s="10">
        <v>384.70685000000003</v>
      </c>
      <c r="D201" s="10">
        <v>11944.804886</v>
      </c>
      <c r="E201" s="10">
        <v>513.97209199999998</v>
      </c>
      <c r="F201" s="10">
        <v>13555.436415999999</v>
      </c>
      <c r="G201" s="10">
        <v>10494.881791999998</v>
      </c>
      <c r="H201" s="10">
        <v>8795.3727844762197</v>
      </c>
      <c r="I201" s="10">
        <v>5812.5149173819382</v>
      </c>
      <c r="J201" s="10">
        <v>2822.9794220568137</v>
      </c>
      <c r="K201" s="10">
        <v>2899.662079866338</v>
      </c>
      <c r="L201" s="10">
        <v>2899.662079866338</v>
      </c>
      <c r="M201" s="10">
        <v>2899.662079866338</v>
      </c>
      <c r="N201" s="10">
        <v>2899.662079866338</v>
      </c>
      <c r="O201" s="10">
        <v>2899.662079866338</v>
      </c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539"/>
      <c r="AR201" s="539"/>
      <c r="AS201" s="539"/>
      <c r="AT201" s="539"/>
      <c r="AU201" s="539"/>
      <c r="AV201" s="539"/>
      <c r="AW201" s="539"/>
      <c r="AX201" s="539"/>
      <c r="AY201" s="539"/>
      <c r="AZ201" s="539"/>
      <c r="BA201" s="539"/>
      <c r="BB201" s="539"/>
      <c r="BC201" s="539"/>
      <c r="BD201" s="539"/>
      <c r="BE201" s="539"/>
      <c r="BF201" s="539"/>
      <c r="BG201" s="539"/>
      <c r="BH201" s="539"/>
      <c r="BI201" s="539"/>
      <c r="BJ201" s="539"/>
      <c r="BK201" s="539"/>
      <c r="BL201" s="539"/>
      <c r="BM201" s="539"/>
      <c r="BN201" s="539"/>
      <c r="BO201" s="539"/>
      <c r="BP201" s="539"/>
      <c r="BQ201" s="539"/>
      <c r="BR201" s="539"/>
      <c r="BS201" s="539"/>
      <c r="BT201" s="539"/>
      <c r="BU201" s="539"/>
      <c r="BV201" s="539"/>
      <c r="BW201" s="539"/>
      <c r="BX201" s="539"/>
      <c r="BY201" s="539"/>
      <c r="BZ201" s="539"/>
      <c r="CA201" s="539"/>
      <c r="CB201" s="539"/>
      <c r="CC201" s="539"/>
      <c r="CD201" s="539"/>
      <c r="CE201" s="539"/>
      <c r="CF201" s="539"/>
      <c r="CG201" s="539"/>
      <c r="CH201" s="539"/>
      <c r="CI201" s="539"/>
      <c r="CJ201" s="539"/>
      <c r="CK201" s="539"/>
      <c r="CL201" s="539"/>
      <c r="CM201" s="539"/>
      <c r="CN201" s="539"/>
      <c r="CO201" s="539"/>
      <c r="CP201" s="539"/>
      <c r="CQ201" s="539"/>
      <c r="CR201" s="539"/>
      <c r="CS201" s="539"/>
      <c r="CT201" s="539"/>
      <c r="CU201" s="539"/>
      <c r="CV201" s="539"/>
      <c r="CW201" s="539"/>
      <c r="CX201" s="539"/>
      <c r="CY201" s="539"/>
      <c r="CZ201" s="539"/>
      <c r="DA201" s="539"/>
      <c r="DB201" s="539"/>
      <c r="DC201" s="539"/>
      <c r="DD201" s="539"/>
      <c r="DE201" s="539"/>
      <c r="DF201" s="539"/>
      <c r="DG201" s="539"/>
      <c r="DH201" s="539"/>
      <c r="DI201" s="539"/>
      <c r="DJ201" s="539"/>
      <c r="DK201" s="539"/>
      <c r="DL201" s="539"/>
      <c r="DM201" s="539"/>
      <c r="DN201" s="539"/>
      <c r="DO201" s="539"/>
      <c r="DP201" s="539"/>
      <c r="DQ201" s="539"/>
      <c r="DR201" s="539"/>
      <c r="DS201" s="539"/>
      <c r="DT201" s="539"/>
      <c r="DU201" s="539"/>
      <c r="DV201" s="539"/>
      <c r="DW201" s="539"/>
      <c r="DX201" s="539"/>
      <c r="DY201" s="539"/>
      <c r="DZ201" s="539"/>
      <c r="EA201" s="539"/>
      <c r="EB201" s="539"/>
      <c r="EC201" s="539"/>
      <c r="ED201" s="539"/>
    </row>
    <row r="202" spans="1:134" ht="13.5" hidden="1" customHeight="1">
      <c r="A202" s="549"/>
      <c r="B202" s="11" t="e">
        <f>+#REF!</f>
        <v>#REF!</v>
      </c>
      <c r="C202" s="12">
        <f>IF(ISNUMBER(Historical!E24),Historical!E24, )</f>
        <v>900</v>
      </c>
      <c r="D202" s="12">
        <f>IF(ISNUMBER(Historical!G24),Historical!G24, )</f>
        <v>901</v>
      </c>
      <c r="E202" s="12">
        <f>IF(ISNUMBER(Historical!I24),Historical!I24, )</f>
        <v>902</v>
      </c>
      <c r="F202" s="12">
        <f>IF(ISNUMBER(Projection!H7),IF(MONTH(Projection!H7)&lt;&gt;12,IF(ISNUMBER(Projection!L17),Projection!L17, ),IF(ISNUMBER(Historical!K24),Historical!K24, )), )</f>
        <v>953</v>
      </c>
      <c r="G202" s="12">
        <f>IF(ISNUMBER(Projection!H7),IF(MONTH(Projection!$H$7)&lt;&gt;12,IF(ISNUMBER(Projection!N17),Projection!N17, ),IF(ISNUMBER(Projection!L17),Projection!L17, )), )</f>
        <v>953</v>
      </c>
      <c r="H202" s="12">
        <f>IF(ISNUMBER(Projection!H7),IF(MONTH(Projection!$H$7)&lt;&gt;12,IF(ISNUMBER(Projection!P17),Projection!P17, ),IF(ISNUMBER(Projection!N17),Projection!N17, )), )</f>
        <v>953</v>
      </c>
      <c r="I202" s="12">
        <f>IF(ISNUMBER(Projection!H7),IF(MONTH(Projection!$H$7)&lt;&gt;12,IF(ISNUMBER(Projection!R17),Projection!R17, ),IF(ISNUMBER(Projection!P17),Projection!P17, )), )</f>
        <v>953</v>
      </c>
      <c r="J202" s="12">
        <f>IF(ISNUMBER(Projection!H7),IF(MONTH(Projection!$H$7)&lt;&gt;12,IF(ISNUMBER(Projection!T17),Projection!T17, ),IF(ISNUMBER(Projection!R17),Projection!R17, )), )</f>
        <v>953</v>
      </c>
      <c r="K202" s="12">
        <f>IF(ISNUMBER(Projection!H7),IF(MONTH(Projection!$H$7)&lt;&gt;12,IF(ISNUMBER(Projection!Z17),Projection!Z17, ),IF(ISNUMBER(Projection!T17),Projection!T17, )), )</f>
        <v>953</v>
      </c>
      <c r="L202" s="12">
        <f>IF(ISNUMBER(Projection!H7),IF(MONTH(Projection!$H$7)&lt;&gt;12,IF(ISNUMBER(Projection!AB17),Projection!AB17, ),IF(ISNUMBER(Projection!Z17),Projection!Z17, )), )</f>
        <v>953</v>
      </c>
      <c r="M202" s="12">
        <f>IF(ISNUMBER(Projection!$H$7),IF(MONTH(Projection!$H$7)&lt;&gt;12,IF(ISNUMBER(Projection!AD17),Projection!AD17, ),IF(ISNUMBER(Projection!AB17),Projection!AB17, )), )</f>
        <v>953</v>
      </c>
      <c r="N202" s="12">
        <f>IF(ISNUMBER(Projection!$H$7),IF(MONTH(Projection!$H$7)&lt;&gt;12,IF(ISNUMBER(Projection!AF17),Projection!AF17, ),IF(ISNUMBER(Projection!AD17),Projection!AD17, )), )</f>
        <v>953</v>
      </c>
      <c r="O202" s="12">
        <f>IF(ISNUMBER(Projection!$H$7),IF(MONTH(Projection!$H$7)&lt;&gt;12,IF(ISNUMBER(Projection!AH17),Projection!AH17, ),IF(ISNUMBER(Projection!AF17),Projection!AF17, )), )</f>
        <v>953</v>
      </c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539"/>
      <c r="AR202" s="539"/>
      <c r="AS202" s="539"/>
      <c r="AT202" s="539"/>
      <c r="AU202" s="539"/>
      <c r="AV202" s="539"/>
      <c r="AW202" s="539"/>
      <c r="AX202" s="539"/>
      <c r="AY202" s="539"/>
      <c r="AZ202" s="539"/>
      <c r="BA202" s="539"/>
      <c r="BB202" s="539"/>
      <c r="BC202" s="539"/>
      <c r="BD202" s="539"/>
      <c r="BE202" s="539"/>
      <c r="BF202" s="539"/>
      <c r="BG202" s="539"/>
      <c r="BH202" s="539"/>
      <c r="BI202" s="539"/>
      <c r="BJ202" s="539"/>
      <c r="BK202" s="539"/>
      <c r="BL202" s="539"/>
      <c r="BM202" s="539"/>
      <c r="BN202" s="539"/>
      <c r="BO202" s="539"/>
      <c r="BP202" s="539"/>
      <c r="BQ202" s="539"/>
      <c r="BR202" s="539"/>
      <c r="BS202" s="539"/>
      <c r="BT202" s="539"/>
      <c r="BU202" s="539"/>
      <c r="BV202" s="539"/>
      <c r="BW202" s="539"/>
      <c r="BX202" s="539"/>
      <c r="BY202" s="539"/>
      <c r="BZ202" s="539"/>
      <c r="CA202" s="539"/>
      <c r="CB202" s="539"/>
      <c r="CC202" s="539"/>
      <c r="CD202" s="539"/>
      <c r="CE202" s="539"/>
      <c r="CF202" s="539"/>
      <c r="CG202" s="539"/>
      <c r="CH202" s="539"/>
      <c r="CI202" s="539"/>
      <c r="CJ202" s="539"/>
      <c r="CK202" s="539"/>
      <c r="CL202" s="539"/>
      <c r="CM202" s="539"/>
      <c r="CN202" s="539"/>
      <c r="CO202" s="539"/>
      <c r="CP202" s="539"/>
      <c r="CQ202" s="539"/>
      <c r="CR202" s="539"/>
      <c r="CS202" s="539"/>
      <c r="CT202" s="539"/>
      <c r="CU202" s="539"/>
      <c r="CV202" s="539"/>
      <c r="CW202" s="539"/>
      <c r="CX202" s="539"/>
      <c r="CY202" s="539"/>
      <c r="CZ202" s="539"/>
      <c r="DA202" s="539"/>
      <c r="DB202" s="539"/>
      <c r="DC202" s="539"/>
      <c r="DD202" s="539"/>
      <c r="DE202" s="539"/>
      <c r="DF202" s="539"/>
      <c r="DG202" s="539"/>
      <c r="DH202" s="539"/>
      <c r="DI202" s="539"/>
      <c r="DJ202" s="539"/>
      <c r="DK202" s="539"/>
      <c r="DL202" s="539"/>
      <c r="DM202" s="539"/>
      <c r="DN202" s="539"/>
      <c r="DO202" s="539"/>
      <c r="DP202" s="539"/>
      <c r="DQ202" s="539"/>
      <c r="DR202" s="539"/>
      <c r="DS202" s="539"/>
      <c r="DT202" s="539"/>
      <c r="DU202" s="539"/>
      <c r="DV202" s="539"/>
      <c r="DW202" s="539"/>
      <c r="DX202" s="539"/>
      <c r="DY202" s="539"/>
      <c r="DZ202" s="539"/>
      <c r="EA202" s="539"/>
      <c r="EB202" s="539"/>
      <c r="EC202" s="539"/>
      <c r="ED202" s="539"/>
    </row>
    <row r="203" spans="1:134" ht="13.5" hidden="1" customHeight="1">
      <c r="A203" s="549"/>
      <c r="B203" s="11" t="e">
        <f>+#REF!</f>
        <v>#REF!</v>
      </c>
      <c r="C203" s="12">
        <f>IF(ISNUMBER(Historical!E21),Historical!E21, )</f>
        <v>600</v>
      </c>
      <c r="D203" s="12">
        <f>IF(ISNUMBER(Historical!G21),Historical!G21, )</f>
        <v>601</v>
      </c>
      <c r="E203" s="12">
        <f>IF(ISNUMBER(Historical!I21),Historical!I21, )</f>
        <v>602</v>
      </c>
      <c r="F203" s="12">
        <f>IF(ISNUMBER(Projection!H7),IF(MONTH(Projection!H7)&lt;&gt;12,IF(ISNUMBER(Projection!L14),Projection!L14, ),IF(ISNUMBER(Historical!K21),Historical!K21, )), )</f>
        <v>7120</v>
      </c>
      <c r="G203" s="12">
        <f>IF(ISNUMBER(Projection!H7),IF(MONTH(Projection!$H$7)&lt;&gt;12,IF(ISNUMBER(Projection!N14),Projection!N14, ),IF(ISNUMBER(Projection!L14),Projection!L14, )), )</f>
        <v>9467.3375672744587</v>
      </c>
      <c r="H203" s="12">
        <f>IF(ISNUMBER(Projection!H7),IF(MONTH(Projection!$H$7)&lt;&gt;12,IF(ISNUMBER(Projection!P14),Projection!P14, ),IF(ISNUMBER(Projection!N14),Projection!N14, )), )</f>
        <v>9467.3375672744587</v>
      </c>
      <c r="I203" s="12">
        <f>IF(ISNUMBER(Projection!H7),IF(MONTH(Projection!$H$7)&lt;&gt;12,IF(ISNUMBER(Projection!R14),Projection!R14, ),IF(ISNUMBER(Projection!P14),Projection!P14, )), )</f>
        <v>9467.3375672744587</v>
      </c>
      <c r="J203" s="12">
        <f>IF(ISNUMBER(Projection!H7),IF(MONTH(Projection!$H$7)&lt;&gt;12,IF(ISNUMBER(Projection!T14),Projection!T14, ),IF(ISNUMBER(Projection!R14),Projection!R14, )), )</f>
        <v>9467.3375672744587</v>
      </c>
      <c r="K203" s="12">
        <f>IF(ISNUMBER(Projection!H7),IF(MONTH(Projection!$H$7)&lt;&gt;12,IF(ISNUMBER(Projection!Z14),Projection!Z14, ),IF(ISNUMBER(Projection!T14),Projection!T14, )), )</f>
        <v>9467.3375672744587</v>
      </c>
      <c r="L203" s="12">
        <f>IF(ISNUMBER(Projection!H7),IF(MONTH(Projection!$H$7)&lt;&gt;12,IF(ISNUMBER(Projection!AB14),Projection!AB14, ),IF(ISNUMBER(Projection!Z14),Projection!Z14, )), )</f>
        <v>9467.3375672744587</v>
      </c>
      <c r="M203" s="12">
        <f>IF(ISNUMBER(Projection!$H$7),IF(MONTH(Projection!$H$7)&lt;&gt;12,IF(ISNUMBER(Projection!AD14),Projection!AD14, ),IF(ISNUMBER(Projection!AB14),Projection!AB14, )), )</f>
        <v>9467.3375672744587</v>
      </c>
      <c r="N203" s="12">
        <f>IF(ISNUMBER(Projection!$H$7),IF(MONTH(Projection!$H$7)&lt;&gt;12,IF(ISNUMBER(Projection!AF14),Projection!AF14, ),IF(ISNUMBER(Projection!AD14),Projection!AD14, )), )</f>
        <v>9467.3375672744587</v>
      </c>
      <c r="O203" s="12">
        <f>IF(ISNUMBER(Projection!$H$7),IF(MONTH(Projection!$H$7)&lt;&gt;12,IF(ISNUMBER(Projection!AH14),Projection!AH14, ),IF(ISNUMBER(Projection!AF14),Projection!AF14, )), )</f>
        <v>9467.3375672744587</v>
      </c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539"/>
      <c r="AR203" s="539"/>
      <c r="AS203" s="539"/>
      <c r="AT203" s="539"/>
      <c r="AU203" s="539"/>
      <c r="AV203" s="539"/>
      <c r="AW203" s="539"/>
      <c r="AX203" s="539"/>
      <c r="AY203" s="539"/>
      <c r="AZ203" s="539"/>
      <c r="BA203" s="539"/>
      <c r="BB203" s="539"/>
      <c r="BC203" s="539"/>
      <c r="BD203" s="539"/>
      <c r="BE203" s="539"/>
      <c r="BF203" s="539"/>
      <c r="BG203" s="539"/>
      <c r="BH203" s="539"/>
      <c r="BI203" s="539"/>
      <c r="BJ203" s="539"/>
      <c r="BK203" s="539"/>
      <c r="BL203" s="539"/>
      <c r="BM203" s="539"/>
      <c r="BN203" s="539"/>
      <c r="BO203" s="539"/>
      <c r="BP203" s="539"/>
      <c r="BQ203" s="539"/>
      <c r="BR203" s="539"/>
      <c r="BS203" s="539"/>
      <c r="BT203" s="539"/>
      <c r="BU203" s="539"/>
      <c r="BV203" s="539"/>
      <c r="BW203" s="539"/>
      <c r="BX203" s="539"/>
      <c r="BY203" s="539"/>
      <c r="BZ203" s="539"/>
      <c r="CA203" s="539"/>
      <c r="CB203" s="539"/>
      <c r="CC203" s="539"/>
      <c r="CD203" s="539"/>
      <c r="CE203" s="539"/>
      <c r="CF203" s="539"/>
      <c r="CG203" s="539"/>
      <c r="CH203" s="539"/>
      <c r="CI203" s="539"/>
      <c r="CJ203" s="539"/>
      <c r="CK203" s="539"/>
      <c r="CL203" s="539"/>
      <c r="CM203" s="539"/>
      <c r="CN203" s="539"/>
      <c r="CO203" s="539"/>
      <c r="CP203" s="539"/>
      <c r="CQ203" s="539"/>
      <c r="CR203" s="539"/>
      <c r="CS203" s="539"/>
      <c r="CT203" s="539"/>
      <c r="CU203" s="539"/>
      <c r="CV203" s="539"/>
      <c r="CW203" s="539"/>
      <c r="CX203" s="539"/>
      <c r="CY203" s="539"/>
      <c r="CZ203" s="539"/>
      <c r="DA203" s="539"/>
      <c r="DB203" s="539"/>
      <c r="DC203" s="539"/>
      <c r="DD203" s="539"/>
      <c r="DE203" s="539"/>
      <c r="DF203" s="539"/>
      <c r="DG203" s="539"/>
      <c r="DH203" s="539"/>
      <c r="DI203" s="539"/>
      <c r="DJ203" s="539"/>
      <c r="DK203" s="539"/>
      <c r="DL203" s="539"/>
      <c r="DM203" s="539"/>
      <c r="DN203" s="539"/>
      <c r="DO203" s="539"/>
      <c r="DP203" s="539"/>
      <c r="DQ203" s="539"/>
      <c r="DR203" s="539"/>
      <c r="DS203" s="539"/>
      <c r="DT203" s="539"/>
      <c r="DU203" s="539"/>
      <c r="DV203" s="539"/>
      <c r="DW203" s="539"/>
      <c r="DX203" s="539"/>
      <c r="DY203" s="539"/>
      <c r="DZ203" s="539"/>
      <c r="EA203" s="539"/>
      <c r="EB203" s="539"/>
      <c r="EC203" s="539"/>
      <c r="ED203" s="539"/>
    </row>
    <row r="204" spans="1:134" ht="13.5" hidden="1" customHeight="1">
      <c r="A204" s="549"/>
      <c r="B204" s="11" t="e">
        <f>+#REF!</f>
        <v>#REF!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539"/>
      <c r="AR204" s="539"/>
      <c r="AS204" s="539"/>
      <c r="AT204" s="539"/>
      <c r="AU204" s="539"/>
      <c r="AV204" s="539"/>
      <c r="AW204" s="539"/>
      <c r="AX204" s="539"/>
      <c r="AY204" s="539"/>
      <c r="AZ204" s="539"/>
      <c r="BA204" s="539"/>
      <c r="BB204" s="539"/>
      <c r="BC204" s="539"/>
      <c r="BD204" s="539"/>
      <c r="BE204" s="539"/>
      <c r="BF204" s="539"/>
      <c r="BG204" s="539"/>
      <c r="BH204" s="539"/>
      <c r="BI204" s="539"/>
      <c r="BJ204" s="539"/>
      <c r="BK204" s="539"/>
      <c r="BL204" s="539"/>
      <c r="BM204" s="539"/>
      <c r="BN204" s="539"/>
      <c r="BO204" s="539"/>
      <c r="BP204" s="539"/>
      <c r="BQ204" s="539"/>
      <c r="BR204" s="539"/>
      <c r="BS204" s="539"/>
      <c r="BT204" s="539"/>
      <c r="BU204" s="539"/>
      <c r="BV204" s="539"/>
      <c r="BW204" s="539"/>
      <c r="BX204" s="539"/>
      <c r="BY204" s="539"/>
      <c r="BZ204" s="539"/>
      <c r="CA204" s="539"/>
      <c r="CB204" s="539"/>
      <c r="CC204" s="539"/>
      <c r="CD204" s="539"/>
      <c r="CE204" s="539"/>
      <c r="CF204" s="539"/>
      <c r="CG204" s="539"/>
      <c r="CH204" s="539"/>
      <c r="CI204" s="539"/>
      <c r="CJ204" s="539"/>
      <c r="CK204" s="539"/>
      <c r="CL204" s="539"/>
      <c r="CM204" s="539"/>
      <c r="CN204" s="539"/>
      <c r="CO204" s="539"/>
      <c r="CP204" s="539"/>
      <c r="CQ204" s="539"/>
      <c r="CR204" s="539"/>
      <c r="CS204" s="539"/>
      <c r="CT204" s="539"/>
      <c r="CU204" s="539"/>
      <c r="CV204" s="539"/>
      <c r="CW204" s="539"/>
      <c r="CX204" s="539"/>
      <c r="CY204" s="539"/>
      <c r="CZ204" s="539"/>
      <c r="DA204" s="539"/>
      <c r="DB204" s="539"/>
      <c r="DC204" s="539"/>
      <c r="DD204" s="539"/>
      <c r="DE204" s="539"/>
      <c r="DF204" s="539"/>
      <c r="DG204" s="539"/>
      <c r="DH204" s="539"/>
      <c r="DI204" s="539"/>
      <c r="DJ204" s="539"/>
      <c r="DK204" s="539"/>
      <c r="DL204" s="539"/>
      <c r="DM204" s="539"/>
      <c r="DN204" s="539"/>
      <c r="DO204" s="539"/>
      <c r="DP204" s="539"/>
      <c r="DQ204" s="539"/>
      <c r="DR204" s="539"/>
      <c r="DS204" s="539"/>
      <c r="DT204" s="539"/>
      <c r="DU204" s="539"/>
      <c r="DV204" s="539"/>
      <c r="DW204" s="539"/>
      <c r="DX204" s="539"/>
      <c r="DY204" s="539"/>
      <c r="DZ204" s="539"/>
      <c r="EA204" s="539"/>
      <c r="EB204" s="539"/>
      <c r="EC204" s="539"/>
      <c r="ED204" s="539"/>
    </row>
    <row r="205" spans="1:134" ht="13.5" hidden="1" customHeight="1">
      <c r="A205" s="549"/>
      <c r="B205" s="11" t="e">
        <f>+#REF!</f>
        <v>#REF!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539"/>
      <c r="AR205" s="539"/>
      <c r="AS205" s="539"/>
      <c r="AT205" s="539"/>
      <c r="AU205" s="539"/>
      <c r="AV205" s="539"/>
      <c r="AW205" s="539"/>
      <c r="AX205" s="539"/>
      <c r="AY205" s="539"/>
      <c r="AZ205" s="539"/>
      <c r="BA205" s="539"/>
      <c r="BB205" s="539"/>
      <c r="BC205" s="539"/>
      <c r="BD205" s="539"/>
      <c r="BE205" s="539"/>
      <c r="BF205" s="539"/>
      <c r="BG205" s="539"/>
      <c r="BH205" s="539"/>
      <c r="BI205" s="539"/>
      <c r="BJ205" s="539"/>
      <c r="BK205" s="539"/>
      <c r="BL205" s="539"/>
      <c r="BM205" s="539"/>
      <c r="BN205" s="539"/>
      <c r="BO205" s="539"/>
      <c r="BP205" s="539"/>
      <c r="BQ205" s="539"/>
      <c r="BR205" s="539"/>
      <c r="BS205" s="539"/>
      <c r="BT205" s="539"/>
      <c r="BU205" s="539"/>
      <c r="BV205" s="539"/>
      <c r="BW205" s="539"/>
      <c r="BX205" s="539"/>
      <c r="BY205" s="539"/>
      <c r="BZ205" s="539"/>
      <c r="CA205" s="539"/>
      <c r="CB205" s="539"/>
      <c r="CC205" s="539"/>
      <c r="CD205" s="539"/>
      <c r="CE205" s="539"/>
      <c r="CF205" s="539"/>
      <c r="CG205" s="539"/>
      <c r="CH205" s="539"/>
      <c r="CI205" s="539"/>
      <c r="CJ205" s="539"/>
      <c r="CK205" s="539"/>
      <c r="CL205" s="539"/>
      <c r="CM205" s="539"/>
      <c r="CN205" s="539"/>
      <c r="CO205" s="539"/>
      <c r="CP205" s="539"/>
      <c r="CQ205" s="539"/>
      <c r="CR205" s="539"/>
      <c r="CS205" s="539"/>
      <c r="CT205" s="539"/>
      <c r="CU205" s="539"/>
      <c r="CV205" s="539"/>
      <c r="CW205" s="539"/>
      <c r="CX205" s="539"/>
      <c r="CY205" s="539"/>
      <c r="CZ205" s="539"/>
      <c r="DA205" s="539"/>
      <c r="DB205" s="539"/>
      <c r="DC205" s="539"/>
      <c r="DD205" s="539"/>
      <c r="DE205" s="539"/>
      <c r="DF205" s="539"/>
      <c r="DG205" s="539"/>
      <c r="DH205" s="539"/>
      <c r="DI205" s="539"/>
      <c r="DJ205" s="539"/>
      <c r="DK205" s="539"/>
      <c r="DL205" s="539"/>
      <c r="DM205" s="539"/>
      <c r="DN205" s="539"/>
      <c r="DO205" s="539"/>
      <c r="DP205" s="539"/>
      <c r="DQ205" s="539"/>
      <c r="DR205" s="539"/>
      <c r="DS205" s="539"/>
      <c r="DT205" s="539"/>
      <c r="DU205" s="539"/>
      <c r="DV205" s="539"/>
      <c r="DW205" s="539"/>
      <c r="DX205" s="539"/>
      <c r="DY205" s="539"/>
      <c r="DZ205" s="539"/>
      <c r="EA205" s="539"/>
      <c r="EB205" s="539"/>
      <c r="EC205" s="539"/>
      <c r="ED205" s="539"/>
    </row>
    <row r="206" spans="1:134" ht="13.5" hidden="1" customHeight="1">
      <c r="A206" s="549"/>
      <c r="B206" s="11" t="e">
        <f>+#REF!</f>
        <v>#REF!</v>
      </c>
      <c r="C206" s="12">
        <f>IF(ISNUMBER(Historical!E22),Historical!E22, )</f>
        <v>700</v>
      </c>
      <c r="D206" s="12">
        <f>IF(ISNUMBER(Historical!G22),Historical!G22, )</f>
        <v>701</v>
      </c>
      <c r="E206" s="12">
        <f>IF(ISNUMBER(Historical!I22),Historical!I22, )</f>
        <v>702</v>
      </c>
      <c r="F206" s="12">
        <f>IF(ISNUMBER(Projection!H7),IF(MONTH(Projection!H7)&lt;&gt;12,IF(ISNUMBER(Projection!L15),Projection!L15, ),IF(ISNUMBER(Historical!K22),Historical!K22, )), )</f>
        <v>733</v>
      </c>
      <c r="G206" s="12">
        <f>IF(ISNUMBER(Projection!H7),IF(MONTH(Projection!$H$7)&lt;&gt;12,IF(ISNUMBER(Projection!N15),Projection!N15, ),IF(ISNUMBER(Projection!L15),Projection!L15, )), )</f>
        <v>733</v>
      </c>
      <c r="H206" s="12">
        <f>IF(ISNUMBER(Projection!H7),IF(MONTH(Projection!$H$7)&lt;&gt;12,IF(ISNUMBER(Projection!P15),Projection!P15, ),IF(ISNUMBER(Projection!N15),Projection!N15, )), )</f>
        <v>733</v>
      </c>
      <c r="I206" s="12">
        <f>IF(ISNUMBER(Projection!H7),IF(MONTH(Projection!$H$7)&lt;&gt;12,IF(ISNUMBER(Projection!R15),Projection!R15, ),IF(ISNUMBER(Projection!P15),Projection!P15, )), )</f>
        <v>733</v>
      </c>
      <c r="J206" s="12">
        <f>IF(ISNUMBER(Projection!H7),IF(MONTH(Projection!$H$7)&lt;&gt;12,IF(ISNUMBER(Projection!T15),Projection!T15, ),IF(ISNUMBER(Projection!R15),Projection!R15, )), )</f>
        <v>733</v>
      </c>
      <c r="K206" s="12">
        <f>IF(ISNUMBER(Projection!H7),IF(MONTH(Projection!$H$7)&lt;&gt;12,IF(ISNUMBER(Projection!Z15),Projection!Z15, ),IF(ISNUMBER(Projection!T15),Projection!T15, )), )</f>
        <v>733</v>
      </c>
      <c r="L206" s="12">
        <f>IF(ISNUMBER(Projection!H7),IF(MONTH(Projection!$H$7)&lt;&gt;12,IF(ISNUMBER(Projection!AB15),Projection!AB15, ),IF(ISNUMBER(Projection!Z15),Projection!Z15, )), )</f>
        <v>733</v>
      </c>
      <c r="M206" s="12">
        <f>IF(ISNUMBER(Projection!$H$7),IF(MONTH(Projection!$H$7)&lt;&gt;12,IF(ISNUMBER(Projection!AD15),Projection!AD15, ),IF(ISNUMBER(Projection!AB15),Projection!AB15, )), )</f>
        <v>733</v>
      </c>
      <c r="N206" s="12">
        <f>IF(ISNUMBER(Projection!$H$7),IF(MONTH(Projection!$H$7)&lt;&gt;12,IF(ISNUMBER(Projection!AF15),Projection!AF15, ),IF(ISNUMBER(Projection!AD15),Projection!AD15, )), )</f>
        <v>733</v>
      </c>
      <c r="O206" s="12">
        <f>IF(ISNUMBER(Projection!$H$7),IF(MONTH(Projection!$H$7)&lt;&gt;12,IF(ISNUMBER(Projection!AH15),Projection!AH15, ),IF(ISNUMBER(Projection!AF15),Projection!AF15, )), )</f>
        <v>733</v>
      </c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539"/>
      <c r="AR206" s="539"/>
      <c r="AS206" s="539"/>
      <c r="AT206" s="539"/>
      <c r="AU206" s="539"/>
      <c r="AV206" s="539"/>
      <c r="AW206" s="539"/>
      <c r="AX206" s="539"/>
      <c r="AY206" s="539"/>
      <c r="AZ206" s="539"/>
      <c r="BA206" s="539"/>
      <c r="BB206" s="539"/>
      <c r="BC206" s="539"/>
      <c r="BD206" s="539"/>
      <c r="BE206" s="539"/>
      <c r="BF206" s="539"/>
      <c r="BG206" s="539"/>
      <c r="BH206" s="539"/>
      <c r="BI206" s="539"/>
      <c r="BJ206" s="539"/>
      <c r="BK206" s="539"/>
      <c r="BL206" s="539"/>
      <c r="BM206" s="539"/>
      <c r="BN206" s="539"/>
      <c r="BO206" s="539"/>
      <c r="BP206" s="539"/>
      <c r="BQ206" s="539"/>
      <c r="BR206" s="539"/>
      <c r="BS206" s="539"/>
      <c r="BT206" s="539"/>
      <c r="BU206" s="539"/>
      <c r="BV206" s="539"/>
      <c r="BW206" s="539"/>
      <c r="BX206" s="539"/>
      <c r="BY206" s="539"/>
      <c r="BZ206" s="539"/>
      <c r="CA206" s="539"/>
      <c r="CB206" s="539"/>
      <c r="CC206" s="539"/>
      <c r="CD206" s="539"/>
      <c r="CE206" s="539"/>
      <c r="CF206" s="539"/>
      <c r="CG206" s="539"/>
      <c r="CH206" s="539"/>
      <c r="CI206" s="539"/>
      <c r="CJ206" s="539"/>
      <c r="CK206" s="539"/>
      <c r="CL206" s="539"/>
      <c r="CM206" s="539"/>
      <c r="CN206" s="539"/>
      <c r="CO206" s="539"/>
      <c r="CP206" s="539"/>
      <c r="CQ206" s="539"/>
      <c r="CR206" s="539"/>
      <c r="CS206" s="539"/>
      <c r="CT206" s="539"/>
      <c r="CU206" s="539"/>
      <c r="CV206" s="539"/>
      <c r="CW206" s="539"/>
      <c r="CX206" s="539"/>
      <c r="CY206" s="539"/>
      <c r="CZ206" s="539"/>
      <c r="DA206" s="539"/>
      <c r="DB206" s="539"/>
      <c r="DC206" s="539"/>
      <c r="DD206" s="539"/>
      <c r="DE206" s="539"/>
      <c r="DF206" s="539"/>
      <c r="DG206" s="539"/>
      <c r="DH206" s="539"/>
      <c r="DI206" s="539"/>
      <c r="DJ206" s="539"/>
      <c r="DK206" s="539"/>
      <c r="DL206" s="539"/>
      <c r="DM206" s="539"/>
      <c r="DN206" s="539"/>
      <c r="DO206" s="539"/>
      <c r="DP206" s="539"/>
      <c r="DQ206" s="539"/>
      <c r="DR206" s="539"/>
      <c r="DS206" s="539"/>
      <c r="DT206" s="539"/>
      <c r="DU206" s="539"/>
      <c r="DV206" s="539"/>
      <c r="DW206" s="539"/>
      <c r="DX206" s="539"/>
      <c r="DY206" s="539"/>
      <c r="DZ206" s="539"/>
      <c r="EA206" s="539"/>
      <c r="EB206" s="539"/>
      <c r="EC206" s="539"/>
      <c r="ED206" s="539"/>
    </row>
    <row r="207" spans="1:134" ht="13.5" hidden="1" customHeight="1">
      <c r="A207" s="549"/>
      <c r="B207" s="11" t="e">
        <f>+#REF!</f>
        <v>#REF!</v>
      </c>
      <c r="C207" s="12">
        <f>IF(ISNUMBER(Historical!E23),Historical!E23, )</f>
        <v>800</v>
      </c>
      <c r="D207" s="12">
        <f>IF(ISNUMBER(Historical!G23),Historical!G23, )</f>
        <v>801</v>
      </c>
      <c r="E207" s="12">
        <f>IF(ISNUMBER(Historical!I23),Historical!I23, )</f>
        <v>802</v>
      </c>
      <c r="F207" s="12">
        <f>IF(ISNUMBER(Projection!H7),IF(MONTH(Projection!H7)&lt;&gt;12,IF(ISNUMBER(Projection!L16),Projection!L16, ),IF(ISNUMBER(Historical!K23),Historical!K23, )), )</f>
        <v>843</v>
      </c>
      <c r="G207" s="12">
        <f>IF(ISNUMBER(Projection!H7),IF(MONTH(Projection!$H$7)&lt;&gt;12,IF(ISNUMBER(Projection!N16),Projection!N16, ),IF(ISNUMBER(Projection!L16),Projection!L16, )), )</f>
        <v>843</v>
      </c>
      <c r="H207" s="12">
        <f>IF(ISNUMBER(Projection!H7),IF(MONTH(Projection!$H$7)&lt;&gt;12,IF(ISNUMBER(Projection!P16),Projection!P16, ),IF(ISNUMBER(Projection!N16),Projection!N16, )), )</f>
        <v>843</v>
      </c>
      <c r="I207" s="12">
        <f>IF(ISNUMBER(Projection!H7),IF(MONTH(Projection!$H$7)&lt;&gt;12,IF(ISNUMBER(Projection!R16),Projection!R16, ),IF(ISNUMBER(Projection!P16),Projection!P16, )), )</f>
        <v>843</v>
      </c>
      <c r="J207" s="12">
        <f>IF(ISNUMBER(Projection!H7),IF(MONTH(Projection!$H$7)&lt;&gt;12,IF(ISNUMBER(Projection!T16),Projection!T16, ),IF(ISNUMBER(Projection!R16),Projection!R16, )), )</f>
        <v>843</v>
      </c>
      <c r="K207" s="12">
        <f>IF(ISNUMBER(Projection!H7),IF(MONTH(Projection!$H$7)&lt;&gt;12,IF(ISNUMBER(Projection!Z16),Projection!Z16, ),IF(ISNUMBER(Projection!T16),Projection!T16, )), )</f>
        <v>843</v>
      </c>
      <c r="L207" s="12">
        <f>IF(ISNUMBER(Projection!H7),IF(MONTH(Projection!$H$7)&lt;&gt;12,IF(ISNUMBER(Projection!AB16),Projection!AB16, ),IF(ISNUMBER(Projection!Z16),Projection!Z16, )), )</f>
        <v>843</v>
      </c>
      <c r="M207" s="12">
        <f>IF(ISNUMBER(Projection!$H$7),IF(MONTH(Projection!$H$7)&lt;&gt;12,IF(ISNUMBER(Projection!AD16),Projection!AD16, ),IF(ISNUMBER(Projection!AB16),Projection!AB16, )), )</f>
        <v>843</v>
      </c>
      <c r="N207" s="12">
        <f>IF(ISNUMBER(Projection!$H$7),IF(MONTH(Projection!$H$7)&lt;&gt;12,IF(ISNUMBER(Projection!AF16),Projection!AF16, ),IF(ISNUMBER(Projection!AD16),Projection!AD16, )), )</f>
        <v>843</v>
      </c>
      <c r="O207" s="12">
        <f>IF(ISNUMBER(Projection!$H$7),IF(MONTH(Projection!$H$7)&lt;&gt;12,IF(ISNUMBER(Projection!AH16),Projection!AH16, ),IF(ISNUMBER(Projection!AF16),Projection!AF16, )), )</f>
        <v>843</v>
      </c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539"/>
      <c r="AR207" s="539"/>
      <c r="AS207" s="539"/>
      <c r="AT207" s="539"/>
      <c r="AU207" s="539"/>
      <c r="AV207" s="539"/>
      <c r="AW207" s="539"/>
      <c r="AX207" s="539"/>
      <c r="AY207" s="539"/>
      <c r="AZ207" s="539"/>
      <c r="BA207" s="539"/>
      <c r="BB207" s="539"/>
      <c r="BC207" s="539"/>
      <c r="BD207" s="539"/>
      <c r="BE207" s="539"/>
      <c r="BF207" s="539"/>
      <c r="BG207" s="539"/>
      <c r="BH207" s="539"/>
      <c r="BI207" s="539"/>
      <c r="BJ207" s="539"/>
      <c r="BK207" s="539"/>
      <c r="BL207" s="539"/>
      <c r="BM207" s="539"/>
      <c r="BN207" s="539"/>
      <c r="BO207" s="539"/>
      <c r="BP207" s="539"/>
      <c r="BQ207" s="539"/>
      <c r="BR207" s="539"/>
      <c r="BS207" s="539"/>
      <c r="BT207" s="539"/>
      <c r="BU207" s="539"/>
      <c r="BV207" s="539"/>
      <c r="BW207" s="539"/>
      <c r="BX207" s="539"/>
      <c r="BY207" s="539"/>
      <c r="BZ207" s="539"/>
      <c r="CA207" s="539"/>
      <c r="CB207" s="539"/>
      <c r="CC207" s="539"/>
      <c r="CD207" s="539"/>
      <c r="CE207" s="539"/>
      <c r="CF207" s="539"/>
      <c r="CG207" s="539"/>
      <c r="CH207" s="539"/>
      <c r="CI207" s="539"/>
      <c r="CJ207" s="539"/>
      <c r="CK207" s="539"/>
      <c r="CL207" s="539"/>
      <c r="CM207" s="539"/>
      <c r="CN207" s="539"/>
      <c r="CO207" s="539"/>
      <c r="CP207" s="539"/>
      <c r="CQ207" s="539"/>
      <c r="CR207" s="539"/>
      <c r="CS207" s="539"/>
      <c r="CT207" s="539"/>
      <c r="CU207" s="539"/>
      <c r="CV207" s="539"/>
      <c r="CW207" s="539"/>
      <c r="CX207" s="539"/>
      <c r="CY207" s="539"/>
      <c r="CZ207" s="539"/>
      <c r="DA207" s="539"/>
      <c r="DB207" s="539"/>
      <c r="DC207" s="539"/>
      <c r="DD207" s="539"/>
      <c r="DE207" s="539"/>
      <c r="DF207" s="539"/>
      <c r="DG207" s="539"/>
      <c r="DH207" s="539"/>
      <c r="DI207" s="539"/>
      <c r="DJ207" s="539"/>
      <c r="DK207" s="539"/>
      <c r="DL207" s="539"/>
      <c r="DM207" s="539"/>
      <c r="DN207" s="539"/>
      <c r="DO207" s="539"/>
      <c r="DP207" s="539"/>
      <c r="DQ207" s="539"/>
      <c r="DR207" s="539"/>
      <c r="DS207" s="539"/>
      <c r="DT207" s="539"/>
      <c r="DU207" s="539"/>
      <c r="DV207" s="539"/>
      <c r="DW207" s="539"/>
      <c r="DX207" s="539"/>
      <c r="DY207" s="539"/>
      <c r="DZ207" s="539"/>
      <c r="EA207" s="539"/>
      <c r="EB207" s="539"/>
      <c r="EC207" s="539"/>
      <c r="ED207" s="539"/>
    </row>
    <row r="208" spans="1:134" ht="13.5" hidden="1" customHeight="1">
      <c r="A208" s="549"/>
      <c r="B208" s="11" t="e">
        <f>+#REF!</f>
        <v>#REF!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539"/>
      <c r="AR208" s="539"/>
      <c r="AS208" s="539"/>
      <c r="AT208" s="539"/>
      <c r="AU208" s="539"/>
      <c r="AV208" s="539"/>
      <c r="AW208" s="539"/>
      <c r="AX208" s="539"/>
      <c r="AY208" s="539"/>
      <c r="AZ208" s="539"/>
      <c r="BA208" s="539"/>
      <c r="BB208" s="539"/>
      <c r="BC208" s="539"/>
      <c r="BD208" s="539"/>
      <c r="BE208" s="539"/>
      <c r="BF208" s="539"/>
      <c r="BG208" s="539"/>
      <c r="BH208" s="539"/>
      <c r="BI208" s="539"/>
      <c r="BJ208" s="539"/>
      <c r="BK208" s="539"/>
      <c r="BL208" s="539"/>
      <c r="BM208" s="539"/>
      <c r="BN208" s="539"/>
      <c r="BO208" s="539"/>
      <c r="BP208" s="539"/>
      <c r="BQ208" s="539"/>
      <c r="BR208" s="539"/>
      <c r="BS208" s="539"/>
      <c r="BT208" s="539"/>
      <c r="BU208" s="539"/>
      <c r="BV208" s="539"/>
      <c r="BW208" s="539"/>
      <c r="BX208" s="539"/>
      <c r="BY208" s="539"/>
      <c r="BZ208" s="539"/>
      <c r="CA208" s="539"/>
      <c r="CB208" s="539"/>
      <c r="CC208" s="539"/>
      <c r="CD208" s="539"/>
      <c r="CE208" s="539"/>
      <c r="CF208" s="539"/>
      <c r="CG208" s="539"/>
      <c r="CH208" s="539"/>
      <c r="CI208" s="539"/>
      <c r="CJ208" s="539"/>
      <c r="CK208" s="539"/>
      <c r="CL208" s="539"/>
      <c r="CM208" s="539"/>
      <c r="CN208" s="539"/>
      <c r="CO208" s="539"/>
      <c r="CP208" s="539"/>
      <c r="CQ208" s="539"/>
      <c r="CR208" s="539"/>
      <c r="CS208" s="539"/>
      <c r="CT208" s="539"/>
      <c r="CU208" s="539"/>
      <c r="CV208" s="539"/>
      <c r="CW208" s="539"/>
      <c r="CX208" s="539"/>
      <c r="CY208" s="539"/>
      <c r="CZ208" s="539"/>
      <c r="DA208" s="539"/>
      <c r="DB208" s="539"/>
      <c r="DC208" s="539"/>
      <c r="DD208" s="539"/>
      <c r="DE208" s="539"/>
      <c r="DF208" s="539"/>
      <c r="DG208" s="539"/>
      <c r="DH208" s="539"/>
      <c r="DI208" s="539"/>
      <c r="DJ208" s="539"/>
      <c r="DK208" s="539"/>
      <c r="DL208" s="539"/>
      <c r="DM208" s="539"/>
      <c r="DN208" s="539"/>
      <c r="DO208" s="539"/>
      <c r="DP208" s="539"/>
      <c r="DQ208" s="539"/>
      <c r="DR208" s="539"/>
      <c r="DS208" s="539"/>
      <c r="DT208" s="539"/>
      <c r="DU208" s="539"/>
      <c r="DV208" s="539"/>
      <c r="DW208" s="539"/>
      <c r="DX208" s="539"/>
      <c r="DY208" s="539"/>
      <c r="DZ208" s="539"/>
      <c r="EA208" s="539"/>
      <c r="EB208" s="539"/>
      <c r="EC208" s="539"/>
      <c r="ED208" s="539"/>
    </row>
    <row r="209" spans="1:134" ht="13.5" hidden="1" customHeight="1">
      <c r="A209" s="549"/>
      <c r="B209" s="11" t="e">
        <f>+#REF!</f>
        <v>#REF!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539"/>
      <c r="AR209" s="539"/>
      <c r="AS209" s="539"/>
      <c r="AT209" s="539"/>
      <c r="AU209" s="539"/>
      <c r="AV209" s="539"/>
      <c r="AW209" s="539"/>
      <c r="AX209" s="539"/>
      <c r="AY209" s="539"/>
      <c r="AZ209" s="539"/>
      <c r="BA209" s="539"/>
      <c r="BB209" s="539"/>
      <c r="BC209" s="539"/>
      <c r="BD209" s="539"/>
      <c r="BE209" s="539"/>
      <c r="BF209" s="539"/>
      <c r="BG209" s="539"/>
      <c r="BH209" s="539"/>
      <c r="BI209" s="539"/>
      <c r="BJ209" s="539"/>
      <c r="BK209" s="539"/>
      <c r="BL209" s="539"/>
      <c r="BM209" s="539"/>
      <c r="BN209" s="539"/>
      <c r="BO209" s="539"/>
      <c r="BP209" s="539"/>
      <c r="BQ209" s="539"/>
      <c r="BR209" s="539"/>
      <c r="BS209" s="539"/>
      <c r="BT209" s="539"/>
      <c r="BU209" s="539"/>
      <c r="BV209" s="539"/>
      <c r="BW209" s="539"/>
      <c r="BX209" s="539"/>
      <c r="BY209" s="539"/>
      <c r="BZ209" s="539"/>
      <c r="CA209" s="539"/>
      <c r="CB209" s="539"/>
      <c r="CC209" s="539"/>
      <c r="CD209" s="539"/>
      <c r="CE209" s="539"/>
      <c r="CF209" s="539"/>
      <c r="CG209" s="539"/>
      <c r="CH209" s="539"/>
      <c r="CI209" s="539"/>
      <c r="CJ209" s="539"/>
      <c r="CK209" s="539"/>
      <c r="CL209" s="539"/>
      <c r="CM209" s="539"/>
      <c r="CN209" s="539"/>
      <c r="CO209" s="539"/>
      <c r="CP209" s="539"/>
      <c r="CQ209" s="539"/>
      <c r="CR209" s="539"/>
      <c r="CS209" s="539"/>
      <c r="CT209" s="539"/>
      <c r="CU209" s="539"/>
      <c r="CV209" s="539"/>
      <c r="CW209" s="539"/>
      <c r="CX209" s="539"/>
      <c r="CY209" s="539"/>
      <c r="CZ209" s="539"/>
      <c r="DA209" s="539"/>
      <c r="DB209" s="539"/>
      <c r="DC209" s="539"/>
      <c r="DD209" s="539"/>
      <c r="DE209" s="539"/>
      <c r="DF209" s="539"/>
      <c r="DG209" s="539"/>
      <c r="DH209" s="539"/>
      <c r="DI209" s="539"/>
      <c r="DJ209" s="539"/>
      <c r="DK209" s="539"/>
      <c r="DL209" s="539"/>
      <c r="DM209" s="539"/>
      <c r="DN209" s="539"/>
      <c r="DO209" s="539"/>
      <c r="DP209" s="539"/>
      <c r="DQ209" s="539"/>
      <c r="DR209" s="539"/>
      <c r="DS209" s="539"/>
      <c r="DT209" s="539"/>
      <c r="DU209" s="539"/>
      <c r="DV209" s="539"/>
      <c r="DW209" s="539"/>
      <c r="DX209" s="539"/>
      <c r="DY209" s="539"/>
      <c r="DZ209" s="539"/>
      <c r="EA209" s="539"/>
      <c r="EB209" s="539"/>
      <c r="EC209" s="539"/>
      <c r="ED209" s="539"/>
    </row>
    <row r="210" spans="1:134" ht="13.5" hidden="1" customHeight="1">
      <c r="A210" s="549"/>
      <c r="B210" s="11" t="e">
        <f>+#REF!</f>
        <v>#REF!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539"/>
      <c r="AR210" s="539"/>
      <c r="AS210" s="539"/>
      <c r="AT210" s="539"/>
      <c r="AU210" s="539"/>
      <c r="AV210" s="539"/>
      <c r="AW210" s="539"/>
      <c r="AX210" s="539"/>
      <c r="AY210" s="539"/>
      <c r="AZ210" s="539"/>
      <c r="BA210" s="539"/>
      <c r="BB210" s="539"/>
      <c r="BC210" s="539"/>
      <c r="BD210" s="539"/>
      <c r="BE210" s="539"/>
      <c r="BF210" s="539"/>
      <c r="BG210" s="539"/>
      <c r="BH210" s="539"/>
      <c r="BI210" s="539"/>
      <c r="BJ210" s="539"/>
      <c r="BK210" s="539"/>
      <c r="BL210" s="539"/>
      <c r="BM210" s="539"/>
      <c r="BN210" s="539"/>
      <c r="BO210" s="539"/>
      <c r="BP210" s="539"/>
      <c r="BQ210" s="539"/>
      <c r="BR210" s="539"/>
      <c r="BS210" s="539"/>
      <c r="BT210" s="539"/>
      <c r="BU210" s="539"/>
      <c r="BV210" s="539"/>
      <c r="BW210" s="539"/>
      <c r="BX210" s="539"/>
      <c r="BY210" s="539"/>
      <c r="BZ210" s="539"/>
      <c r="CA210" s="539"/>
      <c r="CB210" s="539"/>
      <c r="CC210" s="539"/>
      <c r="CD210" s="539"/>
      <c r="CE210" s="539"/>
      <c r="CF210" s="539"/>
      <c r="CG210" s="539"/>
      <c r="CH210" s="539"/>
      <c r="CI210" s="539"/>
      <c r="CJ210" s="539"/>
      <c r="CK210" s="539"/>
      <c r="CL210" s="539"/>
      <c r="CM210" s="539"/>
      <c r="CN210" s="539"/>
      <c r="CO210" s="539"/>
      <c r="CP210" s="539"/>
      <c r="CQ210" s="539"/>
      <c r="CR210" s="539"/>
      <c r="CS210" s="539"/>
      <c r="CT210" s="539"/>
      <c r="CU210" s="539"/>
      <c r="CV210" s="539"/>
      <c r="CW210" s="539"/>
      <c r="CX210" s="539"/>
      <c r="CY210" s="539"/>
      <c r="CZ210" s="539"/>
      <c r="DA210" s="539"/>
      <c r="DB210" s="539"/>
      <c r="DC210" s="539"/>
      <c r="DD210" s="539"/>
      <c r="DE210" s="539"/>
      <c r="DF210" s="539"/>
      <c r="DG210" s="539"/>
      <c r="DH210" s="539"/>
      <c r="DI210" s="539"/>
      <c r="DJ210" s="539"/>
      <c r="DK210" s="539"/>
      <c r="DL210" s="539"/>
      <c r="DM210" s="539"/>
      <c r="DN210" s="539"/>
      <c r="DO210" s="539"/>
      <c r="DP210" s="539"/>
      <c r="DQ210" s="539"/>
      <c r="DR210" s="539"/>
      <c r="DS210" s="539"/>
      <c r="DT210" s="539"/>
      <c r="DU210" s="539"/>
      <c r="DV210" s="539"/>
      <c r="DW210" s="539"/>
      <c r="DX210" s="539"/>
      <c r="DY210" s="539"/>
      <c r="DZ210" s="539"/>
      <c r="EA210" s="539"/>
      <c r="EB210" s="539"/>
      <c r="EC210" s="539"/>
      <c r="ED210" s="539"/>
    </row>
    <row r="211" spans="1:134" ht="13.5" hidden="1" customHeight="1">
      <c r="A211" s="549"/>
      <c r="B211" s="11" t="e">
        <f>+#REF!</f>
        <v>#REF!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539"/>
      <c r="AR211" s="539"/>
      <c r="AS211" s="539"/>
      <c r="AT211" s="539"/>
      <c r="AU211" s="539"/>
      <c r="AV211" s="539"/>
      <c r="AW211" s="539"/>
      <c r="AX211" s="539"/>
      <c r="AY211" s="539"/>
      <c r="AZ211" s="539"/>
      <c r="BA211" s="539"/>
      <c r="BB211" s="539"/>
      <c r="BC211" s="539"/>
      <c r="BD211" s="539"/>
      <c r="BE211" s="539"/>
      <c r="BF211" s="539"/>
      <c r="BG211" s="539"/>
      <c r="BH211" s="539"/>
      <c r="BI211" s="539"/>
      <c r="BJ211" s="539"/>
      <c r="BK211" s="539"/>
      <c r="BL211" s="539"/>
      <c r="BM211" s="539"/>
      <c r="BN211" s="539"/>
      <c r="BO211" s="539"/>
      <c r="BP211" s="539"/>
      <c r="BQ211" s="539"/>
      <c r="BR211" s="539"/>
      <c r="BS211" s="539"/>
      <c r="BT211" s="539"/>
      <c r="BU211" s="539"/>
      <c r="BV211" s="539"/>
      <c r="BW211" s="539"/>
      <c r="BX211" s="539"/>
      <c r="BY211" s="539"/>
      <c r="BZ211" s="539"/>
      <c r="CA211" s="539"/>
      <c r="CB211" s="539"/>
      <c r="CC211" s="539"/>
      <c r="CD211" s="539"/>
      <c r="CE211" s="539"/>
      <c r="CF211" s="539"/>
      <c r="CG211" s="539"/>
      <c r="CH211" s="539"/>
      <c r="CI211" s="539"/>
      <c r="CJ211" s="539"/>
      <c r="CK211" s="539"/>
      <c r="CL211" s="539"/>
      <c r="CM211" s="539"/>
      <c r="CN211" s="539"/>
      <c r="CO211" s="539"/>
      <c r="CP211" s="539"/>
      <c r="CQ211" s="539"/>
      <c r="CR211" s="539"/>
      <c r="CS211" s="539"/>
      <c r="CT211" s="539"/>
      <c r="CU211" s="539"/>
      <c r="CV211" s="539"/>
      <c r="CW211" s="539"/>
      <c r="CX211" s="539"/>
      <c r="CY211" s="539"/>
      <c r="CZ211" s="539"/>
      <c r="DA211" s="539"/>
      <c r="DB211" s="539"/>
      <c r="DC211" s="539"/>
      <c r="DD211" s="539"/>
      <c r="DE211" s="539"/>
      <c r="DF211" s="539"/>
      <c r="DG211" s="539"/>
      <c r="DH211" s="539"/>
      <c r="DI211" s="539"/>
      <c r="DJ211" s="539"/>
      <c r="DK211" s="539"/>
      <c r="DL211" s="539"/>
      <c r="DM211" s="539"/>
      <c r="DN211" s="539"/>
      <c r="DO211" s="539"/>
      <c r="DP211" s="539"/>
      <c r="DQ211" s="539"/>
      <c r="DR211" s="539"/>
      <c r="DS211" s="539"/>
      <c r="DT211" s="539"/>
      <c r="DU211" s="539"/>
      <c r="DV211" s="539"/>
      <c r="DW211" s="539"/>
      <c r="DX211" s="539"/>
      <c r="DY211" s="539"/>
      <c r="DZ211" s="539"/>
      <c r="EA211" s="539"/>
      <c r="EB211" s="539"/>
      <c r="EC211" s="539"/>
      <c r="ED211" s="539"/>
    </row>
    <row r="212" spans="1:134" ht="13.5" hidden="1" customHeight="1">
      <c r="A212" s="549"/>
      <c r="B212" s="11" t="e">
        <f>+#REF!</f>
        <v>#REF!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539"/>
      <c r="AR212" s="539"/>
      <c r="AS212" s="539"/>
      <c r="AT212" s="539"/>
      <c r="AU212" s="539"/>
      <c r="AV212" s="539"/>
      <c r="AW212" s="539"/>
      <c r="AX212" s="539"/>
      <c r="AY212" s="539"/>
      <c r="AZ212" s="539"/>
      <c r="BA212" s="539"/>
      <c r="BB212" s="539"/>
      <c r="BC212" s="539"/>
      <c r="BD212" s="539"/>
      <c r="BE212" s="539"/>
      <c r="BF212" s="539"/>
      <c r="BG212" s="539"/>
      <c r="BH212" s="539"/>
      <c r="BI212" s="539"/>
      <c r="BJ212" s="539"/>
      <c r="BK212" s="539"/>
      <c r="BL212" s="539"/>
      <c r="BM212" s="539"/>
      <c r="BN212" s="539"/>
      <c r="BO212" s="539"/>
      <c r="BP212" s="539"/>
      <c r="BQ212" s="539"/>
      <c r="BR212" s="539"/>
      <c r="BS212" s="539"/>
      <c r="BT212" s="539"/>
      <c r="BU212" s="539"/>
      <c r="BV212" s="539"/>
      <c r="BW212" s="539"/>
      <c r="BX212" s="539"/>
      <c r="BY212" s="539"/>
      <c r="BZ212" s="539"/>
      <c r="CA212" s="539"/>
      <c r="CB212" s="539"/>
      <c r="CC212" s="539"/>
      <c r="CD212" s="539"/>
      <c r="CE212" s="539"/>
      <c r="CF212" s="539"/>
      <c r="CG212" s="539"/>
      <c r="CH212" s="539"/>
      <c r="CI212" s="539"/>
      <c r="CJ212" s="539"/>
      <c r="CK212" s="539"/>
      <c r="CL212" s="539"/>
      <c r="CM212" s="539"/>
      <c r="CN212" s="539"/>
      <c r="CO212" s="539"/>
      <c r="CP212" s="539"/>
      <c r="CQ212" s="539"/>
      <c r="CR212" s="539"/>
      <c r="CS212" s="539"/>
      <c r="CT212" s="539"/>
      <c r="CU212" s="539"/>
      <c r="CV212" s="539"/>
      <c r="CW212" s="539"/>
      <c r="CX212" s="539"/>
      <c r="CY212" s="539"/>
      <c r="CZ212" s="539"/>
      <c r="DA212" s="539"/>
      <c r="DB212" s="539"/>
      <c r="DC212" s="539"/>
      <c r="DD212" s="539"/>
      <c r="DE212" s="539"/>
      <c r="DF212" s="539"/>
      <c r="DG212" s="539"/>
      <c r="DH212" s="539"/>
      <c r="DI212" s="539"/>
      <c r="DJ212" s="539"/>
      <c r="DK212" s="539"/>
      <c r="DL212" s="539"/>
      <c r="DM212" s="539"/>
      <c r="DN212" s="539"/>
      <c r="DO212" s="539"/>
      <c r="DP212" s="539"/>
      <c r="DQ212" s="539"/>
      <c r="DR212" s="539"/>
      <c r="DS212" s="539"/>
      <c r="DT212" s="539"/>
      <c r="DU212" s="539"/>
      <c r="DV212" s="539"/>
      <c r="DW212" s="539"/>
      <c r="DX212" s="539"/>
      <c r="DY212" s="539"/>
      <c r="DZ212" s="539"/>
      <c r="EA212" s="539"/>
      <c r="EB212" s="539"/>
      <c r="EC212" s="539"/>
      <c r="ED212" s="539"/>
    </row>
    <row r="213" spans="1:134" ht="13.5" hidden="1" customHeight="1">
      <c r="A213" s="549"/>
      <c r="B213" s="11" t="e">
        <f>+#REF!</f>
        <v>#REF!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539"/>
      <c r="AR213" s="539"/>
      <c r="AS213" s="539"/>
      <c r="AT213" s="539"/>
      <c r="AU213" s="539"/>
      <c r="AV213" s="539"/>
      <c r="AW213" s="539"/>
      <c r="AX213" s="539"/>
      <c r="AY213" s="539"/>
      <c r="AZ213" s="539"/>
      <c r="BA213" s="539"/>
      <c r="BB213" s="539"/>
      <c r="BC213" s="539"/>
      <c r="BD213" s="539"/>
      <c r="BE213" s="539"/>
      <c r="BF213" s="539"/>
      <c r="BG213" s="539"/>
      <c r="BH213" s="539"/>
      <c r="BI213" s="539"/>
      <c r="BJ213" s="539"/>
      <c r="BK213" s="539"/>
      <c r="BL213" s="539"/>
      <c r="BM213" s="539"/>
      <c r="BN213" s="539"/>
      <c r="BO213" s="539"/>
      <c r="BP213" s="539"/>
      <c r="BQ213" s="539"/>
      <c r="BR213" s="539"/>
      <c r="BS213" s="539"/>
      <c r="BT213" s="539"/>
      <c r="BU213" s="539"/>
      <c r="BV213" s="539"/>
      <c r="BW213" s="539"/>
      <c r="BX213" s="539"/>
      <c r="BY213" s="539"/>
      <c r="BZ213" s="539"/>
      <c r="CA213" s="539"/>
      <c r="CB213" s="539"/>
      <c r="CC213" s="539"/>
      <c r="CD213" s="539"/>
      <c r="CE213" s="539"/>
      <c r="CF213" s="539"/>
      <c r="CG213" s="539"/>
      <c r="CH213" s="539"/>
      <c r="CI213" s="539"/>
      <c r="CJ213" s="539"/>
      <c r="CK213" s="539"/>
      <c r="CL213" s="539"/>
      <c r="CM213" s="539"/>
      <c r="CN213" s="539"/>
      <c r="CO213" s="539"/>
      <c r="CP213" s="539"/>
      <c r="CQ213" s="539"/>
      <c r="CR213" s="539"/>
      <c r="CS213" s="539"/>
      <c r="CT213" s="539"/>
      <c r="CU213" s="539"/>
      <c r="CV213" s="539"/>
      <c r="CW213" s="539"/>
      <c r="CX213" s="539"/>
      <c r="CY213" s="539"/>
      <c r="CZ213" s="539"/>
      <c r="DA213" s="539"/>
      <c r="DB213" s="539"/>
      <c r="DC213" s="539"/>
      <c r="DD213" s="539"/>
      <c r="DE213" s="539"/>
      <c r="DF213" s="539"/>
      <c r="DG213" s="539"/>
      <c r="DH213" s="539"/>
      <c r="DI213" s="539"/>
      <c r="DJ213" s="539"/>
      <c r="DK213" s="539"/>
      <c r="DL213" s="539"/>
      <c r="DM213" s="539"/>
      <c r="DN213" s="539"/>
      <c r="DO213" s="539"/>
      <c r="DP213" s="539"/>
      <c r="DQ213" s="539"/>
      <c r="DR213" s="539"/>
      <c r="DS213" s="539"/>
      <c r="DT213" s="539"/>
      <c r="DU213" s="539"/>
      <c r="DV213" s="539"/>
      <c r="DW213" s="539"/>
      <c r="DX213" s="539"/>
      <c r="DY213" s="539"/>
      <c r="DZ213" s="539"/>
      <c r="EA213" s="539"/>
      <c r="EB213" s="539"/>
      <c r="EC213" s="539"/>
      <c r="ED213" s="539"/>
    </row>
    <row r="214" spans="1:134" ht="13.5" hidden="1" customHeight="1">
      <c r="A214" s="549"/>
      <c r="B214" s="11" t="e">
        <f>+#REF!</f>
        <v>#REF!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539"/>
      <c r="AR214" s="539"/>
      <c r="AS214" s="539"/>
      <c r="AT214" s="539"/>
      <c r="AU214" s="539"/>
      <c r="AV214" s="539"/>
      <c r="AW214" s="539"/>
      <c r="AX214" s="539"/>
      <c r="AY214" s="539"/>
      <c r="AZ214" s="539"/>
      <c r="BA214" s="539"/>
      <c r="BB214" s="539"/>
      <c r="BC214" s="539"/>
      <c r="BD214" s="539"/>
      <c r="BE214" s="539"/>
      <c r="BF214" s="539"/>
      <c r="BG214" s="539"/>
      <c r="BH214" s="539"/>
      <c r="BI214" s="539"/>
      <c r="BJ214" s="539"/>
      <c r="BK214" s="539"/>
      <c r="BL214" s="539"/>
      <c r="BM214" s="539"/>
      <c r="BN214" s="539"/>
      <c r="BO214" s="539"/>
      <c r="BP214" s="539"/>
      <c r="BQ214" s="539"/>
      <c r="BR214" s="539"/>
      <c r="BS214" s="539"/>
      <c r="BT214" s="539"/>
      <c r="BU214" s="539"/>
      <c r="BV214" s="539"/>
      <c r="BW214" s="539"/>
      <c r="BX214" s="539"/>
      <c r="BY214" s="539"/>
      <c r="BZ214" s="539"/>
      <c r="CA214" s="539"/>
      <c r="CB214" s="539"/>
      <c r="CC214" s="539"/>
      <c r="CD214" s="539"/>
      <c r="CE214" s="539"/>
      <c r="CF214" s="539"/>
      <c r="CG214" s="539"/>
      <c r="CH214" s="539"/>
      <c r="CI214" s="539"/>
      <c r="CJ214" s="539"/>
      <c r="CK214" s="539"/>
      <c r="CL214" s="539"/>
      <c r="CM214" s="539"/>
      <c r="CN214" s="539"/>
      <c r="CO214" s="539"/>
      <c r="CP214" s="539"/>
      <c r="CQ214" s="539"/>
      <c r="CR214" s="539"/>
      <c r="CS214" s="539"/>
      <c r="CT214" s="539"/>
      <c r="CU214" s="539"/>
      <c r="CV214" s="539"/>
      <c r="CW214" s="539"/>
      <c r="CX214" s="539"/>
      <c r="CY214" s="539"/>
      <c r="CZ214" s="539"/>
      <c r="DA214" s="539"/>
      <c r="DB214" s="539"/>
      <c r="DC214" s="539"/>
      <c r="DD214" s="539"/>
      <c r="DE214" s="539"/>
      <c r="DF214" s="539"/>
      <c r="DG214" s="539"/>
      <c r="DH214" s="539"/>
      <c r="DI214" s="539"/>
      <c r="DJ214" s="539"/>
      <c r="DK214" s="539"/>
      <c r="DL214" s="539"/>
      <c r="DM214" s="539"/>
      <c r="DN214" s="539"/>
      <c r="DO214" s="539"/>
      <c r="DP214" s="539"/>
      <c r="DQ214" s="539"/>
      <c r="DR214" s="539"/>
      <c r="DS214" s="539"/>
      <c r="DT214" s="539"/>
      <c r="DU214" s="539"/>
      <c r="DV214" s="539"/>
      <c r="DW214" s="539"/>
      <c r="DX214" s="539"/>
      <c r="DY214" s="539"/>
      <c r="DZ214" s="539"/>
      <c r="EA214" s="539"/>
      <c r="EB214" s="539"/>
      <c r="EC214" s="539"/>
      <c r="ED214" s="539"/>
    </row>
    <row r="215" spans="1:134" ht="13.5" hidden="1" customHeight="1">
      <c r="A215" s="549"/>
      <c r="B215" s="11" t="e">
        <f>+#REF!</f>
        <v>#REF!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539"/>
      <c r="AR215" s="539"/>
      <c r="AS215" s="539"/>
      <c r="AT215" s="539"/>
      <c r="AU215" s="539"/>
      <c r="AV215" s="539"/>
      <c r="AW215" s="539"/>
      <c r="AX215" s="539"/>
      <c r="AY215" s="539"/>
      <c r="AZ215" s="539"/>
      <c r="BA215" s="539"/>
      <c r="BB215" s="539"/>
      <c r="BC215" s="539"/>
      <c r="BD215" s="539"/>
      <c r="BE215" s="539"/>
      <c r="BF215" s="539"/>
      <c r="BG215" s="539"/>
      <c r="BH215" s="539"/>
      <c r="BI215" s="539"/>
      <c r="BJ215" s="539"/>
      <c r="BK215" s="539"/>
      <c r="BL215" s="539"/>
      <c r="BM215" s="539"/>
      <c r="BN215" s="539"/>
      <c r="BO215" s="539"/>
      <c r="BP215" s="539"/>
      <c r="BQ215" s="539"/>
      <c r="BR215" s="539"/>
      <c r="BS215" s="539"/>
      <c r="BT215" s="539"/>
      <c r="BU215" s="539"/>
      <c r="BV215" s="539"/>
      <c r="BW215" s="539"/>
      <c r="BX215" s="539"/>
      <c r="BY215" s="539"/>
      <c r="BZ215" s="539"/>
      <c r="CA215" s="539"/>
      <c r="CB215" s="539"/>
      <c r="CC215" s="539"/>
      <c r="CD215" s="539"/>
      <c r="CE215" s="539"/>
      <c r="CF215" s="539"/>
      <c r="CG215" s="539"/>
      <c r="CH215" s="539"/>
      <c r="CI215" s="539"/>
      <c r="CJ215" s="539"/>
      <c r="CK215" s="539"/>
      <c r="CL215" s="539"/>
      <c r="CM215" s="539"/>
      <c r="CN215" s="539"/>
      <c r="CO215" s="539"/>
      <c r="CP215" s="539"/>
      <c r="CQ215" s="539"/>
      <c r="CR215" s="539"/>
      <c r="CS215" s="539"/>
      <c r="CT215" s="539"/>
      <c r="CU215" s="539"/>
      <c r="CV215" s="539"/>
      <c r="CW215" s="539"/>
      <c r="CX215" s="539"/>
      <c r="CY215" s="539"/>
      <c r="CZ215" s="539"/>
      <c r="DA215" s="539"/>
      <c r="DB215" s="539"/>
      <c r="DC215" s="539"/>
      <c r="DD215" s="539"/>
      <c r="DE215" s="539"/>
      <c r="DF215" s="539"/>
      <c r="DG215" s="539"/>
      <c r="DH215" s="539"/>
      <c r="DI215" s="539"/>
      <c r="DJ215" s="539"/>
      <c r="DK215" s="539"/>
      <c r="DL215" s="539"/>
      <c r="DM215" s="539"/>
      <c r="DN215" s="539"/>
      <c r="DO215" s="539"/>
      <c r="DP215" s="539"/>
      <c r="DQ215" s="539"/>
      <c r="DR215" s="539"/>
      <c r="DS215" s="539"/>
      <c r="DT215" s="539"/>
      <c r="DU215" s="539"/>
      <c r="DV215" s="539"/>
      <c r="DW215" s="539"/>
      <c r="DX215" s="539"/>
      <c r="DY215" s="539"/>
      <c r="DZ215" s="539"/>
      <c r="EA215" s="539"/>
      <c r="EB215" s="539"/>
      <c r="EC215" s="539"/>
      <c r="ED215" s="539"/>
    </row>
    <row r="216" spans="1:134" ht="13.5" hidden="1" customHeight="1">
      <c r="A216" s="549"/>
      <c r="B216" s="11" t="e">
        <f>+#REF!</f>
        <v>#REF!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539"/>
      <c r="AR216" s="539"/>
      <c r="AS216" s="539"/>
      <c r="AT216" s="539"/>
      <c r="AU216" s="539"/>
      <c r="AV216" s="539"/>
      <c r="AW216" s="539"/>
      <c r="AX216" s="539"/>
      <c r="AY216" s="539"/>
      <c r="AZ216" s="539"/>
      <c r="BA216" s="539"/>
      <c r="BB216" s="539"/>
      <c r="BC216" s="539"/>
      <c r="BD216" s="539"/>
      <c r="BE216" s="539"/>
      <c r="BF216" s="539"/>
      <c r="BG216" s="539"/>
      <c r="BH216" s="539"/>
      <c r="BI216" s="539"/>
      <c r="BJ216" s="539"/>
      <c r="BK216" s="539"/>
      <c r="BL216" s="539"/>
      <c r="BM216" s="539"/>
      <c r="BN216" s="539"/>
      <c r="BO216" s="539"/>
      <c r="BP216" s="539"/>
      <c r="BQ216" s="539"/>
      <c r="BR216" s="539"/>
      <c r="BS216" s="539"/>
      <c r="BT216" s="539"/>
      <c r="BU216" s="539"/>
      <c r="BV216" s="539"/>
      <c r="BW216" s="539"/>
      <c r="BX216" s="539"/>
      <c r="BY216" s="539"/>
      <c r="BZ216" s="539"/>
      <c r="CA216" s="539"/>
      <c r="CB216" s="539"/>
      <c r="CC216" s="539"/>
      <c r="CD216" s="539"/>
      <c r="CE216" s="539"/>
      <c r="CF216" s="539"/>
      <c r="CG216" s="539"/>
      <c r="CH216" s="539"/>
      <c r="CI216" s="539"/>
      <c r="CJ216" s="539"/>
      <c r="CK216" s="539"/>
      <c r="CL216" s="539"/>
      <c r="CM216" s="539"/>
      <c r="CN216" s="539"/>
      <c r="CO216" s="539"/>
      <c r="CP216" s="539"/>
      <c r="CQ216" s="539"/>
      <c r="CR216" s="539"/>
      <c r="CS216" s="539"/>
      <c r="CT216" s="539"/>
      <c r="CU216" s="539"/>
      <c r="CV216" s="539"/>
      <c r="CW216" s="539"/>
      <c r="CX216" s="539"/>
      <c r="CY216" s="539"/>
      <c r="CZ216" s="539"/>
      <c r="DA216" s="539"/>
      <c r="DB216" s="539"/>
      <c r="DC216" s="539"/>
      <c r="DD216" s="539"/>
      <c r="DE216" s="539"/>
      <c r="DF216" s="539"/>
      <c r="DG216" s="539"/>
      <c r="DH216" s="539"/>
      <c r="DI216" s="539"/>
      <c r="DJ216" s="539"/>
      <c r="DK216" s="539"/>
      <c r="DL216" s="539"/>
      <c r="DM216" s="539"/>
      <c r="DN216" s="539"/>
      <c r="DO216" s="539"/>
      <c r="DP216" s="539"/>
      <c r="DQ216" s="539"/>
      <c r="DR216" s="539"/>
      <c r="DS216" s="539"/>
      <c r="DT216" s="539"/>
      <c r="DU216" s="539"/>
      <c r="DV216" s="539"/>
      <c r="DW216" s="539"/>
      <c r="DX216" s="539"/>
      <c r="DY216" s="539"/>
      <c r="DZ216" s="539"/>
      <c r="EA216" s="539"/>
      <c r="EB216" s="539"/>
      <c r="EC216" s="539"/>
      <c r="ED216" s="539"/>
    </row>
    <row r="217" spans="1:134" ht="13.5" customHeight="1">
      <c r="A217" s="545"/>
      <c r="B217" s="6" t="e">
        <f>+#REF!</f>
        <v>#REF!</v>
      </c>
      <c r="C217" s="7">
        <f t="shared" ref="C217:AP217" si="5">SUM(C153,C169,C185,C201)</f>
        <v>2312.008359999938</v>
      </c>
      <c r="D217" s="7">
        <f t="shared" si="5"/>
        <v>17552.595845000033</v>
      </c>
      <c r="E217" s="7">
        <f t="shared" si="5"/>
        <v>19390.011156000048</v>
      </c>
      <c r="F217" s="7">
        <f t="shared" si="5"/>
        <v>308027.97334899986</v>
      </c>
      <c r="G217" s="7">
        <f t="shared" si="5"/>
        <v>314543.68973662332</v>
      </c>
      <c r="H217" s="7">
        <f t="shared" si="5"/>
        <v>332074.18346438464</v>
      </c>
      <c r="I217" s="7">
        <f t="shared" si="5"/>
        <v>352076.46470718278</v>
      </c>
      <c r="J217" s="7">
        <f t="shared" si="5"/>
        <v>347372.42508589837</v>
      </c>
      <c r="K217" s="7">
        <f t="shared" si="5"/>
        <v>374741.82048295304</v>
      </c>
      <c r="L217" s="7">
        <f t="shared" si="5"/>
        <v>1185555.4544488764</v>
      </c>
      <c r="M217" s="7">
        <f t="shared" si="5"/>
        <v>1991460.4425445553</v>
      </c>
      <c r="N217" s="7">
        <f t="shared" si="5"/>
        <v>2785438.7468826771</v>
      </c>
      <c r="O217" s="7">
        <f t="shared" si="5"/>
        <v>3579417.0512207989</v>
      </c>
      <c r="P217" s="7">
        <f t="shared" si="5"/>
        <v>0</v>
      </c>
      <c r="Q217" s="7">
        <f t="shared" si="5"/>
        <v>0</v>
      </c>
      <c r="R217" s="7">
        <f t="shared" si="5"/>
        <v>0</v>
      </c>
      <c r="S217" s="7">
        <f t="shared" si="5"/>
        <v>0</v>
      </c>
      <c r="T217" s="7">
        <f t="shared" si="5"/>
        <v>0</v>
      </c>
      <c r="U217" s="7">
        <f t="shared" si="5"/>
        <v>0</v>
      </c>
      <c r="V217" s="7">
        <f t="shared" si="5"/>
        <v>0</v>
      </c>
      <c r="W217" s="7">
        <f t="shared" si="5"/>
        <v>0</v>
      </c>
      <c r="X217" s="7">
        <f t="shared" si="5"/>
        <v>0</v>
      </c>
      <c r="Y217" s="7">
        <f t="shared" si="5"/>
        <v>0</v>
      </c>
      <c r="Z217" s="7">
        <f t="shared" si="5"/>
        <v>0</v>
      </c>
      <c r="AA217" s="7">
        <f t="shared" si="5"/>
        <v>0</v>
      </c>
      <c r="AB217" s="7">
        <f t="shared" si="5"/>
        <v>0</v>
      </c>
      <c r="AC217" s="7">
        <f t="shared" si="5"/>
        <v>0</v>
      </c>
      <c r="AD217" s="7">
        <f t="shared" si="5"/>
        <v>0</v>
      </c>
      <c r="AE217" s="7">
        <f t="shared" si="5"/>
        <v>0</v>
      </c>
      <c r="AF217" s="7">
        <f t="shared" si="5"/>
        <v>0</v>
      </c>
      <c r="AG217" s="7">
        <f t="shared" si="5"/>
        <v>0</v>
      </c>
      <c r="AH217" s="7">
        <f t="shared" si="5"/>
        <v>0</v>
      </c>
      <c r="AI217" s="7">
        <f t="shared" si="5"/>
        <v>0</v>
      </c>
      <c r="AJ217" s="7">
        <f t="shared" si="5"/>
        <v>0</v>
      </c>
      <c r="AK217" s="7">
        <f t="shared" si="5"/>
        <v>0</v>
      </c>
      <c r="AL217" s="7">
        <f t="shared" si="5"/>
        <v>0</v>
      </c>
      <c r="AM217" s="7">
        <f t="shared" si="5"/>
        <v>0</v>
      </c>
      <c r="AN217" s="7">
        <f t="shared" si="5"/>
        <v>0</v>
      </c>
      <c r="AO217" s="7">
        <f t="shared" si="5"/>
        <v>0</v>
      </c>
      <c r="AP217" s="7">
        <f t="shared" si="5"/>
        <v>0</v>
      </c>
      <c r="AQ217" s="539"/>
      <c r="AR217" s="539"/>
      <c r="AS217" s="539"/>
      <c r="AT217" s="539"/>
      <c r="AU217" s="539"/>
      <c r="AV217" s="539"/>
      <c r="AW217" s="539"/>
      <c r="AX217" s="539"/>
      <c r="AY217" s="539"/>
      <c r="AZ217" s="539"/>
      <c r="BA217" s="539"/>
      <c r="BB217" s="539"/>
      <c r="BC217" s="539"/>
      <c r="BD217" s="539"/>
      <c r="BE217" s="539"/>
      <c r="BF217" s="539"/>
      <c r="BG217" s="539"/>
      <c r="BH217" s="539"/>
      <c r="BI217" s="539"/>
      <c r="BJ217" s="539"/>
      <c r="BK217" s="539"/>
      <c r="BL217" s="539"/>
      <c r="BM217" s="539"/>
      <c r="BN217" s="539"/>
      <c r="BO217" s="539"/>
      <c r="BP217" s="539"/>
      <c r="BQ217" s="539"/>
      <c r="BR217" s="539"/>
      <c r="BS217" s="539"/>
      <c r="BT217" s="539"/>
      <c r="BU217" s="539"/>
      <c r="BV217" s="539"/>
      <c r="BW217" s="539"/>
      <c r="BX217" s="539"/>
      <c r="BY217" s="539"/>
      <c r="BZ217" s="539"/>
      <c r="CA217" s="539"/>
      <c r="CB217" s="539"/>
      <c r="CC217" s="539"/>
      <c r="CD217" s="539"/>
      <c r="CE217" s="539"/>
      <c r="CF217" s="539"/>
      <c r="CG217" s="539"/>
      <c r="CH217" s="539"/>
      <c r="CI217" s="539"/>
      <c r="CJ217" s="539"/>
      <c r="CK217" s="539"/>
      <c r="CL217" s="539"/>
      <c r="CM217" s="539"/>
      <c r="CN217" s="539"/>
      <c r="CO217" s="539"/>
      <c r="CP217" s="539"/>
      <c r="CQ217" s="539"/>
      <c r="CR217" s="539"/>
      <c r="CS217" s="539"/>
      <c r="CT217" s="539"/>
      <c r="CU217" s="539"/>
      <c r="CV217" s="539"/>
      <c r="CW217" s="539"/>
      <c r="CX217" s="539"/>
      <c r="CY217" s="539"/>
      <c r="CZ217" s="539"/>
      <c r="DA217" s="539"/>
      <c r="DB217" s="539"/>
      <c r="DC217" s="539"/>
      <c r="DD217" s="539"/>
      <c r="DE217" s="539"/>
      <c r="DF217" s="539"/>
      <c r="DG217" s="539"/>
      <c r="DH217" s="539"/>
      <c r="DI217" s="539"/>
      <c r="DJ217" s="539"/>
      <c r="DK217" s="539"/>
      <c r="DL217" s="539"/>
      <c r="DM217" s="539"/>
      <c r="DN217" s="539"/>
      <c r="DO217" s="539"/>
      <c r="DP217" s="539"/>
      <c r="DQ217" s="539"/>
      <c r="DR217" s="539"/>
      <c r="DS217" s="539"/>
      <c r="DT217" s="539"/>
      <c r="DU217" s="539"/>
      <c r="DV217" s="539"/>
      <c r="DW217" s="539"/>
      <c r="DX217" s="539"/>
      <c r="DY217" s="539"/>
      <c r="DZ217" s="539"/>
      <c r="EA217" s="539"/>
      <c r="EB217" s="539"/>
      <c r="EC217" s="539"/>
      <c r="ED217" s="539"/>
    </row>
    <row r="218" spans="1:134" ht="13.5" customHeight="1">
      <c r="A218" s="539"/>
      <c r="B218" s="10" t="e">
        <f>+#REF!</f>
        <v>#REF!</v>
      </c>
      <c r="C218" s="10">
        <v>92517.448300000004</v>
      </c>
      <c r="D218" s="10">
        <v>144759.875608</v>
      </c>
      <c r="E218" s="10">
        <v>149738.85433900001</v>
      </c>
      <c r="F218" s="10">
        <v>100569.397948</v>
      </c>
      <c r="G218" s="10">
        <v>98575.297682999997</v>
      </c>
      <c r="H218" s="10">
        <v>96581.197417999996</v>
      </c>
      <c r="I218" s="10">
        <v>94587.097152999995</v>
      </c>
      <c r="J218" s="10">
        <v>92592.996887999994</v>
      </c>
      <c r="K218" s="10">
        <v>90598.896622999993</v>
      </c>
      <c r="L218" s="10">
        <v>88604.796357999992</v>
      </c>
      <c r="M218" s="10">
        <v>86610.696092999991</v>
      </c>
      <c r="N218" s="10">
        <v>84616.59582799999</v>
      </c>
      <c r="O218" s="10">
        <v>82622.495562999989</v>
      </c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539"/>
      <c r="AR218" s="539"/>
      <c r="AS218" s="539"/>
      <c r="AT218" s="539"/>
      <c r="AU218" s="539"/>
      <c r="AV218" s="539"/>
      <c r="AW218" s="539"/>
      <c r="AX218" s="539"/>
      <c r="AY218" s="539"/>
      <c r="AZ218" s="539"/>
      <c r="BA218" s="539"/>
      <c r="BB218" s="539"/>
      <c r="BC218" s="539"/>
      <c r="BD218" s="539"/>
      <c r="BE218" s="539"/>
      <c r="BF218" s="539"/>
      <c r="BG218" s="539"/>
      <c r="BH218" s="539"/>
      <c r="BI218" s="539"/>
      <c r="BJ218" s="539"/>
      <c r="BK218" s="539"/>
      <c r="BL218" s="539"/>
      <c r="BM218" s="539"/>
      <c r="BN218" s="539"/>
      <c r="BO218" s="539"/>
      <c r="BP218" s="539"/>
      <c r="BQ218" s="539"/>
      <c r="BR218" s="539"/>
      <c r="BS218" s="539"/>
      <c r="BT218" s="539"/>
      <c r="BU218" s="539"/>
      <c r="BV218" s="539"/>
      <c r="BW218" s="539"/>
      <c r="BX218" s="539"/>
      <c r="BY218" s="539"/>
      <c r="BZ218" s="539"/>
      <c r="CA218" s="539"/>
      <c r="CB218" s="539"/>
      <c r="CC218" s="539"/>
      <c r="CD218" s="539"/>
      <c r="CE218" s="539"/>
      <c r="CF218" s="539"/>
      <c r="CG218" s="539"/>
      <c r="CH218" s="539"/>
      <c r="CI218" s="539"/>
      <c r="CJ218" s="539"/>
      <c r="CK218" s="539"/>
      <c r="CL218" s="539"/>
      <c r="CM218" s="539"/>
      <c r="CN218" s="539"/>
      <c r="CO218" s="539"/>
      <c r="CP218" s="539"/>
      <c r="CQ218" s="539"/>
      <c r="CR218" s="539"/>
      <c r="CS218" s="539"/>
      <c r="CT218" s="539"/>
      <c r="CU218" s="539"/>
      <c r="CV218" s="539"/>
      <c r="CW218" s="539"/>
      <c r="CX218" s="539"/>
      <c r="CY218" s="539"/>
      <c r="CZ218" s="539"/>
      <c r="DA218" s="539"/>
      <c r="DB218" s="539"/>
      <c r="DC218" s="539"/>
      <c r="DD218" s="539"/>
      <c r="DE218" s="539"/>
      <c r="DF218" s="539"/>
      <c r="DG218" s="539"/>
      <c r="DH218" s="539"/>
      <c r="DI218" s="539"/>
      <c r="DJ218" s="539"/>
      <c r="DK218" s="539"/>
      <c r="DL218" s="539"/>
      <c r="DM218" s="539"/>
      <c r="DN218" s="539"/>
      <c r="DO218" s="539"/>
      <c r="DP218" s="539"/>
      <c r="DQ218" s="539"/>
      <c r="DR218" s="539"/>
      <c r="DS218" s="539"/>
      <c r="DT218" s="539"/>
      <c r="DU218" s="539"/>
      <c r="DV218" s="539"/>
      <c r="DW218" s="539"/>
      <c r="DX218" s="539"/>
      <c r="DY218" s="539"/>
      <c r="DZ218" s="539"/>
      <c r="EA218" s="539"/>
      <c r="EB218" s="539"/>
      <c r="EC218" s="539"/>
      <c r="ED218" s="539"/>
    </row>
    <row r="219" spans="1:134" ht="13.5" hidden="1" customHeight="1">
      <c r="A219" s="549"/>
      <c r="B219" s="11" t="e">
        <f>+#REF!</f>
        <v>#REF!</v>
      </c>
      <c r="C219" s="12">
        <f>IF(ISNUMBER(Historical!E26),Historical!E26, )</f>
        <v>110000</v>
      </c>
      <c r="D219" s="12">
        <f>IF(ISNUMBER(Historical!G26),Historical!G26, )</f>
        <v>110100</v>
      </c>
      <c r="E219" s="12">
        <f>IF(ISNUMBER(Historical!I26),Historical!I26, )</f>
        <v>110200</v>
      </c>
      <c r="F219" s="12">
        <f>IF(ISNUMBER(Projection!H7),IF(MONTH(Projection!H7)&lt;&gt;12,IF(ISNUMBER(Projection!L19),Projection!L19, ),IF(ISNUMBER(Historical!K26),Historical!K26, )), )</f>
        <v>208028</v>
      </c>
      <c r="G219" s="12">
        <f>IF(ISNUMBER(Projection!H7),IF(MONTH(Projection!$H$7)&lt;&gt;12,IF(ISNUMBER(Projection!N19),Projection!N19, ),IF(ISNUMBER(Projection!L19),Projection!L19, )), )</f>
        <v>201126</v>
      </c>
      <c r="H219" s="12">
        <f>IF(ISNUMBER(Projection!H7),IF(MONTH(Projection!$H$7)&lt;&gt;12,IF(ISNUMBER(Projection!P19),Projection!P19, ),IF(ISNUMBER(Projection!N19),Projection!N19, )), )</f>
        <v>194224</v>
      </c>
      <c r="I219" s="12">
        <f>IF(ISNUMBER(Projection!H7),IF(MONTH(Projection!$H$7)&lt;&gt;12,IF(ISNUMBER(Projection!R19),Projection!R19, ),IF(ISNUMBER(Projection!P19),Projection!P19, )), )</f>
        <v>187322</v>
      </c>
      <c r="J219" s="12">
        <f>IF(ISNUMBER(Projection!H7),IF(MONTH(Projection!$H$7)&lt;&gt;12,IF(ISNUMBER(Projection!T19),Projection!T19, ),IF(ISNUMBER(Projection!R19),Projection!R19, )), )</f>
        <v>180420</v>
      </c>
      <c r="K219" s="12">
        <f>IF(ISNUMBER(Projection!H7),IF(MONTH(Projection!$H$7)&lt;&gt;12,IF(ISNUMBER(Projection!Z19),Projection!Z19, ),IF(ISNUMBER(Projection!T19),Projection!T19, )), )</f>
        <v>175818</v>
      </c>
      <c r="L219" s="12">
        <f>IF(ISNUMBER(Projection!H7),IF(MONTH(Projection!$H$7)&lt;&gt;12,IF(ISNUMBER(Projection!AB19),Projection!AB19, ),IF(ISNUMBER(Projection!Z19),Projection!Z19, )), )</f>
        <v>171216</v>
      </c>
      <c r="M219" s="12">
        <f>IF(ISNUMBER(Projection!$H$7),IF(MONTH(Projection!$H$7)&lt;&gt;12,IF(ISNUMBER(Projection!AD19),Projection!AD19, ),IF(ISNUMBER(Projection!AB19),Projection!AB19, )), )</f>
        <v>166614</v>
      </c>
      <c r="N219" s="12">
        <f>IF(ISNUMBER(Projection!$H$7),IF(MONTH(Projection!$H$7)&lt;&gt;12,IF(ISNUMBER(Projection!AF19),Projection!AF19, ),IF(ISNUMBER(Projection!AD19),Projection!AD19, )), )</f>
        <v>162012</v>
      </c>
      <c r="O219" s="12">
        <f>IF(ISNUMBER(Projection!$H$7),IF(MONTH(Projection!$H$7)&lt;&gt;12,IF(ISNUMBER(Projection!AH19),Projection!AH19, ),IF(ISNUMBER(Projection!AF19),Projection!AF19, )), )</f>
        <v>157410</v>
      </c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539"/>
      <c r="AR219" s="539"/>
      <c r="AS219" s="539"/>
      <c r="AT219" s="539"/>
      <c r="AU219" s="539"/>
      <c r="AV219" s="539"/>
      <c r="AW219" s="539"/>
      <c r="AX219" s="539"/>
      <c r="AY219" s="539"/>
      <c r="AZ219" s="539"/>
      <c r="BA219" s="539"/>
      <c r="BB219" s="539"/>
      <c r="BC219" s="539"/>
      <c r="BD219" s="539"/>
      <c r="BE219" s="539"/>
      <c r="BF219" s="539"/>
      <c r="BG219" s="539"/>
      <c r="BH219" s="539"/>
      <c r="BI219" s="539"/>
      <c r="BJ219" s="539"/>
      <c r="BK219" s="539"/>
      <c r="BL219" s="539"/>
      <c r="BM219" s="539"/>
      <c r="BN219" s="539"/>
      <c r="BO219" s="539"/>
      <c r="BP219" s="539"/>
      <c r="BQ219" s="539"/>
      <c r="BR219" s="539"/>
      <c r="BS219" s="539"/>
      <c r="BT219" s="539"/>
      <c r="BU219" s="539"/>
      <c r="BV219" s="539"/>
      <c r="BW219" s="539"/>
      <c r="BX219" s="539"/>
      <c r="BY219" s="539"/>
      <c r="BZ219" s="539"/>
      <c r="CA219" s="539"/>
      <c r="CB219" s="539"/>
      <c r="CC219" s="539"/>
      <c r="CD219" s="539"/>
      <c r="CE219" s="539"/>
      <c r="CF219" s="539"/>
      <c r="CG219" s="539"/>
      <c r="CH219" s="539"/>
      <c r="CI219" s="539"/>
      <c r="CJ219" s="539"/>
      <c r="CK219" s="539"/>
      <c r="CL219" s="539"/>
      <c r="CM219" s="539"/>
      <c r="CN219" s="539"/>
      <c r="CO219" s="539"/>
      <c r="CP219" s="539"/>
      <c r="CQ219" s="539"/>
      <c r="CR219" s="539"/>
      <c r="CS219" s="539"/>
      <c r="CT219" s="539"/>
      <c r="CU219" s="539"/>
      <c r="CV219" s="539"/>
      <c r="CW219" s="539"/>
      <c r="CX219" s="539"/>
      <c r="CY219" s="539"/>
      <c r="CZ219" s="539"/>
      <c r="DA219" s="539"/>
      <c r="DB219" s="539"/>
      <c r="DC219" s="539"/>
      <c r="DD219" s="539"/>
      <c r="DE219" s="539"/>
      <c r="DF219" s="539"/>
      <c r="DG219" s="539"/>
      <c r="DH219" s="539"/>
      <c r="DI219" s="539"/>
      <c r="DJ219" s="539"/>
      <c r="DK219" s="539"/>
      <c r="DL219" s="539"/>
      <c r="DM219" s="539"/>
      <c r="DN219" s="539"/>
      <c r="DO219" s="539"/>
      <c r="DP219" s="539"/>
      <c r="DQ219" s="539"/>
      <c r="DR219" s="539"/>
      <c r="DS219" s="539"/>
      <c r="DT219" s="539"/>
      <c r="DU219" s="539"/>
      <c r="DV219" s="539"/>
      <c r="DW219" s="539"/>
      <c r="DX219" s="539"/>
      <c r="DY219" s="539"/>
      <c r="DZ219" s="539"/>
      <c r="EA219" s="539"/>
      <c r="EB219" s="539"/>
      <c r="EC219" s="539"/>
      <c r="ED219" s="539"/>
    </row>
    <row r="220" spans="1:134" ht="13.5" hidden="1" customHeight="1">
      <c r="A220" s="549"/>
      <c r="B220" s="11" t="e">
        <f>+#REF!</f>
        <v>#REF!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539"/>
      <c r="AR220" s="539"/>
      <c r="AS220" s="539"/>
      <c r="AT220" s="539"/>
      <c r="AU220" s="539"/>
      <c r="AV220" s="539"/>
      <c r="AW220" s="539"/>
      <c r="AX220" s="539"/>
      <c r="AY220" s="539"/>
      <c r="AZ220" s="539"/>
      <c r="BA220" s="539"/>
      <c r="BB220" s="539"/>
      <c r="BC220" s="539"/>
      <c r="BD220" s="539"/>
      <c r="BE220" s="539"/>
      <c r="BF220" s="539"/>
      <c r="BG220" s="539"/>
      <c r="BH220" s="539"/>
      <c r="BI220" s="539"/>
      <c r="BJ220" s="539"/>
      <c r="BK220" s="539"/>
      <c r="BL220" s="539"/>
      <c r="BM220" s="539"/>
      <c r="BN220" s="539"/>
      <c r="BO220" s="539"/>
      <c r="BP220" s="539"/>
      <c r="BQ220" s="539"/>
      <c r="BR220" s="539"/>
      <c r="BS220" s="539"/>
      <c r="BT220" s="539"/>
      <c r="BU220" s="539"/>
      <c r="BV220" s="539"/>
      <c r="BW220" s="539"/>
      <c r="BX220" s="539"/>
      <c r="BY220" s="539"/>
      <c r="BZ220" s="539"/>
      <c r="CA220" s="539"/>
      <c r="CB220" s="539"/>
      <c r="CC220" s="539"/>
      <c r="CD220" s="539"/>
      <c r="CE220" s="539"/>
      <c r="CF220" s="539"/>
      <c r="CG220" s="539"/>
      <c r="CH220" s="539"/>
      <c r="CI220" s="539"/>
      <c r="CJ220" s="539"/>
      <c r="CK220" s="539"/>
      <c r="CL220" s="539"/>
      <c r="CM220" s="539"/>
      <c r="CN220" s="539"/>
      <c r="CO220" s="539"/>
      <c r="CP220" s="539"/>
      <c r="CQ220" s="539"/>
      <c r="CR220" s="539"/>
      <c r="CS220" s="539"/>
      <c r="CT220" s="539"/>
      <c r="CU220" s="539"/>
      <c r="CV220" s="539"/>
      <c r="CW220" s="539"/>
      <c r="CX220" s="539"/>
      <c r="CY220" s="539"/>
      <c r="CZ220" s="539"/>
      <c r="DA220" s="539"/>
      <c r="DB220" s="539"/>
      <c r="DC220" s="539"/>
      <c r="DD220" s="539"/>
      <c r="DE220" s="539"/>
      <c r="DF220" s="539"/>
      <c r="DG220" s="539"/>
      <c r="DH220" s="539"/>
      <c r="DI220" s="539"/>
      <c r="DJ220" s="539"/>
      <c r="DK220" s="539"/>
      <c r="DL220" s="539"/>
      <c r="DM220" s="539"/>
      <c r="DN220" s="539"/>
      <c r="DO220" s="539"/>
      <c r="DP220" s="539"/>
      <c r="DQ220" s="539"/>
      <c r="DR220" s="539"/>
      <c r="DS220" s="539"/>
      <c r="DT220" s="539"/>
      <c r="DU220" s="539"/>
      <c r="DV220" s="539"/>
      <c r="DW220" s="539"/>
      <c r="DX220" s="539"/>
      <c r="DY220" s="539"/>
      <c r="DZ220" s="539"/>
      <c r="EA220" s="539"/>
      <c r="EB220" s="539"/>
      <c r="EC220" s="539"/>
      <c r="ED220" s="539"/>
    </row>
    <row r="221" spans="1:134" ht="13.5" hidden="1" customHeight="1">
      <c r="A221" s="549"/>
      <c r="B221" s="11" t="e">
        <f>+#REF!</f>
        <v>#REF!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539"/>
      <c r="AR221" s="539"/>
      <c r="AS221" s="539"/>
      <c r="AT221" s="539"/>
      <c r="AU221" s="539"/>
      <c r="AV221" s="539"/>
      <c r="AW221" s="539"/>
      <c r="AX221" s="539"/>
      <c r="AY221" s="539"/>
      <c r="AZ221" s="539"/>
      <c r="BA221" s="539"/>
      <c r="BB221" s="539"/>
      <c r="BC221" s="539"/>
      <c r="BD221" s="539"/>
      <c r="BE221" s="539"/>
      <c r="BF221" s="539"/>
      <c r="BG221" s="539"/>
      <c r="BH221" s="539"/>
      <c r="BI221" s="539"/>
      <c r="BJ221" s="539"/>
      <c r="BK221" s="539"/>
      <c r="BL221" s="539"/>
      <c r="BM221" s="539"/>
      <c r="BN221" s="539"/>
      <c r="BO221" s="539"/>
      <c r="BP221" s="539"/>
      <c r="BQ221" s="539"/>
      <c r="BR221" s="539"/>
      <c r="BS221" s="539"/>
      <c r="BT221" s="539"/>
      <c r="BU221" s="539"/>
      <c r="BV221" s="539"/>
      <c r="BW221" s="539"/>
      <c r="BX221" s="539"/>
      <c r="BY221" s="539"/>
      <c r="BZ221" s="539"/>
      <c r="CA221" s="539"/>
      <c r="CB221" s="539"/>
      <c r="CC221" s="539"/>
      <c r="CD221" s="539"/>
      <c r="CE221" s="539"/>
      <c r="CF221" s="539"/>
      <c r="CG221" s="539"/>
      <c r="CH221" s="539"/>
      <c r="CI221" s="539"/>
      <c r="CJ221" s="539"/>
      <c r="CK221" s="539"/>
      <c r="CL221" s="539"/>
      <c r="CM221" s="539"/>
      <c r="CN221" s="539"/>
      <c r="CO221" s="539"/>
      <c r="CP221" s="539"/>
      <c r="CQ221" s="539"/>
      <c r="CR221" s="539"/>
      <c r="CS221" s="539"/>
      <c r="CT221" s="539"/>
      <c r="CU221" s="539"/>
      <c r="CV221" s="539"/>
      <c r="CW221" s="539"/>
      <c r="CX221" s="539"/>
      <c r="CY221" s="539"/>
      <c r="CZ221" s="539"/>
      <c r="DA221" s="539"/>
      <c r="DB221" s="539"/>
      <c r="DC221" s="539"/>
      <c r="DD221" s="539"/>
      <c r="DE221" s="539"/>
      <c r="DF221" s="539"/>
      <c r="DG221" s="539"/>
      <c r="DH221" s="539"/>
      <c r="DI221" s="539"/>
      <c r="DJ221" s="539"/>
      <c r="DK221" s="539"/>
      <c r="DL221" s="539"/>
      <c r="DM221" s="539"/>
      <c r="DN221" s="539"/>
      <c r="DO221" s="539"/>
      <c r="DP221" s="539"/>
      <c r="DQ221" s="539"/>
      <c r="DR221" s="539"/>
      <c r="DS221" s="539"/>
      <c r="DT221" s="539"/>
      <c r="DU221" s="539"/>
      <c r="DV221" s="539"/>
      <c r="DW221" s="539"/>
      <c r="DX221" s="539"/>
      <c r="DY221" s="539"/>
      <c r="DZ221" s="539"/>
      <c r="EA221" s="539"/>
      <c r="EB221" s="539"/>
      <c r="EC221" s="539"/>
      <c r="ED221" s="539"/>
    </row>
    <row r="222" spans="1:134" ht="13.5" hidden="1" customHeight="1">
      <c r="A222" s="549"/>
      <c r="B222" s="11" t="e">
        <f>+#REF!</f>
        <v>#REF!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539"/>
      <c r="AR222" s="539"/>
      <c r="AS222" s="539"/>
      <c r="AT222" s="539"/>
      <c r="AU222" s="539"/>
      <c r="AV222" s="539"/>
      <c r="AW222" s="539"/>
      <c r="AX222" s="539"/>
      <c r="AY222" s="539"/>
      <c r="AZ222" s="539"/>
      <c r="BA222" s="539"/>
      <c r="BB222" s="539"/>
      <c r="BC222" s="539"/>
      <c r="BD222" s="539"/>
      <c r="BE222" s="539"/>
      <c r="BF222" s="539"/>
      <c r="BG222" s="539"/>
      <c r="BH222" s="539"/>
      <c r="BI222" s="539"/>
      <c r="BJ222" s="539"/>
      <c r="BK222" s="539"/>
      <c r="BL222" s="539"/>
      <c r="BM222" s="539"/>
      <c r="BN222" s="539"/>
      <c r="BO222" s="539"/>
      <c r="BP222" s="539"/>
      <c r="BQ222" s="539"/>
      <c r="BR222" s="539"/>
      <c r="BS222" s="539"/>
      <c r="BT222" s="539"/>
      <c r="BU222" s="539"/>
      <c r="BV222" s="539"/>
      <c r="BW222" s="539"/>
      <c r="BX222" s="539"/>
      <c r="BY222" s="539"/>
      <c r="BZ222" s="539"/>
      <c r="CA222" s="539"/>
      <c r="CB222" s="539"/>
      <c r="CC222" s="539"/>
      <c r="CD222" s="539"/>
      <c r="CE222" s="539"/>
      <c r="CF222" s="539"/>
      <c r="CG222" s="539"/>
      <c r="CH222" s="539"/>
      <c r="CI222" s="539"/>
      <c r="CJ222" s="539"/>
      <c r="CK222" s="539"/>
      <c r="CL222" s="539"/>
      <c r="CM222" s="539"/>
      <c r="CN222" s="539"/>
      <c r="CO222" s="539"/>
      <c r="CP222" s="539"/>
      <c r="CQ222" s="539"/>
      <c r="CR222" s="539"/>
      <c r="CS222" s="539"/>
      <c r="CT222" s="539"/>
      <c r="CU222" s="539"/>
      <c r="CV222" s="539"/>
      <c r="CW222" s="539"/>
      <c r="CX222" s="539"/>
      <c r="CY222" s="539"/>
      <c r="CZ222" s="539"/>
      <c r="DA222" s="539"/>
      <c r="DB222" s="539"/>
      <c r="DC222" s="539"/>
      <c r="DD222" s="539"/>
      <c r="DE222" s="539"/>
      <c r="DF222" s="539"/>
      <c r="DG222" s="539"/>
      <c r="DH222" s="539"/>
      <c r="DI222" s="539"/>
      <c r="DJ222" s="539"/>
      <c r="DK222" s="539"/>
      <c r="DL222" s="539"/>
      <c r="DM222" s="539"/>
      <c r="DN222" s="539"/>
      <c r="DO222" s="539"/>
      <c r="DP222" s="539"/>
      <c r="DQ222" s="539"/>
      <c r="DR222" s="539"/>
      <c r="DS222" s="539"/>
      <c r="DT222" s="539"/>
      <c r="DU222" s="539"/>
      <c r="DV222" s="539"/>
      <c r="DW222" s="539"/>
      <c r="DX222" s="539"/>
      <c r="DY222" s="539"/>
      <c r="DZ222" s="539"/>
      <c r="EA222" s="539"/>
      <c r="EB222" s="539"/>
      <c r="EC222" s="539"/>
      <c r="ED222" s="539"/>
    </row>
    <row r="223" spans="1:134" ht="13.5" hidden="1" customHeight="1">
      <c r="A223" s="549"/>
      <c r="B223" s="11" t="e">
        <f>+#REF!</f>
        <v>#REF!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539"/>
      <c r="AR223" s="539"/>
      <c r="AS223" s="539"/>
      <c r="AT223" s="539"/>
      <c r="AU223" s="539"/>
      <c r="AV223" s="539"/>
      <c r="AW223" s="539"/>
      <c r="AX223" s="539"/>
      <c r="AY223" s="539"/>
      <c r="AZ223" s="539"/>
      <c r="BA223" s="539"/>
      <c r="BB223" s="539"/>
      <c r="BC223" s="539"/>
      <c r="BD223" s="539"/>
      <c r="BE223" s="539"/>
      <c r="BF223" s="539"/>
      <c r="BG223" s="539"/>
      <c r="BH223" s="539"/>
      <c r="BI223" s="539"/>
      <c r="BJ223" s="539"/>
      <c r="BK223" s="539"/>
      <c r="BL223" s="539"/>
      <c r="BM223" s="539"/>
      <c r="BN223" s="539"/>
      <c r="BO223" s="539"/>
      <c r="BP223" s="539"/>
      <c r="BQ223" s="539"/>
      <c r="BR223" s="539"/>
      <c r="BS223" s="539"/>
      <c r="BT223" s="539"/>
      <c r="BU223" s="539"/>
      <c r="BV223" s="539"/>
      <c r="BW223" s="539"/>
      <c r="BX223" s="539"/>
      <c r="BY223" s="539"/>
      <c r="BZ223" s="539"/>
      <c r="CA223" s="539"/>
      <c r="CB223" s="539"/>
      <c r="CC223" s="539"/>
      <c r="CD223" s="539"/>
      <c r="CE223" s="539"/>
      <c r="CF223" s="539"/>
      <c r="CG223" s="539"/>
      <c r="CH223" s="539"/>
      <c r="CI223" s="539"/>
      <c r="CJ223" s="539"/>
      <c r="CK223" s="539"/>
      <c r="CL223" s="539"/>
      <c r="CM223" s="539"/>
      <c r="CN223" s="539"/>
      <c r="CO223" s="539"/>
      <c r="CP223" s="539"/>
      <c r="CQ223" s="539"/>
      <c r="CR223" s="539"/>
      <c r="CS223" s="539"/>
      <c r="CT223" s="539"/>
      <c r="CU223" s="539"/>
      <c r="CV223" s="539"/>
      <c r="CW223" s="539"/>
      <c r="CX223" s="539"/>
      <c r="CY223" s="539"/>
      <c r="CZ223" s="539"/>
      <c r="DA223" s="539"/>
      <c r="DB223" s="539"/>
      <c r="DC223" s="539"/>
      <c r="DD223" s="539"/>
      <c r="DE223" s="539"/>
      <c r="DF223" s="539"/>
      <c r="DG223" s="539"/>
      <c r="DH223" s="539"/>
      <c r="DI223" s="539"/>
      <c r="DJ223" s="539"/>
      <c r="DK223" s="539"/>
      <c r="DL223" s="539"/>
      <c r="DM223" s="539"/>
      <c r="DN223" s="539"/>
      <c r="DO223" s="539"/>
      <c r="DP223" s="539"/>
      <c r="DQ223" s="539"/>
      <c r="DR223" s="539"/>
      <c r="DS223" s="539"/>
      <c r="DT223" s="539"/>
      <c r="DU223" s="539"/>
      <c r="DV223" s="539"/>
      <c r="DW223" s="539"/>
      <c r="DX223" s="539"/>
      <c r="DY223" s="539"/>
      <c r="DZ223" s="539"/>
      <c r="EA223" s="539"/>
      <c r="EB223" s="539"/>
      <c r="EC223" s="539"/>
      <c r="ED223" s="539"/>
    </row>
    <row r="224" spans="1:134" ht="13.5" hidden="1" customHeight="1">
      <c r="A224" s="549"/>
      <c r="B224" s="11" t="e">
        <f>+#REF!</f>
        <v>#REF!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539"/>
      <c r="AR224" s="539"/>
      <c r="AS224" s="539"/>
      <c r="AT224" s="539"/>
      <c r="AU224" s="539"/>
      <c r="AV224" s="539"/>
      <c r="AW224" s="539"/>
      <c r="AX224" s="539"/>
      <c r="AY224" s="539"/>
      <c r="AZ224" s="539"/>
      <c r="BA224" s="539"/>
      <c r="BB224" s="539"/>
      <c r="BC224" s="539"/>
      <c r="BD224" s="539"/>
      <c r="BE224" s="539"/>
      <c r="BF224" s="539"/>
      <c r="BG224" s="539"/>
      <c r="BH224" s="539"/>
      <c r="BI224" s="539"/>
      <c r="BJ224" s="539"/>
      <c r="BK224" s="539"/>
      <c r="BL224" s="539"/>
      <c r="BM224" s="539"/>
      <c r="BN224" s="539"/>
      <c r="BO224" s="539"/>
      <c r="BP224" s="539"/>
      <c r="BQ224" s="539"/>
      <c r="BR224" s="539"/>
      <c r="BS224" s="539"/>
      <c r="BT224" s="539"/>
      <c r="BU224" s="539"/>
      <c r="BV224" s="539"/>
      <c r="BW224" s="539"/>
      <c r="BX224" s="539"/>
      <c r="BY224" s="539"/>
      <c r="BZ224" s="539"/>
      <c r="CA224" s="539"/>
      <c r="CB224" s="539"/>
      <c r="CC224" s="539"/>
      <c r="CD224" s="539"/>
      <c r="CE224" s="539"/>
      <c r="CF224" s="539"/>
      <c r="CG224" s="539"/>
      <c r="CH224" s="539"/>
      <c r="CI224" s="539"/>
      <c r="CJ224" s="539"/>
      <c r="CK224" s="539"/>
      <c r="CL224" s="539"/>
      <c r="CM224" s="539"/>
      <c r="CN224" s="539"/>
      <c r="CO224" s="539"/>
      <c r="CP224" s="539"/>
      <c r="CQ224" s="539"/>
      <c r="CR224" s="539"/>
      <c r="CS224" s="539"/>
      <c r="CT224" s="539"/>
      <c r="CU224" s="539"/>
      <c r="CV224" s="539"/>
      <c r="CW224" s="539"/>
      <c r="CX224" s="539"/>
      <c r="CY224" s="539"/>
      <c r="CZ224" s="539"/>
      <c r="DA224" s="539"/>
      <c r="DB224" s="539"/>
      <c r="DC224" s="539"/>
      <c r="DD224" s="539"/>
      <c r="DE224" s="539"/>
      <c r="DF224" s="539"/>
      <c r="DG224" s="539"/>
      <c r="DH224" s="539"/>
      <c r="DI224" s="539"/>
      <c r="DJ224" s="539"/>
      <c r="DK224" s="539"/>
      <c r="DL224" s="539"/>
      <c r="DM224" s="539"/>
      <c r="DN224" s="539"/>
      <c r="DO224" s="539"/>
      <c r="DP224" s="539"/>
      <c r="DQ224" s="539"/>
      <c r="DR224" s="539"/>
      <c r="DS224" s="539"/>
      <c r="DT224" s="539"/>
      <c r="DU224" s="539"/>
      <c r="DV224" s="539"/>
      <c r="DW224" s="539"/>
      <c r="DX224" s="539"/>
      <c r="DY224" s="539"/>
      <c r="DZ224" s="539"/>
      <c r="EA224" s="539"/>
      <c r="EB224" s="539"/>
      <c r="EC224" s="539"/>
      <c r="ED224" s="539"/>
    </row>
    <row r="225" spans="1:134" ht="13.5" hidden="1" customHeight="1">
      <c r="A225" s="549"/>
      <c r="B225" s="11" t="e">
        <f>+#REF!</f>
        <v>#REF!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539"/>
      <c r="AR225" s="539"/>
      <c r="AS225" s="539"/>
      <c r="AT225" s="539"/>
      <c r="AU225" s="539"/>
      <c r="AV225" s="539"/>
      <c r="AW225" s="539"/>
      <c r="AX225" s="539"/>
      <c r="AY225" s="539"/>
      <c r="AZ225" s="539"/>
      <c r="BA225" s="539"/>
      <c r="BB225" s="539"/>
      <c r="BC225" s="539"/>
      <c r="BD225" s="539"/>
      <c r="BE225" s="539"/>
      <c r="BF225" s="539"/>
      <c r="BG225" s="539"/>
      <c r="BH225" s="539"/>
      <c r="BI225" s="539"/>
      <c r="BJ225" s="539"/>
      <c r="BK225" s="539"/>
      <c r="BL225" s="539"/>
      <c r="BM225" s="539"/>
      <c r="BN225" s="539"/>
      <c r="BO225" s="539"/>
      <c r="BP225" s="539"/>
      <c r="BQ225" s="539"/>
      <c r="BR225" s="539"/>
      <c r="BS225" s="539"/>
      <c r="BT225" s="539"/>
      <c r="BU225" s="539"/>
      <c r="BV225" s="539"/>
      <c r="BW225" s="539"/>
      <c r="BX225" s="539"/>
      <c r="BY225" s="539"/>
      <c r="BZ225" s="539"/>
      <c r="CA225" s="539"/>
      <c r="CB225" s="539"/>
      <c r="CC225" s="539"/>
      <c r="CD225" s="539"/>
      <c r="CE225" s="539"/>
      <c r="CF225" s="539"/>
      <c r="CG225" s="539"/>
      <c r="CH225" s="539"/>
      <c r="CI225" s="539"/>
      <c r="CJ225" s="539"/>
      <c r="CK225" s="539"/>
      <c r="CL225" s="539"/>
      <c r="CM225" s="539"/>
      <c r="CN225" s="539"/>
      <c r="CO225" s="539"/>
      <c r="CP225" s="539"/>
      <c r="CQ225" s="539"/>
      <c r="CR225" s="539"/>
      <c r="CS225" s="539"/>
      <c r="CT225" s="539"/>
      <c r="CU225" s="539"/>
      <c r="CV225" s="539"/>
      <c r="CW225" s="539"/>
      <c r="CX225" s="539"/>
      <c r="CY225" s="539"/>
      <c r="CZ225" s="539"/>
      <c r="DA225" s="539"/>
      <c r="DB225" s="539"/>
      <c r="DC225" s="539"/>
      <c r="DD225" s="539"/>
      <c r="DE225" s="539"/>
      <c r="DF225" s="539"/>
      <c r="DG225" s="539"/>
      <c r="DH225" s="539"/>
      <c r="DI225" s="539"/>
      <c r="DJ225" s="539"/>
      <c r="DK225" s="539"/>
      <c r="DL225" s="539"/>
      <c r="DM225" s="539"/>
      <c r="DN225" s="539"/>
      <c r="DO225" s="539"/>
      <c r="DP225" s="539"/>
      <c r="DQ225" s="539"/>
      <c r="DR225" s="539"/>
      <c r="DS225" s="539"/>
      <c r="DT225" s="539"/>
      <c r="DU225" s="539"/>
      <c r="DV225" s="539"/>
      <c r="DW225" s="539"/>
      <c r="DX225" s="539"/>
      <c r="DY225" s="539"/>
      <c r="DZ225" s="539"/>
      <c r="EA225" s="539"/>
      <c r="EB225" s="539"/>
      <c r="EC225" s="539"/>
      <c r="ED225" s="539"/>
    </row>
    <row r="226" spans="1:134" ht="13.5" hidden="1" customHeight="1">
      <c r="A226" s="549"/>
      <c r="B226" s="11" t="e">
        <f>+#REF!</f>
        <v>#REF!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539"/>
      <c r="AR226" s="539"/>
      <c r="AS226" s="539"/>
      <c r="AT226" s="539"/>
      <c r="AU226" s="539"/>
      <c r="AV226" s="539"/>
      <c r="AW226" s="539"/>
      <c r="AX226" s="539"/>
      <c r="AY226" s="539"/>
      <c r="AZ226" s="539"/>
      <c r="BA226" s="539"/>
      <c r="BB226" s="539"/>
      <c r="BC226" s="539"/>
      <c r="BD226" s="539"/>
      <c r="BE226" s="539"/>
      <c r="BF226" s="539"/>
      <c r="BG226" s="539"/>
      <c r="BH226" s="539"/>
      <c r="BI226" s="539"/>
      <c r="BJ226" s="539"/>
      <c r="BK226" s="539"/>
      <c r="BL226" s="539"/>
      <c r="BM226" s="539"/>
      <c r="BN226" s="539"/>
      <c r="BO226" s="539"/>
      <c r="BP226" s="539"/>
      <c r="BQ226" s="539"/>
      <c r="BR226" s="539"/>
      <c r="BS226" s="539"/>
      <c r="BT226" s="539"/>
      <c r="BU226" s="539"/>
      <c r="BV226" s="539"/>
      <c r="BW226" s="539"/>
      <c r="BX226" s="539"/>
      <c r="BY226" s="539"/>
      <c r="BZ226" s="539"/>
      <c r="CA226" s="539"/>
      <c r="CB226" s="539"/>
      <c r="CC226" s="539"/>
      <c r="CD226" s="539"/>
      <c r="CE226" s="539"/>
      <c r="CF226" s="539"/>
      <c r="CG226" s="539"/>
      <c r="CH226" s="539"/>
      <c r="CI226" s="539"/>
      <c r="CJ226" s="539"/>
      <c r="CK226" s="539"/>
      <c r="CL226" s="539"/>
      <c r="CM226" s="539"/>
      <c r="CN226" s="539"/>
      <c r="CO226" s="539"/>
      <c r="CP226" s="539"/>
      <c r="CQ226" s="539"/>
      <c r="CR226" s="539"/>
      <c r="CS226" s="539"/>
      <c r="CT226" s="539"/>
      <c r="CU226" s="539"/>
      <c r="CV226" s="539"/>
      <c r="CW226" s="539"/>
      <c r="CX226" s="539"/>
      <c r="CY226" s="539"/>
      <c r="CZ226" s="539"/>
      <c r="DA226" s="539"/>
      <c r="DB226" s="539"/>
      <c r="DC226" s="539"/>
      <c r="DD226" s="539"/>
      <c r="DE226" s="539"/>
      <c r="DF226" s="539"/>
      <c r="DG226" s="539"/>
      <c r="DH226" s="539"/>
      <c r="DI226" s="539"/>
      <c r="DJ226" s="539"/>
      <c r="DK226" s="539"/>
      <c r="DL226" s="539"/>
      <c r="DM226" s="539"/>
      <c r="DN226" s="539"/>
      <c r="DO226" s="539"/>
      <c r="DP226" s="539"/>
      <c r="DQ226" s="539"/>
      <c r="DR226" s="539"/>
      <c r="DS226" s="539"/>
      <c r="DT226" s="539"/>
      <c r="DU226" s="539"/>
      <c r="DV226" s="539"/>
      <c r="DW226" s="539"/>
      <c r="DX226" s="539"/>
      <c r="DY226" s="539"/>
      <c r="DZ226" s="539"/>
      <c r="EA226" s="539"/>
      <c r="EB226" s="539"/>
      <c r="EC226" s="539"/>
      <c r="ED226" s="539"/>
    </row>
    <row r="227" spans="1:134" ht="13.5" hidden="1" customHeight="1">
      <c r="A227" s="549"/>
      <c r="B227" s="11" t="e">
        <f>+#REF!</f>
        <v>#REF!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539"/>
      <c r="AR227" s="539"/>
      <c r="AS227" s="539"/>
      <c r="AT227" s="539"/>
      <c r="AU227" s="539"/>
      <c r="AV227" s="539"/>
      <c r="AW227" s="539"/>
      <c r="AX227" s="539"/>
      <c r="AY227" s="539"/>
      <c r="AZ227" s="539"/>
      <c r="BA227" s="539"/>
      <c r="BB227" s="539"/>
      <c r="BC227" s="539"/>
      <c r="BD227" s="539"/>
      <c r="BE227" s="539"/>
      <c r="BF227" s="539"/>
      <c r="BG227" s="539"/>
      <c r="BH227" s="539"/>
      <c r="BI227" s="539"/>
      <c r="BJ227" s="539"/>
      <c r="BK227" s="539"/>
      <c r="BL227" s="539"/>
      <c r="BM227" s="539"/>
      <c r="BN227" s="539"/>
      <c r="BO227" s="539"/>
      <c r="BP227" s="539"/>
      <c r="BQ227" s="539"/>
      <c r="BR227" s="539"/>
      <c r="BS227" s="539"/>
      <c r="BT227" s="539"/>
      <c r="BU227" s="539"/>
      <c r="BV227" s="539"/>
      <c r="BW227" s="539"/>
      <c r="BX227" s="539"/>
      <c r="BY227" s="539"/>
      <c r="BZ227" s="539"/>
      <c r="CA227" s="539"/>
      <c r="CB227" s="539"/>
      <c r="CC227" s="539"/>
      <c r="CD227" s="539"/>
      <c r="CE227" s="539"/>
      <c r="CF227" s="539"/>
      <c r="CG227" s="539"/>
      <c r="CH227" s="539"/>
      <c r="CI227" s="539"/>
      <c r="CJ227" s="539"/>
      <c r="CK227" s="539"/>
      <c r="CL227" s="539"/>
      <c r="CM227" s="539"/>
      <c r="CN227" s="539"/>
      <c r="CO227" s="539"/>
      <c r="CP227" s="539"/>
      <c r="CQ227" s="539"/>
      <c r="CR227" s="539"/>
      <c r="CS227" s="539"/>
      <c r="CT227" s="539"/>
      <c r="CU227" s="539"/>
      <c r="CV227" s="539"/>
      <c r="CW227" s="539"/>
      <c r="CX227" s="539"/>
      <c r="CY227" s="539"/>
      <c r="CZ227" s="539"/>
      <c r="DA227" s="539"/>
      <c r="DB227" s="539"/>
      <c r="DC227" s="539"/>
      <c r="DD227" s="539"/>
      <c r="DE227" s="539"/>
      <c r="DF227" s="539"/>
      <c r="DG227" s="539"/>
      <c r="DH227" s="539"/>
      <c r="DI227" s="539"/>
      <c r="DJ227" s="539"/>
      <c r="DK227" s="539"/>
      <c r="DL227" s="539"/>
      <c r="DM227" s="539"/>
      <c r="DN227" s="539"/>
      <c r="DO227" s="539"/>
      <c r="DP227" s="539"/>
      <c r="DQ227" s="539"/>
      <c r="DR227" s="539"/>
      <c r="DS227" s="539"/>
      <c r="DT227" s="539"/>
      <c r="DU227" s="539"/>
      <c r="DV227" s="539"/>
      <c r="DW227" s="539"/>
      <c r="DX227" s="539"/>
      <c r="DY227" s="539"/>
      <c r="DZ227" s="539"/>
      <c r="EA227" s="539"/>
      <c r="EB227" s="539"/>
      <c r="EC227" s="539"/>
      <c r="ED227" s="539"/>
    </row>
    <row r="228" spans="1:134" ht="13.5" hidden="1" customHeight="1">
      <c r="A228" s="549"/>
      <c r="B228" s="11" t="e">
        <f>+#REF!</f>
        <v>#REF!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539"/>
      <c r="AR228" s="539"/>
      <c r="AS228" s="539"/>
      <c r="AT228" s="539"/>
      <c r="AU228" s="539"/>
      <c r="AV228" s="539"/>
      <c r="AW228" s="539"/>
      <c r="AX228" s="539"/>
      <c r="AY228" s="539"/>
      <c r="AZ228" s="539"/>
      <c r="BA228" s="539"/>
      <c r="BB228" s="539"/>
      <c r="BC228" s="539"/>
      <c r="BD228" s="539"/>
      <c r="BE228" s="539"/>
      <c r="BF228" s="539"/>
      <c r="BG228" s="539"/>
      <c r="BH228" s="539"/>
      <c r="BI228" s="539"/>
      <c r="BJ228" s="539"/>
      <c r="BK228" s="539"/>
      <c r="BL228" s="539"/>
      <c r="BM228" s="539"/>
      <c r="BN228" s="539"/>
      <c r="BO228" s="539"/>
      <c r="BP228" s="539"/>
      <c r="BQ228" s="539"/>
      <c r="BR228" s="539"/>
      <c r="BS228" s="539"/>
      <c r="BT228" s="539"/>
      <c r="BU228" s="539"/>
      <c r="BV228" s="539"/>
      <c r="BW228" s="539"/>
      <c r="BX228" s="539"/>
      <c r="BY228" s="539"/>
      <c r="BZ228" s="539"/>
      <c r="CA228" s="539"/>
      <c r="CB228" s="539"/>
      <c r="CC228" s="539"/>
      <c r="CD228" s="539"/>
      <c r="CE228" s="539"/>
      <c r="CF228" s="539"/>
      <c r="CG228" s="539"/>
      <c r="CH228" s="539"/>
      <c r="CI228" s="539"/>
      <c r="CJ228" s="539"/>
      <c r="CK228" s="539"/>
      <c r="CL228" s="539"/>
      <c r="CM228" s="539"/>
      <c r="CN228" s="539"/>
      <c r="CO228" s="539"/>
      <c r="CP228" s="539"/>
      <c r="CQ228" s="539"/>
      <c r="CR228" s="539"/>
      <c r="CS228" s="539"/>
      <c r="CT228" s="539"/>
      <c r="CU228" s="539"/>
      <c r="CV228" s="539"/>
      <c r="CW228" s="539"/>
      <c r="CX228" s="539"/>
      <c r="CY228" s="539"/>
      <c r="CZ228" s="539"/>
      <c r="DA228" s="539"/>
      <c r="DB228" s="539"/>
      <c r="DC228" s="539"/>
      <c r="DD228" s="539"/>
      <c r="DE228" s="539"/>
      <c r="DF228" s="539"/>
      <c r="DG228" s="539"/>
      <c r="DH228" s="539"/>
      <c r="DI228" s="539"/>
      <c r="DJ228" s="539"/>
      <c r="DK228" s="539"/>
      <c r="DL228" s="539"/>
      <c r="DM228" s="539"/>
      <c r="DN228" s="539"/>
      <c r="DO228" s="539"/>
      <c r="DP228" s="539"/>
      <c r="DQ228" s="539"/>
      <c r="DR228" s="539"/>
      <c r="DS228" s="539"/>
      <c r="DT228" s="539"/>
      <c r="DU228" s="539"/>
      <c r="DV228" s="539"/>
      <c r="DW228" s="539"/>
      <c r="DX228" s="539"/>
      <c r="DY228" s="539"/>
      <c r="DZ228" s="539"/>
      <c r="EA228" s="539"/>
      <c r="EB228" s="539"/>
      <c r="EC228" s="539"/>
      <c r="ED228" s="539"/>
    </row>
    <row r="229" spans="1:134" ht="13.5" hidden="1" customHeight="1">
      <c r="A229" s="549"/>
      <c r="B229" s="11" t="e">
        <f>+#REF!</f>
        <v>#REF!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539"/>
      <c r="AR229" s="539"/>
      <c r="AS229" s="539"/>
      <c r="AT229" s="539"/>
      <c r="AU229" s="539"/>
      <c r="AV229" s="539"/>
      <c r="AW229" s="539"/>
      <c r="AX229" s="539"/>
      <c r="AY229" s="539"/>
      <c r="AZ229" s="539"/>
      <c r="BA229" s="539"/>
      <c r="BB229" s="539"/>
      <c r="BC229" s="539"/>
      <c r="BD229" s="539"/>
      <c r="BE229" s="539"/>
      <c r="BF229" s="539"/>
      <c r="BG229" s="539"/>
      <c r="BH229" s="539"/>
      <c r="BI229" s="539"/>
      <c r="BJ229" s="539"/>
      <c r="BK229" s="539"/>
      <c r="BL229" s="539"/>
      <c r="BM229" s="539"/>
      <c r="BN229" s="539"/>
      <c r="BO229" s="539"/>
      <c r="BP229" s="539"/>
      <c r="BQ229" s="539"/>
      <c r="BR229" s="539"/>
      <c r="BS229" s="539"/>
      <c r="BT229" s="539"/>
      <c r="BU229" s="539"/>
      <c r="BV229" s="539"/>
      <c r="BW229" s="539"/>
      <c r="BX229" s="539"/>
      <c r="BY229" s="539"/>
      <c r="BZ229" s="539"/>
      <c r="CA229" s="539"/>
      <c r="CB229" s="539"/>
      <c r="CC229" s="539"/>
      <c r="CD229" s="539"/>
      <c r="CE229" s="539"/>
      <c r="CF229" s="539"/>
      <c r="CG229" s="539"/>
      <c r="CH229" s="539"/>
      <c r="CI229" s="539"/>
      <c r="CJ229" s="539"/>
      <c r="CK229" s="539"/>
      <c r="CL229" s="539"/>
      <c r="CM229" s="539"/>
      <c r="CN229" s="539"/>
      <c r="CO229" s="539"/>
      <c r="CP229" s="539"/>
      <c r="CQ229" s="539"/>
      <c r="CR229" s="539"/>
      <c r="CS229" s="539"/>
      <c r="CT229" s="539"/>
      <c r="CU229" s="539"/>
      <c r="CV229" s="539"/>
      <c r="CW229" s="539"/>
      <c r="CX229" s="539"/>
      <c r="CY229" s="539"/>
      <c r="CZ229" s="539"/>
      <c r="DA229" s="539"/>
      <c r="DB229" s="539"/>
      <c r="DC229" s="539"/>
      <c r="DD229" s="539"/>
      <c r="DE229" s="539"/>
      <c r="DF229" s="539"/>
      <c r="DG229" s="539"/>
      <c r="DH229" s="539"/>
      <c r="DI229" s="539"/>
      <c r="DJ229" s="539"/>
      <c r="DK229" s="539"/>
      <c r="DL229" s="539"/>
      <c r="DM229" s="539"/>
      <c r="DN229" s="539"/>
      <c r="DO229" s="539"/>
      <c r="DP229" s="539"/>
      <c r="DQ229" s="539"/>
      <c r="DR229" s="539"/>
      <c r="DS229" s="539"/>
      <c r="DT229" s="539"/>
      <c r="DU229" s="539"/>
      <c r="DV229" s="539"/>
      <c r="DW229" s="539"/>
      <c r="DX229" s="539"/>
      <c r="DY229" s="539"/>
      <c r="DZ229" s="539"/>
      <c r="EA229" s="539"/>
      <c r="EB229" s="539"/>
      <c r="EC229" s="539"/>
      <c r="ED229" s="539"/>
    </row>
    <row r="230" spans="1:134" ht="13.5" hidden="1" customHeight="1">
      <c r="A230" s="549"/>
      <c r="B230" s="11" t="e">
        <f>+#REF!</f>
        <v>#REF!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539"/>
      <c r="AR230" s="539"/>
      <c r="AS230" s="539"/>
      <c r="AT230" s="539"/>
      <c r="AU230" s="539"/>
      <c r="AV230" s="539"/>
      <c r="AW230" s="539"/>
      <c r="AX230" s="539"/>
      <c r="AY230" s="539"/>
      <c r="AZ230" s="539"/>
      <c r="BA230" s="539"/>
      <c r="BB230" s="539"/>
      <c r="BC230" s="539"/>
      <c r="BD230" s="539"/>
      <c r="BE230" s="539"/>
      <c r="BF230" s="539"/>
      <c r="BG230" s="539"/>
      <c r="BH230" s="539"/>
      <c r="BI230" s="539"/>
      <c r="BJ230" s="539"/>
      <c r="BK230" s="539"/>
      <c r="BL230" s="539"/>
      <c r="BM230" s="539"/>
      <c r="BN230" s="539"/>
      <c r="BO230" s="539"/>
      <c r="BP230" s="539"/>
      <c r="BQ230" s="539"/>
      <c r="BR230" s="539"/>
      <c r="BS230" s="539"/>
      <c r="BT230" s="539"/>
      <c r="BU230" s="539"/>
      <c r="BV230" s="539"/>
      <c r="BW230" s="539"/>
      <c r="BX230" s="539"/>
      <c r="BY230" s="539"/>
      <c r="BZ230" s="539"/>
      <c r="CA230" s="539"/>
      <c r="CB230" s="539"/>
      <c r="CC230" s="539"/>
      <c r="CD230" s="539"/>
      <c r="CE230" s="539"/>
      <c r="CF230" s="539"/>
      <c r="CG230" s="539"/>
      <c r="CH230" s="539"/>
      <c r="CI230" s="539"/>
      <c r="CJ230" s="539"/>
      <c r="CK230" s="539"/>
      <c r="CL230" s="539"/>
      <c r="CM230" s="539"/>
      <c r="CN230" s="539"/>
      <c r="CO230" s="539"/>
      <c r="CP230" s="539"/>
      <c r="CQ230" s="539"/>
      <c r="CR230" s="539"/>
      <c r="CS230" s="539"/>
      <c r="CT230" s="539"/>
      <c r="CU230" s="539"/>
      <c r="CV230" s="539"/>
      <c r="CW230" s="539"/>
      <c r="CX230" s="539"/>
      <c r="CY230" s="539"/>
      <c r="CZ230" s="539"/>
      <c r="DA230" s="539"/>
      <c r="DB230" s="539"/>
      <c r="DC230" s="539"/>
      <c r="DD230" s="539"/>
      <c r="DE230" s="539"/>
      <c r="DF230" s="539"/>
      <c r="DG230" s="539"/>
      <c r="DH230" s="539"/>
      <c r="DI230" s="539"/>
      <c r="DJ230" s="539"/>
      <c r="DK230" s="539"/>
      <c r="DL230" s="539"/>
      <c r="DM230" s="539"/>
      <c r="DN230" s="539"/>
      <c r="DO230" s="539"/>
      <c r="DP230" s="539"/>
      <c r="DQ230" s="539"/>
      <c r="DR230" s="539"/>
      <c r="DS230" s="539"/>
      <c r="DT230" s="539"/>
      <c r="DU230" s="539"/>
      <c r="DV230" s="539"/>
      <c r="DW230" s="539"/>
      <c r="DX230" s="539"/>
      <c r="DY230" s="539"/>
      <c r="DZ230" s="539"/>
      <c r="EA230" s="539"/>
      <c r="EB230" s="539"/>
      <c r="EC230" s="539"/>
      <c r="ED230" s="539"/>
    </row>
    <row r="231" spans="1:134" ht="13.5" hidden="1" customHeight="1">
      <c r="A231" s="549"/>
      <c r="B231" s="11" t="e">
        <f>+#REF!</f>
        <v>#REF!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539"/>
      <c r="AR231" s="539"/>
      <c r="AS231" s="539"/>
      <c r="AT231" s="539"/>
      <c r="AU231" s="539"/>
      <c r="AV231" s="539"/>
      <c r="AW231" s="539"/>
      <c r="AX231" s="539"/>
      <c r="AY231" s="539"/>
      <c r="AZ231" s="539"/>
      <c r="BA231" s="539"/>
      <c r="BB231" s="539"/>
      <c r="BC231" s="539"/>
      <c r="BD231" s="539"/>
      <c r="BE231" s="539"/>
      <c r="BF231" s="539"/>
      <c r="BG231" s="539"/>
      <c r="BH231" s="539"/>
      <c r="BI231" s="539"/>
      <c r="BJ231" s="539"/>
      <c r="BK231" s="539"/>
      <c r="BL231" s="539"/>
      <c r="BM231" s="539"/>
      <c r="BN231" s="539"/>
      <c r="BO231" s="539"/>
      <c r="BP231" s="539"/>
      <c r="BQ231" s="539"/>
      <c r="BR231" s="539"/>
      <c r="BS231" s="539"/>
      <c r="BT231" s="539"/>
      <c r="BU231" s="539"/>
      <c r="BV231" s="539"/>
      <c r="BW231" s="539"/>
      <c r="BX231" s="539"/>
      <c r="BY231" s="539"/>
      <c r="BZ231" s="539"/>
      <c r="CA231" s="539"/>
      <c r="CB231" s="539"/>
      <c r="CC231" s="539"/>
      <c r="CD231" s="539"/>
      <c r="CE231" s="539"/>
      <c r="CF231" s="539"/>
      <c r="CG231" s="539"/>
      <c r="CH231" s="539"/>
      <c r="CI231" s="539"/>
      <c r="CJ231" s="539"/>
      <c r="CK231" s="539"/>
      <c r="CL231" s="539"/>
      <c r="CM231" s="539"/>
      <c r="CN231" s="539"/>
      <c r="CO231" s="539"/>
      <c r="CP231" s="539"/>
      <c r="CQ231" s="539"/>
      <c r="CR231" s="539"/>
      <c r="CS231" s="539"/>
      <c r="CT231" s="539"/>
      <c r="CU231" s="539"/>
      <c r="CV231" s="539"/>
      <c r="CW231" s="539"/>
      <c r="CX231" s="539"/>
      <c r="CY231" s="539"/>
      <c r="CZ231" s="539"/>
      <c r="DA231" s="539"/>
      <c r="DB231" s="539"/>
      <c r="DC231" s="539"/>
      <c r="DD231" s="539"/>
      <c r="DE231" s="539"/>
      <c r="DF231" s="539"/>
      <c r="DG231" s="539"/>
      <c r="DH231" s="539"/>
      <c r="DI231" s="539"/>
      <c r="DJ231" s="539"/>
      <c r="DK231" s="539"/>
      <c r="DL231" s="539"/>
      <c r="DM231" s="539"/>
      <c r="DN231" s="539"/>
      <c r="DO231" s="539"/>
      <c r="DP231" s="539"/>
      <c r="DQ231" s="539"/>
      <c r="DR231" s="539"/>
      <c r="DS231" s="539"/>
      <c r="DT231" s="539"/>
      <c r="DU231" s="539"/>
      <c r="DV231" s="539"/>
      <c r="DW231" s="539"/>
      <c r="DX231" s="539"/>
      <c r="DY231" s="539"/>
      <c r="DZ231" s="539"/>
      <c r="EA231" s="539"/>
      <c r="EB231" s="539"/>
      <c r="EC231" s="539"/>
      <c r="ED231" s="539"/>
    </row>
    <row r="232" spans="1:134" ht="13.5" hidden="1" customHeight="1">
      <c r="A232" s="549"/>
      <c r="B232" s="11" t="e">
        <f>+#REF!</f>
        <v>#REF!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539"/>
      <c r="AR232" s="539"/>
      <c r="AS232" s="539"/>
      <c r="AT232" s="539"/>
      <c r="AU232" s="539"/>
      <c r="AV232" s="539"/>
      <c r="AW232" s="539"/>
      <c r="AX232" s="539"/>
      <c r="AY232" s="539"/>
      <c r="AZ232" s="539"/>
      <c r="BA232" s="539"/>
      <c r="BB232" s="539"/>
      <c r="BC232" s="539"/>
      <c r="BD232" s="539"/>
      <c r="BE232" s="539"/>
      <c r="BF232" s="539"/>
      <c r="BG232" s="539"/>
      <c r="BH232" s="539"/>
      <c r="BI232" s="539"/>
      <c r="BJ232" s="539"/>
      <c r="BK232" s="539"/>
      <c r="BL232" s="539"/>
      <c r="BM232" s="539"/>
      <c r="BN232" s="539"/>
      <c r="BO232" s="539"/>
      <c r="BP232" s="539"/>
      <c r="BQ232" s="539"/>
      <c r="BR232" s="539"/>
      <c r="BS232" s="539"/>
      <c r="BT232" s="539"/>
      <c r="BU232" s="539"/>
      <c r="BV232" s="539"/>
      <c r="BW232" s="539"/>
      <c r="BX232" s="539"/>
      <c r="BY232" s="539"/>
      <c r="BZ232" s="539"/>
      <c r="CA232" s="539"/>
      <c r="CB232" s="539"/>
      <c r="CC232" s="539"/>
      <c r="CD232" s="539"/>
      <c r="CE232" s="539"/>
      <c r="CF232" s="539"/>
      <c r="CG232" s="539"/>
      <c r="CH232" s="539"/>
      <c r="CI232" s="539"/>
      <c r="CJ232" s="539"/>
      <c r="CK232" s="539"/>
      <c r="CL232" s="539"/>
      <c r="CM232" s="539"/>
      <c r="CN232" s="539"/>
      <c r="CO232" s="539"/>
      <c r="CP232" s="539"/>
      <c r="CQ232" s="539"/>
      <c r="CR232" s="539"/>
      <c r="CS232" s="539"/>
      <c r="CT232" s="539"/>
      <c r="CU232" s="539"/>
      <c r="CV232" s="539"/>
      <c r="CW232" s="539"/>
      <c r="CX232" s="539"/>
      <c r="CY232" s="539"/>
      <c r="CZ232" s="539"/>
      <c r="DA232" s="539"/>
      <c r="DB232" s="539"/>
      <c r="DC232" s="539"/>
      <c r="DD232" s="539"/>
      <c r="DE232" s="539"/>
      <c r="DF232" s="539"/>
      <c r="DG232" s="539"/>
      <c r="DH232" s="539"/>
      <c r="DI232" s="539"/>
      <c r="DJ232" s="539"/>
      <c r="DK232" s="539"/>
      <c r="DL232" s="539"/>
      <c r="DM232" s="539"/>
      <c r="DN232" s="539"/>
      <c r="DO232" s="539"/>
      <c r="DP232" s="539"/>
      <c r="DQ232" s="539"/>
      <c r="DR232" s="539"/>
      <c r="DS232" s="539"/>
      <c r="DT232" s="539"/>
      <c r="DU232" s="539"/>
      <c r="DV232" s="539"/>
      <c r="DW232" s="539"/>
      <c r="DX232" s="539"/>
      <c r="DY232" s="539"/>
      <c r="DZ232" s="539"/>
      <c r="EA232" s="539"/>
      <c r="EB232" s="539"/>
      <c r="EC232" s="539"/>
      <c r="ED232" s="539"/>
    </row>
    <row r="233" spans="1:134" ht="13.5" hidden="1" customHeight="1">
      <c r="A233" s="549"/>
      <c r="B233" s="11" t="e">
        <f>+#REF!</f>
        <v>#REF!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539"/>
      <c r="AR233" s="539"/>
      <c r="AS233" s="539"/>
      <c r="AT233" s="539"/>
      <c r="AU233" s="539"/>
      <c r="AV233" s="539"/>
      <c r="AW233" s="539"/>
      <c r="AX233" s="539"/>
      <c r="AY233" s="539"/>
      <c r="AZ233" s="539"/>
      <c r="BA233" s="539"/>
      <c r="BB233" s="539"/>
      <c r="BC233" s="539"/>
      <c r="BD233" s="539"/>
      <c r="BE233" s="539"/>
      <c r="BF233" s="539"/>
      <c r="BG233" s="539"/>
      <c r="BH233" s="539"/>
      <c r="BI233" s="539"/>
      <c r="BJ233" s="539"/>
      <c r="BK233" s="539"/>
      <c r="BL233" s="539"/>
      <c r="BM233" s="539"/>
      <c r="BN233" s="539"/>
      <c r="BO233" s="539"/>
      <c r="BP233" s="539"/>
      <c r="BQ233" s="539"/>
      <c r="BR233" s="539"/>
      <c r="BS233" s="539"/>
      <c r="BT233" s="539"/>
      <c r="BU233" s="539"/>
      <c r="BV233" s="539"/>
      <c r="BW233" s="539"/>
      <c r="BX233" s="539"/>
      <c r="BY233" s="539"/>
      <c r="BZ233" s="539"/>
      <c r="CA233" s="539"/>
      <c r="CB233" s="539"/>
      <c r="CC233" s="539"/>
      <c r="CD233" s="539"/>
      <c r="CE233" s="539"/>
      <c r="CF233" s="539"/>
      <c r="CG233" s="539"/>
      <c r="CH233" s="539"/>
      <c r="CI233" s="539"/>
      <c r="CJ233" s="539"/>
      <c r="CK233" s="539"/>
      <c r="CL233" s="539"/>
      <c r="CM233" s="539"/>
      <c r="CN233" s="539"/>
      <c r="CO233" s="539"/>
      <c r="CP233" s="539"/>
      <c r="CQ233" s="539"/>
      <c r="CR233" s="539"/>
      <c r="CS233" s="539"/>
      <c r="CT233" s="539"/>
      <c r="CU233" s="539"/>
      <c r="CV233" s="539"/>
      <c r="CW233" s="539"/>
      <c r="CX233" s="539"/>
      <c r="CY233" s="539"/>
      <c r="CZ233" s="539"/>
      <c r="DA233" s="539"/>
      <c r="DB233" s="539"/>
      <c r="DC233" s="539"/>
      <c r="DD233" s="539"/>
      <c r="DE233" s="539"/>
      <c r="DF233" s="539"/>
      <c r="DG233" s="539"/>
      <c r="DH233" s="539"/>
      <c r="DI233" s="539"/>
      <c r="DJ233" s="539"/>
      <c r="DK233" s="539"/>
      <c r="DL233" s="539"/>
      <c r="DM233" s="539"/>
      <c r="DN233" s="539"/>
      <c r="DO233" s="539"/>
      <c r="DP233" s="539"/>
      <c r="DQ233" s="539"/>
      <c r="DR233" s="539"/>
      <c r="DS233" s="539"/>
      <c r="DT233" s="539"/>
      <c r="DU233" s="539"/>
      <c r="DV233" s="539"/>
      <c r="DW233" s="539"/>
      <c r="DX233" s="539"/>
      <c r="DY233" s="539"/>
      <c r="DZ233" s="539"/>
      <c r="EA233" s="539"/>
      <c r="EB233" s="539"/>
      <c r="EC233" s="539"/>
      <c r="ED233" s="539"/>
    </row>
    <row r="234" spans="1:134" ht="13.5" customHeight="1">
      <c r="A234" s="539"/>
      <c r="B234" s="10" t="e">
        <f>+#REF!</f>
        <v>#REF!</v>
      </c>
      <c r="C234" s="10">
        <v>62231.771736000002</v>
      </c>
      <c r="D234" s="10">
        <v>141217.29999999999</v>
      </c>
      <c r="E234" s="10">
        <v>141217.29999999999</v>
      </c>
      <c r="F234" s="10">
        <v>188922.7</v>
      </c>
      <c r="G234" s="10">
        <v>188922.7</v>
      </c>
      <c r="H234" s="10">
        <v>188922.7</v>
      </c>
      <c r="I234" s="10">
        <v>188922.7</v>
      </c>
      <c r="J234" s="10">
        <v>188922.7</v>
      </c>
      <c r="K234" s="10">
        <v>188922.7</v>
      </c>
      <c r="L234" s="10">
        <v>188922.7</v>
      </c>
      <c r="M234" s="10">
        <v>188922.7</v>
      </c>
      <c r="N234" s="10">
        <v>188922.7</v>
      </c>
      <c r="O234" s="10">
        <v>188922.7</v>
      </c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539"/>
      <c r="AR234" s="539"/>
      <c r="AS234" s="539"/>
      <c r="AT234" s="539"/>
      <c r="AU234" s="539"/>
      <c r="AV234" s="539"/>
      <c r="AW234" s="539"/>
      <c r="AX234" s="539"/>
      <c r="AY234" s="539"/>
      <c r="AZ234" s="539"/>
      <c r="BA234" s="539"/>
      <c r="BB234" s="539"/>
      <c r="BC234" s="539"/>
      <c r="BD234" s="539"/>
      <c r="BE234" s="539"/>
      <c r="BF234" s="539"/>
      <c r="BG234" s="539"/>
      <c r="BH234" s="539"/>
      <c r="BI234" s="539"/>
      <c r="BJ234" s="539"/>
      <c r="BK234" s="539"/>
      <c r="BL234" s="539"/>
      <c r="BM234" s="539"/>
      <c r="BN234" s="539"/>
      <c r="BO234" s="539"/>
      <c r="BP234" s="539"/>
      <c r="BQ234" s="539"/>
      <c r="BR234" s="539"/>
      <c r="BS234" s="539"/>
      <c r="BT234" s="539"/>
      <c r="BU234" s="539"/>
      <c r="BV234" s="539"/>
      <c r="BW234" s="539"/>
      <c r="BX234" s="539"/>
      <c r="BY234" s="539"/>
      <c r="BZ234" s="539"/>
      <c r="CA234" s="539"/>
      <c r="CB234" s="539"/>
      <c r="CC234" s="539"/>
      <c r="CD234" s="539"/>
      <c r="CE234" s="539"/>
      <c r="CF234" s="539"/>
      <c r="CG234" s="539"/>
      <c r="CH234" s="539"/>
      <c r="CI234" s="539"/>
      <c r="CJ234" s="539"/>
      <c r="CK234" s="539"/>
      <c r="CL234" s="539"/>
      <c r="CM234" s="539"/>
      <c r="CN234" s="539"/>
      <c r="CO234" s="539"/>
      <c r="CP234" s="539"/>
      <c r="CQ234" s="539"/>
      <c r="CR234" s="539"/>
      <c r="CS234" s="539"/>
      <c r="CT234" s="539"/>
      <c r="CU234" s="539"/>
      <c r="CV234" s="539"/>
      <c r="CW234" s="539"/>
      <c r="CX234" s="539"/>
      <c r="CY234" s="539"/>
      <c r="CZ234" s="539"/>
      <c r="DA234" s="539"/>
      <c r="DB234" s="539"/>
      <c r="DC234" s="539"/>
      <c r="DD234" s="539"/>
      <c r="DE234" s="539"/>
      <c r="DF234" s="539"/>
      <c r="DG234" s="539"/>
      <c r="DH234" s="539"/>
      <c r="DI234" s="539"/>
      <c r="DJ234" s="539"/>
      <c r="DK234" s="539"/>
      <c r="DL234" s="539"/>
      <c r="DM234" s="539"/>
      <c r="DN234" s="539"/>
      <c r="DO234" s="539"/>
      <c r="DP234" s="539"/>
      <c r="DQ234" s="539"/>
      <c r="DR234" s="539"/>
      <c r="DS234" s="539"/>
      <c r="DT234" s="539"/>
      <c r="DU234" s="539"/>
      <c r="DV234" s="539"/>
      <c r="DW234" s="539"/>
      <c r="DX234" s="539"/>
      <c r="DY234" s="539"/>
      <c r="DZ234" s="539"/>
      <c r="EA234" s="539"/>
      <c r="EB234" s="539"/>
      <c r="EC234" s="539"/>
      <c r="ED234" s="539"/>
    </row>
    <row r="235" spans="1:134" ht="13.5" hidden="1" customHeight="1">
      <c r="A235" s="549"/>
      <c r="B235" s="11" t="e">
        <f>+#REF!</f>
        <v>#REF!</v>
      </c>
      <c r="C235" s="12">
        <f>IF(ISNUMBER(Historical!E32),Historical!E32, )</f>
        <v>1700</v>
      </c>
      <c r="D235" s="12">
        <f>IF(ISNUMBER(Historical!G32),Historical!G32, )</f>
        <v>1701</v>
      </c>
      <c r="E235" s="12">
        <f>IF(ISNUMBER(Historical!I32),Historical!I32, )</f>
        <v>1702</v>
      </c>
      <c r="F235" s="12">
        <f>IF(ISNUMBER(Projection!H7),IF(MONTH(Projection!H7)&lt;&gt;12,IF(ISNUMBER(Projection!L25),Projection!L25, ),IF(ISNUMBER(Historical!K32),Historical!K32, )), )</f>
        <v>1713</v>
      </c>
      <c r="G235" s="12">
        <f>IF(ISNUMBER(Projection!H7),IF(MONTH(Projection!$H$7)&lt;&gt;12,IF(ISNUMBER(Projection!N25),Projection!N25, ),IF(ISNUMBER(Projection!L25),Projection!L25, )), )</f>
        <v>1713</v>
      </c>
      <c r="H235" s="12">
        <f>IF(ISNUMBER(Projection!H7),IF(MONTH(Projection!$H$7)&lt;&gt;12,IF(ISNUMBER(Projection!P25),Projection!P25, ),IF(ISNUMBER(Projection!N25),Projection!N25, )), )</f>
        <v>1713</v>
      </c>
      <c r="I235" s="12">
        <f>IF(ISNUMBER(Projection!H7),IF(MONTH(Projection!$H$7)&lt;&gt;12,IF(ISNUMBER(Projection!R25),Projection!R25, ),IF(ISNUMBER(Projection!P25),Projection!P25, )), )</f>
        <v>1713</v>
      </c>
      <c r="J235" s="12">
        <f>IF(ISNUMBER(Projection!H7),IF(MONTH(Projection!$H$7)&lt;&gt;12,IF(ISNUMBER(Projection!T25),Projection!T25, ),IF(ISNUMBER(Projection!R25),Projection!R25, )), )</f>
        <v>1713</v>
      </c>
      <c r="K235" s="12">
        <f>IF(ISNUMBER(Projection!H7),IF(MONTH(Projection!$H$7)&lt;&gt;12,IF(ISNUMBER(Projection!Z25),Projection!Z25, ),IF(ISNUMBER(Projection!T25),Projection!T25, )), )</f>
        <v>1713</v>
      </c>
      <c r="L235" s="12">
        <f>IF(ISNUMBER(Projection!H7),IF(MONTH(Projection!$H$7)&lt;&gt;12,IF(ISNUMBER(Projection!AB25),Projection!AB25, ),IF(ISNUMBER(Projection!Z25),Projection!Z25, )), )</f>
        <v>1713</v>
      </c>
      <c r="M235" s="12">
        <f>IF(ISNUMBER(Projection!$H$7),IF(MONTH(Projection!$H$7)&lt;&gt;12,IF(ISNUMBER(Projection!AD25),Projection!AD25, ),IF(ISNUMBER(Projection!AB25),Projection!AB25, )), )</f>
        <v>1713</v>
      </c>
      <c r="N235" s="12">
        <f>IF(ISNUMBER(Projection!$H$7),IF(MONTH(Projection!$H$7)&lt;&gt;12,IF(ISNUMBER(Projection!AF25),Projection!AF25, ),IF(ISNUMBER(Projection!AD25),Projection!AD25, )), )</f>
        <v>1713</v>
      </c>
      <c r="O235" s="12">
        <f>IF(ISNUMBER(Projection!$H$7),IF(MONTH(Projection!$H$7)&lt;&gt;12,IF(ISNUMBER(Projection!AH25),Projection!AH25, ),IF(ISNUMBER(Projection!AF25),Projection!AF25, )), )</f>
        <v>1713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539"/>
      <c r="AR235" s="539"/>
      <c r="AS235" s="539"/>
      <c r="AT235" s="539"/>
      <c r="AU235" s="539"/>
      <c r="AV235" s="539"/>
      <c r="AW235" s="539"/>
      <c r="AX235" s="539"/>
      <c r="AY235" s="539"/>
      <c r="AZ235" s="539"/>
      <c r="BA235" s="539"/>
      <c r="BB235" s="539"/>
      <c r="BC235" s="539"/>
      <c r="BD235" s="539"/>
      <c r="BE235" s="539"/>
      <c r="BF235" s="539"/>
      <c r="BG235" s="539"/>
      <c r="BH235" s="539"/>
      <c r="BI235" s="539"/>
      <c r="BJ235" s="539"/>
      <c r="BK235" s="539"/>
      <c r="BL235" s="539"/>
      <c r="BM235" s="539"/>
      <c r="BN235" s="539"/>
      <c r="BO235" s="539"/>
      <c r="BP235" s="539"/>
      <c r="BQ235" s="539"/>
      <c r="BR235" s="539"/>
      <c r="BS235" s="539"/>
      <c r="BT235" s="539"/>
      <c r="BU235" s="539"/>
      <c r="BV235" s="539"/>
      <c r="BW235" s="539"/>
      <c r="BX235" s="539"/>
      <c r="BY235" s="539"/>
      <c r="BZ235" s="539"/>
      <c r="CA235" s="539"/>
      <c r="CB235" s="539"/>
      <c r="CC235" s="539"/>
      <c r="CD235" s="539"/>
      <c r="CE235" s="539"/>
      <c r="CF235" s="539"/>
      <c r="CG235" s="539"/>
      <c r="CH235" s="539"/>
      <c r="CI235" s="539"/>
      <c r="CJ235" s="539"/>
      <c r="CK235" s="539"/>
      <c r="CL235" s="539"/>
      <c r="CM235" s="539"/>
      <c r="CN235" s="539"/>
      <c r="CO235" s="539"/>
      <c r="CP235" s="539"/>
      <c r="CQ235" s="539"/>
      <c r="CR235" s="539"/>
      <c r="CS235" s="539"/>
      <c r="CT235" s="539"/>
      <c r="CU235" s="539"/>
      <c r="CV235" s="539"/>
      <c r="CW235" s="539"/>
      <c r="CX235" s="539"/>
      <c r="CY235" s="539"/>
      <c r="CZ235" s="539"/>
      <c r="DA235" s="539"/>
      <c r="DB235" s="539"/>
      <c r="DC235" s="539"/>
      <c r="DD235" s="539"/>
      <c r="DE235" s="539"/>
      <c r="DF235" s="539"/>
      <c r="DG235" s="539"/>
      <c r="DH235" s="539"/>
      <c r="DI235" s="539"/>
      <c r="DJ235" s="539"/>
      <c r="DK235" s="539"/>
      <c r="DL235" s="539"/>
      <c r="DM235" s="539"/>
      <c r="DN235" s="539"/>
      <c r="DO235" s="539"/>
      <c r="DP235" s="539"/>
      <c r="DQ235" s="539"/>
      <c r="DR235" s="539"/>
      <c r="DS235" s="539"/>
      <c r="DT235" s="539"/>
      <c r="DU235" s="539"/>
      <c r="DV235" s="539"/>
      <c r="DW235" s="539"/>
      <c r="DX235" s="539"/>
      <c r="DY235" s="539"/>
      <c r="DZ235" s="539"/>
      <c r="EA235" s="539"/>
      <c r="EB235" s="539"/>
      <c r="EC235" s="539"/>
      <c r="ED235" s="539"/>
    </row>
    <row r="236" spans="1:134" ht="13.5" hidden="1" customHeight="1">
      <c r="A236" s="549"/>
      <c r="B236" s="11" t="e">
        <f>+#REF!</f>
        <v>#REF!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539"/>
      <c r="AR236" s="539"/>
      <c r="AS236" s="539"/>
      <c r="AT236" s="539"/>
      <c r="AU236" s="539"/>
      <c r="AV236" s="539"/>
      <c r="AW236" s="539"/>
      <c r="AX236" s="539"/>
      <c r="AY236" s="539"/>
      <c r="AZ236" s="539"/>
      <c r="BA236" s="539"/>
      <c r="BB236" s="539"/>
      <c r="BC236" s="539"/>
      <c r="BD236" s="539"/>
      <c r="BE236" s="539"/>
      <c r="BF236" s="539"/>
      <c r="BG236" s="539"/>
      <c r="BH236" s="539"/>
      <c r="BI236" s="539"/>
      <c r="BJ236" s="539"/>
      <c r="BK236" s="539"/>
      <c r="BL236" s="539"/>
      <c r="BM236" s="539"/>
      <c r="BN236" s="539"/>
      <c r="BO236" s="539"/>
      <c r="BP236" s="539"/>
      <c r="BQ236" s="539"/>
      <c r="BR236" s="539"/>
      <c r="BS236" s="539"/>
      <c r="BT236" s="539"/>
      <c r="BU236" s="539"/>
      <c r="BV236" s="539"/>
      <c r="BW236" s="539"/>
      <c r="BX236" s="539"/>
      <c r="BY236" s="539"/>
      <c r="BZ236" s="539"/>
      <c r="CA236" s="539"/>
      <c r="CB236" s="539"/>
      <c r="CC236" s="539"/>
      <c r="CD236" s="539"/>
      <c r="CE236" s="539"/>
      <c r="CF236" s="539"/>
      <c r="CG236" s="539"/>
      <c r="CH236" s="539"/>
      <c r="CI236" s="539"/>
      <c r="CJ236" s="539"/>
      <c r="CK236" s="539"/>
      <c r="CL236" s="539"/>
      <c r="CM236" s="539"/>
      <c r="CN236" s="539"/>
      <c r="CO236" s="539"/>
      <c r="CP236" s="539"/>
      <c r="CQ236" s="539"/>
      <c r="CR236" s="539"/>
      <c r="CS236" s="539"/>
      <c r="CT236" s="539"/>
      <c r="CU236" s="539"/>
      <c r="CV236" s="539"/>
      <c r="CW236" s="539"/>
      <c r="CX236" s="539"/>
      <c r="CY236" s="539"/>
      <c r="CZ236" s="539"/>
      <c r="DA236" s="539"/>
      <c r="DB236" s="539"/>
      <c r="DC236" s="539"/>
      <c r="DD236" s="539"/>
      <c r="DE236" s="539"/>
      <c r="DF236" s="539"/>
      <c r="DG236" s="539"/>
      <c r="DH236" s="539"/>
      <c r="DI236" s="539"/>
      <c r="DJ236" s="539"/>
      <c r="DK236" s="539"/>
      <c r="DL236" s="539"/>
      <c r="DM236" s="539"/>
      <c r="DN236" s="539"/>
      <c r="DO236" s="539"/>
      <c r="DP236" s="539"/>
      <c r="DQ236" s="539"/>
      <c r="DR236" s="539"/>
      <c r="DS236" s="539"/>
      <c r="DT236" s="539"/>
      <c r="DU236" s="539"/>
      <c r="DV236" s="539"/>
      <c r="DW236" s="539"/>
      <c r="DX236" s="539"/>
      <c r="DY236" s="539"/>
      <c r="DZ236" s="539"/>
      <c r="EA236" s="539"/>
      <c r="EB236" s="539"/>
      <c r="EC236" s="539"/>
      <c r="ED236" s="539"/>
    </row>
    <row r="237" spans="1:134" ht="13.5" hidden="1" customHeight="1">
      <c r="A237" s="549"/>
      <c r="B237" s="11" t="e">
        <f>+#REF!</f>
        <v>#REF!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539"/>
      <c r="AR237" s="539"/>
      <c r="AS237" s="539"/>
      <c r="AT237" s="539"/>
      <c r="AU237" s="539"/>
      <c r="AV237" s="539"/>
      <c r="AW237" s="539"/>
      <c r="AX237" s="539"/>
      <c r="AY237" s="539"/>
      <c r="AZ237" s="539"/>
      <c r="BA237" s="539"/>
      <c r="BB237" s="539"/>
      <c r="BC237" s="539"/>
      <c r="BD237" s="539"/>
      <c r="BE237" s="539"/>
      <c r="BF237" s="539"/>
      <c r="BG237" s="539"/>
      <c r="BH237" s="539"/>
      <c r="BI237" s="539"/>
      <c r="BJ237" s="539"/>
      <c r="BK237" s="539"/>
      <c r="BL237" s="539"/>
      <c r="BM237" s="539"/>
      <c r="BN237" s="539"/>
      <c r="BO237" s="539"/>
      <c r="BP237" s="539"/>
      <c r="BQ237" s="539"/>
      <c r="BR237" s="539"/>
      <c r="BS237" s="539"/>
      <c r="BT237" s="539"/>
      <c r="BU237" s="539"/>
      <c r="BV237" s="539"/>
      <c r="BW237" s="539"/>
      <c r="BX237" s="539"/>
      <c r="BY237" s="539"/>
      <c r="BZ237" s="539"/>
      <c r="CA237" s="539"/>
      <c r="CB237" s="539"/>
      <c r="CC237" s="539"/>
      <c r="CD237" s="539"/>
      <c r="CE237" s="539"/>
      <c r="CF237" s="539"/>
      <c r="CG237" s="539"/>
      <c r="CH237" s="539"/>
      <c r="CI237" s="539"/>
      <c r="CJ237" s="539"/>
      <c r="CK237" s="539"/>
      <c r="CL237" s="539"/>
      <c r="CM237" s="539"/>
      <c r="CN237" s="539"/>
      <c r="CO237" s="539"/>
      <c r="CP237" s="539"/>
      <c r="CQ237" s="539"/>
      <c r="CR237" s="539"/>
      <c r="CS237" s="539"/>
      <c r="CT237" s="539"/>
      <c r="CU237" s="539"/>
      <c r="CV237" s="539"/>
      <c r="CW237" s="539"/>
      <c r="CX237" s="539"/>
      <c r="CY237" s="539"/>
      <c r="CZ237" s="539"/>
      <c r="DA237" s="539"/>
      <c r="DB237" s="539"/>
      <c r="DC237" s="539"/>
      <c r="DD237" s="539"/>
      <c r="DE237" s="539"/>
      <c r="DF237" s="539"/>
      <c r="DG237" s="539"/>
      <c r="DH237" s="539"/>
      <c r="DI237" s="539"/>
      <c r="DJ237" s="539"/>
      <c r="DK237" s="539"/>
      <c r="DL237" s="539"/>
      <c r="DM237" s="539"/>
      <c r="DN237" s="539"/>
      <c r="DO237" s="539"/>
      <c r="DP237" s="539"/>
      <c r="DQ237" s="539"/>
      <c r="DR237" s="539"/>
      <c r="DS237" s="539"/>
      <c r="DT237" s="539"/>
      <c r="DU237" s="539"/>
      <c r="DV237" s="539"/>
      <c r="DW237" s="539"/>
      <c r="DX237" s="539"/>
      <c r="DY237" s="539"/>
      <c r="DZ237" s="539"/>
      <c r="EA237" s="539"/>
      <c r="EB237" s="539"/>
      <c r="EC237" s="539"/>
      <c r="ED237" s="539"/>
    </row>
    <row r="238" spans="1:134" ht="13.5" hidden="1" customHeight="1">
      <c r="A238" s="549"/>
      <c r="B238" s="11" t="e">
        <f>+#REF!</f>
        <v>#REF!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539"/>
      <c r="AR238" s="539"/>
      <c r="AS238" s="539"/>
      <c r="AT238" s="539"/>
      <c r="AU238" s="539"/>
      <c r="AV238" s="539"/>
      <c r="AW238" s="539"/>
      <c r="AX238" s="539"/>
      <c r="AY238" s="539"/>
      <c r="AZ238" s="539"/>
      <c r="BA238" s="539"/>
      <c r="BB238" s="539"/>
      <c r="BC238" s="539"/>
      <c r="BD238" s="539"/>
      <c r="BE238" s="539"/>
      <c r="BF238" s="539"/>
      <c r="BG238" s="539"/>
      <c r="BH238" s="539"/>
      <c r="BI238" s="539"/>
      <c r="BJ238" s="539"/>
      <c r="BK238" s="539"/>
      <c r="BL238" s="539"/>
      <c r="BM238" s="539"/>
      <c r="BN238" s="539"/>
      <c r="BO238" s="539"/>
      <c r="BP238" s="539"/>
      <c r="BQ238" s="539"/>
      <c r="BR238" s="539"/>
      <c r="BS238" s="539"/>
      <c r="BT238" s="539"/>
      <c r="BU238" s="539"/>
      <c r="BV238" s="539"/>
      <c r="BW238" s="539"/>
      <c r="BX238" s="539"/>
      <c r="BY238" s="539"/>
      <c r="BZ238" s="539"/>
      <c r="CA238" s="539"/>
      <c r="CB238" s="539"/>
      <c r="CC238" s="539"/>
      <c r="CD238" s="539"/>
      <c r="CE238" s="539"/>
      <c r="CF238" s="539"/>
      <c r="CG238" s="539"/>
      <c r="CH238" s="539"/>
      <c r="CI238" s="539"/>
      <c r="CJ238" s="539"/>
      <c r="CK238" s="539"/>
      <c r="CL238" s="539"/>
      <c r="CM238" s="539"/>
      <c r="CN238" s="539"/>
      <c r="CO238" s="539"/>
      <c r="CP238" s="539"/>
      <c r="CQ238" s="539"/>
      <c r="CR238" s="539"/>
      <c r="CS238" s="539"/>
      <c r="CT238" s="539"/>
      <c r="CU238" s="539"/>
      <c r="CV238" s="539"/>
      <c r="CW238" s="539"/>
      <c r="CX238" s="539"/>
      <c r="CY238" s="539"/>
      <c r="CZ238" s="539"/>
      <c r="DA238" s="539"/>
      <c r="DB238" s="539"/>
      <c r="DC238" s="539"/>
      <c r="DD238" s="539"/>
      <c r="DE238" s="539"/>
      <c r="DF238" s="539"/>
      <c r="DG238" s="539"/>
      <c r="DH238" s="539"/>
      <c r="DI238" s="539"/>
      <c r="DJ238" s="539"/>
      <c r="DK238" s="539"/>
      <c r="DL238" s="539"/>
      <c r="DM238" s="539"/>
      <c r="DN238" s="539"/>
      <c r="DO238" s="539"/>
      <c r="DP238" s="539"/>
      <c r="DQ238" s="539"/>
      <c r="DR238" s="539"/>
      <c r="DS238" s="539"/>
      <c r="DT238" s="539"/>
      <c r="DU238" s="539"/>
      <c r="DV238" s="539"/>
      <c r="DW238" s="539"/>
      <c r="DX238" s="539"/>
      <c r="DY238" s="539"/>
      <c r="DZ238" s="539"/>
      <c r="EA238" s="539"/>
      <c r="EB238" s="539"/>
      <c r="EC238" s="539"/>
      <c r="ED238" s="539"/>
    </row>
    <row r="239" spans="1:134" ht="13.5" hidden="1" customHeight="1">
      <c r="A239" s="549"/>
      <c r="B239" s="11" t="e">
        <f>+#REF!</f>
        <v>#REF!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539"/>
      <c r="AR239" s="539"/>
      <c r="AS239" s="539"/>
      <c r="AT239" s="539"/>
      <c r="AU239" s="539"/>
      <c r="AV239" s="539"/>
      <c r="AW239" s="539"/>
      <c r="AX239" s="539"/>
      <c r="AY239" s="539"/>
      <c r="AZ239" s="539"/>
      <c r="BA239" s="539"/>
      <c r="BB239" s="539"/>
      <c r="BC239" s="539"/>
      <c r="BD239" s="539"/>
      <c r="BE239" s="539"/>
      <c r="BF239" s="539"/>
      <c r="BG239" s="539"/>
      <c r="BH239" s="539"/>
      <c r="BI239" s="539"/>
      <c r="BJ239" s="539"/>
      <c r="BK239" s="539"/>
      <c r="BL239" s="539"/>
      <c r="BM239" s="539"/>
      <c r="BN239" s="539"/>
      <c r="BO239" s="539"/>
      <c r="BP239" s="539"/>
      <c r="BQ239" s="539"/>
      <c r="BR239" s="539"/>
      <c r="BS239" s="539"/>
      <c r="BT239" s="539"/>
      <c r="BU239" s="539"/>
      <c r="BV239" s="539"/>
      <c r="BW239" s="539"/>
      <c r="BX239" s="539"/>
      <c r="BY239" s="539"/>
      <c r="BZ239" s="539"/>
      <c r="CA239" s="539"/>
      <c r="CB239" s="539"/>
      <c r="CC239" s="539"/>
      <c r="CD239" s="539"/>
      <c r="CE239" s="539"/>
      <c r="CF239" s="539"/>
      <c r="CG239" s="539"/>
      <c r="CH239" s="539"/>
      <c r="CI239" s="539"/>
      <c r="CJ239" s="539"/>
      <c r="CK239" s="539"/>
      <c r="CL239" s="539"/>
      <c r="CM239" s="539"/>
      <c r="CN239" s="539"/>
      <c r="CO239" s="539"/>
      <c r="CP239" s="539"/>
      <c r="CQ239" s="539"/>
      <c r="CR239" s="539"/>
      <c r="CS239" s="539"/>
      <c r="CT239" s="539"/>
      <c r="CU239" s="539"/>
      <c r="CV239" s="539"/>
      <c r="CW239" s="539"/>
      <c r="CX239" s="539"/>
      <c r="CY239" s="539"/>
      <c r="CZ239" s="539"/>
      <c r="DA239" s="539"/>
      <c r="DB239" s="539"/>
      <c r="DC239" s="539"/>
      <c r="DD239" s="539"/>
      <c r="DE239" s="539"/>
      <c r="DF239" s="539"/>
      <c r="DG239" s="539"/>
      <c r="DH239" s="539"/>
      <c r="DI239" s="539"/>
      <c r="DJ239" s="539"/>
      <c r="DK239" s="539"/>
      <c r="DL239" s="539"/>
      <c r="DM239" s="539"/>
      <c r="DN239" s="539"/>
      <c r="DO239" s="539"/>
      <c r="DP239" s="539"/>
      <c r="DQ239" s="539"/>
      <c r="DR239" s="539"/>
      <c r="DS239" s="539"/>
      <c r="DT239" s="539"/>
      <c r="DU239" s="539"/>
      <c r="DV239" s="539"/>
      <c r="DW239" s="539"/>
      <c r="DX239" s="539"/>
      <c r="DY239" s="539"/>
      <c r="DZ239" s="539"/>
      <c r="EA239" s="539"/>
      <c r="EB239" s="539"/>
      <c r="EC239" s="539"/>
      <c r="ED239" s="539"/>
    </row>
    <row r="240" spans="1:134" ht="13.5" hidden="1" customHeight="1">
      <c r="A240" s="549"/>
      <c r="B240" s="11" t="e">
        <f>+#REF!</f>
        <v>#REF!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539"/>
      <c r="AR240" s="539"/>
      <c r="AS240" s="539"/>
      <c r="AT240" s="539"/>
      <c r="AU240" s="539"/>
      <c r="AV240" s="539"/>
      <c r="AW240" s="539"/>
      <c r="AX240" s="539"/>
      <c r="AY240" s="539"/>
      <c r="AZ240" s="539"/>
      <c r="BA240" s="539"/>
      <c r="BB240" s="539"/>
      <c r="BC240" s="539"/>
      <c r="BD240" s="539"/>
      <c r="BE240" s="539"/>
      <c r="BF240" s="539"/>
      <c r="BG240" s="539"/>
      <c r="BH240" s="539"/>
      <c r="BI240" s="539"/>
      <c r="BJ240" s="539"/>
      <c r="BK240" s="539"/>
      <c r="BL240" s="539"/>
      <c r="BM240" s="539"/>
      <c r="BN240" s="539"/>
      <c r="BO240" s="539"/>
      <c r="BP240" s="539"/>
      <c r="BQ240" s="539"/>
      <c r="BR240" s="539"/>
      <c r="BS240" s="539"/>
      <c r="BT240" s="539"/>
      <c r="BU240" s="539"/>
      <c r="BV240" s="539"/>
      <c r="BW240" s="539"/>
      <c r="BX240" s="539"/>
      <c r="BY240" s="539"/>
      <c r="BZ240" s="539"/>
      <c r="CA240" s="539"/>
      <c r="CB240" s="539"/>
      <c r="CC240" s="539"/>
      <c r="CD240" s="539"/>
      <c r="CE240" s="539"/>
      <c r="CF240" s="539"/>
      <c r="CG240" s="539"/>
      <c r="CH240" s="539"/>
      <c r="CI240" s="539"/>
      <c r="CJ240" s="539"/>
      <c r="CK240" s="539"/>
      <c r="CL240" s="539"/>
      <c r="CM240" s="539"/>
      <c r="CN240" s="539"/>
      <c r="CO240" s="539"/>
      <c r="CP240" s="539"/>
      <c r="CQ240" s="539"/>
      <c r="CR240" s="539"/>
      <c r="CS240" s="539"/>
      <c r="CT240" s="539"/>
      <c r="CU240" s="539"/>
      <c r="CV240" s="539"/>
      <c r="CW240" s="539"/>
      <c r="CX240" s="539"/>
      <c r="CY240" s="539"/>
      <c r="CZ240" s="539"/>
      <c r="DA240" s="539"/>
      <c r="DB240" s="539"/>
      <c r="DC240" s="539"/>
      <c r="DD240" s="539"/>
      <c r="DE240" s="539"/>
      <c r="DF240" s="539"/>
      <c r="DG240" s="539"/>
      <c r="DH240" s="539"/>
      <c r="DI240" s="539"/>
      <c r="DJ240" s="539"/>
      <c r="DK240" s="539"/>
      <c r="DL240" s="539"/>
      <c r="DM240" s="539"/>
      <c r="DN240" s="539"/>
      <c r="DO240" s="539"/>
      <c r="DP240" s="539"/>
      <c r="DQ240" s="539"/>
      <c r="DR240" s="539"/>
      <c r="DS240" s="539"/>
      <c r="DT240" s="539"/>
      <c r="DU240" s="539"/>
      <c r="DV240" s="539"/>
      <c r="DW240" s="539"/>
      <c r="DX240" s="539"/>
      <c r="DY240" s="539"/>
      <c r="DZ240" s="539"/>
      <c r="EA240" s="539"/>
      <c r="EB240" s="539"/>
      <c r="EC240" s="539"/>
      <c r="ED240" s="539"/>
    </row>
    <row r="241" spans="1:134" ht="13.5" hidden="1" customHeight="1">
      <c r="A241" s="549"/>
      <c r="B241" s="11" t="e">
        <f>+#REF!</f>
        <v>#REF!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539"/>
      <c r="AR241" s="539"/>
      <c r="AS241" s="539"/>
      <c r="AT241" s="539"/>
      <c r="AU241" s="539"/>
      <c r="AV241" s="539"/>
      <c r="AW241" s="539"/>
      <c r="AX241" s="539"/>
      <c r="AY241" s="539"/>
      <c r="AZ241" s="539"/>
      <c r="BA241" s="539"/>
      <c r="BB241" s="539"/>
      <c r="BC241" s="539"/>
      <c r="BD241" s="539"/>
      <c r="BE241" s="539"/>
      <c r="BF241" s="539"/>
      <c r="BG241" s="539"/>
      <c r="BH241" s="539"/>
      <c r="BI241" s="539"/>
      <c r="BJ241" s="539"/>
      <c r="BK241" s="539"/>
      <c r="BL241" s="539"/>
      <c r="BM241" s="539"/>
      <c r="BN241" s="539"/>
      <c r="BO241" s="539"/>
      <c r="BP241" s="539"/>
      <c r="BQ241" s="539"/>
      <c r="BR241" s="539"/>
      <c r="BS241" s="539"/>
      <c r="BT241" s="539"/>
      <c r="BU241" s="539"/>
      <c r="BV241" s="539"/>
      <c r="BW241" s="539"/>
      <c r="BX241" s="539"/>
      <c r="BY241" s="539"/>
      <c r="BZ241" s="539"/>
      <c r="CA241" s="539"/>
      <c r="CB241" s="539"/>
      <c r="CC241" s="539"/>
      <c r="CD241" s="539"/>
      <c r="CE241" s="539"/>
      <c r="CF241" s="539"/>
      <c r="CG241" s="539"/>
      <c r="CH241" s="539"/>
      <c r="CI241" s="539"/>
      <c r="CJ241" s="539"/>
      <c r="CK241" s="539"/>
      <c r="CL241" s="539"/>
      <c r="CM241" s="539"/>
      <c r="CN241" s="539"/>
      <c r="CO241" s="539"/>
      <c r="CP241" s="539"/>
      <c r="CQ241" s="539"/>
      <c r="CR241" s="539"/>
      <c r="CS241" s="539"/>
      <c r="CT241" s="539"/>
      <c r="CU241" s="539"/>
      <c r="CV241" s="539"/>
      <c r="CW241" s="539"/>
      <c r="CX241" s="539"/>
      <c r="CY241" s="539"/>
      <c r="CZ241" s="539"/>
      <c r="DA241" s="539"/>
      <c r="DB241" s="539"/>
      <c r="DC241" s="539"/>
      <c r="DD241" s="539"/>
      <c r="DE241" s="539"/>
      <c r="DF241" s="539"/>
      <c r="DG241" s="539"/>
      <c r="DH241" s="539"/>
      <c r="DI241" s="539"/>
      <c r="DJ241" s="539"/>
      <c r="DK241" s="539"/>
      <c r="DL241" s="539"/>
      <c r="DM241" s="539"/>
      <c r="DN241" s="539"/>
      <c r="DO241" s="539"/>
      <c r="DP241" s="539"/>
      <c r="DQ241" s="539"/>
      <c r="DR241" s="539"/>
      <c r="DS241" s="539"/>
      <c r="DT241" s="539"/>
      <c r="DU241" s="539"/>
      <c r="DV241" s="539"/>
      <c r="DW241" s="539"/>
      <c r="DX241" s="539"/>
      <c r="DY241" s="539"/>
      <c r="DZ241" s="539"/>
      <c r="EA241" s="539"/>
      <c r="EB241" s="539"/>
      <c r="EC241" s="539"/>
      <c r="ED241" s="539"/>
    </row>
    <row r="242" spans="1:134" ht="13.5" hidden="1" customHeight="1">
      <c r="A242" s="549"/>
      <c r="B242" s="11" t="e">
        <f>+#REF!</f>
        <v>#REF!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539"/>
      <c r="AR242" s="539"/>
      <c r="AS242" s="539"/>
      <c r="AT242" s="539"/>
      <c r="AU242" s="539"/>
      <c r="AV242" s="539"/>
      <c r="AW242" s="539"/>
      <c r="AX242" s="539"/>
      <c r="AY242" s="539"/>
      <c r="AZ242" s="539"/>
      <c r="BA242" s="539"/>
      <c r="BB242" s="539"/>
      <c r="BC242" s="539"/>
      <c r="BD242" s="539"/>
      <c r="BE242" s="539"/>
      <c r="BF242" s="539"/>
      <c r="BG242" s="539"/>
      <c r="BH242" s="539"/>
      <c r="BI242" s="539"/>
      <c r="BJ242" s="539"/>
      <c r="BK242" s="539"/>
      <c r="BL242" s="539"/>
      <c r="BM242" s="539"/>
      <c r="BN242" s="539"/>
      <c r="BO242" s="539"/>
      <c r="BP242" s="539"/>
      <c r="BQ242" s="539"/>
      <c r="BR242" s="539"/>
      <c r="BS242" s="539"/>
      <c r="BT242" s="539"/>
      <c r="BU242" s="539"/>
      <c r="BV242" s="539"/>
      <c r="BW242" s="539"/>
      <c r="BX242" s="539"/>
      <c r="BY242" s="539"/>
      <c r="BZ242" s="539"/>
      <c r="CA242" s="539"/>
      <c r="CB242" s="539"/>
      <c r="CC242" s="539"/>
      <c r="CD242" s="539"/>
      <c r="CE242" s="539"/>
      <c r="CF242" s="539"/>
      <c r="CG242" s="539"/>
      <c r="CH242" s="539"/>
      <c r="CI242" s="539"/>
      <c r="CJ242" s="539"/>
      <c r="CK242" s="539"/>
      <c r="CL242" s="539"/>
      <c r="CM242" s="539"/>
      <c r="CN242" s="539"/>
      <c r="CO242" s="539"/>
      <c r="CP242" s="539"/>
      <c r="CQ242" s="539"/>
      <c r="CR242" s="539"/>
      <c r="CS242" s="539"/>
      <c r="CT242" s="539"/>
      <c r="CU242" s="539"/>
      <c r="CV242" s="539"/>
      <c r="CW242" s="539"/>
      <c r="CX242" s="539"/>
      <c r="CY242" s="539"/>
      <c r="CZ242" s="539"/>
      <c r="DA242" s="539"/>
      <c r="DB242" s="539"/>
      <c r="DC242" s="539"/>
      <c r="DD242" s="539"/>
      <c r="DE242" s="539"/>
      <c r="DF242" s="539"/>
      <c r="DG242" s="539"/>
      <c r="DH242" s="539"/>
      <c r="DI242" s="539"/>
      <c r="DJ242" s="539"/>
      <c r="DK242" s="539"/>
      <c r="DL242" s="539"/>
      <c r="DM242" s="539"/>
      <c r="DN242" s="539"/>
      <c r="DO242" s="539"/>
      <c r="DP242" s="539"/>
      <c r="DQ242" s="539"/>
      <c r="DR242" s="539"/>
      <c r="DS242" s="539"/>
      <c r="DT242" s="539"/>
      <c r="DU242" s="539"/>
      <c r="DV242" s="539"/>
      <c r="DW242" s="539"/>
      <c r="DX242" s="539"/>
      <c r="DY242" s="539"/>
      <c r="DZ242" s="539"/>
      <c r="EA242" s="539"/>
      <c r="EB242" s="539"/>
      <c r="EC242" s="539"/>
      <c r="ED242" s="539"/>
    </row>
    <row r="243" spans="1:134" ht="13.5" hidden="1" customHeight="1">
      <c r="A243" s="549"/>
      <c r="B243" s="11" t="e">
        <f>+#REF!</f>
        <v>#REF!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539"/>
      <c r="AR243" s="539"/>
      <c r="AS243" s="539"/>
      <c r="AT243" s="539"/>
      <c r="AU243" s="539"/>
      <c r="AV243" s="539"/>
      <c r="AW243" s="539"/>
      <c r="AX243" s="539"/>
      <c r="AY243" s="539"/>
      <c r="AZ243" s="539"/>
      <c r="BA243" s="539"/>
      <c r="BB243" s="539"/>
      <c r="BC243" s="539"/>
      <c r="BD243" s="539"/>
      <c r="BE243" s="539"/>
      <c r="BF243" s="539"/>
      <c r="BG243" s="539"/>
      <c r="BH243" s="539"/>
      <c r="BI243" s="539"/>
      <c r="BJ243" s="539"/>
      <c r="BK243" s="539"/>
      <c r="BL243" s="539"/>
      <c r="BM243" s="539"/>
      <c r="BN243" s="539"/>
      <c r="BO243" s="539"/>
      <c r="BP243" s="539"/>
      <c r="BQ243" s="539"/>
      <c r="BR243" s="539"/>
      <c r="BS243" s="539"/>
      <c r="BT243" s="539"/>
      <c r="BU243" s="539"/>
      <c r="BV243" s="539"/>
      <c r="BW243" s="539"/>
      <c r="BX243" s="539"/>
      <c r="BY243" s="539"/>
      <c r="BZ243" s="539"/>
      <c r="CA243" s="539"/>
      <c r="CB243" s="539"/>
      <c r="CC243" s="539"/>
      <c r="CD243" s="539"/>
      <c r="CE243" s="539"/>
      <c r="CF243" s="539"/>
      <c r="CG243" s="539"/>
      <c r="CH243" s="539"/>
      <c r="CI243" s="539"/>
      <c r="CJ243" s="539"/>
      <c r="CK243" s="539"/>
      <c r="CL243" s="539"/>
      <c r="CM243" s="539"/>
      <c r="CN243" s="539"/>
      <c r="CO243" s="539"/>
      <c r="CP243" s="539"/>
      <c r="CQ243" s="539"/>
      <c r="CR243" s="539"/>
      <c r="CS243" s="539"/>
      <c r="CT243" s="539"/>
      <c r="CU243" s="539"/>
      <c r="CV243" s="539"/>
      <c r="CW243" s="539"/>
      <c r="CX243" s="539"/>
      <c r="CY243" s="539"/>
      <c r="CZ243" s="539"/>
      <c r="DA243" s="539"/>
      <c r="DB243" s="539"/>
      <c r="DC243" s="539"/>
      <c r="DD243" s="539"/>
      <c r="DE243" s="539"/>
      <c r="DF243" s="539"/>
      <c r="DG243" s="539"/>
      <c r="DH243" s="539"/>
      <c r="DI243" s="539"/>
      <c r="DJ243" s="539"/>
      <c r="DK243" s="539"/>
      <c r="DL243" s="539"/>
      <c r="DM243" s="539"/>
      <c r="DN243" s="539"/>
      <c r="DO243" s="539"/>
      <c r="DP243" s="539"/>
      <c r="DQ243" s="539"/>
      <c r="DR243" s="539"/>
      <c r="DS243" s="539"/>
      <c r="DT243" s="539"/>
      <c r="DU243" s="539"/>
      <c r="DV243" s="539"/>
      <c r="DW243" s="539"/>
      <c r="DX243" s="539"/>
      <c r="DY243" s="539"/>
      <c r="DZ243" s="539"/>
      <c r="EA243" s="539"/>
      <c r="EB243" s="539"/>
      <c r="EC243" s="539"/>
      <c r="ED243" s="539"/>
    </row>
    <row r="244" spans="1:134" ht="13.5" hidden="1" customHeight="1">
      <c r="A244" s="549"/>
      <c r="B244" s="11" t="e">
        <f>+#REF!</f>
        <v>#REF!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539"/>
      <c r="AR244" s="539"/>
      <c r="AS244" s="539"/>
      <c r="AT244" s="539"/>
      <c r="AU244" s="539"/>
      <c r="AV244" s="539"/>
      <c r="AW244" s="539"/>
      <c r="AX244" s="539"/>
      <c r="AY244" s="539"/>
      <c r="AZ244" s="539"/>
      <c r="BA244" s="539"/>
      <c r="BB244" s="539"/>
      <c r="BC244" s="539"/>
      <c r="BD244" s="539"/>
      <c r="BE244" s="539"/>
      <c r="BF244" s="539"/>
      <c r="BG244" s="539"/>
      <c r="BH244" s="539"/>
      <c r="BI244" s="539"/>
      <c r="BJ244" s="539"/>
      <c r="BK244" s="539"/>
      <c r="BL244" s="539"/>
      <c r="BM244" s="539"/>
      <c r="BN244" s="539"/>
      <c r="BO244" s="539"/>
      <c r="BP244" s="539"/>
      <c r="BQ244" s="539"/>
      <c r="BR244" s="539"/>
      <c r="BS244" s="539"/>
      <c r="BT244" s="539"/>
      <c r="BU244" s="539"/>
      <c r="BV244" s="539"/>
      <c r="BW244" s="539"/>
      <c r="BX244" s="539"/>
      <c r="BY244" s="539"/>
      <c r="BZ244" s="539"/>
      <c r="CA244" s="539"/>
      <c r="CB244" s="539"/>
      <c r="CC244" s="539"/>
      <c r="CD244" s="539"/>
      <c r="CE244" s="539"/>
      <c r="CF244" s="539"/>
      <c r="CG244" s="539"/>
      <c r="CH244" s="539"/>
      <c r="CI244" s="539"/>
      <c r="CJ244" s="539"/>
      <c r="CK244" s="539"/>
      <c r="CL244" s="539"/>
      <c r="CM244" s="539"/>
      <c r="CN244" s="539"/>
      <c r="CO244" s="539"/>
      <c r="CP244" s="539"/>
      <c r="CQ244" s="539"/>
      <c r="CR244" s="539"/>
      <c r="CS244" s="539"/>
      <c r="CT244" s="539"/>
      <c r="CU244" s="539"/>
      <c r="CV244" s="539"/>
      <c r="CW244" s="539"/>
      <c r="CX244" s="539"/>
      <c r="CY244" s="539"/>
      <c r="CZ244" s="539"/>
      <c r="DA244" s="539"/>
      <c r="DB244" s="539"/>
      <c r="DC244" s="539"/>
      <c r="DD244" s="539"/>
      <c r="DE244" s="539"/>
      <c r="DF244" s="539"/>
      <c r="DG244" s="539"/>
      <c r="DH244" s="539"/>
      <c r="DI244" s="539"/>
      <c r="DJ244" s="539"/>
      <c r="DK244" s="539"/>
      <c r="DL244" s="539"/>
      <c r="DM244" s="539"/>
      <c r="DN244" s="539"/>
      <c r="DO244" s="539"/>
      <c r="DP244" s="539"/>
      <c r="DQ244" s="539"/>
      <c r="DR244" s="539"/>
      <c r="DS244" s="539"/>
      <c r="DT244" s="539"/>
      <c r="DU244" s="539"/>
      <c r="DV244" s="539"/>
      <c r="DW244" s="539"/>
      <c r="DX244" s="539"/>
      <c r="DY244" s="539"/>
      <c r="DZ244" s="539"/>
      <c r="EA244" s="539"/>
      <c r="EB244" s="539"/>
      <c r="EC244" s="539"/>
      <c r="ED244" s="539"/>
    </row>
    <row r="245" spans="1:134" ht="13.5" hidden="1" customHeight="1">
      <c r="A245" s="549"/>
      <c r="B245" s="11" t="e">
        <f>+#REF!</f>
        <v>#REF!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539"/>
      <c r="AR245" s="539"/>
      <c r="AS245" s="539"/>
      <c r="AT245" s="539"/>
      <c r="AU245" s="539"/>
      <c r="AV245" s="539"/>
      <c r="AW245" s="539"/>
      <c r="AX245" s="539"/>
      <c r="AY245" s="539"/>
      <c r="AZ245" s="539"/>
      <c r="BA245" s="539"/>
      <c r="BB245" s="539"/>
      <c r="BC245" s="539"/>
      <c r="BD245" s="539"/>
      <c r="BE245" s="539"/>
      <c r="BF245" s="539"/>
      <c r="BG245" s="539"/>
      <c r="BH245" s="539"/>
      <c r="BI245" s="539"/>
      <c r="BJ245" s="539"/>
      <c r="BK245" s="539"/>
      <c r="BL245" s="539"/>
      <c r="BM245" s="539"/>
      <c r="BN245" s="539"/>
      <c r="BO245" s="539"/>
      <c r="BP245" s="539"/>
      <c r="BQ245" s="539"/>
      <c r="BR245" s="539"/>
      <c r="BS245" s="539"/>
      <c r="BT245" s="539"/>
      <c r="BU245" s="539"/>
      <c r="BV245" s="539"/>
      <c r="BW245" s="539"/>
      <c r="BX245" s="539"/>
      <c r="BY245" s="539"/>
      <c r="BZ245" s="539"/>
      <c r="CA245" s="539"/>
      <c r="CB245" s="539"/>
      <c r="CC245" s="539"/>
      <c r="CD245" s="539"/>
      <c r="CE245" s="539"/>
      <c r="CF245" s="539"/>
      <c r="CG245" s="539"/>
      <c r="CH245" s="539"/>
      <c r="CI245" s="539"/>
      <c r="CJ245" s="539"/>
      <c r="CK245" s="539"/>
      <c r="CL245" s="539"/>
      <c r="CM245" s="539"/>
      <c r="CN245" s="539"/>
      <c r="CO245" s="539"/>
      <c r="CP245" s="539"/>
      <c r="CQ245" s="539"/>
      <c r="CR245" s="539"/>
      <c r="CS245" s="539"/>
      <c r="CT245" s="539"/>
      <c r="CU245" s="539"/>
      <c r="CV245" s="539"/>
      <c r="CW245" s="539"/>
      <c r="CX245" s="539"/>
      <c r="CY245" s="539"/>
      <c r="CZ245" s="539"/>
      <c r="DA245" s="539"/>
      <c r="DB245" s="539"/>
      <c r="DC245" s="539"/>
      <c r="DD245" s="539"/>
      <c r="DE245" s="539"/>
      <c r="DF245" s="539"/>
      <c r="DG245" s="539"/>
      <c r="DH245" s="539"/>
      <c r="DI245" s="539"/>
      <c r="DJ245" s="539"/>
      <c r="DK245" s="539"/>
      <c r="DL245" s="539"/>
      <c r="DM245" s="539"/>
      <c r="DN245" s="539"/>
      <c r="DO245" s="539"/>
      <c r="DP245" s="539"/>
      <c r="DQ245" s="539"/>
      <c r="DR245" s="539"/>
      <c r="DS245" s="539"/>
      <c r="DT245" s="539"/>
      <c r="DU245" s="539"/>
      <c r="DV245" s="539"/>
      <c r="DW245" s="539"/>
      <c r="DX245" s="539"/>
      <c r="DY245" s="539"/>
      <c r="DZ245" s="539"/>
      <c r="EA245" s="539"/>
      <c r="EB245" s="539"/>
      <c r="EC245" s="539"/>
      <c r="ED245" s="539"/>
    </row>
    <row r="246" spans="1:134" ht="13.5" hidden="1" customHeight="1">
      <c r="A246" s="549"/>
      <c r="B246" s="11" t="e">
        <f>+#REF!</f>
        <v>#REF!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539"/>
      <c r="AR246" s="539"/>
      <c r="AS246" s="539"/>
      <c r="AT246" s="539"/>
      <c r="AU246" s="539"/>
      <c r="AV246" s="539"/>
      <c r="AW246" s="539"/>
      <c r="AX246" s="539"/>
      <c r="AY246" s="539"/>
      <c r="AZ246" s="539"/>
      <c r="BA246" s="539"/>
      <c r="BB246" s="539"/>
      <c r="BC246" s="539"/>
      <c r="BD246" s="539"/>
      <c r="BE246" s="539"/>
      <c r="BF246" s="539"/>
      <c r="BG246" s="539"/>
      <c r="BH246" s="539"/>
      <c r="BI246" s="539"/>
      <c r="BJ246" s="539"/>
      <c r="BK246" s="539"/>
      <c r="BL246" s="539"/>
      <c r="BM246" s="539"/>
      <c r="BN246" s="539"/>
      <c r="BO246" s="539"/>
      <c r="BP246" s="539"/>
      <c r="BQ246" s="539"/>
      <c r="BR246" s="539"/>
      <c r="BS246" s="539"/>
      <c r="BT246" s="539"/>
      <c r="BU246" s="539"/>
      <c r="BV246" s="539"/>
      <c r="BW246" s="539"/>
      <c r="BX246" s="539"/>
      <c r="BY246" s="539"/>
      <c r="BZ246" s="539"/>
      <c r="CA246" s="539"/>
      <c r="CB246" s="539"/>
      <c r="CC246" s="539"/>
      <c r="CD246" s="539"/>
      <c r="CE246" s="539"/>
      <c r="CF246" s="539"/>
      <c r="CG246" s="539"/>
      <c r="CH246" s="539"/>
      <c r="CI246" s="539"/>
      <c r="CJ246" s="539"/>
      <c r="CK246" s="539"/>
      <c r="CL246" s="539"/>
      <c r="CM246" s="539"/>
      <c r="CN246" s="539"/>
      <c r="CO246" s="539"/>
      <c r="CP246" s="539"/>
      <c r="CQ246" s="539"/>
      <c r="CR246" s="539"/>
      <c r="CS246" s="539"/>
      <c r="CT246" s="539"/>
      <c r="CU246" s="539"/>
      <c r="CV246" s="539"/>
      <c r="CW246" s="539"/>
      <c r="CX246" s="539"/>
      <c r="CY246" s="539"/>
      <c r="CZ246" s="539"/>
      <c r="DA246" s="539"/>
      <c r="DB246" s="539"/>
      <c r="DC246" s="539"/>
      <c r="DD246" s="539"/>
      <c r="DE246" s="539"/>
      <c r="DF246" s="539"/>
      <c r="DG246" s="539"/>
      <c r="DH246" s="539"/>
      <c r="DI246" s="539"/>
      <c r="DJ246" s="539"/>
      <c r="DK246" s="539"/>
      <c r="DL246" s="539"/>
      <c r="DM246" s="539"/>
      <c r="DN246" s="539"/>
      <c r="DO246" s="539"/>
      <c r="DP246" s="539"/>
      <c r="DQ246" s="539"/>
      <c r="DR246" s="539"/>
      <c r="DS246" s="539"/>
      <c r="DT246" s="539"/>
      <c r="DU246" s="539"/>
      <c r="DV246" s="539"/>
      <c r="DW246" s="539"/>
      <c r="DX246" s="539"/>
      <c r="DY246" s="539"/>
      <c r="DZ246" s="539"/>
      <c r="EA246" s="539"/>
      <c r="EB246" s="539"/>
      <c r="EC246" s="539"/>
      <c r="ED246" s="539"/>
    </row>
    <row r="247" spans="1:134" ht="13.5" hidden="1" customHeight="1">
      <c r="A247" s="549"/>
      <c r="B247" s="11" t="e">
        <f>+#REF!</f>
        <v>#REF!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539"/>
      <c r="AR247" s="539"/>
      <c r="AS247" s="539"/>
      <c r="AT247" s="539"/>
      <c r="AU247" s="539"/>
      <c r="AV247" s="539"/>
      <c r="AW247" s="539"/>
      <c r="AX247" s="539"/>
      <c r="AY247" s="539"/>
      <c r="AZ247" s="539"/>
      <c r="BA247" s="539"/>
      <c r="BB247" s="539"/>
      <c r="BC247" s="539"/>
      <c r="BD247" s="539"/>
      <c r="BE247" s="539"/>
      <c r="BF247" s="539"/>
      <c r="BG247" s="539"/>
      <c r="BH247" s="539"/>
      <c r="BI247" s="539"/>
      <c r="BJ247" s="539"/>
      <c r="BK247" s="539"/>
      <c r="BL247" s="539"/>
      <c r="BM247" s="539"/>
      <c r="BN247" s="539"/>
      <c r="BO247" s="539"/>
      <c r="BP247" s="539"/>
      <c r="BQ247" s="539"/>
      <c r="BR247" s="539"/>
      <c r="BS247" s="539"/>
      <c r="BT247" s="539"/>
      <c r="BU247" s="539"/>
      <c r="BV247" s="539"/>
      <c r="BW247" s="539"/>
      <c r="BX247" s="539"/>
      <c r="BY247" s="539"/>
      <c r="BZ247" s="539"/>
      <c r="CA247" s="539"/>
      <c r="CB247" s="539"/>
      <c r="CC247" s="539"/>
      <c r="CD247" s="539"/>
      <c r="CE247" s="539"/>
      <c r="CF247" s="539"/>
      <c r="CG247" s="539"/>
      <c r="CH247" s="539"/>
      <c r="CI247" s="539"/>
      <c r="CJ247" s="539"/>
      <c r="CK247" s="539"/>
      <c r="CL247" s="539"/>
      <c r="CM247" s="539"/>
      <c r="CN247" s="539"/>
      <c r="CO247" s="539"/>
      <c r="CP247" s="539"/>
      <c r="CQ247" s="539"/>
      <c r="CR247" s="539"/>
      <c r="CS247" s="539"/>
      <c r="CT247" s="539"/>
      <c r="CU247" s="539"/>
      <c r="CV247" s="539"/>
      <c r="CW247" s="539"/>
      <c r="CX247" s="539"/>
      <c r="CY247" s="539"/>
      <c r="CZ247" s="539"/>
      <c r="DA247" s="539"/>
      <c r="DB247" s="539"/>
      <c r="DC247" s="539"/>
      <c r="DD247" s="539"/>
      <c r="DE247" s="539"/>
      <c r="DF247" s="539"/>
      <c r="DG247" s="539"/>
      <c r="DH247" s="539"/>
      <c r="DI247" s="539"/>
      <c r="DJ247" s="539"/>
      <c r="DK247" s="539"/>
      <c r="DL247" s="539"/>
      <c r="DM247" s="539"/>
      <c r="DN247" s="539"/>
      <c r="DO247" s="539"/>
      <c r="DP247" s="539"/>
      <c r="DQ247" s="539"/>
      <c r="DR247" s="539"/>
      <c r="DS247" s="539"/>
      <c r="DT247" s="539"/>
      <c r="DU247" s="539"/>
      <c r="DV247" s="539"/>
      <c r="DW247" s="539"/>
      <c r="DX247" s="539"/>
      <c r="DY247" s="539"/>
      <c r="DZ247" s="539"/>
      <c r="EA247" s="539"/>
      <c r="EB247" s="539"/>
      <c r="EC247" s="539"/>
      <c r="ED247" s="539"/>
    </row>
    <row r="248" spans="1:134" ht="13.5" hidden="1" customHeight="1">
      <c r="A248" s="549"/>
      <c r="B248" s="11" t="e">
        <f>+#REF!</f>
        <v>#REF!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539"/>
      <c r="AR248" s="539"/>
      <c r="AS248" s="539"/>
      <c r="AT248" s="539"/>
      <c r="AU248" s="539"/>
      <c r="AV248" s="539"/>
      <c r="AW248" s="539"/>
      <c r="AX248" s="539"/>
      <c r="AY248" s="539"/>
      <c r="AZ248" s="539"/>
      <c r="BA248" s="539"/>
      <c r="BB248" s="539"/>
      <c r="BC248" s="539"/>
      <c r="BD248" s="539"/>
      <c r="BE248" s="539"/>
      <c r="BF248" s="539"/>
      <c r="BG248" s="539"/>
      <c r="BH248" s="539"/>
      <c r="BI248" s="539"/>
      <c r="BJ248" s="539"/>
      <c r="BK248" s="539"/>
      <c r="BL248" s="539"/>
      <c r="BM248" s="539"/>
      <c r="BN248" s="539"/>
      <c r="BO248" s="539"/>
      <c r="BP248" s="539"/>
      <c r="BQ248" s="539"/>
      <c r="BR248" s="539"/>
      <c r="BS248" s="539"/>
      <c r="BT248" s="539"/>
      <c r="BU248" s="539"/>
      <c r="BV248" s="539"/>
      <c r="BW248" s="539"/>
      <c r="BX248" s="539"/>
      <c r="BY248" s="539"/>
      <c r="BZ248" s="539"/>
      <c r="CA248" s="539"/>
      <c r="CB248" s="539"/>
      <c r="CC248" s="539"/>
      <c r="CD248" s="539"/>
      <c r="CE248" s="539"/>
      <c r="CF248" s="539"/>
      <c r="CG248" s="539"/>
      <c r="CH248" s="539"/>
      <c r="CI248" s="539"/>
      <c r="CJ248" s="539"/>
      <c r="CK248" s="539"/>
      <c r="CL248" s="539"/>
      <c r="CM248" s="539"/>
      <c r="CN248" s="539"/>
      <c r="CO248" s="539"/>
      <c r="CP248" s="539"/>
      <c r="CQ248" s="539"/>
      <c r="CR248" s="539"/>
      <c r="CS248" s="539"/>
      <c r="CT248" s="539"/>
      <c r="CU248" s="539"/>
      <c r="CV248" s="539"/>
      <c r="CW248" s="539"/>
      <c r="CX248" s="539"/>
      <c r="CY248" s="539"/>
      <c r="CZ248" s="539"/>
      <c r="DA248" s="539"/>
      <c r="DB248" s="539"/>
      <c r="DC248" s="539"/>
      <c r="DD248" s="539"/>
      <c r="DE248" s="539"/>
      <c r="DF248" s="539"/>
      <c r="DG248" s="539"/>
      <c r="DH248" s="539"/>
      <c r="DI248" s="539"/>
      <c r="DJ248" s="539"/>
      <c r="DK248" s="539"/>
      <c r="DL248" s="539"/>
      <c r="DM248" s="539"/>
      <c r="DN248" s="539"/>
      <c r="DO248" s="539"/>
      <c r="DP248" s="539"/>
      <c r="DQ248" s="539"/>
      <c r="DR248" s="539"/>
      <c r="DS248" s="539"/>
      <c r="DT248" s="539"/>
      <c r="DU248" s="539"/>
      <c r="DV248" s="539"/>
      <c r="DW248" s="539"/>
      <c r="DX248" s="539"/>
      <c r="DY248" s="539"/>
      <c r="DZ248" s="539"/>
      <c r="EA248" s="539"/>
      <c r="EB248" s="539"/>
      <c r="EC248" s="539"/>
      <c r="ED248" s="539"/>
    </row>
    <row r="249" spans="1:134" ht="13.5" hidden="1" customHeight="1">
      <c r="A249" s="549"/>
      <c r="B249" s="11" t="e">
        <f>+#REF!</f>
        <v>#REF!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539"/>
      <c r="AR249" s="539"/>
      <c r="AS249" s="539"/>
      <c r="AT249" s="539"/>
      <c r="AU249" s="539"/>
      <c r="AV249" s="539"/>
      <c r="AW249" s="539"/>
      <c r="AX249" s="539"/>
      <c r="AY249" s="539"/>
      <c r="AZ249" s="539"/>
      <c r="BA249" s="539"/>
      <c r="BB249" s="539"/>
      <c r="BC249" s="539"/>
      <c r="BD249" s="539"/>
      <c r="BE249" s="539"/>
      <c r="BF249" s="539"/>
      <c r="BG249" s="539"/>
      <c r="BH249" s="539"/>
      <c r="BI249" s="539"/>
      <c r="BJ249" s="539"/>
      <c r="BK249" s="539"/>
      <c r="BL249" s="539"/>
      <c r="BM249" s="539"/>
      <c r="BN249" s="539"/>
      <c r="BO249" s="539"/>
      <c r="BP249" s="539"/>
      <c r="BQ249" s="539"/>
      <c r="BR249" s="539"/>
      <c r="BS249" s="539"/>
      <c r="BT249" s="539"/>
      <c r="BU249" s="539"/>
      <c r="BV249" s="539"/>
      <c r="BW249" s="539"/>
      <c r="BX249" s="539"/>
      <c r="BY249" s="539"/>
      <c r="BZ249" s="539"/>
      <c r="CA249" s="539"/>
      <c r="CB249" s="539"/>
      <c r="CC249" s="539"/>
      <c r="CD249" s="539"/>
      <c r="CE249" s="539"/>
      <c r="CF249" s="539"/>
      <c r="CG249" s="539"/>
      <c r="CH249" s="539"/>
      <c r="CI249" s="539"/>
      <c r="CJ249" s="539"/>
      <c r="CK249" s="539"/>
      <c r="CL249" s="539"/>
      <c r="CM249" s="539"/>
      <c r="CN249" s="539"/>
      <c r="CO249" s="539"/>
      <c r="CP249" s="539"/>
      <c r="CQ249" s="539"/>
      <c r="CR249" s="539"/>
      <c r="CS249" s="539"/>
      <c r="CT249" s="539"/>
      <c r="CU249" s="539"/>
      <c r="CV249" s="539"/>
      <c r="CW249" s="539"/>
      <c r="CX249" s="539"/>
      <c r="CY249" s="539"/>
      <c r="CZ249" s="539"/>
      <c r="DA249" s="539"/>
      <c r="DB249" s="539"/>
      <c r="DC249" s="539"/>
      <c r="DD249" s="539"/>
      <c r="DE249" s="539"/>
      <c r="DF249" s="539"/>
      <c r="DG249" s="539"/>
      <c r="DH249" s="539"/>
      <c r="DI249" s="539"/>
      <c r="DJ249" s="539"/>
      <c r="DK249" s="539"/>
      <c r="DL249" s="539"/>
      <c r="DM249" s="539"/>
      <c r="DN249" s="539"/>
      <c r="DO249" s="539"/>
      <c r="DP249" s="539"/>
      <c r="DQ249" s="539"/>
      <c r="DR249" s="539"/>
      <c r="DS249" s="539"/>
      <c r="DT249" s="539"/>
      <c r="DU249" s="539"/>
      <c r="DV249" s="539"/>
      <c r="DW249" s="539"/>
      <c r="DX249" s="539"/>
      <c r="DY249" s="539"/>
      <c r="DZ249" s="539"/>
      <c r="EA249" s="539"/>
      <c r="EB249" s="539"/>
      <c r="EC249" s="539"/>
      <c r="ED249" s="539"/>
    </row>
    <row r="250" spans="1:134" ht="13.5" customHeight="1">
      <c r="A250" s="539"/>
      <c r="B250" s="10" t="e">
        <f>+#REF!</f>
        <v>#REF!</v>
      </c>
      <c r="C250" s="10">
        <v>819.78650000000005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50000</v>
      </c>
      <c r="K250" s="10">
        <v>100000</v>
      </c>
      <c r="L250" s="10">
        <v>100000</v>
      </c>
      <c r="M250" s="10">
        <v>100000</v>
      </c>
      <c r="N250" s="10">
        <v>100000</v>
      </c>
      <c r="O250" s="10">
        <v>100000</v>
      </c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539"/>
      <c r="AR250" s="539"/>
      <c r="AS250" s="539"/>
      <c r="AT250" s="539"/>
      <c r="AU250" s="539"/>
      <c r="AV250" s="539"/>
      <c r="AW250" s="539"/>
      <c r="AX250" s="539"/>
      <c r="AY250" s="539"/>
      <c r="AZ250" s="539"/>
      <c r="BA250" s="539"/>
      <c r="BB250" s="539"/>
      <c r="BC250" s="539"/>
      <c r="BD250" s="539"/>
      <c r="BE250" s="539"/>
      <c r="BF250" s="539"/>
      <c r="BG250" s="539"/>
      <c r="BH250" s="539"/>
      <c r="BI250" s="539"/>
      <c r="BJ250" s="539"/>
      <c r="BK250" s="539"/>
      <c r="BL250" s="539"/>
      <c r="BM250" s="539"/>
      <c r="BN250" s="539"/>
      <c r="BO250" s="539"/>
      <c r="BP250" s="539"/>
      <c r="BQ250" s="539"/>
      <c r="BR250" s="539"/>
      <c r="BS250" s="539"/>
      <c r="BT250" s="539"/>
      <c r="BU250" s="539"/>
      <c r="BV250" s="539"/>
      <c r="BW250" s="539"/>
      <c r="BX250" s="539"/>
      <c r="BY250" s="539"/>
      <c r="BZ250" s="539"/>
      <c r="CA250" s="539"/>
      <c r="CB250" s="539"/>
      <c r="CC250" s="539"/>
      <c r="CD250" s="539"/>
      <c r="CE250" s="539"/>
      <c r="CF250" s="539"/>
      <c r="CG250" s="539"/>
      <c r="CH250" s="539"/>
      <c r="CI250" s="539"/>
      <c r="CJ250" s="539"/>
      <c r="CK250" s="539"/>
      <c r="CL250" s="539"/>
      <c r="CM250" s="539"/>
      <c r="CN250" s="539"/>
      <c r="CO250" s="539"/>
      <c r="CP250" s="539"/>
      <c r="CQ250" s="539"/>
      <c r="CR250" s="539"/>
      <c r="CS250" s="539"/>
      <c r="CT250" s="539"/>
      <c r="CU250" s="539"/>
      <c r="CV250" s="539"/>
      <c r="CW250" s="539"/>
      <c r="CX250" s="539"/>
      <c r="CY250" s="539"/>
      <c r="CZ250" s="539"/>
      <c r="DA250" s="539"/>
      <c r="DB250" s="539"/>
      <c r="DC250" s="539"/>
      <c r="DD250" s="539"/>
      <c r="DE250" s="539"/>
      <c r="DF250" s="539"/>
      <c r="DG250" s="539"/>
      <c r="DH250" s="539"/>
      <c r="DI250" s="539"/>
      <c r="DJ250" s="539"/>
      <c r="DK250" s="539"/>
      <c r="DL250" s="539"/>
      <c r="DM250" s="539"/>
      <c r="DN250" s="539"/>
      <c r="DO250" s="539"/>
      <c r="DP250" s="539"/>
      <c r="DQ250" s="539"/>
      <c r="DR250" s="539"/>
      <c r="DS250" s="539"/>
      <c r="DT250" s="539"/>
      <c r="DU250" s="539"/>
      <c r="DV250" s="539"/>
      <c r="DW250" s="539"/>
      <c r="DX250" s="539"/>
      <c r="DY250" s="539"/>
      <c r="DZ250" s="539"/>
      <c r="EA250" s="539"/>
      <c r="EB250" s="539"/>
      <c r="EC250" s="539"/>
      <c r="ED250" s="539"/>
    </row>
    <row r="251" spans="1:134" ht="13.5" hidden="1" customHeight="1">
      <c r="A251" s="549"/>
      <c r="B251" s="11" t="e">
        <f>+#REF!</f>
        <v>#REF!</v>
      </c>
      <c r="C251" s="12">
        <f>IF(ISNUMBER(Historical!E31),Historical!E31, )</f>
        <v>1600</v>
      </c>
      <c r="D251" s="12">
        <f>IF(ISNUMBER(Historical!G31),Historical!G31, )</f>
        <v>1601</v>
      </c>
      <c r="E251" s="12">
        <f>IF(ISNUMBER(Historical!I31),Historical!I31, )</f>
        <v>1602</v>
      </c>
      <c r="F251" s="12">
        <f>IF(ISNUMBER(Projection!H7),IF(MONTH(Projection!H7)&lt;&gt;12,IF(ISNUMBER(Projection!L24),Projection!L24, ),IF(ISNUMBER(Historical!K31),Historical!K31, )), )</f>
        <v>1613</v>
      </c>
      <c r="G251" s="12">
        <f>IF(ISNUMBER(Projection!H7),IF(MONTH(Projection!$H$7)&lt;&gt;12,IF(ISNUMBER(Projection!N24),Projection!N24, ),IF(ISNUMBER(Projection!L24),Projection!L24, )), )</f>
        <v>1613</v>
      </c>
      <c r="H251" s="12">
        <f>IF(ISNUMBER(Projection!H7),IF(MONTH(Projection!$H$7)&lt;&gt;12,IF(ISNUMBER(Projection!P24),Projection!P24, ),IF(ISNUMBER(Projection!N24),Projection!N24, )), )</f>
        <v>1613</v>
      </c>
      <c r="I251" s="12">
        <f>IF(ISNUMBER(Projection!H7),IF(MONTH(Projection!$H$7)&lt;&gt;12,IF(ISNUMBER(Projection!R24),Projection!R24, ),IF(ISNUMBER(Projection!P24),Projection!P24, )), )</f>
        <v>1613</v>
      </c>
      <c r="J251" s="12">
        <f>IF(ISNUMBER(Projection!H7),IF(MONTH(Projection!$H$7)&lt;&gt;12,IF(ISNUMBER(Projection!T24),Projection!T24, ),IF(ISNUMBER(Projection!R24),Projection!R24, )), )</f>
        <v>1613</v>
      </c>
      <c r="K251" s="12">
        <f>IF(ISNUMBER(Projection!H7),IF(MONTH(Projection!$H$7)&lt;&gt;12,IF(ISNUMBER(Projection!Z24),Projection!Z24, ),IF(ISNUMBER(Projection!T24),Projection!T24, )), )</f>
        <v>1613</v>
      </c>
      <c r="L251" s="12">
        <f>IF(ISNUMBER(Projection!H7),IF(MONTH(Projection!$H$7)&lt;&gt;12,IF(ISNUMBER(Projection!AB24),Projection!AB24, ),IF(ISNUMBER(Projection!Z24),Projection!Z24, )), )</f>
        <v>1613</v>
      </c>
      <c r="M251" s="12">
        <f>IF(ISNUMBER(Projection!$H$7),IF(MONTH(Projection!$H$7)&lt;&gt;12,IF(ISNUMBER(Projection!AD24),Projection!AD24, ),IF(ISNUMBER(Projection!AB24),Projection!AB24, )), )</f>
        <v>1613</v>
      </c>
      <c r="N251" s="12">
        <f>IF(ISNUMBER(Projection!$H$7),IF(MONTH(Projection!$H$7)&lt;&gt;12,IF(ISNUMBER(Projection!AF24),Projection!AF24, ),IF(ISNUMBER(Projection!AD24),Projection!AD24, )), )</f>
        <v>1613</v>
      </c>
      <c r="O251" s="12">
        <f>IF(ISNUMBER(Projection!$H$7),IF(MONTH(Projection!$H$7)&lt;&gt;12,IF(ISNUMBER(Projection!AH24),Projection!AH24, ),IF(ISNUMBER(Projection!AF24),Projection!AF24, )), )</f>
        <v>1613</v>
      </c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539"/>
      <c r="AR251" s="539"/>
      <c r="AS251" s="539"/>
      <c r="AT251" s="539"/>
      <c r="AU251" s="539"/>
      <c r="AV251" s="539"/>
      <c r="AW251" s="539"/>
      <c r="AX251" s="539"/>
      <c r="AY251" s="539"/>
      <c r="AZ251" s="539"/>
      <c r="BA251" s="539"/>
      <c r="BB251" s="539"/>
      <c r="BC251" s="539"/>
      <c r="BD251" s="539"/>
      <c r="BE251" s="539"/>
      <c r="BF251" s="539"/>
      <c r="BG251" s="539"/>
      <c r="BH251" s="539"/>
      <c r="BI251" s="539"/>
      <c r="BJ251" s="539"/>
      <c r="BK251" s="539"/>
      <c r="BL251" s="539"/>
      <c r="BM251" s="539"/>
      <c r="BN251" s="539"/>
      <c r="BO251" s="539"/>
      <c r="BP251" s="539"/>
      <c r="BQ251" s="539"/>
      <c r="BR251" s="539"/>
      <c r="BS251" s="539"/>
      <c r="BT251" s="539"/>
      <c r="BU251" s="539"/>
      <c r="BV251" s="539"/>
      <c r="BW251" s="539"/>
      <c r="BX251" s="539"/>
      <c r="BY251" s="539"/>
      <c r="BZ251" s="539"/>
      <c r="CA251" s="539"/>
      <c r="CB251" s="539"/>
      <c r="CC251" s="539"/>
      <c r="CD251" s="539"/>
      <c r="CE251" s="539"/>
      <c r="CF251" s="539"/>
      <c r="CG251" s="539"/>
      <c r="CH251" s="539"/>
      <c r="CI251" s="539"/>
      <c r="CJ251" s="539"/>
      <c r="CK251" s="539"/>
      <c r="CL251" s="539"/>
      <c r="CM251" s="539"/>
      <c r="CN251" s="539"/>
      <c r="CO251" s="539"/>
      <c r="CP251" s="539"/>
      <c r="CQ251" s="539"/>
      <c r="CR251" s="539"/>
      <c r="CS251" s="539"/>
      <c r="CT251" s="539"/>
      <c r="CU251" s="539"/>
      <c r="CV251" s="539"/>
      <c r="CW251" s="539"/>
      <c r="CX251" s="539"/>
      <c r="CY251" s="539"/>
      <c r="CZ251" s="539"/>
      <c r="DA251" s="539"/>
      <c r="DB251" s="539"/>
      <c r="DC251" s="539"/>
      <c r="DD251" s="539"/>
      <c r="DE251" s="539"/>
      <c r="DF251" s="539"/>
      <c r="DG251" s="539"/>
      <c r="DH251" s="539"/>
      <c r="DI251" s="539"/>
      <c r="DJ251" s="539"/>
      <c r="DK251" s="539"/>
      <c r="DL251" s="539"/>
      <c r="DM251" s="539"/>
      <c r="DN251" s="539"/>
      <c r="DO251" s="539"/>
      <c r="DP251" s="539"/>
      <c r="DQ251" s="539"/>
      <c r="DR251" s="539"/>
      <c r="DS251" s="539"/>
      <c r="DT251" s="539"/>
      <c r="DU251" s="539"/>
      <c r="DV251" s="539"/>
      <c r="DW251" s="539"/>
      <c r="DX251" s="539"/>
      <c r="DY251" s="539"/>
      <c r="DZ251" s="539"/>
      <c r="EA251" s="539"/>
      <c r="EB251" s="539"/>
      <c r="EC251" s="539"/>
      <c r="ED251" s="539"/>
    </row>
    <row r="252" spans="1:134" ht="13.5" hidden="1" customHeight="1">
      <c r="A252" s="549"/>
      <c r="B252" s="11" t="e">
        <f>+#REF!</f>
        <v>#REF!</v>
      </c>
      <c r="C252" s="12">
        <f>IF(ISNUMBER(Historical!E27),Historical!E27, )</f>
        <v>1200</v>
      </c>
      <c r="D252" s="12">
        <f>IF(ISNUMBER(Historical!G27),Historical!G27, )</f>
        <v>1201</v>
      </c>
      <c r="E252" s="12">
        <f>IF(ISNUMBER(Historical!I27),Historical!I27, )</f>
        <v>1202</v>
      </c>
      <c r="F252" s="12">
        <f>IF(ISNUMBER(Projection!H7),IF(MONTH(Projection!H7)&lt;&gt;12,IF(ISNUMBER(Projection!L20),Projection!L20, ),IF(ISNUMBER(Historical!K27),Historical!K27, )), )</f>
        <v>1213</v>
      </c>
      <c r="G252" s="12">
        <f>IF(ISNUMBER(Projection!H7),IF(MONTH(Projection!$H$7)&lt;&gt;12,IF(ISNUMBER(Projection!N20),Projection!N20, ),IF(ISNUMBER(Projection!L20),Projection!L20, )), )</f>
        <v>1213</v>
      </c>
      <c r="H252" s="12">
        <f>IF(ISNUMBER(Projection!H7),IF(MONTH(Projection!$H$7)&lt;&gt;12,IF(ISNUMBER(Projection!P20),Projection!P20, ),IF(ISNUMBER(Projection!N20),Projection!N20, )), )</f>
        <v>1213</v>
      </c>
      <c r="I252" s="12">
        <f>IF(ISNUMBER(Projection!H7),IF(MONTH(Projection!$H$7)&lt;&gt;12,IF(ISNUMBER(Projection!R20),Projection!R20, ),IF(ISNUMBER(Projection!P20),Projection!P20, )), )</f>
        <v>1213</v>
      </c>
      <c r="J252" s="12">
        <f>IF(ISNUMBER(Projection!H7),IF(MONTH(Projection!$H$7)&lt;&gt;12,IF(ISNUMBER(Projection!T20),Projection!T20, ),IF(ISNUMBER(Projection!R20),Projection!R20, )), )</f>
        <v>1213</v>
      </c>
      <c r="K252" s="12">
        <f>IF(ISNUMBER(Projection!H7),IF(MONTH(Projection!$H$7)&lt;&gt;12,IF(ISNUMBER(Projection!Z20),Projection!Z20, ),IF(ISNUMBER(Projection!T20),Projection!T20, )), )</f>
        <v>953</v>
      </c>
      <c r="L252" s="12">
        <f>IF(ISNUMBER(Projection!H7),IF(MONTH(Projection!$H$7)&lt;&gt;12,IF(ISNUMBER(Projection!AB20),Projection!AB20, ),IF(ISNUMBER(Projection!Z20),Projection!Z20, )), )</f>
        <v>693</v>
      </c>
      <c r="M252" s="12">
        <f>IF(ISNUMBER(Projection!$H$7),IF(MONTH(Projection!$H$7)&lt;&gt;12,IF(ISNUMBER(Projection!AD20),Projection!AD20, ),IF(ISNUMBER(Projection!AB20),Projection!AB20, )), )</f>
        <v>433</v>
      </c>
      <c r="N252" s="12">
        <f>IF(ISNUMBER(Projection!$H$7),IF(MONTH(Projection!$H$7)&lt;&gt;12,IF(ISNUMBER(Projection!AF20),Projection!AF20, ),IF(ISNUMBER(Projection!AD20),Projection!AD20, )), )</f>
        <v>173</v>
      </c>
      <c r="O252" s="12">
        <f>IF(ISNUMBER(Projection!$H$7),IF(MONTH(Projection!$H$7)&lt;&gt;12,IF(ISNUMBER(Projection!AH20),Projection!AH20, ),IF(ISNUMBER(Projection!AF20),Projection!AF20, )), )</f>
        <v>-87</v>
      </c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539"/>
      <c r="AR252" s="539"/>
      <c r="AS252" s="539"/>
      <c r="AT252" s="539"/>
      <c r="AU252" s="539"/>
      <c r="AV252" s="539"/>
      <c r="AW252" s="539"/>
      <c r="AX252" s="539"/>
      <c r="AY252" s="539"/>
      <c r="AZ252" s="539"/>
      <c r="BA252" s="539"/>
      <c r="BB252" s="539"/>
      <c r="BC252" s="539"/>
      <c r="BD252" s="539"/>
      <c r="BE252" s="539"/>
      <c r="BF252" s="539"/>
      <c r="BG252" s="539"/>
      <c r="BH252" s="539"/>
      <c r="BI252" s="539"/>
      <c r="BJ252" s="539"/>
      <c r="BK252" s="539"/>
      <c r="BL252" s="539"/>
      <c r="BM252" s="539"/>
      <c r="BN252" s="539"/>
      <c r="BO252" s="539"/>
      <c r="BP252" s="539"/>
      <c r="BQ252" s="539"/>
      <c r="BR252" s="539"/>
      <c r="BS252" s="539"/>
      <c r="BT252" s="539"/>
      <c r="BU252" s="539"/>
      <c r="BV252" s="539"/>
      <c r="BW252" s="539"/>
      <c r="BX252" s="539"/>
      <c r="BY252" s="539"/>
      <c r="BZ252" s="539"/>
      <c r="CA252" s="539"/>
      <c r="CB252" s="539"/>
      <c r="CC252" s="539"/>
      <c r="CD252" s="539"/>
      <c r="CE252" s="539"/>
      <c r="CF252" s="539"/>
      <c r="CG252" s="539"/>
      <c r="CH252" s="539"/>
      <c r="CI252" s="539"/>
      <c r="CJ252" s="539"/>
      <c r="CK252" s="539"/>
      <c r="CL252" s="539"/>
      <c r="CM252" s="539"/>
      <c r="CN252" s="539"/>
      <c r="CO252" s="539"/>
      <c r="CP252" s="539"/>
      <c r="CQ252" s="539"/>
      <c r="CR252" s="539"/>
      <c r="CS252" s="539"/>
      <c r="CT252" s="539"/>
      <c r="CU252" s="539"/>
      <c r="CV252" s="539"/>
      <c r="CW252" s="539"/>
      <c r="CX252" s="539"/>
      <c r="CY252" s="539"/>
      <c r="CZ252" s="539"/>
      <c r="DA252" s="539"/>
      <c r="DB252" s="539"/>
      <c r="DC252" s="539"/>
      <c r="DD252" s="539"/>
      <c r="DE252" s="539"/>
      <c r="DF252" s="539"/>
      <c r="DG252" s="539"/>
      <c r="DH252" s="539"/>
      <c r="DI252" s="539"/>
      <c r="DJ252" s="539"/>
      <c r="DK252" s="539"/>
      <c r="DL252" s="539"/>
      <c r="DM252" s="539"/>
      <c r="DN252" s="539"/>
      <c r="DO252" s="539"/>
      <c r="DP252" s="539"/>
      <c r="DQ252" s="539"/>
      <c r="DR252" s="539"/>
      <c r="DS252" s="539"/>
      <c r="DT252" s="539"/>
      <c r="DU252" s="539"/>
      <c r="DV252" s="539"/>
      <c r="DW252" s="539"/>
      <c r="DX252" s="539"/>
      <c r="DY252" s="539"/>
      <c r="DZ252" s="539"/>
      <c r="EA252" s="539"/>
      <c r="EB252" s="539"/>
      <c r="EC252" s="539"/>
      <c r="ED252" s="539"/>
    </row>
    <row r="253" spans="1:134" ht="13.5" hidden="1" customHeight="1">
      <c r="A253" s="549"/>
      <c r="B253" s="11" t="e">
        <f>+#REF!</f>
        <v>#REF!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539"/>
      <c r="AR253" s="539"/>
      <c r="AS253" s="539"/>
      <c r="AT253" s="539"/>
      <c r="AU253" s="539"/>
      <c r="AV253" s="539"/>
      <c r="AW253" s="539"/>
      <c r="AX253" s="539"/>
      <c r="AY253" s="539"/>
      <c r="AZ253" s="539"/>
      <c r="BA253" s="539"/>
      <c r="BB253" s="539"/>
      <c r="BC253" s="539"/>
      <c r="BD253" s="539"/>
      <c r="BE253" s="539"/>
      <c r="BF253" s="539"/>
      <c r="BG253" s="539"/>
      <c r="BH253" s="539"/>
      <c r="BI253" s="539"/>
      <c r="BJ253" s="539"/>
      <c r="BK253" s="539"/>
      <c r="BL253" s="539"/>
      <c r="BM253" s="539"/>
      <c r="BN253" s="539"/>
      <c r="BO253" s="539"/>
      <c r="BP253" s="539"/>
      <c r="BQ253" s="539"/>
      <c r="BR253" s="539"/>
      <c r="BS253" s="539"/>
      <c r="BT253" s="539"/>
      <c r="BU253" s="539"/>
      <c r="BV253" s="539"/>
      <c r="BW253" s="539"/>
      <c r="BX253" s="539"/>
      <c r="BY253" s="539"/>
      <c r="BZ253" s="539"/>
      <c r="CA253" s="539"/>
      <c r="CB253" s="539"/>
      <c r="CC253" s="539"/>
      <c r="CD253" s="539"/>
      <c r="CE253" s="539"/>
      <c r="CF253" s="539"/>
      <c r="CG253" s="539"/>
      <c r="CH253" s="539"/>
      <c r="CI253" s="539"/>
      <c r="CJ253" s="539"/>
      <c r="CK253" s="539"/>
      <c r="CL253" s="539"/>
      <c r="CM253" s="539"/>
      <c r="CN253" s="539"/>
      <c r="CO253" s="539"/>
      <c r="CP253" s="539"/>
      <c r="CQ253" s="539"/>
      <c r="CR253" s="539"/>
      <c r="CS253" s="539"/>
      <c r="CT253" s="539"/>
      <c r="CU253" s="539"/>
      <c r="CV253" s="539"/>
      <c r="CW253" s="539"/>
      <c r="CX253" s="539"/>
      <c r="CY253" s="539"/>
      <c r="CZ253" s="539"/>
      <c r="DA253" s="539"/>
      <c r="DB253" s="539"/>
      <c r="DC253" s="539"/>
      <c r="DD253" s="539"/>
      <c r="DE253" s="539"/>
      <c r="DF253" s="539"/>
      <c r="DG253" s="539"/>
      <c r="DH253" s="539"/>
      <c r="DI253" s="539"/>
      <c r="DJ253" s="539"/>
      <c r="DK253" s="539"/>
      <c r="DL253" s="539"/>
      <c r="DM253" s="539"/>
      <c r="DN253" s="539"/>
      <c r="DO253" s="539"/>
      <c r="DP253" s="539"/>
      <c r="DQ253" s="539"/>
      <c r="DR253" s="539"/>
      <c r="DS253" s="539"/>
      <c r="DT253" s="539"/>
      <c r="DU253" s="539"/>
      <c r="DV253" s="539"/>
      <c r="DW253" s="539"/>
      <c r="DX253" s="539"/>
      <c r="DY253" s="539"/>
      <c r="DZ253" s="539"/>
      <c r="EA253" s="539"/>
      <c r="EB253" s="539"/>
      <c r="EC253" s="539"/>
      <c r="ED253" s="539"/>
    </row>
    <row r="254" spans="1:134" ht="13.5" hidden="1" customHeight="1">
      <c r="A254" s="549"/>
      <c r="B254" s="11" t="e">
        <f>+#REF!</f>
        <v>#REF!</v>
      </c>
      <c r="C254" s="12">
        <f>IF(ISNUMBER(Historical!E30),Historical!E30, )</f>
        <v>1500</v>
      </c>
      <c r="D254" s="12">
        <f>IF(ISNUMBER(Historical!G30),Historical!G30, )</f>
        <v>1501</v>
      </c>
      <c r="E254" s="12">
        <f>IF(ISNUMBER(Historical!I30),Historical!I30, )</f>
        <v>1502</v>
      </c>
      <c r="F254" s="12">
        <f>IF(ISNUMBER(Projection!H7),IF(MONTH(Projection!H7)&lt;&gt;12,IF(ISNUMBER(Projection!L23),Projection!L23, ),IF(ISNUMBER(Historical!K30),Historical!K30, )), )</f>
        <v>1463</v>
      </c>
      <c r="G254" s="12">
        <f>IF(ISNUMBER(Projection!H7),IF(MONTH(Projection!$H$7)&lt;&gt;12,IF(ISNUMBER(Projection!N23),Projection!N23, ),IF(ISNUMBER(Projection!L23),Projection!L23, )), )</f>
        <v>1463</v>
      </c>
      <c r="H254" s="12">
        <f>IF(ISNUMBER(Projection!H7),IF(MONTH(Projection!$H$7)&lt;&gt;12,IF(ISNUMBER(Projection!P23),Projection!P23, ),IF(ISNUMBER(Projection!N23),Projection!N23, )), )</f>
        <v>1463</v>
      </c>
      <c r="I254" s="12">
        <f>IF(ISNUMBER(Projection!H7),IF(MONTH(Projection!$H$7)&lt;&gt;12,IF(ISNUMBER(Projection!R23),Projection!R23, ),IF(ISNUMBER(Projection!P23),Projection!P23, )), )</f>
        <v>1463</v>
      </c>
      <c r="J254" s="12">
        <f>IF(ISNUMBER(Projection!H7),IF(MONTH(Projection!$H$7)&lt;&gt;12,IF(ISNUMBER(Projection!T23),Projection!T23, ),IF(ISNUMBER(Projection!R23),Projection!R23, )), )</f>
        <v>1463</v>
      </c>
      <c r="K254" s="12">
        <f>IF(ISNUMBER(Projection!H7),IF(MONTH(Projection!$H$7)&lt;&gt;12,IF(ISNUMBER(Projection!Z23),Projection!Z23, ),IF(ISNUMBER(Projection!T23),Projection!T23, )), )</f>
        <v>1463</v>
      </c>
      <c r="L254" s="12">
        <f>IF(ISNUMBER(Projection!H7),IF(MONTH(Projection!$H$7)&lt;&gt;12,IF(ISNUMBER(Projection!AB23),Projection!AB23, ),IF(ISNUMBER(Projection!Z23),Projection!Z23, )), )</f>
        <v>1463</v>
      </c>
      <c r="M254" s="12">
        <f>IF(ISNUMBER(Projection!$H$7),IF(MONTH(Projection!$H$7)&lt;&gt;12,IF(ISNUMBER(Projection!AD23),Projection!AD23, ),IF(ISNUMBER(Projection!AB23),Projection!AB23, )), )</f>
        <v>1463</v>
      </c>
      <c r="N254" s="12">
        <f>IF(ISNUMBER(Projection!$H$7),IF(MONTH(Projection!$H$7)&lt;&gt;12,IF(ISNUMBER(Projection!AF23),Projection!AF23, ),IF(ISNUMBER(Projection!AD23),Projection!AD23, )), )</f>
        <v>1463</v>
      </c>
      <c r="O254" s="12">
        <f>IF(ISNUMBER(Projection!$H$7),IF(MONTH(Projection!$H$7)&lt;&gt;12,IF(ISNUMBER(Projection!AH23),Projection!AH23, ),IF(ISNUMBER(Projection!AF23),Projection!AF23, )), )</f>
        <v>1463</v>
      </c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539"/>
      <c r="AR254" s="539"/>
      <c r="AS254" s="539"/>
      <c r="AT254" s="539"/>
      <c r="AU254" s="539"/>
      <c r="AV254" s="539"/>
      <c r="AW254" s="539"/>
      <c r="AX254" s="539"/>
      <c r="AY254" s="539"/>
      <c r="AZ254" s="539"/>
      <c r="BA254" s="539"/>
      <c r="BB254" s="539"/>
      <c r="BC254" s="539"/>
      <c r="BD254" s="539"/>
      <c r="BE254" s="539"/>
      <c r="BF254" s="539"/>
      <c r="BG254" s="539"/>
      <c r="BH254" s="539"/>
      <c r="BI254" s="539"/>
      <c r="BJ254" s="539"/>
      <c r="BK254" s="539"/>
      <c r="BL254" s="539"/>
      <c r="BM254" s="539"/>
      <c r="BN254" s="539"/>
      <c r="BO254" s="539"/>
      <c r="BP254" s="539"/>
      <c r="BQ254" s="539"/>
      <c r="BR254" s="539"/>
      <c r="BS254" s="539"/>
      <c r="BT254" s="539"/>
      <c r="BU254" s="539"/>
      <c r="BV254" s="539"/>
      <c r="BW254" s="539"/>
      <c r="BX254" s="539"/>
      <c r="BY254" s="539"/>
      <c r="BZ254" s="539"/>
      <c r="CA254" s="539"/>
      <c r="CB254" s="539"/>
      <c r="CC254" s="539"/>
      <c r="CD254" s="539"/>
      <c r="CE254" s="539"/>
      <c r="CF254" s="539"/>
      <c r="CG254" s="539"/>
      <c r="CH254" s="539"/>
      <c r="CI254" s="539"/>
      <c r="CJ254" s="539"/>
      <c r="CK254" s="539"/>
      <c r="CL254" s="539"/>
      <c r="CM254" s="539"/>
      <c r="CN254" s="539"/>
      <c r="CO254" s="539"/>
      <c r="CP254" s="539"/>
      <c r="CQ254" s="539"/>
      <c r="CR254" s="539"/>
      <c r="CS254" s="539"/>
      <c r="CT254" s="539"/>
      <c r="CU254" s="539"/>
      <c r="CV254" s="539"/>
      <c r="CW254" s="539"/>
      <c r="CX254" s="539"/>
      <c r="CY254" s="539"/>
      <c r="CZ254" s="539"/>
      <c r="DA254" s="539"/>
      <c r="DB254" s="539"/>
      <c r="DC254" s="539"/>
      <c r="DD254" s="539"/>
      <c r="DE254" s="539"/>
      <c r="DF254" s="539"/>
      <c r="DG254" s="539"/>
      <c r="DH254" s="539"/>
      <c r="DI254" s="539"/>
      <c r="DJ254" s="539"/>
      <c r="DK254" s="539"/>
      <c r="DL254" s="539"/>
      <c r="DM254" s="539"/>
      <c r="DN254" s="539"/>
      <c r="DO254" s="539"/>
      <c r="DP254" s="539"/>
      <c r="DQ254" s="539"/>
      <c r="DR254" s="539"/>
      <c r="DS254" s="539"/>
      <c r="DT254" s="539"/>
      <c r="DU254" s="539"/>
      <c r="DV254" s="539"/>
      <c r="DW254" s="539"/>
      <c r="DX254" s="539"/>
      <c r="DY254" s="539"/>
      <c r="DZ254" s="539"/>
      <c r="EA254" s="539"/>
      <c r="EB254" s="539"/>
      <c r="EC254" s="539"/>
      <c r="ED254" s="539"/>
    </row>
    <row r="255" spans="1:134" ht="13.5" hidden="1" customHeight="1">
      <c r="A255" s="549"/>
      <c r="B255" s="11" t="e">
        <f>+#REF!</f>
        <v>#REF!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539"/>
      <c r="AR255" s="539"/>
      <c r="AS255" s="539"/>
      <c r="AT255" s="539"/>
      <c r="AU255" s="539"/>
      <c r="AV255" s="539"/>
      <c r="AW255" s="539"/>
      <c r="AX255" s="539"/>
      <c r="AY255" s="539"/>
      <c r="AZ255" s="539"/>
      <c r="BA255" s="539"/>
      <c r="BB255" s="539"/>
      <c r="BC255" s="539"/>
      <c r="BD255" s="539"/>
      <c r="BE255" s="539"/>
      <c r="BF255" s="539"/>
      <c r="BG255" s="539"/>
      <c r="BH255" s="539"/>
      <c r="BI255" s="539"/>
      <c r="BJ255" s="539"/>
      <c r="BK255" s="539"/>
      <c r="BL255" s="539"/>
      <c r="BM255" s="539"/>
      <c r="BN255" s="539"/>
      <c r="BO255" s="539"/>
      <c r="BP255" s="539"/>
      <c r="BQ255" s="539"/>
      <c r="BR255" s="539"/>
      <c r="BS255" s="539"/>
      <c r="BT255" s="539"/>
      <c r="BU255" s="539"/>
      <c r="BV255" s="539"/>
      <c r="BW255" s="539"/>
      <c r="BX255" s="539"/>
      <c r="BY255" s="539"/>
      <c r="BZ255" s="539"/>
      <c r="CA255" s="539"/>
      <c r="CB255" s="539"/>
      <c r="CC255" s="539"/>
      <c r="CD255" s="539"/>
      <c r="CE255" s="539"/>
      <c r="CF255" s="539"/>
      <c r="CG255" s="539"/>
      <c r="CH255" s="539"/>
      <c r="CI255" s="539"/>
      <c r="CJ255" s="539"/>
      <c r="CK255" s="539"/>
      <c r="CL255" s="539"/>
      <c r="CM255" s="539"/>
      <c r="CN255" s="539"/>
      <c r="CO255" s="539"/>
      <c r="CP255" s="539"/>
      <c r="CQ255" s="539"/>
      <c r="CR255" s="539"/>
      <c r="CS255" s="539"/>
      <c r="CT255" s="539"/>
      <c r="CU255" s="539"/>
      <c r="CV255" s="539"/>
      <c r="CW255" s="539"/>
      <c r="CX255" s="539"/>
      <c r="CY255" s="539"/>
      <c r="CZ255" s="539"/>
      <c r="DA255" s="539"/>
      <c r="DB255" s="539"/>
      <c r="DC255" s="539"/>
      <c r="DD255" s="539"/>
      <c r="DE255" s="539"/>
      <c r="DF255" s="539"/>
      <c r="DG255" s="539"/>
      <c r="DH255" s="539"/>
      <c r="DI255" s="539"/>
      <c r="DJ255" s="539"/>
      <c r="DK255" s="539"/>
      <c r="DL255" s="539"/>
      <c r="DM255" s="539"/>
      <c r="DN255" s="539"/>
      <c r="DO255" s="539"/>
      <c r="DP255" s="539"/>
      <c r="DQ255" s="539"/>
      <c r="DR255" s="539"/>
      <c r="DS255" s="539"/>
      <c r="DT255" s="539"/>
      <c r="DU255" s="539"/>
      <c r="DV255" s="539"/>
      <c r="DW255" s="539"/>
      <c r="DX255" s="539"/>
      <c r="DY255" s="539"/>
      <c r="DZ255" s="539"/>
      <c r="EA255" s="539"/>
      <c r="EB255" s="539"/>
      <c r="EC255" s="539"/>
      <c r="ED255" s="539"/>
    </row>
    <row r="256" spans="1:134" ht="13.5" hidden="1" customHeight="1">
      <c r="A256" s="549"/>
      <c r="B256" s="11" t="e">
        <f>+#REF!</f>
        <v>#REF!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539"/>
      <c r="AR256" s="539"/>
      <c r="AS256" s="539"/>
      <c r="AT256" s="539"/>
      <c r="AU256" s="539"/>
      <c r="AV256" s="539"/>
      <c r="AW256" s="539"/>
      <c r="AX256" s="539"/>
      <c r="AY256" s="539"/>
      <c r="AZ256" s="539"/>
      <c r="BA256" s="539"/>
      <c r="BB256" s="539"/>
      <c r="BC256" s="539"/>
      <c r="BD256" s="539"/>
      <c r="BE256" s="539"/>
      <c r="BF256" s="539"/>
      <c r="BG256" s="539"/>
      <c r="BH256" s="539"/>
      <c r="BI256" s="539"/>
      <c r="BJ256" s="539"/>
      <c r="BK256" s="539"/>
      <c r="BL256" s="539"/>
      <c r="BM256" s="539"/>
      <c r="BN256" s="539"/>
      <c r="BO256" s="539"/>
      <c r="BP256" s="539"/>
      <c r="BQ256" s="539"/>
      <c r="BR256" s="539"/>
      <c r="BS256" s="539"/>
      <c r="BT256" s="539"/>
      <c r="BU256" s="539"/>
      <c r="BV256" s="539"/>
      <c r="BW256" s="539"/>
      <c r="BX256" s="539"/>
      <c r="BY256" s="539"/>
      <c r="BZ256" s="539"/>
      <c r="CA256" s="539"/>
      <c r="CB256" s="539"/>
      <c r="CC256" s="539"/>
      <c r="CD256" s="539"/>
      <c r="CE256" s="539"/>
      <c r="CF256" s="539"/>
      <c r="CG256" s="539"/>
      <c r="CH256" s="539"/>
      <c r="CI256" s="539"/>
      <c r="CJ256" s="539"/>
      <c r="CK256" s="539"/>
      <c r="CL256" s="539"/>
      <c r="CM256" s="539"/>
      <c r="CN256" s="539"/>
      <c r="CO256" s="539"/>
      <c r="CP256" s="539"/>
      <c r="CQ256" s="539"/>
      <c r="CR256" s="539"/>
      <c r="CS256" s="539"/>
      <c r="CT256" s="539"/>
      <c r="CU256" s="539"/>
      <c r="CV256" s="539"/>
      <c r="CW256" s="539"/>
      <c r="CX256" s="539"/>
      <c r="CY256" s="539"/>
      <c r="CZ256" s="539"/>
      <c r="DA256" s="539"/>
      <c r="DB256" s="539"/>
      <c r="DC256" s="539"/>
      <c r="DD256" s="539"/>
      <c r="DE256" s="539"/>
      <c r="DF256" s="539"/>
      <c r="DG256" s="539"/>
      <c r="DH256" s="539"/>
      <c r="DI256" s="539"/>
      <c r="DJ256" s="539"/>
      <c r="DK256" s="539"/>
      <c r="DL256" s="539"/>
      <c r="DM256" s="539"/>
      <c r="DN256" s="539"/>
      <c r="DO256" s="539"/>
      <c r="DP256" s="539"/>
      <c r="DQ256" s="539"/>
      <c r="DR256" s="539"/>
      <c r="DS256" s="539"/>
      <c r="DT256" s="539"/>
      <c r="DU256" s="539"/>
      <c r="DV256" s="539"/>
      <c r="DW256" s="539"/>
      <c r="DX256" s="539"/>
      <c r="DY256" s="539"/>
      <c r="DZ256" s="539"/>
      <c r="EA256" s="539"/>
      <c r="EB256" s="539"/>
      <c r="EC256" s="539"/>
      <c r="ED256" s="539"/>
    </row>
    <row r="257" spans="1:134" ht="13.5" hidden="1" customHeight="1">
      <c r="A257" s="549"/>
      <c r="B257" s="11" t="e">
        <f>+#REF!</f>
        <v>#REF!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539"/>
      <c r="AR257" s="539"/>
      <c r="AS257" s="539"/>
      <c r="AT257" s="539"/>
      <c r="AU257" s="539"/>
      <c r="AV257" s="539"/>
      <c r="AW257" s="539"/>
      <c r="AX257" s="539"/>
      <c r="AY257" s="539"/>
      <c r="AZ257" s="539"/>
      <c r="BA257" s="539"/>
      <c r="BB257" s="539"/>
      <c r="BC257" s="539"/>
      <c r="BD257" s="539"/>
      <c r="BE257" s="539"/>
      <c r="BF257" s="539"/>
      <c r="BG257" s="539"/>
      <c r="BH257" s="539"/>
      <c r="BI257" s="539"/>
      <c r="BJ257" s="539"/>
      <c r="BK257" s="539"/>
      <c r="BL257" s="539"/>
      <c r="BM257" s="539"/>
      <c r="BN257" s="539"/>
      <c r="BO257" s="539"/>
      <c r="BP257" s="539"/>
      <c r="BQ257" s="539"/>
      <c r="BR257" s="539"/>
      <c r="BS257" s="539"/>
      <c r="BT257" s="539"/>
      <c r="BU257" s="539"/>
      <c r="BV257" s="539"/>
      <c r="BW257" s="539"/>
      <c r="BX257" s="539"/>
      <c r="BY257" s="539"/>
      <c r="BZ257" s="539"/>
      <c r="CA257" s="539"/>
      <c r="CB257" s="539"/>
      <c r="CC257" s="539"/>
      <c r="CD257" s="539"/>
      <c r="CE257" s="539"/>
      <c r="CF257" s="539"/>
      <c r="CG257" s="539"/>
      <c r="CH257" s="539"/>
      <c r="CI257" s="539"/>
      <c r="CJ257" s="539"/>
      <c r="CK257" s="539"/>
      <c r="CL257" s="539"/>
      <c r="CM257" s="539"/>
      <c r="CN257" s="539"/>
      <c r="CO257" s="539"/>
      <c r="CP257" s="539"/>
      <c r="CQ257" s="539"/>
      <c r="CR257" s="539"/>
      <c r="CS257" s="539"/>
      <c r="CT257" s="539"/>
      <c r="CU257" s="539"/>
      <c r="CV257" s="539"/>
      <c r="CW257" s="539"/>
      <c r="CX257" s="539"/>
      <c r="CY257" s="539"/>
      <c r="CZ257" s="539"/>
      <c r="DA257" s="539"/>
      <c r="DB257" s="539"/>
      <c r="DC257" s="539"/>
      <c r="DD257" s="539"/>
      <c r="DE257" s="539"/>
      <c r="DF257" s="539"/>
      <c r="DG257" s="539"/>
      <c r="DH257" s="539"/>
      <c r="DI257" s="539"/>
      <c r="DJ257" s="539"/>
      <c r="DK257" s="539"/>
      <c r="DL257" s="539"/>
      <c r="DM257" s="539"/>
      <c r="DN257" s="539"/>
      <c r="DO257" s="539"/>
      <c r="DP257" s="539"/>
      <c r="DQ257" s="539"/>
      <c r="DR257" s="539"/>
      <c r="DS257" s="539"/>
      <c r="DT257" s="539"/>
      <c r="DU257" s="539"/>
      <c r="DV257" s="539"/>
      <c r="DW257" s="539"/>
      <c r="DX257" s="539"/>
      <c r="DY257" s="539"/>
      <c r="DZ257" s="539"/>
      <c r="EA257" s="539"/>
      <c r="EB257" s="539"/>
      <c r="EC257" s="539"/>
      <c r="ED257" s="539"/>
    </row>
    <row r="258" spans="1:134" ht="13.5" hidden="1" customHeight="1">
      <c r="A258" s="549"/>
      <c r="B258" s="11" t="e">
        <f>+#REF!</f>
        <v>#REF!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539"/>
      <c r="AR258" s="539"/>
      <c r="AS258" s="539"/>
      <c r="AT258" s="539"/>
      <c r="AU258" s="539"/>
      <c r="AV258" s="539"/>
      <c r="AW258" s="539"/>
      <c r="AX258" s="539"/>
      <c r="AY258" s="539"/>
      <c r="AZ258" s="539"/>
      <c r="BA258" s="539"/>
      <c r="BB258" s="539"/>
      <c r="BC258" s="539"/>
      <c r="BD258" s="539"/>
      <c r="BE258" s="539"/>
      <c r="BF258" s="539"/>
      <c r="BG258" s="539"/>
      <c r="BH258" s="539"/>
      <c r="BI258" s="539"/>
      <c r="BJ258" s="539"/>
      <c r="BK258" s="539"/>
      <c r="BL258" s="539"/>
      <c r="BM258" s="539"/>
      <c r="BN258" s="539"/>
      <c r="BO258" s="539"/>
      <c r="BP258" s="539"/>
      <c r="BQ258" s="539"/>
      <c r="BR258" s="539"/>
      <c r="BS258" s="539"/>
      <c r="BT258" s="539"/>
      <c r="BU258" s="539"/>
      <c r="BV258" s="539"/>
      <c r="BW258" s="539"/>
      <c r="BX258" s="539"/>
      <c r="BY258" s="539"/>
      <c r="BZ258" s="539"/>
      <c r="CA258" s="539"/>
      <c r="CB258" s="539"/>
      <c r="CC258" s="539"/>
      <c r="CD258" s="539"/>
      <c r="CE258" s="539"/>
      <c r="CF258" s="539"/>
      <c r="CG258" s="539"/>
      <c r="CH258" s="539"/>
      <c r="CI258" s="539"/>
      <c r="CJ258" s="539"/>
      <c r="CK258" s="539"/>
      <c r="CL258" s="539"/>
      <c r="CM258" s="539"/>
      <c r="CN258" s="539"/>
      <c r="CO258" s="539"/>
      <c r="CP258" s="539"/>
      <c r="CQ258" s="539"/>
      <c r="CR258" s="539"/>
      <c r="CS258" s="539"/>
      <c r="CT258" s="539"/>
      <c r="CU258" s="539"/>
      <c r="CV258" s="539"/>
      <c r="CW258" s="539"/>
      <c r="CX258" s="539"/>
      <c r="CY258" s="539"/>
      <c r="CZ258" s="539"/>
      <c r="DA258" s="539"/>
      <c r="DB258" s="539"/>
      <c r="DC258" s="539"/>
      <c r="DD258" s="539"/>
      <c r="DE258" s="539"/>
      <c r="DF258" s="539"/>
      <c r="DG258" s="539"/>
      <c r="DH258" s="539"/>
      <c r="DI258" s="539"/>
      <c r="DJ258" s="539"/>
      <c r="DK258" s="539"/>
      <c r="DL258" s="539"/>
      <c r="DM258" s="539"/>
      <c r="DN258" s="539"/>
      <c r="DO258" s="539"/>
      <c r="DP258" s="539"/>
      <c r="DQ258" s="539"/>
      <c r="DR258" s="539"/>
      <c r="DS258" s="539"/>
      <c r="DT258" s="539"/>
      <c r="DU258" s="539"/>
      <c r="DV258" s="539"/>
      <c r="DW258" s="539"/>
      <c r="DX258" s="539"/>
      <c r="DY258" s="539"/>
      <c r="DZ258" s="539"/>
      <c r="EA258" s="539"/>
      <c r="EB258" s="539"/>
      <c r="EC258" s="539"/>
      <c r="ED258" s="539"/>
    </row>
    <row r="259" spans="1:134" ht="13.5" hidden="1" customHeight="1">
      <c r="A259" s="549"/>
      <c r="B259" s="11" t="e">
        <f>+#REF!</f>
        <v>#REF!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539"/>
      <c r="AR259" s="539"/>
      <c r="AS259" s="539"/>
      <c r="AT259" s="539"/>
      <c r="AU259" s="539"/>
      <c r="AV259" s="539"/>
      <c r="AW259" s="539"/>
      <c r="AX259" s="539"/>
      <c r="AY259" s="539"/>
      <c r="AZ259" s="539"/>
      <c r="BA259" s="539"/>
      <c r="BB259" s="539"/>
      <c r="BC259" s="539"/>
      <c r="BD259" s="539"/>
      <c r="BE259" s="539"/>
      <c r="BF259" s="539"/>
      <c r="BG259" s="539"/>
      <c r="BH259" s="539"/>
      <c r="BI259" s="539"/>
      <c r="BJ259" s="539"/>
      <c r="BK259" s="539"/>
      <c r="BL259" s="539"/>
      <c r="BM259" s="539"/>
      <c r="BN259" s="539"/>
      <c r="BO259" s="539"/>
      <c r="BP259" s="539"/>
      <c r="BQ259" s="539"/>
      <c r="BR259" s="539"/>
      <c r="BS259" s="539"/>
      <c r="BT259" s="539"/>
      <c r="BU259" s="539"/>
      <c r="BV259" s="539"/>
      <c r="BW259" s="539"/>
      <c r="BX259" s="539"/>
      <c r="BY259" s="539"/>
      <c r="BZ259" s="539"/>
      <c r="CA259" s="539"/>
      <c r="CB259" s="539"/>
      <c r="CC259" s="539"/>
      <c r="CD259" s="539"/>
      <c r="CE259" s="539"/>
      <c r="CF259" s="539"/>
      <c r="CG259" s="539"/>
      <c r="CH259" s="539"/>
      <c r="CI259" s="539"/>
      <c r="CJ259" s="539"/>
      <c r="CK259" s="539"/>
      <c r="CL259" s="539"/>
      <c r="CM259" s="539"/>
      <c r="CN259" s="539"/>
      <c r="CO259" s="539"/>
      <c r="CP259" s="539"/>
      <c r="CQ259" s="539"/>
      <c r="CR259" s="539"/>
      <c r="CS259" s="539"/>
      <c r="CT259" s="539"/>
      <c r="CU259" s="539"/>
      <c r="CV259" s="539"/>
      <c r="CW259" s="539"/>
      <c r="CX259" s="539"/>
      <c r="CY259" s="539"/>
      <c r="CZ259" s="539"/>
      <c r="DA259" s="539"/>
      <c r="DB259" s="539"/>
      <c r="DC259" s="539"/>
      <c r="DD259" s="539"/>
      <c r="DE259" s="539"/>
      <c r="DF259" s="539"/>
      <c r="DG259" s="539"/>
      <c r="DH259" s="539"/>
      <c r="DI259" s="539"/>
      <c r="DJ259" s="539"/>
      <c r="DK259" s="539"/>
      <c r="DL259" s="539"/>
      <c r="DM259" s="539"/>
      <c r="DN259" s="539"/>
      <c r="DO259" s="539"/>
      <c r="DP259" s="539"/>
      <c r="DQ259" s="539"/>
      <c r="DR259" s="539"/>
      <c r="DS259" s="539"/>
      <c r="DT259" s="539"/>
      <c r="DU259" s="539"/>
      <c r="DV259" s="539"/>
      <c r="DW259" s="539"/>
      <c r="DX259" s="539"/>
      <c r="DY259" s="539"/>
      <c r="DZ259" s="539"/>
      <c r="EA259" s="539"/>
      <c r="EB259" s="539"/>
      <c r="EC259" s="539"/>
      <c r="ED259" s="539"/>
    </row>
    <row r="260" spans="1:134" ht="13.5" hidden="1" customHeight="1">
      <c r="A260" s="549"/>
      <c r="B260" s="11" t="e">
        <f>+#REF!</f>
        <v>#REF!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539"/>
      <c r="AR260" s="539"/>
      <c r="AS260" s="539"/>
      <c r="AT260" s="539"/>
      <c r="AU260" s="539"/>
      <c r="AV260" s="539"/>
      <c r="AW260" s="539"/>
      <c r="AX260" s="539"/>
      <c r="AY260" s="539"/>
      <c r="AZ260" s="539"/>
      <c r="BA260" s="539"/>
      <c r="BB260" s="539"/>
      <c r="BC260" s="539"/>
      <c r="BD260" s="539"/>
      <c r="BE260" s="539"/>
      <c r="BF260" s="539"/>
      <c r="BG260" s="539"/>
      <c r="BH260" s="539"/>
      <c r="BI260" s="539"/>
      <c r="BJ260" s="539"/>
      <c r="BK260" s="539"/>
      <c r="BL260" s="539"/>
      <c r="BM260" s="539"/>
      <c r="BN260" s="539"/>
      <c r="BO260" s="539"/>
      <c r="BP260" s="539"/>
      <c r="BQ260" s="539"/>
      <c r="BR260" s="539"/>
      <c r="BS260" s="539"/>
      <c r="BT260" s="539"/>
      <c r="BU260" s="539"/>
      <c r="BV260" s="539"/>
      <c r="BW260" s="539"/>
      <c r="BX260" s="539"/>
      <c r="BY260" s="539"/>
      <c r="BZ260" s="539"/>
      <c r="CA260" s="539"/>
      <c r="CB260" s="539"/>
      <c r="CC260" s="539"/>
      <c r="CD260" s="539"/>
      <c r="CE260" s="539"/>
      <c r="CF260" s="539"/>
      <c r="CG260" s="539"/>
      <c r="CH260" s="539"/>
      <c r="CI260" s="539"/>
      <c r="CJ260" s="539"/>
      <c r="CK260" s="539"/>
      <c r="CL260" s="539"/>
      <c r="CM260" s="539"/>
      <c r="CN260" s="539"/>
      <c r="CO260" s="539"/>
      <c r="CP260" s="539"/>
      <c r="CQ260" s="539"/>
      <c r="CR260" s="539"/>
      <c r="CS260" s="539"/>
      <c r="CT260" s="539"/>
      <c r="CU260" s="539"/>
      <c r="CV260" s="539"/>
      <c r="CW260" s="539"/>
      <c r="CX260" s="539"/>
      <c r="CY260" s="539"/>
      <c r="CZ260" s="539"/>
      <c r="DA260" s="539"/>
      <c r="DB260" s="539"/>
      <c r="DC260" s="539"/>
      <c r="DD260" s="539"/>
      <c r="DE260" s="539"/>
      <c r="DF260" s="539"/>
      <c r="DG260" s="539"/>
      <c r="DH260" s="539"/>
      <c r="DI260" s="539"/>
      <c r="DJ260" s="539"/>
      <c r="DK260" s="539"/>
      <c r="DL260" s="539"/>
      <c r="DM260" s="539"/>
      <c r="DN260" s="539"/>
      <c r="DO260" s="539"/>
      <c r="DP260" s="539"/>
      <c r="DQ260" s="539"/>
      <c r="DR260" s="539"/>
      <c r="DS260" s="539"/>
      <c r="DT260" s="539"/>
      <c r="DU260" s="539"/>
      <c r="DV260" s="539"/>
      <c r="DW260" s="539"/>
      <c r="DX260" s="539"/>
      <c r="DY260" s="539"/>
      <c r="DZ260" s="539"/>
      <c r="EA260" s="539"/>
      <c r="EB260" s="539"/>
      <c r="EC260" s="539"/>
      <c r="ED260" s="539"/>
    </row>
    <row r="261" spans="1:134" ht="13.5" hidden="1" customHeight="1">
      <c r="A261" s="549"/>
      <c r="B261" s="11" t="e">
        <f>+#REF!</f>
        <v>#REF!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539"/>
      <c r="AR261" s="539"/>
      <c r="AS261" s="539"/>
      <c r="AT261" s="539"/>
      <c r="AU261" s="539"/>
      <c r="AV261" s="539"/>
      <c r="AW261" s="539"/>
      <c r="AX261" s="539"/>
      <c r="AY261" s="539"/>
      <c r="AZ261" s="539"/>
      <c r="BA261" s="539"/>
      <c r="BB261" s="539"/>
      <c r="BC261" s="539"/>
      <c r="BD261" s="539"/>
      <c r="BE261" s="539"/>
      <c r="BF261" s="539"/>
      <c r="BG261" s="539"/>
      <c r="BH261" s="539"/>
      <c r="BI261" s="539"/>
      <c r="BJ261" s="539"/>
      <c r="BK261" s="539"/>
      <c r="BL261" s="539"/>
      <c r="BM261" s="539"/>
      <c r="BN261" s="539"/>
      <c r="BO261" s="539"/>
      <c r="BP261" s="539"/>
      <c r="BQ261" s="539"/>
      <c r="BR261" s="539"/>
      <c r="BS261" s="539"/>
      <c r="BT261" s="539"/>
      <c r="BU261" s="539"/>
      <c r="BV261" s="539"/>
      <c r="BW261" s="539"/>
      <c r="BX261" s="539"/>
      <c r="BY261" s="539"/>
      <c r="BZ261" s="539"/>
      <c r="CA261" s="539"/>
      <c r="CB261" s="539"/>
      <c r="CC261" s="539"/>
      <c r="CD261" s="539"/>
      <c r="CE261" s="539"/>
      <c r="CF261" s="539"/>
      <c r="CG261" s="539"/>
      <c r="CH261" s="539"/>
      <c r="CI261" s="539"/>
      <c r="CJ261" s="539"/>
      <c r="CK261" s="539"/>
      <c r="CL261" s="539"/>
      <c r="CM261" s="539"/>
      <c r="CN261" s="539"/>
      <c r="CO261" s="539"/>
      <c r="CP261" s="539"/>
      <c r="CQ261" s="539"/>
      <c r="CR261" s="539"/>
      <c r="CS261" s="539"/>
      <c r="CT261" s="539"/>
      <c r="CU261" s="539"/>
      <c r="CV261" s="539"/>
      <c r="CW261" s="539"/>
      <c r="CX261" s="539"/>
      <c r="CY261" s="539"/>
      <c r="CZ261" s="539"/>
      <c r="DA261" s="539"/>
      <c r="DB261" s="539"/>
      <c r="DC261" s="539"/>
      <c r="DD261" s="539"/>
      <c r="DE261" s="539"/>
      <c r="DF261" s="539"/>
      <c r="DG261" s="539"/>
      <c r="DH261" s="539"/>
      <c r="DI261" s="539"/>
      <c r="DJ261" s="539"/>
      <c r="DK261" s="539"/>
      <c r="DL261" s="539"/>
      <c r="DM261" s="539"/>
      <c r="DN261" s="539"/>
      <c r="DO261" s="539"/>
      <c r="DP261" s="539"/>
      <c r="DQ261" s="539"/>
      <c r="DR261" s="539"/>
      <c r="DS261" s="539"/>
      <c r="DT261" s="539"/>
      <c r="DU261" s="539"/>
      <c r="DV261" s="539"/>
      <c r="DW261" s="539"/>
      <c r="DX261" s="539"/>
      <c r="DY261" s="539"/>
      <c r="DZ261" s="539"/>
      <c r="EA261" s="539"/>
      <c r="EB261" s="539"/>
      <c r="EC261" s="539"/>
      <c r="ED261" s="539"/>
    </row>
    <row r="262" spans="1:134" ht="13.5" hidden="1" customHeight="1">
      <c r="A262" s="549"/>
      <c r="B262" s="11" t="e">
        <f>+#REF!</f>
        <v>#REF!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539"/>
      <c r="AR262" s="539"/>
      <c r="AS262" s="539"/>
      <c r="AT262" s="539"/>
      <c r="AU262" s="539"/>
      <c r="AV262" s="539"/>
      <c r="AW262" s="539"/>
      <c r="AX262" s="539"/>
      <c r="AY262" s="539"/>
      <c r="AZ262" s="539"/>
      <c r="BA262" s="539"/>
      <c r="BB262" s="539"/>
      <c r="BC262" s="539"/>
      <c r="BD262" s="539"/>
      <c r="BE262" s="539"/>
      <c r="BF262" s="539"/>
      <c r="BG262" s="539"/>
      <c r="BH262" s="539"/>
      <c r="BI262" s="539"/>
      <c r="BJ262" s="539"/>
      <c r="BK262" s="539"/>
      <c r="BL262" s="539"/>
      <c r="BM262" s="539"/>
      <c r="BN262" s="539"/>
      <c r="BO262" s="539"/>
      <c r="BP262" s="539"/>
      <c r="BQ262" s="539"/>
      <c r="BR262" s="539"/>
      <c r="BS262" s="539"/>
      <c r="BT262" s="539"/>
      <c r="BU262" s="539"/>
      <c r="BV262" s="539"/>
      <c r="BW262" s="539"/>
      <c r="BX262" s="539"/>
      <c r="BY262" s="539"/>
      <c r="BZ262" s="539"/>
      <c r="CA262" s="539"/>
      <c r="CB262" s="539"/>
      <c r="CC262" s="539"/>
      <c r="CD262" s="539"/>
      <c r="CE262" s="539"/>
      <c r="CF262" s="539"/>
      <c r="CG262" s="539"/>
      <c r="CH262" s="539"/>
      <c r="CI262" s="539"/>
      <c r="CJ262" s="539"/>
      <c r="CK262" s="539"/>
      <c r="CL262" s="539"/>
      <c r="CM262" s="539"/>
      <c r="CN262" s="539"/>
      <c r="CO262" s="539"/>
      <c r="CP262" s="539"/>
      <c r="CQ262" s="539"/>
      <c r="CR262" s="539"/>
      <c r="CS262" s="539"/>
      <c r="CT262" s="539"/>
      <c r="CU262" s="539"/>
      <c r="CV262" s="539"/>
      <c r="CW262" s="539"/>
      <c r="CX262" s="539"/>
      <c r="CY262" s="539"/>
      <c r="CZ262" s="539"/>
      <c r="DA262" s="539"/>
      <c r="DB262" s="539"/>
      <c r="DC262" s="539"/>
      <c r="DD262" s="539"/>
      <c r="DE262" s="539"/>
      <c r="DF262" s="539"/>
      <c r="DG262" s="539"/>
      <c r="DH262" s="539"/>
      <c r="DI262" s="539"/>
      <c r="DJ262" s="539"/>
      <c r="DK262" s="539"/>
      <c r="DL262" s="539"/>
      <c r="DM262" s="539"/>
      <c r="DN262" s="539"/>
      <c r="DO262" s="539"/>
      <c r="DP262" s="539"/>
      <c r="DQ262" s="539"/>
      <c r="DR262" s="539"/>
      <c r="DS262" s="539"/>
      <c r="DT262" s="539"/>
      <c r="DU262" s="539"/>
      <c r="DV262" s="539"/>
      <c r="DW262" s="539"/>
      <c r="DX262" s="539"/>
      <c r="DY262" s="539"/>
      <c r="DZ262" s="539"/>
      <c r="EA262" s="539"/>
      <c r="EB262" s="539"/>
      <c r="EC262" s="539"/>
      <c r="ED262" s="539"/>
    </row>
    <row r="263" spans="1:134" ht="13.5" hidden="1" customHeight="1">
      <c r="A263" s="549"/>
      <c r="B263" s="11" t="e">
        <f>+#REF!</f>
        <v>#REF!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539"/>
      <c r="AR263" s="539"/>
      <c r="AS263" s="539"/>
      <c r="AT263" s="539"/>
      <c r="AU263" s="539"/>
      <c r="AV263" s="539"/>
      <c r="AW263" s="539"/>
      <c r="AX263" s="539"/>
      <c r="AY263" s="539"/>
      <c r="AZ263" s="539"/>
      <c r="BA263" s="539"/>
      <c r="BB263" s="539"/>
      <c r="BC263" s="539"/>
      <c r="BD263" s="539"/>
      <c r="BE263" s="539"/>
      <c r="BF263" s="539"/>
      <c r="BG263" s="539"/>
      <c r="BH263" s="539"/>
      <c r="BI263" s="539"/>
      <c r="BJ263" s="539"/>
      <c r="BK263" s="539"/>
      <c r="BL263" s="539"/>
      <c r="BM263" s="539"/>
      <c r="BN263" s="539"/>
      <c r="BO263" s="539"/>
      <c r="BP263" s="539"/>
      <c r="BQ263" s="539"/>
      <c r="BR263" s="539"/>
      <c r="BS263" s="539"/>
      <c r="BT263" s="539"/>
      <c r="BU263" s="539"/>
      <c r="BV263" s="539"/>
      <c r="BW263" s="539"/>
      <c r="BX263" s="539"/>
      <c r="BY263" s="539"/>
      <c r="BZ263" s="539"/>
      <c r="CA263" s="539"/>
      <c r="CB263" s="539"/>
      <c r="CC263" s="539"/>
      <c r="CD263" s="539"/>
      <c r="CE263" s="539"/>
      <c r="CF263" s="539"/>
      <c r="CG263" s="539"/>
      <c r="CH263" s="539"/>
      <c r="CI263" s="539"/>
      <c r="CJ263" s="539"/>
      <c r="CK263" s="539"/>
      <c r="CL263" s="539"/>
      <c r="CM263" s="539"/>
      <c r="CN263" s="539"/>
      <c r="CO263" s="539"/>
      <c r="CP263" s="539"/>
      <c r="CQ263" s="539"/>
      <c r="CR263" s="539"/>
      <c r="CS263" s="539"/>
      <c r="CT263" s="539"/>
      <c r="CU263" s="539"/>
      <c r="CV263" s="539"/>
      <c r="CW263" s="539"/>
      <c r="CX263" s="539"/>
      <c r="CY263" s="539"/>
      <c r="CZ263" s="539"/>
      <c r="DA263" s="539"/>
      <c r="DB263" s="539"/>
      <c r="DC263" s="539"/>
      <c r="DD263" s="539"/>
      <c r="DE263" s="539"/>
      <c r="DF263" s="539"/>
      <c r="DG263" s="539"/>
      <c r="DH263" s="539"/>
      <c r="DI263" s="539"/>
      <c r="DJ263" s="539"/>
      <c r="DK263" s="539"/>
      <c r="DL263" s="539"/>
      <c r="DM263" s="539"/>
      <c r="DN263" s="539"/>
      <c r="DO263" s="539"/>
      <c r="DP263" s="539"/>
      <c r="DQ263" s="539"/>
      <c r="DR263" s="539"/>
      <c r="DS263" s="539"/>
      <c r="DT263" s="539"/>
      <c r="DU263" s="539"/>
      <c r="DV263" s="539"/>
      <c r="DW263" s="539"/>
      <c r="DX263" s="539"/>
      <c r="DY263" s="539"/>
      <c r="DZ263" s="539"/>
      <c r="EA263" s="539"/>
      <c r="EB263" s="539"/>
      <c r="EC263" s="539"/>
      <c r="ED263" s="539"/>
    </row>
    <row r="264" spans="1:134" ht="13.5" hidden="1" customHeight="1">
      <c r="A264" s="549"/>
      <c r="B264" s="11" t="e">
        <f>+#REF!</f>
        <v>#REF!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539"/>
      <c r="AR264" s="539"/>
      <c r="AS264" s="539"/>
      <c r="AT264" s="539"/>
      <c r="AU264" s="539"/>
      <c r="AV264" s="539"/>
      <c r="AW264" s="539"/>
      <c r="AX264" s="539"/>
      <c r="AY264" s="539"/>
      <c r="AZ264" s="539"/>
      <c r="BA264" s="539"/>
      <c r="BB264" s="539"/>
      <c r="BC264" s="539"/>
      <c r="BD264" s="539"/>
      <c r="BE264" s="539"/>
      <c r="BF264" s="539"/>
      <c r="BG264" s="539"/>
      <c r="BH264" s="539"/>
      <c r="BI264" s="539"/>
      <c r="BJ264" s="539"/>
      <c r="BK264" s="539"/>
      <c r="BL264" s="539"/>
      <c r="BM264" s="539"/>
      <c r="BN264" s="539"/>
      <c r="BO264" s="539"/>
      <c r="BP264" s="539"/>
      <c r="BQ264" s="539"/>
      <c r="BR264" s="539"/>
      <c r="BS264" s="539"/>
      <c r="BT264" s="539"/>
      <c r="BU264" s="539"/>
      <c r="BV264" s="539"/>
      <c r="BW264" s="539"/>
      <c r="BX264" s="539"/>
      <c r="BY264" s="539"/>
      <c r="BZ264" s="539"/>
      <c r="CA264" s="539"/>
      <c r="CB264" s="539"/>
      <c r="CC264" s="539"/>
      <c r="CD264" s="539"/>
      <c r="CE264" s="539"/>
      <c r="CF264" s="539"/>
      <c r="CG264" s="539"/>
      <c r="CH264" s="539"/>
      <c r="CI264" s="539"/>
      <c r="CJ264" s="539"/>
      <c r="CK264" s="539"/>
      <c r="CL264" s="539"/>
      <c r="CM264" s="539"/>
      <c r="CN264" s="539"/>
      <c r="CO264" s="539"/>
      <c r="CP264" s="539"/>
      <c r="CQ264" s="539"/>
      <c r="CR264" s="539"/>
      <c r="CS264" s="539"/>
      <c r="CT264" s="539"/>
      <c r="CU264" s="539"/>
      <c r="CV264" s="539"/>
      <c r="CW264" s="539"/>
      <c r="CX264" s="539"/>
      <c r="CY264" s="539"/>
      <c r="CZ264" s="539"/>
      <c r="DA264" s="539"/>
      <c r="DB264" s="539"/>
      <c r="DC264" s="539"/>
      <c r="DD264" s="539"/>
      <c r="DE264" s="539"/>
      <c r="DF264" s="539"/>
      <c r="DG264" s="539"/>
      <c r="DH264" s="539"/>
      <c r="DI264" s="539"/>
      <c r="DJ264" s="539"/>
      <c r="DK264" s="539"/>
      <c r="DL264" s="539"/>
      <c r="DM264" s="539"/>
      <c r="DN264" s="539"/>
      <c r="DO264" s="539"/>
      <c r="DP264" s="539"/>
      <c r="DQ264" s="539"/>
      <c r="DR264" s="539"/>
      <c r="DS264" s="539"/>
      <c r="DT264" s="539"/>
      <c r="DU264" s="539"/>
      <c r="DV264" s="539"/>
      <c r="DW264" s="539"/>
      <c r="DX264" s="539"/>
      <c r="DY264" s="539"/>
      <c r="DZ264" s="539"/>
      <c r="EA264" s="539"/>
      <c r="EB264" s="539"/>
      <c r="EC264" s="539"/>
      <c r="ED264" s="539"/>
    </row>
    <row r="265" spans="1:134" ht="13.5" hidden="1" customHeight="1">
      <c r="A265" s="549"/>
      <c r="B265" s="11" t="e">
        <f>+#REF!</f>
        <v>#REF!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539"/>
      <c r="AR265" s="539"/>
      <c r="AS265" s="539"/>
      <c r="AT265" s="539"/>
      <c r="AU265" s="539"/>
      <c r="AV265" s="539"/>
      <c r="AW265" s="539"/>
      <c r="AX265" s="539"/>
      <c r="AY265" s="539"/>
      <c r="AZ265" s="539"/>
      <c r="BA265" s="539"/>
      <c r="BB265" s="539"/>
      <c r="BC265" s="539"/>
      <c r="BD265" s="539"/>
      <c r="BE265" s="539"/>
      <c r="BF265" s="539"/>
      <c r="BG265" s="539"/>
      <c r="BH265" s="539"/>
      <c r="BI265" s="539"/>
      <c r="BJ265" s="539"/>
      <c r="BK265" s="539"/>
      <c r="BL265" s="539"/>
      <c r="BM265" s="539"/>
      <c r="BN265" s="539"/>
      <c r="BO265" s="539"/>
      <c r="BP265" s="539"/>
      <c r="BQ265" s="539"/>
      <c r="BR265" s="539"/>
      <c r="BS265" s="539"/>
      <c r="BT265" s="539"/>
      <c r="BU265" s="539"/>
      <c r="BV265" s="539"/>
      <c r="BW265" s="539"/>
      <c r="BX265" s="539"/>
      <c r="BY265" s="539"/>
      <c r="BZ265" s="539"/>
      <c r="CA265" s="539"/>
      <c r="CB265" s="539"/>
      <c r="CC265" s="539"/>
      <c r="CD265" s="539"/>
      <c r="CE265" s="539"/>
      <c r="CF265" s="539"/>
      <c r="CG265" s="539"/>
      <c r="CH265" s="539"/>
      <c r="CI265" s="539"/>
      <c r="CJ265" s="539"/>
      <c r="CK265" s="539"/>
      <c r="CL265" s="539"/>
      <c r="CM265" s="539"/>
      <c r="CN265" s="539"/>
      <c r="CO265" s="539"/>
      <c r="CP265" s="539"/>
      <c r="CQ265" s="539"/>
      <c r="CR265" s="539"/>
      <c r="CS265" s="539"/>
      <c r="CT265" s="539"/>
      <c r="CU265" s="539"/>
      <c r="CV265" s="539"/>
      <c r="CW265" s="539"/>
      <c r="CX265" s="539"/>
      <c r="CY265" s="539"/>
      <c r="CZ265" s="539"/>
      <c r="DA265" s="539"/>
      <c r="DB265" s="539"/>
      <c r="DC265" s="539"/>
      <c r="DD265" s="539"/>
      <c r="DE265" s="539"/>
      <c r="DF265" s="539"/>
      <c r="DG265" s="539"/>
      <c r="DH265" s="539"/>
      <c r="DI265" s="539"/>
      <c r="DJ265" s="539"/>
      <c r="DK265" s="539"/>
      <c r="DL265" s="539"/>
      <c r="DM265" s="539"/>
      <c r="DN265" s="539"/>
      <c r="DO265" s="539"/>
      <c r="DP265" s="539"/>
      <c r="DQ265" s="539"/>
      <c r="DR265" s="539"/>
      <c r="DS265" s="539"/>
      <c r="DT265" s="539"/>
      <c r="DU265" s="539"/>
      <c r="DV265" s="539"/>
      <c r="DW265" s="539"/>
      <c r="DX265" s="539"/>
      <c r="DY265" s="539"/>
      <c r="DZ265" s="539"/>
      <c r="EA265" s="539"/>
      <c r="EB265" s="539"/>
      <c r="EC265" s="539"/>
      <c r="ED265" s="539"/>
    </row>
    <row r="266" spans="1:134" ht="13.5" customHeight="1">
      <c r="A266" s="545"/>
      <c r="B266" s="6" t="e">
        <f>+#REF!</f>
        <v>#REF!</v>
      </c>
      <c r="C266" s="7">
        <f t="shared" ref="C266:AP266" si="6">SUM(C218,C234,C250)</f>
        <v>155569.006536</v>
      </c>
      <c r="D266" s="7">
        <f t="shared" si="6"/>
        <v>285977.17560800002</v>
      </c>
      <c r="E266" s="7">
        <f t="shared" si="6"/>
        <v>290956.154339</v>
      </c>
      <c r="F266" s="7">
        <f t="shared" si="6"/>
        <v>289492.09794800001</v>
      </c>
      <c r="G266" s="7">
        <f t="shared" si="6"/>
        <v>287497.99768299999</v>
      </c>
      <c r="H266" s="7">
        <f t="shared" si="6"/>
        <v>285503.89741800004</v>
      </c>
      <c r="I266" s="7">
        <f t="shared" si="6"/>
        <v>283509.79715300002</v>
      </c>
      <c r="J266" s="7">
        <f t="shared" si="6"/>
        <v>331515.69688800001</v>
      </c>
      <c r="K266" s="7">
        <f t="shared" si="6"/>
        <v>379521.59662299999</v>
      </c>
      <c r="L266" s="7">
        <f t="shared" si="6"/>
        <v>377527.49635799997</v>
      </c>
      <c r="M266" s="7">
        <f t="shared" si="6"/>
        <v>375533.39609300002</v>
      </c>
      <c r="N266" s="7">
        <f t="shared" si="6"/>
        <v>373539.295828</v>
      </c>
      <c r="O266" s="7">
        <f t="shared" si="6"/>
        <v>371545.19556299999</v>
      </c>
      <c r="P266" s="7">
        <f t="shared" si="6"/>
        <v>0</v>
      </c>
      <c r="Q266" s="7">
        <f t="shared" si="6"/>
        <v>0</v>
      </c>
      <c r="R266" s="7">
        <f t="shared" si="6"/>
        <v>0</v>
      </c>
      <c r="S266" s="7">
        <f t="shared" si="6"/>
        <v>0</v>
      </c>
      <c r="T266" s="7">
        <f t="shared" si="6"/>
        <v>0</v>
      </c>
      <c r="U266" s="7">
        <f t="shared" si="6"/>
        <v>0</v>
      </c>
      <c r="V266" s="7">
        <f t="shared" si="6"/>
        <v>0</v>
      </c>
      <c r="W266" s="7">
        <f t="shared" si="6"/>
        <v>0</v>
      </c>
      <c r="X266" s="7">
        <f t="shared" si="6"/>
        <v>0</v>
      </c>
      <c r="Y266" s="7">
        <f t="shared" si="6"/>
        <v>0</v>
      </c>
      <c r="Z266" s="7">
        <f t="shared" si="6"/>
        <v>0</v>
      </c>
      <c r="AA266" s="7">
        <f t="shared" si="6"/>
        <v>0</v>
      </c>
      <c r="AB266" s="7">
        <f t="shared" si="6"/>
        <v>0</v>
      </c>
      <c r="AC266" s="7">
        <f t="shared" si="6"/>
        <v>0</v>
      </c>
      <c r="AD266" s="7">
        <f t="shared" si="6"/>
        <v>0</v>
      </c>
      <c r="AE266" s="7">
        <f t="shared" si="6"/>
        <v>0</v>
      </c>
      <c r="AF266" s="7">
        <f t="shared" si="6"/>
        <v>0</v>
      </c>
      <c r="AG266" s="7">
        <f t="shared" si="6"/>
        <v>0</v>
      </c>
      <c r="AH266" s="7">
        <f t="shared" si="6"/>
        <v>0</v>
      </c>
      <c r="AI266" s="7">
        <f t="shared" si="6"/>
        <v>0</v>
      </c>
      <c r="AJ266" s="7">
        <f t="shared" si="6"/>
        <v>0</v>
      </c>
      <c r="AK266" s="7">
        <f t="shared" si="6"/>
        <v>0</v>
      </c>
      <c r="AL266" s="7">
        <f t="shared" si="6"/>
        <v>0</v>
      </c>
      <c r="AM266" s="7">
        <f t="shared" si="6"/>
        <v>0</v>
      </c>
      <c r="AN266" s="7">
        <f t="shared" si="6"/>
        <v>0</v>
      </c>
      <c r="AO266" s="7">
        <f t="shared" si="6"/>
        <v>0</v>
      </c>
      <c r="AP266" s="7">
        <f t="shared" si="6"/>
        <v>0</v>
      </c>
      <c r="AQ266" s="539"/>
      <c r="AR266" s="539"/>
      <c r="AS266" s="539"/>
      <c r="AT266" s="539"/>
      <c r="AU266" s="539"/>
      <c r="AV266" s="539"/>
      <c r="AW266" s="539"/>
      <c r="AX266" s="539"/>
      <c r="AY266" s="539"/>
      <c r="AZ266" s="539"/>
      <c r="BA266" s="539"/>
      <c r="BB266" s="539"/>
      <c r="BC266" s="539"/>
      <c r="BD266" s="539"/>
      <c r="BE266" s="539"/>
      <c r="BF266" s="539"/>
      <c r="BG266" s="539"/>
      <c r="BH266" s="539"/>
      <c r="BI266" s="539"/>
      <c r="BJ266" s="539"/>
      <c r="BK266" s="539"/>
      <c r="BL266" s="539"/>
      <c r="BM266" s="539"/>
      <c r="BN266" s="539"/>
      <c r="BO266" s="539"/>
      <c r="BP266" s="539"/>
      <c r="BQ266" s="539"/>
      <c r="BR266" s="539"/>
      <c r="BS266" s="539"/>
      <c r="BT266" s="539"/>
      <c r="BU266" s="539"/>
      <c r="BV266" s="539"/>
      <c r="BW266" s="539"/>
      <c r="BX266" s="539"/>
      <c r="BY266" s="539"/>
      <c r="BZ266" s="539"/>
      <c r="CA266" s="539"/>
      <c r="CB266" s="539"/>
      <c r="CC266" s="539"/>
      <c r="CD266" s="539"/>
      <c r="CE266" s="539"/>
      <c r="CF266" s="539"/>
      <c r="CG266" s="539"/>
      <c r="CH266" s="539"/>
      <c r="CI266" s="539"/>
      <c r="CJ266" s="539"/>
      <c r="CK266" s="539"/>
      <c r="CL266" s="539"/>
      <c r="CM266" s="539"/>
      <c r="CN266" s="539"/>
      <c r="CO266" s="539"/>
      <c r="CP266" s="539"/>
      <c r="CQ266" s="539"/>
      <c r="CR266" s="539"/>
      <c r="CS266" s="539"/>
      <c r="CT266" s="539"/>
      <c r="CU266" s="539"/>
      <c r="CV266" s="539"/>
      <c r="CW266" s="539"/>
      <c r="CX266" s="539"/>
      <c r="CY266" s="539"/>
      <c r="CZ266" s="539"/>
      <c r="DA266" s="539"/>
      <c r="DB266" s="539"/>
      <c r="DC266" s="539"/>
      <c r="DD266" s="539"/>
      <c r="DE266" s="539"/>
      <c r="DF266" s="539"/>
      <c r="DG266" s="539"/>
      <c r="DH266" s="539"/>
      <c r="DI266" s="539"/>
      <c r="DJ266" s="539"/>
      <c r="DK266" s="539"/>
      <c r="DL266" s="539"/>
      <c r="DM266" s="539"/>
      <c r="DN266" s="539"/>
      <c r="DO266" s="539"/>
      <c r="DP266" s="539"/>
      <c r="DQ266" s="539"/>
      <c r="DR266" s="539"/>
      <c r="DS266" s="539"/>
      <c r="DT266" s="539"/>
      <c r="DU266" s="539"/>
      <c r="DV266" s="539"/>
      <c r="DW266" s="539"/>
      <c r="DX266" s="539"/>
      <c r="DY266" s="539"/>
      <c r="DZ266" s="539"/>
      <c r="EA266" s="539"/>
      <c r="EB266" s="539"/>
      <c r="EC266" s="539"/>
      <c r="ED266" s="539"/>
    </row>
    <row r="267" spans="1:134" ht="13.5" customHeight="1">
      <c r="A267" s="551"/>
      <c r="B267" s="13" t="e">
        <f>+#REF!</f>
        <v>#REF!</v>
      </c>
      <c r="C267" s="14">
        <f t="shared" ref="C267:AP267" si="7">SUM(C266,C217)</f>
        <v>157881.01489599995</v>
      </c>
      <c r="D267" s="14">
        <f t="shared" si="7"/>
        <v>303529.77145300002</v>
      </c>
      <c r="E267" s="14">
        <f t="shared" si="7"/>
        <v>310346.16549500002</v>
      </c>
      <c r="F267" s="14">
        <f t="shared" si="7"/>
        <v>597520.07129699993</v>
      </c>
      <c r="G267" s="14">
        <f t="shared" si="7"/>
        <v>602041.68741962337</v>
      </c>
      <c r="H267" s="14">
        <f t="shared" si="7"/>
        <v>617578.08088238467</v>
      </c>
      <c r="I267" s="14">
        <f t="shared" si="7"/>
        <v>635586.26186018274</v>
      </c>
      <c r="J267" s="14">
        <f t="shared" si="7"/>
        <v>678888.12197389838</v>
      </c>
      <c r="K267" s="14">
        <f t="shared" si="7"/>
        <v>754263.41710595298</v>
      </c>
      <c r="L267" s="14">
        <f t="shared" si="7"/>
        <v>1563082.9508068764</v>
      </c>
      <c r="M267" s="14">
        <f t="shared" si="7"/>
        <v>2366993.8386375555</v>
      </c>
      <c r="N267" s="14">
        <f t="shared" si="7"/>
        <v>3158978.0427106773</v>
      </c>
      <c r="O267" s="14">
        <f t="shared" si="7"/>
        <v>3950962.246783799</v>
      </c>
      <c r="P267" s="14">
        <f t="shared" si="7"/>
        <v>0</v>
      </c>
      <c r="Q267" s="14">
        <f t="shared" si="7"/>
        <v>0</v>
      </c>
      <c r="R267" s="14">
        <f t="shared" si="7"/>
        <v>0</v>
      </c>
      <c r="S267" s="14">
        <f t="shared" si="7"/>
        <v>0</v>
      </c>
      <c r="T267" s="14">
        <f t="shared" si="7"/>
        <v>0</v>
      </c>
      <c r="U267" s="14">
        <f t="shared" si="7"/>
        <v>0</v>
      </c>
      <c r="V267" s="14">
        <f t="shared" si="7"/>
        <v>0</v>
      </c>
      <c r="W267" s="14">
        <f t="shared" si="7"/>
        <v>0</v>
      </c>
      <c r="X267" s="14">
        <f t="shared" si="7"/>
        <v>0</v>
      </c>
      <c r="Y267" s="14">
        <f t="shared" si="7"/>
        <v>0</v>
      </c>
      <c r="Z267" s="14">
        <f t="shared" si="7"/>
        <v>0</v>
      </c>
      <c r="AA267" s="14">
        <f t="shared" si="7"/>
        <v>0</v>
      </c>
      <c r="AB267" s="14">
        <f t="shared" si="7"/>
        <v>0</v>
      </c>
      <c r="AC267" s="14">
        <f t="shared" si="7"/>
        <v>0</v>
      </c>
      <c r="AD267" s="14">
        <f t="shared" si="7"/>
        <v>0</v>
      </c>
      <c r="AE267" s="14">
        <f t="shared" si="7"/>
        <v>0</v>
      </c>
      <c r="AF267" s="14">
        <f t="shared" si="7"/>
        <v>0</v>
      </c>
      <c r="AG267" s="14">
        <f t="shared" si="7"/>
        <v>0</v>
      </c>
      <c r="AH267" s="14">
        <f t="shared" si="7"/>
        <v>0</v>
      </c>
      <c r="AI267" s="14">
        <f t="shared" si="7"/>
        <v>0</v>
      </c>
      <c r="AJ267" s="14">
        <f t="shared" si="7"/>
        <v>0</v>
      </c>
      <c r="AK267" s="14">
        <f t="shared" si="7"/>
        <v>0</v>
      </c>
      <c r="AL267" s="14">
        <f t="shared" si="7"/>
        <v>0</v>
      </c>
      <c r="AM267" s="14">
        <f t="shared" si="7"/>
        <v>0</v>
      </c>
      <c r="AN267" s="14">
        <f t="shared" si="7"/>
        <v>0</v>
      </c>
      <c r="AO267" s="14">
        <f t="shared" si="7"/>
        <v>0</v>
      </c>
      <c r="AP267" s="14">
        <f t="shared" si="7"/>
        <v>0</v>
      </c>
      <c r="AQ267" s="539"/>
      <c r="AR267" s="539"/>
      <c r="AS267" s="539"/>
      <c r="AT267" s="539"/>
      <c r="AU267" s="539"/>
      <c r="AV267" s="539"/>
      <c r="AW267" s="539"/>
      <c r="AX267" s="539"/>
      <c r="AY267" s="539"/>
      <c r="AZ267" s="539"/>
      <c r="BA267" s="539"/>
      <c r="BB267" s="539"/>
      <c r="BC267" s="539"/>
      <c r="BD267" s="539"/>
      <c r="BE267" s="539"/>
      <c r="BF267" s="539"/>
      <c r="BG267" s="539"/>
      <c r="BH267" s="539"/>
      <c r="BI267" s="539"/>
      <c r="BJ267" s="539"/>
      <c r="BK267" s="539"/>
      <c r="BL267" s="539"/>
      <c r="BM267" s="539"/>
      <c r="BN267" s="539"/>
      <c r="BO267" s="539"/>
      <c r="BP267" s="539"/>
      <c r="BQ267" s="539"/>
      <c r="BR267" s="539"/>
      <c r="BS267" s="539"/>
      <c r="BT267" s="539"/>
      <c r="BU267" s="539"/>
      <c r="BV267" s="539"/>
      <c r="BW267" s="539"/>
      <c r="BX267" s="539"/>
      <c r="BY267" s="539"/>
      <c r="BZ267" s="539"/>
      <c r="CA267" s="539"/>
      <c r="CB267" s="539"/>
      <c r="CC267" s="539"/>
      <c r="CD267" s="539"/>
      <c r="CE267" s="539"/>
      <c r="CF267" s="539"/>
      <c r="CG267" s="539"/>
      <c r="CH267" s="539"/>
      <c r="CI267" s="539"/>
      <c r="CJ267" s="539"/>
      <c r="CK267" s="539"/>
      <c r="CL267" s="539"/>
      <c r="CM267" s="539"/>
      <c r="CN267" s="539"/>
      <c r="CO267" s="539"/>
      <c r="CP267" s="539"/>
      <c r="CQ267" s="539"/>
      <c r="CR267" s="539"/>
      <c r="CS267" s="539"/>
      <c r="CT267" s="539"/>
      <c r="CU267" s="539"/>
      <c r="CV267" s="539"/>
      <c r="CW267" s="539"/>
      <c r="CX267" s="539"/>
      <c r="CY267" s="539"/>
      <c r="CZ267" s="539"/>
      <c r="DA267" s="539"/>
      <c r="DB267" s="539"/>
      <c r="DC267" s="539"/>
      <c r="DD267" s="539"/>
      <c r="DE267" s="539"/>
      <c r="DF267" s="539"/>
      <c r="DG267" s="539"/>
      <c r="DH267" s="539"/>
      <c r="DI267" s="539"/>
      <c r="DJ267" s="539"/>
      <c r="DK267" s="539"/>
      <c r="DL267" s="539"/>
      <c r="DM267" s="539"/>
      <c r="DN267" s="539"/>
      <c r="DO267" s="539"/>
      <c r="DP267" s="539"/>
      <c r="DQ267" s="539"/>
      <c r="DR267" s="539"/>
      <c r="DS267" s="539"/>
      <c r="DT267" s="539"/>
      <c r="DU267" s="539"/>
      <c r="DV267" s="539"/>
      <c r="DW267" s="539"/>
      <c r="DX267" s="539"/>
      <c r="DY267" s="539"/>
      <c r="DZ267" s="539"/>
      <c r="EA267" s="539"/>
      <c r="EB267" s="539"/>
      <c r="EC267" s="539"/>
      <c r="ED267" s="539"/>
    </row>
    <row r="268" spans="1:134" ht="13.5" customHeight="1">
      <c r="A268" s="539"/>
      <c r="B268" s="10" t="e">
        <f>+#REF!</f>
        <v>#REF!</v>
      </c>
      <c r="C268" s="10">
        <v>0</v>
      </c>
      <c r="D268" s="10">
        <v>0</v>
      </c>
      <c r="E268" s="10">
        <v>0</v>
      </c>
      <c r="F268" s="10">
        <v>0</v>
      </c>
      <c r="G268" s="10">
        <v>132865.19961739358</v>
      </c>
      <c r="H268" s="10">
        <v>138379.80543969432</v>
      </c>
      <c r="I268" s="10">
        <v>144607.15266439883</v>
      </c>
      <c r="J268" s="10">
        <v>122000.9294591363</v>
      </c>
      <c r="K268" s="10">
        <v>128095.15069626959</v>
      </c>
      <c r="L268" s="10">
        <v>-11931.393518157169</v>
      </c>
      <c r="M268" s="10">
        <v>0</v>
      </c>
      <c r="N268" s="10">
        <v>0</v>
      </c>
      <c r="O268" s="10">
        <v>0</v>
      </c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539"/>
      <c r="AR268" s="539"/>
      <c r="AS268" s="539"/>
      <c r="AT268" s="539"/>
      <c r="AU268" s="539"/>
      <c r="AV268" s="539"/>
      <c r="AW268" s="539"/>
      <c r="AX268" s="539"/>
      <c r="AY268" s="539"/>
      <c r="AZ268" s="539"/>
      <c r="BA268" s="539"/>
      <c r="BB268" s="539"/>
      <c r="BC268" s="539"/>
      <c r="BD268" s="539"/>
      <c r="BE268" s="539"/>
      <c r="BF268" s="539"/>
      <c r="BG268" s="539"/>
      <c r="BH268" s="539"/>
      <c r="BI268" s="539"/>
      <c r="BJ268" s="539"/>
      <c r="BK268" s="539"/>
      <c r="BL268" s="539"/>
      <c r="BM268" s="539"/>
      <c r="BN268" s="539"/>
      <c r="BO268" s="539"/>
      <c r="BP268" s="539"/>
      <c r="BQ268" s="539"/>
      <c r="BR268" s="539"/>
      <c r="BS268" s="539"/>
      <c r="BT268" s="539"/>
      <c r="BU268" s="539"/>
      <c r="BV268" s="539"/>
      <c r="BW268" s="539"/>
      <c r="BX268" s="539"/>
      <c r="BY268" s="539"/>
      <c r="BZ268" s="539"/>
      <c r="CA268" s="539"/>
      <c r="CB268" s="539"/>
      <c r="CC268" s="539"/>
      <c r="CD268" s="539"/>
      <c r="CE268" s="539"/>
      <c r="CF268" s="539"/>
      <c r="CG268" s="539"/>
      <c r="CH268" s="539"/>
      <c r="CI268" s="539"/>
      <c r="CJ268" s="539"/>
      <c r="CK268" s="539"/>
      <c r="CL268" s="539"/>
      <c r="CM268" s="539"/>
      <c r="CN268" s="539"/>
      <c r="CO268" s="539"/>
      <c r="CP268" s="539"/>
      <c r="CQ268" s="539"/>
      <c r="CR268" s="539"/>
      <c r="CS268" s="539"/>
      <c r="CT268" s="539"/>
      <c r="CU268" s="539"/>
      <c r="CV268" s="539"/>
      <c r="CW268" s="539"/>
      <c r="CX268" s="539"/>
      <c r="CY268" s="539"/>
      <c r="CZ268" s="539"/>
      <c r="DA268" s="539"/>
      <c r="DB268" s="539"/>
      <c r="DC268" s="539"/>
      <c r="DD268" s="539"/>
      <c r="DE268" s="539"/>
      <c r="DF268" s="539"/>
      <c r="DG268" s="539"/>
      <c r="DH268" s="539"/>
      <c r="DI268" s="539"/>
      <c r="DJ268" s="539"/>
      <c r="DK268" s="539"/>
      <c r="DL268" s="539"/>
      <c r="DM268" s="539"/>
      <c r="DN268" s="539"/>
      <c r="DO268" s="539"/>
      <c r="DP268" s="539"/>
      <c r="DQ268" s="539"/>
      <c r="DR268" s="539"/>
      <c r="DS268" s="539"/>
      <c r="DT268" s="539"/>
      <c r="DU268" s="539"/>
      <c r="DV268" s="539"/>
      <c r="DW268" s="539"/>
      <c r="DX268" s="539"/>
      <c r="DY268" s="539"/>
      <c r="DZ268" s="539"/>
      <c r="EA268" s="539"/>
      <c r="EB268" s="539"/>
      <c r="EC268" s="539"/>
      <c r="ED268" s="539"/>
    </row>
    <row r="269" spans="1:134" ht="13.5" hidden="1" customHeight="1">
      <c r="A269" s="549"/>
      <c r="B269" s="11" t="e">
        <f>+#REF!</f>
        <v>#REF!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539"/>
      <c r="AR269" s="539"/>
      <c r="AS269" s="539"/>
      <c r="AT269" s="539"/>
      <c r="AU269" s="539"/>
      <c r="AV269" s="539"/>
      <c r="AW269" s="539"/>
      <c r="AX269" s="539"/>
      <c r="AY269" s="539"/>
      <c r="AZ269" s="539"/>
      <c r="BA269" s="539"/>
      <c r="BB269" s="539"/>
      <c r="BC269" s="539"/>
      <c r="BD269" s="539"/>
      <c r="BE269" s="539"/>
      <c r="BF269" s="539"/>
      <c r="BG269" s="539"/>
      <c r="BH269" s="539"/>
      <c r="BI269" s="539"/>
      <c r="BJ269" s="539"/>
      <c r="BK269" s="539"/>
      <c r="BL269" s="539"/>
      <c r="BM269" s="539"/>
      <c r="BN269" s="539"/>
      <c r="BO269" s="539"/>
      <c r="BP269" s="539"/>
      <c r="BQ269" s="539"/>
      <c r="BR269" s="539"/>
      <c r="BS269" s="539"/>
      <c r="BT269" s="539"/>
      <c r="BU269" s="539"/>
      <c r="BV269" s="539"/>
      <c r="BW269" s="539"/>
      <c r="BX269" s="539"/>
      <c r="BY269" s="539"/>
      <c r="BZ269" s="539"/>
      <c r="CA269" s="539"/>
      <c r="CB269" s="539"/>
      <c r="CC269" s="539"/>
      <c r="CD269" s="539"/>
      <c r="CE269" s="539"/>
      <c r="CF269" s="539"/>
      <c r="CG269" s="539"/>
      <c r="CH269" s="539"/>
      <c r="CI269" s="539"/>
      <c r="CJ269" s="539"/>
      <c r="CK269" s="539"/>
      <c r="CL269" s="539"/>
      <c r="CM269" s="539"/>
      <c r="CN269" s="539"/>
      <c r="CO269" s="539"/>
      <c r="CP269" s="539"/>
      <c r="CQ269" s="539"/>
      <c r="CR269" s="539"/>
      <c r="CS269" s="539"/>
      <c r="CT269" s="539"/>
      <c r="CU269" s="539"/>
      <c r="CV269" s="539"/>
      <c r="CW269" s="539"/>
      <c r="CX269" s="539"/>
      <c r="CY269" s="539"/>
      <c r="CZ269" s="539"/>
      <c r="DA269" s="539"/>
      <c r="DB269" s="539"/>
      <c r="DC269" s="539"/>
      <c r="DD269" s="539"/>
      <c r="DE269" s="539"/>
      <c r="DF269" s="539"/>
      <c r="DG269" s="539"/>
      <c r="DH269" s="539"/>
      <c r="DI269" s="539"/>
      <c r="DJ269" s="539"/>
      <c r="DK269" s="539"/>
      <c r="DL269" s="539"/>
      <c r="DM269" s="539"/>
      <c r="DN269" s="539"/>
      <c r="DO269" s="539"/>
      <c r="DP269" s="539"/>
      <c r="DQ269" s="539"/>
      <c r="DR269" s="539"/>
      <c r="DS269" s="539"/>
      <c r="DT269" s="539"/>
      <c r="DU269" s="539"/>
      <c r="DV269" s="539"/>
      <c r="DW269" s="539"/>
      <c r="DX269" s="539"/>
      <c r="DY269" s="539"/>
      <c r="DZ269" s="539"/>
      <c r="EA269" s="539"/>
      <c r="EB269" s="539"/>
      <c r="EC269" s="539"/>
      <c r="ED269" s="539"/>
    </row>
    <row r="270" spans="1:134" ht="13.5" hidden="1" customHeight="1">
      <c r="A270" s="549"/>
      <c r="B270" s="11" t="e">
        <f>+#REF!</f>
        <v>#REF!</v>
      </c>
      <c r="C270" s="12">
        <f>IF(ISNUMBER(Historical!E49),Historical!E49, )</f>
        <v>3400</v>
      </c>
      <c r="D270" s="12">
        <f>IF(ISNUMBER(Historical!G49),Historical!G49, )</f>
        <v>3401</v>
      </c>
      <c r="E270" s="12">
        <f>IF(ISNUMBER(Historical!I49),Historical!I49, )</f>
        <v>3402</v>
      </c>
      <c r="F270" s="12">
        <f>IF(ISNUMBER(Projection!H7),IF(MONTH(Projection!H7)&lt;&gt;12,IF(ISNUMBER(Projection!L42),Projection!L42, ),IF(ISNUMBER(Historical!K49),Historical!K49, )), )</f>
        <v>0</v>
      </c>
      <c r="G270" s="12">
        <f>IF(ISNUMBER(Projection!H7),IF(MONTH(Projection!$H$7)&lt;&gt;12,IF(ISNUMBER(Projection!N42),Projection!N42, ),IF(ISNUMBER(Projection!L42),Projection!L42, )), )</f>
        <v>0</v>
      </c>
      <c r="H270" s="12">
        <f>IF(ISNUMBER(Projection!H7),IF(MONTH(Projection!$H$7)&lt;&gt;12,IF(ISNUMBER(Projection!P42),Projection!P42, ),IF(ISNUMBER(Projection!N42),Projection!N42, )), )</f>
        <v>0</v>
      </c>
      <c r="I270" s="12">
        <f>IF(ISNUMBER(Projection!H7),IF(MONTH(Projection!$H$7)&lt;&gt;12,IF(ISNUMBER(Projection!R42),Projection!R42, ),IF(ISNUMBER(Projection!P42),Projection!P42, )), )</f>
        <v>0</v>
      </c>
      <c r="J270" s="12">
        <f>IF(ISNUMBER(Projection!H7),IF(MONTH(Projection!$H$7)&lt;&gt;12,IF(ISNUMBER(Projection!T42),Projection!T42, ),IF(ISNUMBER(Projection!R42),Projection!R42, )), )</f>
        <v>0</v>
      </c>
      <c r="K270" s="12">
        <f>IF(ISNUMBER(Projection!H7),IF(MONTH(Projection!$H$7)&lt;&gt;12,IF(ISNUMBER(Projection!Z42),Projection!Z42, ),IF(ISNUMBER(Projection!T42),Projection!T42, )), )</f>
        <v>0</v>
      </c>
      <c r="L270" s="12">
        <f>IF(ISNUMBER(Projection!H7),IF(MONTH(Projection!$H$7)&lt;&gt;12,IF(ISNUMBER(Projection!AB42),Projection!AB42, ),IF(ISNUMBER(Projection!Z42),Projection!Z42, )), )</f>
        <v>0</v>
      </c>
      <c r="M270" s="12">
        <f>IF(ISNUMBER(Projection!$H$7),IF(MONTH(Projection!$H$7)&lt;&gt;12,IF(ISNUMBER(Projection!AD42),Projection!AD42, ),IF(ISNUMBER(Projection!AB42),Projection!AB42, )), )</f>
        <v>0</v>
      </c>
      <c r="N270" s="12">
        <f>IF(ISNUMBER(Projection!$H$7),IF(MONTH(Projection!$H$7)&lt;&gt;12,IF(ISNUMBER(Projection!AF42),Projection!AF42, ),IF(ISNUMBER(Projection!AD42),Projection!AD42, )), )</f>
        <v>0</v>
      </c>
      <c r="O270" s="12">
        <f>IF(ISNUMBER(Projection!$H$7),IF(MONTH(Projection!$H$7)&lt;&gt;12,IF(ISNUMBER(Projection!AH42),Projection!AH42, ),IF(ISNUMBER(Projection!AF42),Projection!AF42, )), )</f>
        <v>0</v>
      </c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539"/>
      <c r="AR270" s="539"/>
      <c r="AS270" s="539"/>
      <c r="AT270" s="539"/>
      <c r="AU270" s="539"/>
      <c r="AV270" s="539"/>
      <c r="AW270" s="539"/>
      <c r="AX270" s="539"/>
      <c r="AY270" s="539"/>
      <c r="AZ270" s="539"/>
      <c r="BA270" s="539"/>
      <c r="BB270" s="539"/>
      <c r="BC270" s="539"/>
      <c r="BD270" s="539"/>
      <c r="BE270" s="539"/>
      <c r="BF270" s="539"/>
      <c r="BG270" s="539"/>
      <c r="BH270" s="539"/>
      <c r="BI270" s="539"/>
      <c r="BJ270" s="539"/>
      <c r="BK270" s="539"/>
      <c r="BL270" s="539"/>
      <c r="BM270" s="539"/>
      <c r="BN270" s="539"/>
      <c r="BO270" s="539"/>
      <c r="BP270" s="539"/>
      <c r="BQ270" s="539"/>
      <c r="BR270" s="539"/>
      <c r="BS270" s="539"/>
      <c r="BT270" s="539"/>
      <c r="BU270" s="539"/>
      <c r="BV270" s="539"/>
      <c r="BW270" s="539"/>
      <c r="BX270" s="539"/>
      <c r="BY270" s="539"/>
      <c r="BZ270" s="539"/>
      <c r="CA270" s="539"/>
      <c r="CB270" s="539"/>
      <c r="CC270" s="539"/>
      <c r="CD270" s="539"/>
      <c r="CE270" s="539"/>
      <c r="CF270" s="539"/>
      <c r="CG270" s="539"/>
      <c r="CH270" s="539"/>
      <c r="CI270" s="539"/>
      <c r="CJ270" s="539"/>
      <c r="CK270" s="539"/>
      <c r="CL270" s="539"/>
      <c r="CM270" s="539"/>
      <c r="CN270" s="539"/>
      <c r="CO270" s="539"/>
      <c r="CP270" s="539"/>
      <c r="CQ270" s="539"/>
      <c r="CR270" s="539"/>
      <c r="CS270" s="539"/>
      <c r="CT270" s="539"/>
      <c r="CU270" s="539"/>
      <c r="CV270" s="539"/>
      <c r="CW270" s="539"/>
      <c r="CX270" s="539"/>
      <c r="CY270" s="539"/>
      <c r="CZ270" s="539"/>
      <c r="DA270" s="539"/>
      <c r="DB270" s="539"/>
      <c r="DC270" s="539"/>
      <c r="DD270" s="539"/>
      <c r="DE270" s="539"/>
      <c r="DF270" s="539"/>
      <c r="DG270" s="539"/>
      <c r="DH270" s="539"/>
      <c r="DI270" s="539"/>
      <c r="DJ270" s="539"/>
      <c r="DK270" s="539"/>
      <c r="DL270" s="539"/>
      <c r="DM270" s="539"/>
      <c r="DN270" s="539"/>
      <c r="DO270" s="539"/>
      <c r="DP270" s="539"/>
      <c r="DQ270" s="539"/>
      <c r="DR270" s="539"/>
      <c r="DS270" s="539"/>
      <c r="DT270" s="539"/>
      <c r="DU270" s="539"/>
      <c r="DV270" s="539"/>
      <c r="DW270" s="539"/>
      <c r="DX270" s="539"/>
      <c r="DY270" s="539"/>
      <c r="DZ270" s="539"/>
      <c r="EA270" s="539"/>
      <c r="EB270" s="539"/>
      <c r="EC270" s="539"/>
      <c r="ED270" s="539"/>
    </row>
    <row r="271" spans="1:134" ht="13.5" hidden="1" customHeight="1">
      <c r="A271" s="549"/>
      <c r="B271" s="11" t="e">
        <f>+#REF!</f>
        <v>#REF!</v>
      </c>
      <c r="C271" s="12">
        <f>IF(ISNUMBER(Historical!E46),Historical!E46, )</f>
        <v>3100</v>
      </c>
      <c r="D271" s="12">
        <f>IF(ISNUMBER(Historical!G46),Historical!G46, )</f>
        <v>3101</v>
      </c>
      <c r="E271" s="12">
        <f>IF(ISNUMBER(Historical!I46),Historical!I46, )</f>
        <v>3102</v>
      </c>
      <c r="F271" s="12">
        <f>IF(ISNUMBER(Projection!H7),IF(MONTH(Projection!H7)&lt;&gt;12,IF(ISNUMBER(Projection!L39),Projection!L39, ),IF(ISNUMBER(Historical!K46),Historical!K46, )), )</f>
        <v>0</v>
      </c>
      <c r="G271" s="12">
        <f>IF(ISNUMBER(Projection!H7),IF(MONTH(Projection!$H$7)&lt;&gt;12,IF(ISNUMBER(Projection!N39),Projection!N39, ),IF(ISNUMBER(Projection!L39),Projection!L39, )), )</f>
        <v>0</v>
      </c>
      <c r="H271" s="12">
        <f>IF(ISNUMBER(Projection!H7),IF(MONTH(Projection!$H$7)&lt;&gt;12,IF(ISNUMBER(Projection!P39),Projection!P39, ),IF(ISNUMBER(Projection!N39),Projection!N39, )), )</f>
        <v>0</v>
      </c>
      <c r="I271" s="12">
        <f>IF(ISNUMBER(Projection!H7),IF(MONTH(Projection!$H$7)&lt;&gt;12,IF(ISNUMBER(Projection!R39),Projection!R39, ),IF(ISNUMBER(Projection!P39),Projection!P39, )), )</f>
        <v>0</v>
      </c>
      <c r="J271" s="12">
        <f>IF(ISNUMBER(Projection!H7),IF(MONTH(Projection!$H$7)&lt;&gt;12,IF(ISNUMBER(Projection!T39),Projection!T39, ),IF(ISNUMBER(Projection!R39),Projection!R39, )), )</f>
        <v>0</v>
      </c>
      <c r="K271" s="12">
        <f>IF(ISNUMBER(Projection!H7),IF(MONTH(Projection!$H$7)&lt;&gt;12,IF(ISNUMBER(Projection!Z39),Projection!Z39, ),IF(ISNUMBER(Projection!T39),Projection!T39, )), )</f>
        <v>0</v>
      </c>
      <c r="L271" s="12">
        <f>IF(ISNUMBER(Projection!H7),IF(MONTH(Projection!$H$7)&lt;&gt;12,IF(ISNUMBER(Projection!AB39),Projection!AB39, ),IF(ISNUMBER(Projection!Z39),Projection!Z39, )), )</f>
        <v>0</v>
      </c>
      <c r="M271" s="12">
        <f>IF(ISNUMBER(Projection!$H$7),IF(MONTH(Projection!$H$7)&lt;&gt;12,IF(ISNUMBER(Projection!AD39),Projection!AD39, ),IF(ISNUMBER(Projection!AB39),Projection!AB39, )), )</f>
        <v>0</v>
      </c>
      <c r="N271" s="12">
        <f>IF(ISNUMBER(Projection!$H$7),IF(MONTH(Projection!$H$7)&lt;&gt;12,IF(ISNUMBER(Projection!AF39),Projection!AF39, ),IF(ISNUMBER(Projection!AD39),Projection!AD39, )), )</f>
        <v>0</v>
      </c>
      <c r="O271" s="12">
        <f>IF(ISNUMBER(Projection!$H$7),IF(MONTH(Projection!$H$7)&lt;&gt;12,IF(ISNUMBER(Projection!AH39),Projection!AH39, ),IF(ISNUMBER(Projection!AF39),Projection!AF39, )), )</f>
        <v>0</v>
      </c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539"/>
      <c r="AR271" s="539"/>
      <c r="AS271" s="539"/>
      <c r="AT271" s="539"/>
      <c r="AU271" s="539"/>
      <c r="AV271" s="539"/>
      <c r="AW271" s="539"/>
      <c r="AX271" s="539"/>
      <c r="AY271" s="539"/>
      <c r="AZ271" s="539"/>
      <c r="BA271" s="539"/>
      <c r="BB271" s="539"/>
      <c r="BC271" s="539"/>
      <c r="BD271" s="539"/>
      <c r="BE271" s="539"/>
      <c r="BF271" s="539"/>
      <c r="BG271" s="539"/>
      <c r="BH271" s="539"/>
      <c r="BI271" s="539"/>
      <c r="BJ271" s="539"/>
      <c r="BK271" s="539"/>
      <c r="BL271" s="539"/>
      <c r="BM271" s="539"/>
      <c r="BN271" s="539"/>
      <c r="BO271" s="539"/>
      <c r="BP271" s="539"/>
      <c r="BQ271" s="539"/>
      <c r="BR271" s="539"/>
      <c r="BS271" s="539"/>
      <c r="BT271" s="539"/>
      <c r="BU271" s="539"/>
      <c r="BV271" s="539"/>
      <c r="BW271" s="539"/>
      <c r="BX271" s="539"/>
      <c r="BY271" s="539"/>
      <c r="BZ271" s="539"/>
      <c r="CA271" s="539"/>
      <c r="CB271" s="539"/>
      <c r="CC271" s="539"/>
      <c r="CD271" s="539"/>
      <c r="CE271" s="539"/>
      <c r="CF271" s="539"/>
      <c r="CG271" s="539"/>
      <c r="CH271" s="539"/>
      <c r="CI271" s="539"/>
      <c r="CJ271" s="539"/>
      <c r="CK271" s="539"/>
      <c r="CL271" s="539"/>
      <c r="CM271" s="539"/>
      <c r="CN271" s="539"/>
      <c r="CO271" s="539"/>
      <c r="CP271" s="539"/>
      <c r="CQ271" s="539"/>
      <c r="CR271" s="539"/>
      <c r="CS271" s="539"/>
      <c r="CT271" s="539"/>
      <c r="CU271" s="539"/>
      <c r="CV271" s="539"/>
      <c r="CW271" s="539"/>
      <c r="CX271" s="539"/>
      <c r="CY271" s="539"/>
      <c r="CZ271" s="539"/>
      <c r="DA271" s="539"/>
      <c r="DB271" s="539"/>
      <c r="DC271" s="539"/>
      <c r="DD271" s="539"/>
      <c r="DE271" s="539"/>
      <c r="DF271" s="539"/>
      <c r="DG271" s="539"/>
      <c r="DH271" s="539"/>
      <c r="DI271" s="539"/>
      <c r="DJ271" s="539"/>
      <c r="DK271" s="539"/>
      <c r="DL271" s="539"/>
      <c r="DM271" s="539"/>
      <c r="DN271" s="539"/>
      <c r="DO271" s="539"/>
      <c r="DP271" s="539"/>
      <c r="DQ271" s="539"/>
      <c r="DR271" s="539"/>
      <c r="DS271" s="539"/>
      <c r="DT271" s="539"/>
      <c r="DU271" s="539"/>
      <c r="DV271" s="539"/>
      <c r="DW271" s="539"/>
      <c r="DX271" s="539"/>
      <c r="DY271" s="539"/>
      <c r="DZ271" s="539"/>
      <c r="EA271" s="539"/>
      <c r="EB271" s="539"/>
      <c r="EC271" s="539"/>
      <c r="ED271" s="539"/>
    </row>
    <row r="272" spans="1:134" ht="13.5" hidden="1" customHeight="1">
      <c r="A272" s="549"/>
      <c r="B272" s="11" t="e">
        <f>+#REF!</f>
        <v>#REF!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539"/>
      <c r="AR272" s="539"/>
      <c r="AS272" s="539"/>
      <c r="AT272" s="539"/>
      <c r="AU272" s="539"/>
      <c r="AV272" s="539"/>
      <c r="AW272" s="539"/>
      <c r="AX272" s="539"/>
      <c r="AY272" s="539"/>
      <c r="AZ272" s="539"/>
      <c r="BA272" s="539"/>
      <c r="BB272" s="539"/>
      <c r="BC272" s="539"/>
      <c r="BD272" s="539"/>
      <c r="BE272" s="539"/>
      <c r="BF272" s="539"/>
      <c r="BG272" s="539"/>
      <c r="BH272" s="539"/>
      <c r="BI272" s="539"/>
      <c r="BJ272" s="539"/>
      <c r="BK272" s="539"/>
      <c r="BL272" s="539"/>
      <c r="BM272" s="539"/>
      <c r="BN272" s="539"/>
      <c r="BO272" s="539"/>
      <c r="BP272" s="539"/>
      <c r="BQ272" s="539"/>
      <c r="BR272" s="539"/>
      <c r="BS272" s="539"/>
      <c r="BT272" s="539"/>
      <c r="BU272" s="539"/>
      <c r="BV272" s="539"/>
      <c r="BW272" s="539"/>
      <c r="BX272" s="539"/>
      <c r="BY272" s="539"/>
      <c r="BZ272" s="539"/>
      <c r="CA272" s="539"/>
      <c r="CB272" s="539"/>
      <c r="CC272" s="539"/>
      <c r="CD272" s="539"/>
      <c r="CE272" s="539"/>
      <c r="CF272" s="539"/>
      <c r="CG272" s="539"/>
      <c r="CH272" s="539"/>
      <c r="CI272" s="539"/>
      <c r="CJ272" s="539"/>
      <c r="CK272" s="539"/>
      <c r="CL272" s="539"/>
      <c r="CM272" s="539"/>
      <c r="CN272" s="539"/>
      <c r="CO272" s="539"/>
      <c r="CP272" s="539"/>
      <c r="CQ272" s="539"/>
      <c r="CR272" s="539"/>
      <c r="CS272" s="539"/>
      <c r="CT272" s="539"/>
      <c r="CU272" s="539"/>
      <c r="CV272" s="539"/>
      <c r="CW272" s="539"/>
      <c r="CX272" s="539"/>
      <c r="CY272" s="539"/>
      <c r="CZ272" s="539"/>
      <c r="DA272" s="539"/>
      <c r="DB272" s="539"/>
      <c r="DC272" s="539"/>
      <c r="DD272" s="539"/>
      <c r="DE272" s="539"/>
      <c r="DF272" s="539"/>
      <c r="DG272" s="539"/>
      <c r="DH272" s="539"/>
      <c r="DI272" s="539"/>
      <c r="DJ272" s="539"/>
      <c r="DK272" s="539"/>
      <c r="DL272" s="539"/>
      <c r="DM272" s="539"/>
      <c r="DN272" s="539"/>
      <c r="DO272" s="539"/>
      <c r="DP272" s="539"/>
      <c r="DQ272" s="539"/>
      <c r="DR272" s="539"/>
      <c r="DS272" s="539"/>
      <c r="DT272" s="539"/>
      <c r="DU272" s="539"/>
      <c r="DV272" s="539"/>
      <c r="DW272" s="539"/>
      <c r="DX272" s="539"/>
      <c r="DY272" s="539"/>
      <c r="DZ272" s="539"/>
      <c r="EA272" s="539"/>
      <c r="EB272" s="539"/>
      <c r="EC272" s="539"/>
      <c r="ED272" s="539"/>
    </row>
    <row r="273" spans="1:134" ht="13.5" hidden="1" customHeight="1">
      <c r="A273" s="549"/>
      <c r="B273" s="11" t="e">
        <f>+#REF!</f>
        <v>#REF!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539"/>
      <c r="AR273" s="539"/>
      <c r="AS273" s="539"/>
      <c r="AT273" s="539"/>
      <c r="AU273" s="539"/>
      <c r="AV273" s="539"/>
      <c r="AW273" s="539"/>
      <c r="AX273" s="539"/>
      <c r="AY273" s="539"/>
      <c r="AZ273" s="539"/>
      <c r="BA273" s="539"/>
      <c r="BB273" s="539"/>
      <c r="BC273" s="539"/>
      <c r="BD273" s="539"/>
      <c r="BE273" s="539"/>
      <c r="BF273" s="539"/>
      <c r="BG273" s="539"/>
      <c r="BH273" s="539"/>
      <c r="BI273" s="539"/>
      <c r="BJ273" s="539"/>
      <c r="BK273" s="539"/>
      <c r="BL273" s="539"/>
      <c r="BM273" s="539"/>
      <c r="BN273" s="539"/>
      <c r="BO273" s="539"/>
      <c r="BP273" s="539"/>
      <c r="BQ273" s="539"/>
      <c r="BR273" s="539"/>
      <c r="BS273" s="539"/>
      <c r="BT273" s="539"/>
      <c r="BU273" s="539"/>
      <c r="BV273" s="539"/>
      <c r="BW273" s="539"/>
      <c r="BX273" s="539"/>
      <c r="BY273" s="539"/>
      <c r="BZ273" s="539"/>
      <c r="CA273" s="539"/>
      <c r="CB273" s="539"/>
      <c r="CC273" s="539"/>
      <c r="CD273" s="539"/>
      <c r="CE273" s="539"/>
      <c r="CF273" s="539"/>
      <c r="CG273" s="539"/>
      <c r="CH273" s="539"/>
      <c r="CI273" s="539"/>
      <c r="CJ273" s="539"/>
      <c r="CK273" s="539"/>
      <c r="CL273" s="539"/>
      <c r="CM273" s="539"/>
      <c r="CN273" s="539"/>
      <c r="CO273" s="539"/>
      <c r="CP273" s="539"/>
      <c r="CQ273" s="539"/>
      <c r="CR273" s="539"/>
      <c r="CS273" s="539"/>
      <c r="CT273" s="539"/>
      <c r="CU273" s="539"/>
      <c r="CV273" s="539"/>
      <c r="CW273" s="539"/>
      <c r="CX273" s="539"/>
      <c r="CY273" s="539"/>
      <c r="CZ273" s="539"/>
      <c r="DA273" s="539"/>
      <c r="DB273" s="539"/>
      <c r="DC273" s="539"/>
      <c r="DD273" s="539"/>
      <c r="DE273" s="539"/>
      <c r="DF273" s="539"/>
      <c r="DG273" s="539"/>
      <c r="DH273" s="539"/>
      <c r="DI273" s="539"/>
      <c r="DJ273" s="539"/>
      <c r="DK273" s="539"/>
      <c r="DL273" s="539"/>
      <c r="DM273" s="539"/>
      <c r="DN273" s="539"/>
      <c r="DO273" s="539"/>
      <c r="DP273" s="539"/>
      <c r="DQ273" s="539"/>
      <c r="DR273" s="539"/>
      <c r="DS273" s="539"/>
      <c r="DT273" s="539"/>
      <c r="DU273" s="539"/>
      <c r="DV273" s="539"/>
      <c r="DW273" s="539"/>
      <c r="DX273" s="539"/>
      <c r="DY273" s="539"/>
      <c r="DZ273" s="539"/>
      <c r="EA273" s="539"/>
      <c r="EB273" s="539"/>
      <c r="EC273" s="539"/>
      <c r="ED273" s="539"/>
    </row>
    <row r="274" spans="1:134" ht="13.5" hidden="1" customHeight="1">
      <c r="A274" s="549"/>
      <c r="B274" s="11" t="e">
        <f>+#REF!</f>
        <v>#REF!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539"/>
      <c r="AR274" s="539"/>
      <c r="AS274" s="539"/>
      <c r="AT274" s="539"/>
      <c r="AU274" s="539"/>
      <c r="AV274" s="539"/>
      <c r="AW274" s="539"/>
      <c r="AX274" s="539"/>
      <c r="AY274" s="539"/>
      <c r="AZ274" s="539"/>
      <c r="BA274" s="539"/>
      <c r="BB274" s="539"/>
      <c r="BC274" s="539"/>
      <c r="BD274" s="539"/>
      <c r="BE274" s="539"/>
      <c r="BF274" s="539"/>
      <c r="BG274" s="539"/>
      <c r="BH274" s="539"/>
      <c r="BI274" s="539"/>
      <c r="BJ274" s="539"/>
      <c r="BK274" s="539"/>
      <c r="BL274" s="539"/>
      <c r="BM274" s="539"/>
      <c r="BN274" s="539"/>
      <c r="BO274" s="539"/>
      <c r="BP274" s="539"/>
      <c r="BQ274" s="539"/>
      <c r="BR274" s="539"/>
      <c r="BS274" s="539"/>
      <c r="BT274" s="539"/>
      <c r="BU274" s="539"/>
      <c r="BV274" s="539"/>
      <c r="BW274" s="539"/>
      <c r="BX274" s="539"/>
      <c r="BY274" s="539"/>
      <c r="BZ274" s="539"/>
      <c r="CA274" s="539"/>
      <c r="CB274" s="539"/>
      <c r="CC274" s="539"/>
      <c r="CD274" s="539"/>
      <c r="CE274" s="539"/>
      <c r="CF274" s="539"/>
      <c r="CG274" s="539"/>
      <c r="CH274" s="539"/>
      <c r="CI274" s="539"/>
      <c r="CJ274" s="539"/>
      <c r="CK274" s="539"/>
      <c r="CL274" s="539"/>
      <c r="CM274" s="539"/>
      <c r="CN274" s="539"/>
      <c r="CO274" s="539"/>
      <c r="CP274" s="539"/>
      <c r="CQ274" s="539"/>
      <c r="CR274" s="539"/>
      <c r="CS274" s="539"/>
      <c r="CT274" s="539"/>
      <c r="CU274" s="539"/>
      <c r="CV274" s="539"/>
      <c r="CW274" s="539"/>
      <c r="CX274" s="539"/>
      <c r="CY274" s="539"/>
      <c r="CZ274" s="539"/>
      <c r="DA274" s="539"/>
      <c r="DB274" s="539"/>
      <c r="DC274" s="539"/>
      <c r="DD274" s="539"/>
      <c r="DE274" s="539"/>
      <c r="DF274" s="539"/>
      <c r="DG274" s="539"/>
      <c r="DH274" s="539"/>
      <c r="DI274" s="539"/>
      <c r="DJ274" s="539"/>
      <c r="DK274" s="539"/>
      <c r="DL274" s="539"/>
      <c r="DM274" s="539"/>
      <c r="DN274" s="539"/>
      <c r="DO274" s="539"/>
      <c r="DP274" s="539"/>
      <c r="DQ274" s="539"/>
      <c r="DR274" s="539"/>
      <c r="DS274" s="539"/>
      <c r="DT274" s="539"/>
      <c r="DU274" s="539"/>
      <c r="DV274" s="539"/>
      <c r="DW274" s="539"/>
      <c r="DX274" s="539"/>
      <c r="DY274" s="539"/>
      <c r="DZ274" s="539"/>
      <c r="EA274" s="539"/>
      <c r="EB274" s="539"/>
      <c r="EC274" s="539"/>
      <c r="ED274" s="539"/>
    </row>
    <row r="275" spans="1:134" ht="13.5" hidden="1" customHeight="1">
      <c r="A275" s="549"/>
      <c r="B275" s="11" t="e">
        <f>+#REF!</f>
        <v>#REF!</v>
      </c>
      <c r="C275" s="12">
        <f>IF(ISNUMBER(Historical!E35),Historical!E35, )</f>
        <v>2000</v>
      </c>
      <c r="D275" s="12">
        <f>IF(ISNUMBER(Historical!G35),Historical!G35, )</f>
        <v>2001</v>
      </c>
      <c r="E275" s="12">
        <f>IF(ISNUMBER(Historical!I35),Historical!I35, )</f>
        <v>2002</v>
      </c>
      <c r="F275" s="12">
        <f>IF(ISNUMBER(Projection!H7),IF(MONTH(Projection!H7)&lt;&gt;12,IF(ISNUMBER(Projection!L28),Projection!L28, ),IF(ISNUMBER(Historical!K35),Historical!K35, )), )</f>
        <v>67798.131186775427</v>
      </c>
      <c r="G275" s="12">
        <f>IF(ISNUMBER(Projection!H7),IF(MONTH(Projection!$H$7)&lt;&gt;12,IF(ISNUMBER(Projection!N28),Projection!N28, ),IF(ISNUMBER(Projection!L28),Projection!L28, )), )</f>
        <v>56744.885347242132</v>
      </c>
      <c r="H275" s="12">
        <f>IF(ISNUMBER(Projection!H7),IF(MONTH(Projection!$H$7)&lt;&gt;12,IF(ISNUMBER(Projection!P28),Projection!P28, ),IF(ISNUMBER(Projection!N28),Projection!N28, )), )</f>
        <v>35263.996078488395</v>
      </c>
      <c r="I275" s="12">
        <f>IF(ISNUMBER(Projection!H7),IF(MONTH(Projection!$H$7)&lt;&gt;12,IF(ISNUMBER(Projection!R28),Projection!R28, ),IF(ISNUMBER(Projection!P28),Projection!P28, )), )</f>
        <v>10102.485424779787</v>
      </c>
      <c r="J275" s="12">
        <f>IF(ISNUMBER(Projection!H7),IF(MONTH(Projection!$H$7)&lt;&gt;12,IF(ISNUMBER(Projection!T28),Projection!T28, ),IF(ISNUMBER(Projection!R28),Projection!R28, )), )</f>
        <v>0</v>
      </c>
      <c r="K275" s="12">
        <f>IF(ISNUMBER(Projection!H7),IF(MONTH(Projection!$H$7)&lt;&gt;12,IF(ISNUMBER(Projection!Z28),Projection!Z28, ),IF(ISNUMBER(Projection!T28),Projection!T28, )), )</f>
        <v>0</v>
      </c>
      <c r="L275" s="12">
        <f>IF(ISNUMBER(Projection!H7),IF(MONTH(Projection!$H$7)&lt;&gt;12,IF(ISNUMBER(Projection!AB28),Projection!AB28, ),IF(ISNUMBER(Projection!Z28),Projection!Z28, )), )</f>
        <v>0</v>
      </c>
      <c r="M275" s="12">
        <f>IF(ISNUMBER(Projection!$H$7),IF(MONTH(Projection!$H$7)&lt;&gt;12,IF(ISNUMBER(Projection!AD28),Projection!AD28, ),IF(ISNUMBER(Projection!AB28),Projection!AB28, )), )</f>
        <v>0</v>
      </c>
      <c r="N275" s="12">
        <f>IF(ISNUMBER(Projection!$H$7),IF(MONTH(Projection!$H$7)&lt;&gt;12,IF(ISNUMBER(Projection!AF28),Projection!AF28, ),IF(ISNUMBER(Projection!AD28),Projection!AD28, )), )</f>
        <v>0</v>
      </c>
      <c r="O275" s="12">
        <f>IF(ISNUMBER(Projection!$H$7),IF(MONTH(Projection!$H$7)&lt;&gt;12,IF(ISNUMBER(Projection!AH28),Projection!AH28, ),IF(ISNUMBER(Projection!AF28),Projection!AF28, )), )</f>
        <v>0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539"/>
      <c r="AR275" s="539"/>
      <c r="AS275" s="539"/>
      <c r="AT275" s="539"/>
      <c r="AU275" s="539"/>
      <c r="AV275" s="539"/>
      <c r="AW275" s="539"/>
      <c r="AX275" s="539"/>
      <c r="AY275" s="539"/>
      <c r="AZ275" s="539"/>
      <c r="BA275" s="539"/>
      <c r="BB275" s="539"/>
      <c r="BC275" s="539"/>
      <c r="BD275" s="539"/>
      <c r="BE275" s="539"/>
      <c r="BF275" s="539"/>
      <c r="BG275" s="539"/>
      <c r="BH275" s="539"/>
      <c r="BI275" s="539"/>
      <c r="BJ275" s="539"/>
      <c r="BK275" s="539"/>
      <c r="BL275" s="539"/>
      <c r="BM275" s="539"/>
      <c r="BN275" s="539"/>
      <c r="BO275" s="539"/>
      <c r="BP275" s="539"/>
      <c r="BQ275" s="539"/>
      <c r="BR275" s="539"/>
      <c r="BS275" s="539"/>
      <c r="BT275" s="539"/>
      <c r="BU275" s="539"/>
      <c r="BV275" s="539"/>
      <c r="BW275" s="539"/>
      <c r="BX275" s="539"/>
      <c r="BY275" s="539"/>
      <c r="BZ275" s="539"/>
      <c r="CA275" s="539"/>
      <c r="CB275" s="539"/>
      <c r="CC275" s="539"/>
      <c r="CD275" s="539"/>
      <c r="CE275" s="539"/>
      <c r="CF275" s="539"/>
      <c r="CG275" s="539"/>
      <c r="CH275" s="539"/>
      <c r="CI275" s="539"/>
      <c r="CJ275" s="539"/>
      <c r="CK275" s="539"/>
      <c r="CL275" s="539"/>
      <c r="CM275" s="539"/>
      <c r="CN275" s="539"/>
      <c r="CO275" s="539"/>
      <c r="CP275" s="539"/>
      <c r="CQ275" s="539"/>
      <c r="CR275" s="539"/>
      <c r="CS275" s="539"/>
      <c r="CT275" s="539"/>
      <c r="CU275" s="539"/>
      <c r="CV275" s="539"/>
      <c r="CW275" s="539"/>
      <c r="CX275" s="539"/>
      <c r="CY275" s="539"/>
      <c r="CZ275" s="539"/>
      <c r="DA275" s="539"/>
      <c r="DB275" s="539"/>
      <c r="DC275" s="539"/>
      <c r="DD275" s="539"/>
      <c r="DE275" s="539"/>
      <c r="DF275" s="539"/>
      <c r="DG275" s="539"/>
      <c r="DH275" s="539"/>
      <c r="DI275" s="539"/>
      <c r="DJ275" s="539"/>
      <c r="DK275" s="539"/>
      <c r="DL275" s="539"/>
      <c r="DM275" s="539"/>
      <c r="DN275" s="539"/>
      <c r="DO275" s="539"/>
      <c r="DP275" s="539"/>
      <c r="DQ275" s="539"/>
      <c r="DR275" s="539"/>
      <c r="DS275" s="539"/>
      <c r="DT275" s="539"/>
      <c r="DU275" s="539"/>
      <c r="DV275" s="539"/>
      <c r="DW275" s="539"/>
      <c r="DX275" s="539"/>
      <c r="DY275" s="539"/>
      <c r="DZ275" s="539"/>
      <c r="EA275" s="539"/>
      <c r="EB275" s="539"/>
      <c r="EC275" s="539"/>
      <c r="ED275" s="539"/>
    </row>
    <row r="276" spans="1:134" ht="13.5" hidden="1" customHeight="1">
      <c r="A276" s="549"/>
      <c r="B276" s="11" t="e">
        <f>+#REF!</f>
        <v>#REF!</v>
      </c>
      <c r="C276" s="12">
        <f>IF(ISNUMBER(Historical!E36),Historical!E36, )</f>
        <v>2100</v>
      </c>
      <c r="D276" s="12">
        <f>IF(ISNUMBER(Historical!G36),Historical!G36, )</f>
        <v>2101</v>
      </c>
      <c r="E276" s="12">
        <f>IF(ISNUMBER(Historical!I36),Historical!I36, )</f>
        <v>2102</v>
      </c>
      <c r="F276" s="12">
        <f>IF(ISNUMBER(Projection!H7),IF(MONTH(Projection!H7)&lt;&gt;12,IF(ISNUMBER(Projection!L29),Projection!L29, ),IF(ISNUMBER(Historical!K36),Historical!K36, )), )</f>
        <v>2103</v>
      </c>
      <c r="G276" s="12">
        <f>IF(ISNUMBER(Projection!H7),IF(MONTH(Projection!$H$7)&lt;&gt;12,IF(ISNUMBER(Projection!N29),Projection!N29, ),IF(ISNUMBER(Projection!L29),Projection!L29, )), )</f>
        <v>2103</v>
      </c>
      <c r="H276" s="12">
        <f>IF(ISNUMBER(Projection!H7),IF(MONTH(Projection!$H$7)&lt;&gt;12,IF(ISNUMBER(Projection!P29),Projection!P29, ),IF(ISNUMBER(Projection!N29),Projection!N29, )), )</f>
        <v>2103</v>
      </c>
      <c r="I276" s="12">
        <f>IF(ISNUMBER(Projection!H7),IF(MONTH(Projection!$H$7)&lt;&gt;12,IF(ISNUMBER(Projection!R29),Projection!R29, ),IF(ISNUMBER(Projection!P29),Projection!P29, )), )</f>
        <v>2103</v>
      </c>
      <c r="J276" s="12">
        <f>IF(ISNUMBER(Projection!H7),IF(MONTH(Projection!$H$7)&lt;&gt;12,IF(ISNUMBER(Projection!T29),Projection!T29, ),IF(ISNUMBER(Projection!R29),Projection!R29, )), )</f>
        <v>2103</v>
      </c>
      <c r="K276" s="12">
        <f>IF(ISNUMBER(Projection!H7),IF(MONTH(Projection!$H$7)&lt;&gt;12,IF(ISNUMBER(Projection!Z29),Projection!Z29, ),IF(ISNUMBER(Projection!T29),Projection!T29, )), )</f>
        <v>2103</v>
      </c>
      <c r="L276" s="12">
        <f>IF(ISNUMBER(Projection!H7),IF(MONTH(Projection!$H$7)&lt;&gt;12,IF(ISNUMBER(Projection!AB29),Projection!AB29, ),IF(ISNUMBER(Projection!Z29),Projection!Z29, )), )</f>
        <v>2103</v>
      </c>
      <c r="M276" s="12">
        <f>IF(ISNUMBER(Projection!$H$7),IF(MONTH(Projection!$H$7)&lt;&gt;12,IF(ISNUMBER(Projection!AD29),Projection!AD29, ),IF(ISNUMBER(Projection!AB29),Projection!AB29, )), )</f>
        <v>2103</v>
      </c>
      <c r="N276" s="12">
        <f>IF(ISNUMBER(Projection!$H$7),IF(MONTH(Projection!$H$7)&lt;&gt;12,IF(ISNUMBER(Projection!AF29),Projection!AF29, ),IF(ISNUMBER(Projection!AD29),Projection!AD29, )), )</f>
        <v>2103</v>
      </c>
      <c r="O276" s="12">
        <f>IF(ISNUMBER(Projection!$H$7),IF(MONTH(Projection!$H$7)&lt;&gt;12,IF(ISNUMBER(Projection!AH29),Projection!AH29, ),IF(ISNUMBER(Projection!AF29),Projection!AF29, )), )</f>
        <v>2103</v>
      </c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539"/>
      <c r="AR276" s="539"/>
      <c r="AS276" s="539"/>
      <c r="AT276" s="539"/>
      <c r="AU276" s="539"/>
      <c r="AV276" s="539"/>
      <c r="AW276" s="539"/>
      <c r="AX276" s="539"/>
      <c r="AY276" s="539"/>
      <c r="AZ276" s="539"/>
      <c r="BA276" s="539"/>
      <c r="BB276" s="539"/>
      <c r="BC276" s="539"/>
      <c r="BD276" s="539"/>
      <c r="BE276" s="539"/>
      <c r="BF276" s="539"/>
      <c r="BG276" s="539"/>
      <c r="BH276" s="539"/>
      <c r="BI276" s="539"/>
      <c r="BJ276" s="539"/>
      <c r="BK276" s="539"/>
      <c r="BL276" s="539"/>
      <c r="BM276" s="539"/>
      <c r="BN276" s="539"/>
      <c r="BO276" s="539"/>
      <c r="BP276" s="539"/>
      <c r="BQ276" s="539"/>
      <c r="BR276" s="539"/>
      <c r="BS276" s="539"/>
      <c r="BT276" s="539"/>
      <c r="BU276" s="539"/>
      <c r="BV276" s="539"/>
      <c r="BW276" s="539"/>
      <c r="BX276" s="539"/>
      <c r="BY276" s="539"/>
      <c r="BZ276" s="539"/>
      <c r="CA276" s="539"/>
      <c r="CB276" s="539"/>
      <c r="CC276" s="539"/>
      <c r="CD276" s="539"/>
      <c r="CE276" s="539"/>
      <c r="CF276" s="539"/>
      <c r="CG276" s="539"/>
      <c r="CH276" s="539"/>
      <c r="CI276" s="539"/>
      <c r="CJ276" s="539"/>
      <c r="CK276" s="539"/>
      <c r="CL276" s="539"/>
      <c r="CM276" s="539"/>
      <c r="CN276" s="539"/>
      <c r="CO276" s="539"/>
      <c r="CP276" s="539"/>
      <c r="CQ276" s="539"/>
      <c r="CR276" s="539"/>
      <c r="CS276" s="539"/>
      <c r="CT276" s="539"/>
      <c r="CU276" s="539"/>
      <c r="CV276" s="539"/>
      <c r="CW276" s="539"/>
      <c r="CX276" s="539"/>
      <c r="CY276" s="539"/>
      <c r="CZ276" s="539"/>
      <c r="DA276" s="539"/>
      <c r="DB276" s="539"/>
      <c r="DC276" s="539"/>
      <c r="DD276" s="539"/>
      <c r="DE276" s="539"/>
      <c r="DF276" s="539"/>
      <c r="DG276" s="539"/>
      <c r="DH276" s="539"/>
      <c r="DI276" s="539"/>
      <c r="DJ276" s="539"/>
      <c r="DK276" s="539"/>
      <c r="DL276" s="539"/>
      <c r="DM276" s="539"/>
      <c r="DN276" s="539"/>
      <c r="DO276" s="539"/>
      <c r="DP276" s="539"/>
      <c r="DQ276" s="539"/>
      <c r="DR276" s="539"/>
      <c r="DS276" s="539"/>
      <c r="DT276" s="539"/>
      <c r="DU276" s="539"/>
      <c r="DV276" s="539"/>
      <c r="DW276" s="539"/>
      <c r="DX276" s="539"/>
      <c r="DY276" s="539"/>
      <c r="DZ276" s="539"/>
      <c r="EA276" s="539"/>
      <c r="EB276" s="539"/>
      <c r="EC276" s="539"/>
      <c r="ED276" s="539"/>
    </row>
    <row r="277" spans="1:134" ht="13.5" hidden="1" customHeight="1">
      <c r="A277" s="549"/>
      <c r="B277" s="11" t="e">
        <f>+#REF!</f>
        <v>#REF!</v>
      </c>
      <c r="C277" s="12">
        <f>IF(ISNUMBER(Historical!E38),Historical!E38, )</f>
        <v>2300</v>
      </c>
      <c r="D277" s="12">
        <f>IF(ISNUMBER(Historical!G38),Historical!G38, )</f>
        <v>2301</v>
      </c>
      <c r="E277" s="12">
        <f>IF(ISNUMBER(Historical!I38),Historical!I38, )</f>
        <v>2302</v>
      </c>
      <c r="F277" s="12">
        <f>IF(ISNUMBER(Projection!H7),IF(MONTH(Projection!H7)&lt;&gt;12,IF(ISNUMBER(Projection!L31),Projection!L31, ),IF(ISNUMBER(Historical!K38),Historical!K38, )), )</f>
        <v>2303</v>
      </c>
      <c r="G277" s="12">
        <f>IF(ISNUMBER(Projection!H7),IF(MONTH(Projection!$H$7)&lt;&gt;12,IF(ISNUMBER(Projection!N31),Projection!N31, ),IF(ISNUMBER(Projection!L31),Projection!L31, )), )</f>
        <v>2303</v>
      </c>
      <c r="H277" s="12">
        <f>IF(ISNUMBER(Projection!H7),IF(MONTH(Projection!$H$7)&lt;&gt;12,IF(ISNUMBER(Projection!P31),Projection!P31, ),IF(ISNUMBER(Projection!N31),Projection!N31, )), )</f>
        <v>2303</v>
      </c>
      <c r="I277" s="12">
        <f>IF(ISNUMBER(Projection!H7),IF(MONTH(Projection!$H$7)&lt;&gt;12,IF(ISNUMBER(Projection!R31),Projection!R31, ),IF(ISNUMBER(Projection!P31),Projection!P31, )), )</f>
        <v>2303</v>
      </c>
      <c r="J277" s="12">
        <f>IF(ISNUMBER(Projection!H7),IF(MONTH(Projection!$H$7)&lt;&gt;12,IF(ISNUMBER(Projection!T31),Projection!T31, ),IF(ISNUMBER(Projection!R31),Projection!R31, )), )</f>
        <v>2303</v>
      </c>
      <c r="K277" s="12">
        <f>IF(ISNUMBER(Projection!H7),IF(MONTH(Projection!$H$7)&lt;&gt;12,IF(ISNUMBER(Projection!Z31),Projection!Z31, ),IF(ISNUMBER(Projection!T31),Projection!T31, )), )</f>
        <v>0</v>
      </c>
      <c r="L277" s="12">
        <f>IF(ISNUMBER(Projection!H7),IF(MONTH(Projection!$H$7)&lt;&gt;12,IF(ISNUMBER(Projection!AB31),Projection!AB31, ),IF(ISNUMBER(Projection!Z31),Projection!Z31, )), )</f>
        <v>0</v>
      </c>
      <c r="M277" s="12">
        <f>IF(ISNUMBER(Projection!$H$7),IF(MONTH(Projection!$H$7)&lt;&gt;12,IF(ISNUMBER(Projection!AD31),Projection!AD31, ),IF(ISNUMBER(Projection!AB31),Projection!AB31, )), )</f>
        <v>0</v>
      </c>
      <c r="N277" s="12">
        <f>IF(ISNUMBER(Projection!$H$7),IF(MONTH(Projection!$H$7)&lt;&gt;12,IF(ISNUMBER(Projection!AF31),Projection!AF31, ),IF(ISNUMBER(Projection!AD31),Projection!AD31, )), )</f>
        <v>0</v>
      </c>
      <c r="O277" s="12">
        <f>IF(ISNUMBER(Projection!$H$7),IF(MONTH(Projection!$H$7)&lt;&gt;12,IF(ISNUMBER(Projection!AH31),Projection!AH31, ),IF(ISNUMBER(Projection!AF31),Projection!AF31, )), )</f>
        <v>0</v>
      </c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539"/>
      <c r="AR277" s="539"/>
      <c r="AS277" s="539"/>
      <c r="AT277" s="539"/>
      <c r="AU277" s="539"/>
      <c r="AV277" s="539"/>
      <c r="AW277" s="539"/>
      <c r="AX277" s="539"/>
      <c r="AY277" s="539"/>
      <c r="AZ277" s="539"/>
      <c r="BA277" s="539"/>
      <c r="BB277" s="539"/>
      <c r="BC277" s="539"/>
      <c r="BD277" s="539"/>
      <c r="BE277" s="539"/>
      <c r="BF277" s="539"/>
      <c r="BG277" s="539"/>
      <c r="BH277" s="539"/>
      <c r="BI277" s="539"/>
      <c r="BJ277" s="539"/>
      <c r="BK277" s="539"/>
      <c r="BL277" s="539"/>
      <c r="BM277" s="539"/>
      <c r="BN277" s="539"/>
      <c r="BO277" s="539"/>
      <c r="BP277" s="539"/>
      <c r="BQ277" s="539"/>
      <c r="BR277" s="539"/>
      <c r="BS277" s="539"/>
      <c r="BT277" s="539"/>
      <c r="BU277" s="539"/>
      <c r="BV277" s="539"/>
      <c r="BW277" s="539"/>
      <c r="BX277" s="539"/>
      <c r="BY277" s="539"/>
      <c r="BZ277" s="539"/>
      <c r="CA277" s="539"/>
      <c r="CB277" s="539"/>
      <c r="CC277" s="539"/>
      <c r="CD277" s="539"/>
      <c r="CE277" s="539"/>
      <c r="CF277" s="539"/>
      <c r="CG277" s="539"/>
      <c r="CH277" s="539"/>
      <c r="CI277" s="539"/>
      <c r="CJ277" s="539"/>
      <c r="CK277" s="539"/>
      <c r="CL277" s="539"/>
      <c r="CM277" s="539"/>
      <c r="CN277" s="539"/>
      <c r="CO277" s="539"/>
      <c r="CP277" s="539"/>
      <c r="CQ277" s="539"/>
      <c r="CR277" s="539"/>
      <c r="CS277" s="539"/>
      <c r="CT277" s="539"/>
      <c r="CU277" s="539"/>
      <c r="CV277" s="539"/>
      <c r="CW277" s="539"/>
      <c r="CX277" s="539"/>
      <c r="CY277" s="539"/>
      <c r="CZ277" s="539"/>
      <c r="DA277" s="539"/>
      <c r="DB277" s="539"/>
      <c r="DC277" s="539"/>
      <c r="DD277" s="539"/>
      <c r="DE277" s="539"/>
      <c r="DF277" s="539"/>
      <c r="DG277" s="539"/>
      <c r="DH277" s="539"/>
      <c r="DI277" s="539"/>
      <c r="DJ277" s="539"/>
      <c r="DK277" s="539"/>
      <c r="DL277" s="539"/>
      <c r="DM277" s="539"/>
      <c r="DN277" s="539"/>
      <c r="DO277" s="539"/>
      <c r="DP277" s="539"/>
      <c r="DQ277" s="539"/>
      <c r="DR277" s="539"/>
      <c r="DS277" s="539"/>
      <c r="DT277" s="539"/>
      <c r="DU277" s="539"/>
      <c r="DV277" s="539"/>
      <c r="DW277" s="539"/>
      <c r="DX277" s="539"/>
      <c r="DY277" s="539"/>
      <c r="DZ277" s="539"/>
      <c r="EA277" s="539"/>
      <c r="EB277" s="539"/>
      <c r="EC277" s="539"/>
      <c r="ED277" s="539"/>
    </row>
    <row r="278" spans="1:134" ht="13.5" hidden="1" customHeight="1">
      <c r="A278" s="549"/>
      <c r="B278" s="11" t="e">
        <f>+#REF!</f>
        <v>#REF!</v>
      </c>
      <c r="C278" s="12">
        <f>IF(ISNUMBER(Historical!E37),Historical!E37, )</f>
        <v>2200</v>
      </c>
      <c r="D278" s="12">
        <f>IF(ISNUMBER(Historical!G37),Historical!G37, )</f>
        <v>2201</v>
      </c>
      <c r="E278" s="12">
        <f>IF(ISNUMBER(Historical!I37),Historical!I37, )</f>
        <v>2202</v>
      </c>
      <c r="F278" s="12">
        <f>IF(ISNUMBER(Projection!H7),IF(MONTH(Projection!H7)&lt;&gt;12,IF(ISNUMBER(Projection!L30),Projection!L30, ),IF(ISNUMBER(Historical!K37),Historical!K37, )), )</f>
        <v>0</v>
      </c>
      <c r="G278" s="12">
        <f>IF(ISNUMBER(Projection!H7),IF(MONTH(Projection!$H$7)&lt;&gt;12,IF(ISNUMBER(Projection!N30),Projection!N30, ),IF(ISNUMBER(Projection!L30),Projection!L30, )), )</f>
        <v>0</v>
      </c>
      <c r="H278" s="12">
        <f>IF(ISNUMBER(Projection!H7),IF(MONTH(Projection!$H$7)&lt;&gt;12,IF(ISNUMBER(Projection!P30),Projection!P30, ),IF(ISNUMBER(Projection!N30),Projection!N30, )), )</f>
        <v>0</v>
      </c>
      <c r="I278" s="12">
        <f>IF(ISNUMBER(Projection!H7),IF(MONTH(Projection!$H$7)&lt;&gt;12,IF(ISNUMBER(Projection!R30),Projection!R30, ),IF(ISNUMBER(Projection!P30),Projection!P30, )), )</f>
        <v>0</v>
      </c>
      <c r="J278" s="12">
        <f>IF(ISNUMBER(Projection!H7),IF(MONTH(Projection!$H$7)&lt;&gt;12,IF(ISNUMBER(Projection!T30),Projection!T30, ),IF(ISNUMBER(Projection!R30),Projection!R30, )), )</f>
        <v>0</v>
      </c>
      <c r="K278" s="12">
        <f>IF(ISNUMBER(Projection!H7),IF(MONTH(Projection!$H$7)&lt;&gt;12,IF(ISNUMBER(Projection!Z30),Projection!Z30, ),IF(ISNUMBER(Projection!T30),Projection!T30, )), )</f>
        <v>2303</v>
      </c>
      <c r="L278" s="12">
        <f>IF(ISNUMBER(Projection!H7),IF(MONTH(Projection!$H$7)&lt;&gt;12,IF(ISNUMBER(Projection!AB30),Projection!AB30, ),IF(ISNUMBER(Projection!Z30),Projection!Z30, )), )</f>
        <v>2303</v>
      </c>
      <c r="M278" s="12">
        <f>IF(ISNUMBER(Projection!$H$7),IF(MONTH(Projection!$H$7)&lt;&gt;12,IF(ISNUMBER(Projection!AD30),Projection!AD30, ),IF(ISNUMBER(Projection!AB30),Projection!AB30, )), )</f>
        <v>2303</v>
      </c>
      <c r="N278" s="12">
        <f>IF(ISNUMBER(Projection!$H$7),IF(MONTH(Projection!$H$7)&lt;&gt;12,IF(ISNUMBER(Projection!AF30),Projection!AF30, ),IF(ISNUMBER(Projection!AD30),Projection!AD30, )), )</f>
        <v>2303</v>
      </c>
      <c r="O278" s="12">
        <f>IF(ISNUMBER(Projection!$H$7),IF(MONTH(Projection!$H$7)&lt;&gt;12,IF(ISNUMBER(Projection!AH30),Projection!AH30, ),IF(ISNUMBER(Projection!AF30),Projection!AF30, )), )</f>
        <v>2303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539"/>
      <c r="AR278" s="539"/>
      <c r="AS278" s="539"/>
      <c r="AT278" s="539"/>
      <c r="AU278" s="539"/>
      <c r="AV278" s="539"/>
      <c r="AW278" s="539"/>
      <c r="AX278" s="539"/>
      <c r="AY278" s="539"/>
      <c r="AZ278" s="539"/>
      <c r="BA278" s="539"/>
      <c r="BB278" s="539"/>
      <c r="BC278" s="539"/>
      <c r="BD278" s="539"/>
      <c r="BE278" s="539"/>
      <c r="BF278" s="539"/>
      <c r="BG278" s="539"/>
      <c r="BH278" s="539"/>
      <c r="BI278" s="539"/>
      <c r="BJ278" s="539"/>
      <c r="BK278" s="539"/>
      <c r="BL278" s="539"/>
      <c r="BM278" s="539"/>
      <c r="BN278" s="539"/>
      <c r="BO278" s="539"/>
      <c r="BP278" s="539"/>
      <c r="BQ278" s="539"/>
      <c r="BR278" s="539"/>
      <c r="BS278" s="539"/>
      <c r="BT278" s="539"/>
      <c r="BU278" s="539"/>
      <c r="BV278" s="539"/>
      <c r="BW278" s="539"/>
      <c r="BX278" s="539"/>
      <c r="BY278" s="539"/>
      <c r="BZ278" s="539"/>
      <c r="CA278" s="539"/>
      <c r="CB278" s="539"/>
      <c r="CC278" s="539"/>
      <c r="CD278" s="539"/>
      <c r="CE278" s="539"/>
      <c r="CF278" s="539"/>
      <c r="CG278" s="539"/>
      <c r="CH278" s="539"/>
      <c r="CI278" s="539"/>
      <c r="CJ278" s="539"/>
      <c r="CK278" s="539"/>
      <c r="CL278" s="539"/>
      <c r="CM278" s="539"/>
      <c r="CN278" s="539"/>
      <c r="CO278" s="539"/>
      <c r="CP278" s="539"/>
      <c r="CQ278" s="539"/>
      <c r="CR278" s="539"/>
      <c r="CS278" s="539"/>
      <c r="CT278" s="539"/>
      <c r="CU278" s="539"/>
      <c r="CV278" s="539"/>
      <c r="CW278" s="539"/>
      <c r="CX278" s="539"/>
      <c r="CY278" s="539"/>
      <c r="CZ278" s="539"/>
      <c r="DA278" s="539"/>
      <c r="DB278" s="539"/>
      <c r="DC278" s="539"/>
      <c r="DD278" s="539"/>
      <c r="DE278" s="539"/>
      <c r="DF278" s="539"/>
      <c r="DG278" s="539"/>
      <c r="DH278" s="539"/>
      <c r="DI278" s="539"/>
      <c r="DJ278" s="539"/>
      <c r="DK278" s="539"/>
      <c r="DL278" s="539"/>
      <c r="DM278" s="539"/>
      <c r="DN278" s="539"/>
      <c r="DO278" s="539"/>
      <c r="DP278" s="539"/>
      <c r="DQ278" s="539"/>
      <c r="DR278" s="539"/>
      <c r="DS278" s="539"/>
      <c r="DT278" s="539"/>
      <c r="DU278" s="539"/>
      <c r="DV278" s="539"/>
      <c r="DW278" s="539"/>
      <c r="DX278" s="539"/>
      <c r="DY278" s="539"/>
      <c r="DZ278" s="539"/>
      <c r="EA278" s="539"/>
      <c r="EB278" s="539"/>
      <c r="EC278" s="539"/>
      <c r="ED278" s="539"/>
    </row>
    <row r="279" spans="1:134" ht="13.5" hidden="1" customHeight="1">
      <c r="A279" s="549"/>
      <c r="B279" s="11" t="e">
        <f>+#REF!</f>
        <v>#REF!</v>
      </c>
      <c r="C279" s="12">
        <f>IF(ISNUMBER(Historical!E45),Historical!E45, )</f>
        <v>3000</v>
      </c>
      <c r="D279" s="12">
        <f>IF(ISNUMBER(Historical!G45),Historical!G45, )</f>
        <v>3001</v>
      </c>
      <c r="E279" s="12">
        <f>IF(ISNUMBER(Historical!I45),Historical!I45, )</f>
        <v>3002</v>
      </c>
      <c r="F279" s="12">
        <f>IF(ISNUMBER(Projection!H7),IF(MONTH(Projection!H7)&lt;&gt;12,IF(ISNUMBER(Projection!L38),Projection!L38, ),IF(ISNUMBER(Historical!K45),Historical!K45, )), )</f>
        <v>2993</v>
      </c>
      <c r="G279" s="12">
        <f>IF(ISNUMBER(Projection!H7),IF(MONTH(Projection!$H$7)&lt;&gt;12,IF(ISNUMBER(Projection!N38),Projection!N38, ),IF(ISNUMBER(Projection!L38),Projection!L38, )), )</f>
        <v>2993</v>
      </c>
      <c r="H279" s="12">
        <f>IF(ISNUMBER(Projection!H7),IF(MONTH(Projection!$H$7)&lt;&gt;12,IF(ISNUMBER(Projection!P38),Projection!P38, ),IF(ISNUMBER(Projection!N38),Projection!N38, )), )</f>
        <v>2993</v>
      </c>
      <c r="I279" s="12">
        <f>IF(ISNUMBER(Projection!H7),IF(MONTH(Projection!$H$7)&lt;&gt;12,IF(ISNUMBER(Projection!R38),Projection!R38, ),IF(ISNUMBER(Projection!P38),Projection!P38, )), )</f>
        <v>2993</v>
      </c>
      <c r="J279" s="12">
        <f>IF(ISNUMBER(Projection!$H$7),IF(MONTH(Projection!$H$7)&lt;&gt;12,IF(ISNUMBER(Projection!T38),Projection!T38, ),IF(ISNUMBER(Projection!R38),Projection!R38, )), )</f>
        <v>2993</v>
      </c>
      <c r="K279" s="12">
        <f>IF(ISNUMBER(Projection!H7),IF(MONTH(Projection!$H$7)&lt;&gt;12,IF(ISNUMBER(Projection!Z38),Projection!Z38, ),IF(ISNUMBER(Projection!T38),Projection!T38, )), )</f>
        <v>0</v>
      </c>
      <c r="L279" s="12">
        <f>IF(ISNUMBER(Projection!H7),IF(MONTH(Projection!$H$7)&lt;&gt;12,IF(ISNUMBER(Projection!AB38),Projection!AB38, ),IF(ISNUMBER(Projection!Z38),Projection!Z38, )), )</f>
        <v>0</v>
      </c>
      <c r="M279" s="12">
        <f>IF(ISNUMBER(Projection!$H$7),IF(MONTH(Projection!$H$7)&lt;&gt;12,IF(ISNUMBER(Projection!AD38),Projection!AD38, ),IF(ISNUMBER(Projection!AB38),Projection!AB38, )), )</f>
        <v>0</v>
      </c>
      <c r="N279" s="12">
        <f>IF(ISNUMBER(Projection!$H$7),IF(MONTH(Projection!$H$7)&lt;&gt;12,IF(ISNUMBER(Projection!AF38),Projection!AF38, ),IF(ISNUMBER(Projection!AD38),Projection!AD38, )), )</f>
        <v>0</v>
      </c>
      <c r="O279" s="12">
        <f>IF(ISNUMBER(Projection!$H$7),IF(MONTH(Projection!$H$7)&lt;&gt;12,IF(ISNUMBER(Projection!AH38),Projection!AH38, ),IF(ISNUMBER(Projection!AF38),Projection!AF38, )), )</f>
        <v>0</v>
      </c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539"/>
      <c r="AR279" s="539"/>
      <c r="AS279" s="539"/>
      <c r="AT279" s="539"/>
      <c r="AU279" s="539"/>
      <c r="AV279" s="539"/>
      <c r="AW279" s="539"/>
      <c r="AX279" s="539"/>
      <c r="AY279" s="539"/>
      <c r="AZ279" s="539"/>
      <c r="BA279" s="539"/>
      <c r="BB279" s="539"/>
      <c r="BC279" s="539"/>
      <c r="BD279" s="539"/>
      <c r="BE279" s="539"/>
      <c r="BF279" s="539"/>
      <c r="BG279" s="539"/>
      <c r="BH279" s="539"/>
      <c r="BI279" s="539"/>
      <c r="BJ279" s="539"/>
      <c r="BK279" s="539"/>
      <c r="BL279" s="539"/>
      <c r="BM279" s="539"/>
      <c r="BN279" s="539"/>
      <c r="BO279" s="539"/>
      <c r="BP279" s="539"/>
      <c r="BQ279" s="539"/>
      <c r="BR279" s="539"/>
      <c r="BS279" s="539"/>
      <c r="BT279" s="539"/>
      <c r="BU279" s="539"/>
      <c r="BV279" s="539"/>
      <c r="BW279" s="539"/>
      <c r="BX279" s="539"/>
      <c r="BY279" s="539"/>
      <c r="BZ279" s="539"/>
      <c r="CA279" s="539"/>
      <c r="CB279" s="539"/>
      <c r="CC279" s="539"/>
      <c r="CD279" s="539"/>
      <c r="CE279" s="539"/>
      <c r="CF279" s="539"/>
      <c r="CG279" s="539"/>
      <c r="CH279" s="539"/>
      <c r="CI279" s="539"/>
      <c r="CJ279" s="539"/>
      <c r="CK279" s="539"/>
      <c r="CL279" s="539"/>
      <c r="CM279" s="539"/>
      <c r="CN279" s="539"/>
      <c r="CO279" s="539"/>
      <c r="CP279" s="539"/>
      <c r="CQ279" s="539"/>
      <c r="CR279" s="539"/>
      <c r="CS279" s="539"/>
      <c r="CT279" s="539"/>
      <c r="CU279" s="539"/>
      <c r="CV279" s="539"/>
      <c r="CW279" s="539"/>
      <c r="CX279" s="539"/>
      <c r="CY279" s="539"/>
      <c r="CZ279" s="539"/>
      <c r="DA279" s="539"/>
      <c r="DB279" s="539"/>
      <c r="DC279" s="539"/>
      <c r="DD279" s="539"/>
      <c r="DE279" s="539"/>
      <c r="DF279" s="539"/>
      <c r="DG279" s="539"/>
      <c r="DH279" s="539"/>
      <c r="DI279" s="539"/>
      <c r="DJ279" s="539"/>
      <c r="DK279" s="539"/>
      <c r="DL279" s="539"/>
      <c r="DM279" s="539"/>
      <c r="DN279" s="539"/>
      <c r="DO279" s="539"/>
      <c r="DP279" s="539"/>
      <c r="DQ279" s="539"/>
      <c r="DR279" s="539"/>
      <c r="DS279" s="539"/>
      <c r="DT279" s="539"/>
      <c r="DU279" s="539"/>
      <c r="DV279" s="539"/>
      <c r="DW279" s="539"/>
      <c r="DX279" s="539"/>
      <c r="DY279" s="539"/>
      <c r="DZ279" s="539"/>
      <c r="EA279" s="539"/>
      <c r="EB279" s="539"/>
      <c r="EC279" s="539"/>
      <c r="ED279" s="539"/>
    </row>
    <row r="280" spans="1:134" ht="13.5" hidden="1" customHeight="1">
      <c r="A280" s="549"/>
      <c r="B280" s="11" t="e">
        <f>+#REF!</f>
        <v>#REF!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539"/>
      <c r="AR280" s="539"/>
      <c r="AS280" s="539"/>
      <c r="AT280" s="539"/>
      <c r="AU280" s="539"/>
      <c r="AV280" s="539"/>
      <c r="AW280" s="539"/>
      <c r="AX280" s="539"/>
      <c r="AY280" s="539"/>
      <c r="AZ280" s="539"/>
      <c r="BA280" s="539"/>
      <c r="BB280" s="539"/>
      <c r="BC280" s="539"/>
      <c r="BD280" s="539"/>
      <c r="BE280" s="539"/>
      <c r="BF280" s="539"/>
      <c r="BG280" s="539"/>
      <c r="BH280" s="539"/>
      <c r="BI280" s="539"/>
      <c r="BJ280" s="539"/>
      <c r="BK280" s="539"/>
      <c r="BL280" s="539"/>
      <c r="BM280" s="539"/>
      <c r="BN280" s="539"/>
      <c r="BO280" s="539"/>
      <c r="BP280" s="539"/>
      <c r="BQ280" s="539"/>
      <c r="BR280" s="539"/>
      <c r="BS280" s="539"/>
      <c r="BT280" s="539"/>
      <c r="BU280" s="539"/>
      <c r="BV280" s="539"/>
      <c r="BW280" s="539"/>
      <c r="BX280" s="539"/>
      <c r="BY280" s="539"/>
      <c r="BZ280" s="539"/>
      <c r="CA280" s="539"/>
      <c r="CB280" s="539"/>
      <c r="CC280" s="539"/>
      <c r="CD280" s="539"/>
      <c r="CE280" s="539"/>
      <c r="CF280" s="539"/>
      <c r="CG280" s="539"/>
      <c r="CH280" s="539"/>
      <c r="CI280" s="539"/>
      <c r="CJ280" s="539"/>
      <c r="CK280" s="539"/>
      <c r="CL280" s="539"/>
      <c r="CM280" s="539"/>
      <c r="CN280" s="539"/>
      <c r="CO280" s="539"/>
      <c r="CP280" s="539"/>
      <c r="CQ280" s="539"/>
      <c r="CR280" s="539"/>
      <c r="CS280" s="539"/>
      <c r="CT280" s="539"/>
      <c r="CU280" s="539"/>
      <c r="CV280" s="539"/>
      <c r="CW280" s="539"/>
      <c r="CX280" s="539"/>
      <c r="CY280" s="539"/>
      <c r="CZ280" s="539"/>
      <c r="DA280" s="539"/>
      <c r="DB280" s="539"/>
      <c r="DC280" s="539"/>
      <c r="DD280" s="539"/>
      <c r="DE280" s="539"/>
      <c r="DF280" s="539"/>
      <c r="DG280" s="539"/>
      <c r="DH280" s="539"/>
      <c r="DI280" s="539"/>
      <c r="DJ280" s="539"/>
      <c r="DK280" s="539"/>
      <c r="DL280" s="539"/>
      <c r="DM280" s="539"/>
      <c r="DN280" s="539"/>
      <c r="DO280" s="539"/>
      <c r="DP280" s="539"/>
      <c r="DQ280" s="539"/>
      <c r="DR280" s="539"/>
      <c r="DS280" s="539"/>
      <c r="DT280" s="539"/>
      <c r="DU280" s="539"/>
      <c r="DV280" s="539"/>
      <c r="DW280" s="539"/>
      <c r="DX280" s="539"/>
      <c r="DY280" s="539"/>
      <c r="DZ280" s="539"/>
      <c r="EA280" s="539"/>
      <c r="EB280" s="539"/>
      <c r="EC280" s="539"/>
      <c r="ED280" s="539"/>
    </row>
    <row r="281" spans="1:134" ht="13.5" hidden="1" customHeight="1">
      <c r="A281" s="549"/>
      <c r="B281" s="11" t="e">
        <f>+#REF!</f>
        <v>#REF!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539"/>
      <c r="AR281" s="539"/>
      <c r="AS281" s="539"/>
      <c r="AT281" s="539"/>
      <c r="AU281" s="539"/>
      <c r="AV281" s="539"/>
      <c r="AW281" s="539"/>
      <c r="AX281" s="539"/>
      <c r="AY281" s="539"/>
      <c r="AZ281" s="539"/>
      <c r="BA281" s="539"/>
      <c r="BB281" s="539"/>
      <c r="BC281" s="539"/>
      <c r="BD281" s="539"/>
      <c r="BE281" s="539"/>
      <c r="BF281" s="539"/>
      <c r="BG281" s="539"/>
      <c r="BH281" s="539"/>
      <c r="BI281" s="539"/>
      <c r="BJ281" s="539"/>
      <c r="BK281" s="539"/>
      <c r="BL281" s="539"/>
      <c r="BM281" s="539"/>
      <c r="BN281" s="539"/>
      <c r="BO281" s="539"/>
      <c r="BP281" s="539"/>
      <c r="BQ281" s="539"/>
      <c r="BR281" s="539"/>
      <c r="BS281" s="539"/>
      <c r="BT281" s="539"/>
      <c r="BU281" s="539"/>
      <c r="BV281" s="539"/>
      <c r="BW281" s="539"/>
      <c r="BX281" s="539"/>
      <c r="BY281" s="539"/>
      <c r="BZ281" s="539"/>
      <c r="CA281" s="539"/>
      <c r="CB281" s="539"/>
      <c r="CC281" s="539"/>
      <c r="CD281" s="539"/>
      <c r="CE281" s="539"/>
      <c r="CF281" s="539"/>
      <c r="CG281" s="539"/>
      <c r="CH281" s="539"/>
      <c r="CI281" s="539"/>
      <c r="CJ281" s="539"/>
      <c r="CK281" s="539"/>
      <c r="CL281" s="539"/>
      <c r="CM281" s="539"/>
      <c r="CN281" s="539"/>
      <c r="CO281" s="539"/>
      <c r="CP281" s="539"/>
      <c r="CQ281" s="539"/>
      <c r="CR281" s="539"/>
      <c r="CS281" s="539"/>
      <c r="CT281" s="539"/>
      <c r="CU281" s="539"/>
      <c r="CV281" s="539"/>
      <c r="CW281" s="539"/>
      <c r="CX281" s="539"/>
      <c r="CY281" s="539"/>
      <c r="CZ281" s="539"/>
      <c r="DA281" s="539"/>
      <c r="DB281" s="539"/>
      <c r="DC281" s="539"/>
      <c r="DD281" s="539"/>
      <c r="DE281" s="539"/>
      <c r="DF281" s="539"/>
      <c r="DG281" s="539"/>
      <c r="DH281" s="539"/>
      <c r="DI281" s="539"/>
      <c r="DJ281" s="539"/>
      <c r="DK281" s="539"/>
      <c r="DL281" s="539"/>
      <c r="DM281" s="539"/>
      <c r="DN281" s="539"/>
      <c r="DO281" s="539"/>
      <c r="DP281" s="539"/>
      <c r="DQ281" s="539"/>
      <c r="DR281" s="539"/>
      <c r="DS281" s="539"/>
      <c r="DT281" s="539"/>
      <c r="DU281" s="539"/>
      <c r="DV281" s="539"/>
      <c r="DW281" s="539"/>
      <c r="DX281" s="539"/>
      <c r="DY281" s="539"/>
      <c r="DZ281" s="539"/>
      <c r="EA281" s="539"/>
      <c r="EB281" s="539"/>
      <c r="EC281" s="539"/>
      <c r="ED281" s="539"/>
    </row>
    <row r="282" spans="1:134" ht="13.5" hidden="1" customHeight="1">
      <c r="A282" s="549"/>
      <c r="B282" s="11" t="e">
        <f>+#REF!</f>
        <v>#REF!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539"/>
      <c r="AR282" s="539"/>
      <c r="AS282" s="539"/>
      <c r="AT282" s="539"/>
      <c r="AU282" s="539"/>
      <c r="AV282" s="539"/>
      <c r="AW282" s="539"/>
      <c r="AX282" s="539"/>
      <c r="AY282" s="539"/>
      <c r="AZ282" s="539"/>
      <c r="BA282" s="539"/>
      <c r="BB282" s="539"/>
      <c r="BC282" s="539"/>
      <c r="BD282" s="539"/>
      <c r="BE282" s="539"/>
      <c r="BF282" s="539"/>
      <c r="BG282" s="539"/>
      <c r="BH282" s="539"/>
      <c r="BI282" s="539"/>
      <c r="BJ282" s="539"/>
      <c r="BK282" s="539"/>
      <c r="BL282" s="539"/>
      <c r="BM282" s="539"/>
      <c r="BN282" s="539"/>
      <c r="BO282" s="539"/>
      <c r="BP282" s="539"/>
      <c r="BQ282" s="539"/>
      <c r="BR282" s="539"/>
      <c r="BS282" s="539"/>
      <c r="BT282" s="539"/>
      <c r="BU282" s="539"/>
      <c r="BV282" s="539"/>
      <c r="BW282" s="539"/>
      <c r="BX282" s="539"/>
      <c r="BY282" s="539"/>
      <c r="BZ282" s="539"/>
      <c r="CA282" s="539"/>
      <c r="CB282" s="539"/>
      <c r="CC282" s="539"/>
      <c r="CD282" s="539"/>
      <c r="CE282" s="539"/>
      <c r="CF282" s="539"/>
      <c r="CG282" s="539"/>
      <c r="CH282" s="539"/>
      <c r="CI282" s="539"/>
      <c r="CJ282" s="539"/>
      <c r="CK282" s="539"/>
      <c r="CL282" s="539"/>
      <c r="CM282" s="539"/>
      <c r="CN282" s="539"/>
      <c r="CO282" s="539"/>
      <c r="CP282" s="539"/>
      <c r="CQ282" s="539"/>
      <c r="CR282" s="539"/>
      <c r="CS282" s="539"/>
      <c r="CT282" s="539"/>
      <c r="CU282" s="539"/>
      <c r="CV282" s="539"/>
      <c r="CW282" s="539"/>
      <c r="CX282" s="539"/>
      <c r="CY282" s="539"/>
      <c r="CZ282" s="539"/>
      <c r="DA282" s="539"/>
      <c r="DB282" s="539"/>
      <c r="DC282" s="539"/>
      <c r="DD282" s="539"/>
      <c r="DE282" s="539"/>
      <c r="DF282" s="539"/>
      <c r="DG282" s="539"/>
      <c r="DH282" s="539"/>
      <c r="DI282" s="539"/>
      <c r="DJ282" s="539"/>
      <c r="DK282" s="539"/>
      <c r="DL282" s="539"/>
      <c r="DM282" s="539"/>
      <c r="DN282" s="539"/>
      <c r="DO282" s="539"/>
      <c r="DP282" s="539"/>
      <c r="DQ282" s="539"/>
      <c r="DR282" s="539"/>
      <c r="DS282" s="539"/>
      <c r="DT282" s="539"/>
      <c r="DU282" s="539"/>
      <c r="DV282" s="539"/>
      <c r="DW282" s="539"/>
      <c r="DX282" s="539"/>
      <c r="DY282" s="539"/>
      <c r="DZ282" s="539"/>
      <c r="EA282" s="539"/>
      <c r="EB282" s="539"/>
      <c r="EC282" s="539"/>
      <c r="ED282" s="539"/>
    </row>
    <row r="283" spans="1:134" ht="13.5" hidden="1" customHeight="1">
      <c r="A283" s="549"/>
      <c r="B283" s="11" t="e">
        <f>+#REF!</f>
        <v>#REF!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539"/>
      <c r="AR283" s="539"/>
      <c r="AS283" s="539"/>
      <c r="AT283" s="539"/>
      <c r="AU283" s="539"/>
      <c r="AV283" s="539"/>
      <c r="AW283" s="539"/>
      <c r="AX283" s="539"/>
      <c r="AY283" s="539"/>
      <c r="AZ283" s="539"/>
      <c r="BA283" s="539"/>
      <c r="BB283" s="539"/>
      <c r="BC283" s="539"/>
      <c r="BD283" s="539"/>
      <c r="BE283" s="539"/>
      <c r="BF283" s="539"/>
      <c r="BG283" s="539"/>
      <c r="BH283" s="539"/>
      <c r="BI283" s="539"/>
      <c r="BJ283" s="539"/>
      <c r="BK283" s="539"/>
      <c r="BL283" s="539"/>
      <c r="BM283" s="539"/>
      <c r="BN283" s="539"/>
      <c r="BO283" s="539"/>
      <c r="BP283" s="539"/>
      <c r="BQ283" s="539"/>
      <c r="BR283" s="539"/>
      <c r="BS283" s="539"/>
      <c r="BT283" s="539"/>
      <c r="BU283" s="539"/>
      <c r="BV283" s="539"/>
      <c r="BW283" s="539"/>
      <c r="BX283" s="539"/>
      <c r="BY283" s="539"/>
      <c r="BZ283" s="539"/>
      <c r="CA283" s="539"/>
      <c r="CB283" s="539"/>
      <c r="CC283" s="539"/>
      <c r="CD283" s="539"/>
      <c r="CE283" s="539"/>
      <c r="CF283" s="539"/>
      <c r="CG283" s="539"/>
      <c r="CH283" s="539"/>
      <c r="CI283" s="539"/>
      <c r="CJ283" s="539"/>
      <c r="CK283" s="539"/>
      <c r="CL283" s="539"/>
      <c r="CM283" s="539"/>
      <c r="CN283" s="539"/>
      <c r="CO283" s="539"/>
      <c r="CP283" s="539"/>
      <c r="CQ283" s="539"/>
      <c r="CR283" s="539"/>
      <c r="CS283" s="539"/>
      <c r="CT283" s="539"/>
      <c r="CU283" s="539"/>
      <c r="CV283" s="539"/>
      <c r="CW283" s="539"/>
      <c r="CX283" s="539"/>
      <c r="CY283" s="539"/>
      <c r="CZ283" s="539"/>
      <c r="DA283" s="539"/>
      <c r="DB283" s="539"/>
      <c r="DC283" s="539"/>
      <c r="DD283" s="539"/>
      <c r="DE283" s="539"/>
      <c r="DF283" s="539"/>
      <c r="DG283" s="539"/>
      <c r="DH283" s="539"/>
      <c r="DI283" s="539"/>
      <c r="DJ283" s="539"/>
      <c r="DK283" s="539"/>
      <c r="DL283" s="539"/>
      <c r="DM283" s="539"/>
      <c r="DN283" s="539"/>
      <c r="DO283" s="539"/>
      <c r="DP283" s="539"/>
      <c r="DQ283" s="539"/>
      <c r="DR283" s="539"/>
      <c r="DS283" s="539"/>
      <c r="DT283" s="539"/>
      <c r="DU283" s="539"/>
      <c r="DV283" s="539"/>
      <c r="DW283" s="539"/>
      <c r="DX283" s="539"/>
      <c r="DY283" s="539"/>
      <c r="DZ283" s="539"/>
      <c r="EA283" s="539"/>
      <c r="EB283" s="539"/>
      <c r="EC283" s="539"/>
      <c r="ED283" s="539"/>
    </row>
    <row r="284" spans="1:134" ht="13.5" customHeight="1">
      <c r="A284" s="539"/>
      <c r="B284" s="10" t="e">
        <f>+#REF!</f>
        <v>#REF!</v>
      </c>
      <c r="C284" s="10">
        <v>0</v>
      </c>
      <c r="D284" s="10">
        <v>14546.196001</v>
      </c>
      <c r="E284" s="10">
        <v>21150.895326000002</v>
      </c>
      <c r="F284" s="10">
        <v>344113.62690799998</v>
      </c>
      <c r="G284" s="10">
        <v>194790.92939993198</v>
      </c>
      <c r="H284" s="10">
        <v>183305.8069328242</v>
      </c>
      <c r="I284" s="10">
        <v>169474.12910224861</v>
      </c>
      <c r="J284" s="10">
        <v>177918.02212790737</v>
      </c>
      <c r="K284" s="10">
        <v>186805.42809872676</v>
      </c>
      <c r="L284" s="10">
        <v>0</v>
      </c>
      <c r="M284" s="10">
        <v>0</v>
      </c>
      <c r="N284" s="10">
        <v>0</v>
      </c>
      <c r="O284" s="10">
        <v>0</v>
      </c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539"/>
      <c r="AR284" s="539"/>
      <c r="AS284" s="539"/>
      <c r="AT284" s="539"/>
      <c r="AU284" s="539"/>
      <c r="AV284" s="539"/>
      <c r="AW284" s="539"/>
      <c r="AX284" s="539"/>
      <c r="AY284" s="539"/>
      <c r="AZ284" s="539"/>
      <c r="BA284" s="539"/>
      <c r="BB284" s="539"/>
      <c r="BC284" s="539"/>
      <c r="BD284" s="539"/>
      <c r="BE284" s="539"/>
      <c r="BF284" s="539"/>
      <c r="BG284" s="539"/>
      <c r="BH284" s="539"/>
      <c r="BI284" s="539"/>
      <c r="BJ284" s="539"/>
      <c r="BK284" s="539"/>
      <c r="BL284" s="539"/>
      <c r="BM284" s="539"/>
      <c r="BN284" s="539"/>
      <c r="BO284" s="539"/>
      <c r="BP284" s="539"/>
      <c r="BQ284" s="539"/>
      <c r="BR284" s="539"/>
      <c r="BS284" s="539"/>
      <c r="BT284" s="539"/>
      <c r="BU284" s="539"/>
      <c r="BV284" s="539"/>
      <c r="BW284" s="539"/>
      <c r="BX284" s="539"/>
      <c r="BY284" s="539"/>
      <c r="BZ284" s="539"/>
      <c r="CA284" s="539"/>
      <c r="CB284" s="539"/>
      <c r="CC284" s="539"/>
      <c r="CD284" s="539"/>
      <c r="CE284" s="539"/>
      <c r="CF284" s="539"/>
      <c r="CG284" s="539"/>
      <c r="CH284" s="539"/>
      <c r="CI284" s="539"/>
      <c r="CJ284" s="539"/>
      <c r="CK284" s="539"/>
      <c r="CL284" s="539"/>
      <c r="CM284" s="539"/>
      <c r="CN284" s="539"/>
      <c r="CO284" s="539"/>
      <c r="CP284" s="539"/>
      <c r="CQ284" s="539"/>
      <c r="CR284" s="539"/>
      <c r="CS284" s="539"/>
      <c r="CT284" s="539"/>
      <c r="CU284" s="539"/>
      <c r="CV284" s="539"/>
      <c r="CW284" s="539"/>
      <c r="CX284" s="539"/>
      <c r="CY284" s="539"/>
      <c r="CZ284" s="539"/>
      <c r="DA284" s="539"/>
      <c r="DB284" s="539"/>
      <c r="DC284" s="539"/>
      <c r="DD284" s="539"/>
      <c r="DE284" s="539"/>
      <c r="DF284" s="539"/>
      <c r="DG284" s="539"/>
      <c r="DH284" s="539"/>
      <c r="DI284" s="539"/>
      <c r="DJ284" s="539"/>
      <c r="DK284" s="539"/>
      <c r="DL284" s="539"/>
      <c r="DM284" s="539"/>
      <c r="DN284" s="539"/>
      <c r="DO284" s="539"/>
      <c r="DP284" s="539"/>
      <c r="DQ284" s="539"/>
      <c r="DR284" s="539"/>
      <c r="DS284" s="539"/>
      <c r="DT284" s="539"/>
      <c r="DU284" s="539"/>
      <c r="DV284" s="539"/>
      <c r="DW284" s="539"/>
      <c r="DX284" s="539"/>
      <c r="DY284" s="539"/>
      <c r="DZ284" s="539"/>
      <c r="EA284" s="539"/>
      <c r="EB284" s="539"/>
      <c r="EC284" s="539"/>
      <c r="ED284" s="539"/>
    </row>
    <row r="285" spans="1:134" ht="13.5" hidden="1" customHeight="1">
      <c r="A285" s="549"/>
      <c r="B285" s="11" t="e">
        <f>+#REF!</f>
        <v>#REF!</v>
      </c>
      <c r="C285" s="12">
        <f>IF(ISNUMBER(Historical!E39),Historical!E39, )</f>
        <v>2400</v>
      </c>
      <c r="D285" s="12">
        <f>IF(ISNUMBER(Historical!G39),Historical!G39, )</f>
        <v>2401</v>
      </c>
      <c r="E285" s="12">
        <f>IF(ISNUMBER(Historical!I39),Historical!I39, )</f>
        <v>2402</v>
      </c>
      <c r="F285" s="12">
        <f>IF(ISNUMBER(Projection!H7),IF(MONTH(Projection!H7)&lt;&gt;12,IF(ISNUMBER(Projection!L32),Projection!L32, ),IF(ISNUMBER(Historical!K39),Historical!K39, )), )</f>
        <v>1533.0277777777778</v>
      </c>
      <c r="G285" s="12">
        <f>IF(ISNUMBER(Projection!H7),IF(MONTH(Projection!$H$7)&lt;&gt;12,IF(ISNUMBER(Projection!N32),Projection!N32, ),IF(ISNUMBER(Projection!L32),Projection!L32, )), )</f>
        <v>1615.1666666666665</v>
      </c>
      <c r="H285" s="12">
        <f>IF(ISNUMBER(Projection!H7),IF(MONTH(Projection!$H$7)&lt;&gt;12,IF(ISNUMBER(Projection!P32),Projection!P32, ),IF(ISNUMBER(Projection!N32),Projection!N32, )), )</f>
        <v>1756.5166666666662</v>
      </c>
      <c r="I285" s="12">
        <f>IF(ISNUMBER(Projection!H7),IF(MONTH(Projection!$H$7)&lt;&gt;12,IF(ISNUMBER(Projection!R32),Projection!R32, ),IF(ISNUMBER(Projection!P32),Projection!P32, )), )</f>
        <v>1932.1683333333331</v>
      </c>
      <c r="J285" s="12">
        <f>IF(ISNUMBER(Projection!H7),IF(MONTH(Projection!$H$7)&lt;&gt;12,IF(ISNUMBER(Projection!T32),Projection!T32, ),IF(ISNUMBER(Projection!R32),Projection!R32, )), )</f>
        <v>2125.3851666666669</v>
      </c>
      <c r="K285" s="12">
        <f>IF(ISNUMBER(Projection!H7),IF(MONTH(Projection!$H$7)&lt;&gt;12,IF(ISNUMBER(Projection!Z32),Projection!Z32, ),IF(ISNUMBER(Projection!T32),Projection!T32, )), )</f>
        <v>32765.128062333337</v>
      </c>
      <c r="L285" s="12">
        <f>IF(ISNUMBER(Projection!H7),IF(MONTH(Projection!$H$7)&lt;&gt;12,IF(ISNUMBER(Projection!AB32),Projection!AB32, ),IF(ISNUMBER(Projection!Z32),Projection!Z32, )), )</f>
        <v>36932.215320000003</v>
      </c>
      <c r="M285" s="12">
        <f>IF(ISNUMBER(Projection!$H$7),IF(MONTH(Projection!$H$7)&lt;&gt;12,IF(ISNUMBER(Projection!AD32),Projection!AD32, ),IF(ISNUMBER(Projection!AB32),Projection!AB32, )), )</f>
        <v>36932.215320000003</v>
      </c>
      <c r="N285" s="12">
        <f>IF(ISNUMBER(Projection!$H$7),IF(MONTH(Projection!$H$7)&lt;&gt;12,IF(ISNUMBER(Projection!AF32),Projection!AF32, ),IF(ISNUMBER(Projection!AD32),Projection!AD32, )), )</f>
        <v>36932.215320000003</v>
      </c>
      <c r="O285" s="12">
        <f>IF(ISNUMBER(Projection!$H$7),IF(MONTH(Projection!$H$7)&lt;&gt;12,IF(ISNUMBER(Projection!AH32),Projection!AH32, ),IF(ISNUMBER(Projection!AF32),Projection!AF32, )), )</f>
        <v>36932.215320000003</v>
      </c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539"/>
      <c r="AR285" s="539"/>
      <c r="AS285" s="539"/>
      <c r="AT285" s="539"/>
      <c r="AU285" s="539"/>
      <c r="AV285" s="539"/>
      <c r="AW285" s="539"/>
      <c r="AX285" s="539"/>
      <c r="AY285" s="539"/>
      <c r="AZ285" s="539"/>
      <c r="BA285" s="539"/>
      <c r="BB285" s="539"/>
      <c r="BC285" s="539"/>
      <c r="BD285" s="539"/>
      <c r="BE285" s="539"/>
      <c r="BF285" s="539"/>
      <c r="BG285" s="539"/>
      <c r="BH285" s="539"/>
      <c r="BI285" s="539"/>
      <c r="BJ285" s="539"/>
      <c r="BK285" s="539"/>
      <c r="BL285" s="539"/>
      <c r="BM285" s="539"/>
      <c r="BN285" s="539"/>
      <c r="BO285" s="539"/>
      <c r="BP285" s="539"/>
      <c r="BQ285" s="539"/>
      <c r="BR285" s="539"/>
      <c r="BS285" s="539"/>
      <c r="BT285" s="539"/>
      <c r="BU285" s="539"/>
      <c r="BV285" s="539"/>
      <c r="BW285" s="539"/>
      <c r="BX285" s="539"/>
      <c r="BY285" s="539"/>
      <c r="BZ285" s="539"/>
      <c r="CA285" s="539"/>
      <c r="CB285" s="539"/>
      <c r="CC285" s="539"/>
      <c r="CD285" s="539"/>
      <c r="CE285" s="539"/>
      <c r="CF285" s="539"/>
      <c r="CG285" s="539"/>
      <c r="CH285" s="539"/>
      <c r="CI285" s="539"/>
      <c r="CJ285" s="539"/>
      <c r="CK285" s="539"/>
      <c r="CL285" s="539"/>
      <c r="CM285" s="539"/>
      <c r="CN285" s="539"/>
      <c r="CO285" s="539"/>
      <c r="CP285" s="539"/>
      <c r="CQ285" s="539"/>
      <c r="CR285" s="539"/>
      <c r="CS285" s="539"/>
      <c r="CT285" s="539"/>
      <c r="CU285" s="539"/>
      <c r="CV285" s="539"/>
      <c r="CW285" s="539"/>
      <c r="CX285" s="539"/>
      <c r="CY285" s="539"/>
      <c r="CZ285" s="539"/>
      <c r="DA285" s="539"/>
      <c r="DB285" s="539"/>
      <c r="DC285" s="539"/>
      <c r="DD285" s="539"/>
      <c r="DE285" s="539"/>
      <c r="DF285" s="539"/>
      <c r="DG285" s="539"/>
      <c r="DH285" s="539"/>
      <c r="DI285" s="539"/>
      <c r="DJ285" s="539"/>
      <c r="DK285" s="539"/>
      <c r="DL285" s="539"/>
      <c r="DM285" s="539"/>
      <c r="DN285" s="539"/>
      <c r="DO285" s="539"/>
      <c r="DP285" s="539"/>
      <c r="DQ285" s="539"/>
      <c r="DR285" s="539"/>
      <c r="DS285" s="539"/>
      <c r="DT285" s="539"/>
      <c r="DU285" s="539"/>
      <c r="DV285" s="539"/>
      <c r="DW285" s="539"/>
      <c r="DX285" s="539"/>
      <c r="DY285" s="539"/>
      <c r="DZ285" s="539"/>
      <c r="EA285" s="539"/>
      <c r="EB285" s="539"/>
      <c r="EC285" s="539"/>
      <c r="ED285" s="539"/>
    </row>
    <row r="286" spans="1:134" ht="13.5" hidden="1" customHeight="1">
      <c r="A286" s="549"/>
      <c r="B286" s="11" t="e">
        <f>+#REF!</f>
        <v>#REF!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539"/>
      <c r="AR286" s="539"/>
      <c r="AS286" s="539"/>
      <c r="AT286" s="539"/>
      <c r="AU286" s="539"/>
      <c r="AV286" s="539"/>
      <c r="AW286" s="539"/>
      <c r="AX286" s="539"/>
      <c r="AY286" s="539"/>
      <c r="AZ286" s="539"/>
      <c r="BA286" s="539"/>
      <c r="BB286" s="539"/>
      <c r="BC286" s="539"/>
      <c r="BD286" s="539"/>
      <c r="BE286" s="539"/>
      <c r="BF286" s="539"/>
      <c r="BG286" s="539"/>
      <c r="BH286" s="539"/>
      <c r="BI286" s="539"/>
      <c r="BJ286" s="539"/>
      <c r="BK286" s="539"/>
      <c r="BL286" s="539"/>
      <c r="BM286" s="539"/>
      <c r="BN286" s="539"/>
      <c r="BO286" s="539"/>
      <c r="BP286" s="539"/>
      <c r="BQ286" s="539"/>
      <c r="BR286" s="539"/>
      <c r="BS286" s="539"/>
      <c r="BT286" s="539"/>
      <c r="BU286" s="539"/>
      <c r="BV286" s="539"/>
      <c r="BW286" s="539"/>
      <c r="BX286" s="539"/>
      <c r="BY286" s="539"/>
      <c r="BZ286" s="539"/>
      <c r="CA286" s="539"/>
      <c r="CB286" s="539"/>
      <c r="CC286" s="539"/>
      <c r="CD286" s="539"/>
      <c r="CE286" s="539"/>
      <c r="CF286" s="539"/>
      <c r="CG286" s="539"/>
      <c r="CH286" s="539"/>
      <c r="CI286" s="539"/>
      <c r="CJ286" s="539"/>
      <c r="CK286" s="539"/>
      <c r="CL286" s="539"/>
      <c r="CM286" s="539"/>
      <c r="CN286" s="539"/>
      <c r="CO286" s="539"/>
      <c r="CP286" s="539"/>
      <c r="CQ286" s="539"/>
      <c r="CR286" s="539"/>
      <c r="CS286" s="539"/>
      <c r="CT286" s="539"/>
      <c r="CU286" s="539"/>
      <c r="CV286" s="539"/>
      <c r="CW286" s="539"/>
      <c r="CX286" s="539"/>
      <c r="CY286" s="539"/>
      <c r="CZ286" s="539"/>
      <c r="DA286" s="539"/>
      <c r="DB286" s="539"/>
      <c r="DC286" s="539"/>
      <c r="DD286" s="539"/>
      <c r="DE286" s="539"/>
      <c r="DF286" s="539"/>
      <c r="DG286" s="539"/>
      <c r="DH286" s="539"/>
      <c r="DI286" s="539"/>
      <c r="DJ286" s="539"/>
      <c r="DK286" s="539"/>
      <c r="DL286" s="539"/>
      <c r="DM286" s="539"/>
      <c r="DN286" s="539"/>
      <c r="DO286" s="539"/>
      <c r="DP286" s="539"/>
      <c r="DQ286" s="539"/>
      <c r="DR286" s="539"/>
      <c r="DS286" s="539"/>
      <c r="DT286" s="539"/>
      <c r="DU286" s="539"/>
      <c r="DV286" s="539"/>
      <c r="DW286" s="539"/>
      <c r="DX286" s="539"/>
      <c r="DY286" s="539"/>
      <c r="DZ286" s="539"/>
      <c r="EA286" s="539"/>
      <c r="EB286" s="539"/>
      <c r="EC286" s="539"/>
      <c r="ED286" s="539"/>
    </row>
    <row r="287" spans="1:134" ht="13.5" hidden="1" customHeight="1">
      <c r="A287" s="549"/>
      <c r="B287" s="11" t="e">
        <f>+#REF!</f>
        <v>#REF!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539"/>
      <c r="AR287" s="539"/>
      <c r="AS287" s="539"/>
      <c r="AT287" s="539"/>
      <c r="AU287" s="539"/>
      <c r="AV287" s="539"/>
      <c r="AW287" s="539"/>
      <c r="AX287" s="539"/>
      <c r="AY287" s="539"/>
      <c r="AZ287" s="539"/>
      <c r="BA287" s="539"/>
      <c r="BB287" s="539"/>
      <c r="BC287" s="539"/>
      <c r="BD287" s="539"/>
      <c r="BE287" s="539"/>
      <c r="BF287" s="539"/>
      <c r="BG287" s="539"/>
      <c r="BH287" s="539"/>
      <c r="BI287" s="539"/>
      <c r="BJ287" s="539"/>
      <c r="BK287" s="539"/>
      <c r="BL287" s="539"/>
      <c r="BM287" s="539"/>
      <c r="BN287" s="539"/>
      <c r="BO287" s="539"/>
      <c r="BP287" s="539"/>
      <c r="BQ287" s="539"/>
      <c r="BR287" s="539"/>
      <c r="BS287" s="539"/>
      <c r="BT287" s="539"/>
      <c r="BU287" s="539"/>
      <c r="BV287" s="539"/>
      <c r="BW287" s="539"/>
      <c r="BX287" s="539"/>
      <c r="BY287" s="539"/>
      <c r="BZ287" s="539"/>
      <c r="CA287" s="539"/>
      <c r="CB287" s="539"/>
      <c r="CC287" s="539"/>
      <c r="CD287" s="539"/>
      <c r="CE287" s="539"/>
      <c r="CF287" s="539"/>
      <c r="CG287" s="539"/>
      <c r="CH287" s="539"/>
      <c r="CI287" s="539"/>
      <c r="CJ287" s="539"/>
      <c r="CK287" s="539"/>
      <c r="CL287" s="539"/>
      <c r="CM287" s="539"/>
      <c r="CN287" s="539"/>
      <c r="CO287" s="539"/>
      <c r="CP287" s="539"/>
      <c r="CQ287" s="539"/>
      <c r="CR287" s="539"/>
      <c r="CS287" s="539"/>
      <c r="CT287" s="539"/>
      <c r="CU287" s="539"/>
      <c r="CV287" s="539"/>
      <c r="CW287" s="539"/>
      <c r="CX287" s="539"/>
      <c r="CY287" s="539"/>
      <c r="CZ287" s="539"/>
      <c r="DA287" s="539"/>
      <c r="DB287" s="539"/>
      <c r="DC287" s="539"/>
      <c r="DD287" s="539"/>
      <c r="DE287" s="539"/>
      <c r="DF287" s="539"/>
      <c r="DG287" s="539"/>
      <c r="DH287" s="539"/>
      <c r="DI287" s="539"/>
      <c r="DJ287" s="539"/>
      <c r="DK287" s="539"/>
      <c r="DL287" s="539"/>
      <c r="DM287" s="539"/>
      <c r="DN287" s="539"/>
      <c r="DO287" s="539"/>
      <c r="DP287" s="539"/>
      <c r="DQ287" s="539"/>
      <c r="DR287" s="539"/>
      <c r="DS287" s="539"/>
      <c r="DT287" s="539"/>
      <c r="DU287" s="539"/>
      <c r="DV287" s="539"/>
      <c r="DW287" s="539"/>
      <c r="DX287" s="539"/>
      <c r="DY287" s="539"/>
      <c r="DZ287" s="539"/>
      <c r="EA287" s="539"/>
      <c r="EB287" s="539"/>
      <c r="EC287" s="539"/>
      <c r="ED287" s="539"/>
    </row>
    <row r="288" spans="1:134" ht="13.5" hidden="1" customHeight="1">
      <c r="A288" s="549"/>
      <c r="B288" s="11" t="e">
        <f>+#REF!</f>
        <v>#REF!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539"/>
      <c r="AR288" s="539"/>
      <c r="AS288" s="539"/>
      <c r="AT288" s="539"/>
      <c r="AU288" s="539"/>
      <c r="AV288" s="539"/>
      <c r="AW288" s="539"/>
      <c r="AX288" s="539"/>
      <c r="AY288" s="539"/>
      <c r="AZ288" s="539"/>
      <c r="BA288" s="539"/>
      <c r="BB288" s="539"/>
      <c r="BC288" s="539"/>
      <c r="BD288" s="539"/>
      <c r="BE288" s="539"/>
      <c r="BF288" s="539"/>
      <c r="BG288" s="539"/>
      <c r="BH288" s="539"/>
      <c r="BI288" s="539"/>
      <c r="BJ288" s="539"/>
      <c r="BK288" s="539"/>
      <c r="BL288" s="539"/>
      <c r="BM288" s="539"/>
      <c r="BN288" s="539"/>
      <c r="BO288" s="539"/>
      <c r="BP288" s="539"/>
      <c r="BQ288" s="539"/>
      <c r="BR288" s="539"/>
      <c r="BS288" s="539"/>
      <c r="BT288" s="539"/>
      <c r="BU288" s="539"/>
      <c r="BV288" s="539"/>
      <c r="BW288" s="539"/>
      <c r="BX288" s="539"/>
      <c r="BY288" s="539"/>
      <c r="BZ288" s="539"/>
      <c r="CA288" s="539"/>
      <c r="CB288" s="539"/>
      <c r="CC288" s="539"/>
      <c r="CD288" s="539"/>
      <c r="CE288" s="539"/>
      <c r="CF288" s="539"/>
      <c r="CG288" s="539"/>
      <c r="CH288" s="539"/>
      <c r="CI288" s="539"/>
      <c r="CJ288" s="539"/>
      <c r="CK288" s="539"/>
      <c r="CL288" s="539"/>
      <c r="CM288" s="539"/>
      <c r="CN288" s="539"/>
      <c r="CO288" s="539"/>
      <c r="CP288" s="539"/>
      <c r="CQ288" s="539"/>
      <c r="CR288" s="539"/>
      <c r="CS288" s="539"/>
      <c r="CT288" s="539"/>
      <c r="CU288" s="539"/>
      <c r="CV288" s="539"/>
      <c r="CW288" s="539"/>
      <c r="CX288" s="539"/>
      <c r="CY288" s="539"/>
      <c r="CZ288" s="539"/>
      <c r="DA288" s="539"/>
      <c r="DB288" s="539"/>
      <c r="DC288" s="539"/>
      <c r="DD288" s="539"/>
      <c r="DE288" s="539"/>
      <c r="DF288" s="539"/>
      <c r="DG288" s="539"/>
      <c r="DH288" s="539"/>
      <c r="DI288" s="539"/>
      <c r="DJ288" s="539"/>
      <c r="DK288" s="539"/>
      <c r="DL288" s="539"/>
      <c r="DM288" s="539"/>
      <c r="DN288" s="539"/>
      <c r="DO288" s="539"/>
      <c r="DP288" s="539"/>
      <c r="DQ288" s="539"/>
      <c r="DR288" s="539"/>
      <c r="DS288" s="539"/>
      <c r="DT288" s="539"/>
      <c r="DU288" s="539"/>
      <c r="DV288" s="539"/>
      <c r="DW288" s="539"/>
      <c r="DX288" s="539"/>
      <c r="DY288" s="539"/>
      <c r="DZ288" s="539"/>
      <c r="EA288" s="539"/>
      <c r="EB288" s="539"/>
      <c r="EC288" s="539"/>
      <c r="ED288" s="539"/>
    </row>
    <row r="289" spans="1:134" ht="13.5" hidden="1" customHeight="1">
      <c r="A289" s="549"/>
      <c r="B289" s="11" t="e">
        <f>+#REF!</f>
        <v>#REF!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539"/>
      <c r="AR289" s="539"/>
      <c r="AS289" s="539"/>
      <c r="AT289" s="539"/>
      <c r="AU289" s="539"/>
      <c r="AV289" s="539"/>
      <c r="AW289" s="539"/>
      <c r="AX289" s="539"/>
      <c r="AY289" s="539"/>
      <c r="AZ289" s="539"/>
      <c r="BA289" s="539"/>
      <c r="BB289" s="539"/>
      <c r="BC289" s="539"/>
      <c r="BD289" s="539"/>
      <c r="BE289" s="539"/>
      <c r="BF289" s="539"/>
      <c r="BG289" s="539"/>
      <c r="BH289" s="539"/>
      <c r="BI289" s="539"/>
      <c r="BJ289" s="539"/>
      <c r="BK289" s="539"/>
      <c r="BL289" s="539"/>
      <c r="BM289" s="539"/>
      <c r="BN289" s="539"/>
      <c r="BO289" s="539"/>
      <c r="BP289" s="539"/>
      <c r="BQ289" s="539"/>
      <c r="BR289" s="539"/>
      <c r="BS289" s="539"/>
      <c r="BT289" s="539"/>
      <c r="BU289" s="539"/>
      <c r="BV289" s="539"/>
      <c r="BW289" s="539"/>
      <c r="BX289" s="539"/>
      <c r="BY289" s="539"/>
      <c r="BZ289" s="539"/>
      <c r="CA289" s="539"/>
      <c r="CB289" s="539"/>
      <c r="CC289" s="539"/>
      <c r="CD289" s="539"/>
      <c r="CE289" s="539"/>
      <c r="CF289" s="539"/>
      <c r="CG289" s="539"/>
      <c r="CH289" s="539"/>
      <c r="CI289" s="539"/>
      <c r="CJ289" s="539"/>
      <c r="CK289" s="539"/>
      <c r="CL289" s="539"/>
      <c r="CM289" s="539"/>
      <c r="CN289" s="539"/>
      <c r="CO289" s="539"/>
      <c r="CP289" s="539"/>
      <c r="CQ289" s="539"/>
      <c r="CR289" s="539"/>
      <c r="CS289" s="539"/>
      <c r="CT289" s="539"/>
      <c r="CU289" s="539"/>
      <c r="CV289" s="539"/>
      <c r="CW289" s="539"/>
      <c r="CX289" s="539"/>
      <c r="CY289" s="539"/>
      <c r="CZ289" s="539"/>
      <c r="DA289" s="539"/>
      <c r="DB289" s="539"/>
      <c r="DC289" s="539"/>
      <c r="DD289" s="539"/>
      <c r="DE289" s="539"/>
      <c r="DF289" s="539"/>
      <c r="DG289" s="539"/>
      <c r="DH289" s="539"/>
      <c r="DI289" s="539"/>
      <c r="DJ289" s="539"/>
      <c r="DK289" s="539"/>
      <c r="DL289" s="539"/>
      <c r="DM289" s="539"/>
      <c r="DN289" s="539"/>
      <c r="DO289" s="539"/>
      <c r="DP289" s="539"/>
      <c r="DQ289" s="539"/>
      <c r="DR289" s="539"/>
      <c r="DS289" s="539"/>
      <c r="DT289" s="539"/>
      <c r="DU289" s="539"/>
      <c r="DV289" s="539"/>
      <c r="DW289" s="539"/>
      <c r="DX289" s="539"/>
      <c r="DY289" s="539"/>
      <c r="DZ289" s="539"/>
      <c r="EA289" s="539"/>
      <c r="EB289" s="539"/>
      <c r="EC289" s="539"/>
      <c r="ED289" s="539"/>
    </row>
    <row r="290" spans="1:134" ht="13.5" hidden="1" customHeight="1">
      <c r="A290" s="549"/>
      <c r="B290" s="11" t="e">
        <f>+#REF!</f>
        <v>#REF!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539"/>
      <c r="AR290" s="539"/>
      <c r="AS290" s="539"/>
      <c r="AT290" s="539"/>
      <c r="AU290" s="539"/>
      <c r="AV290" s="539"/>
      <c r="AW290" s="539"/>
      <c r="AX290" s="539"/>
      <c r="AY290" s="539"/>
      <c r="AZ290" s="539"/>
      <c r="BA290" s="539"/>
      <c r="BB290" s="539"/>
      <c r="BC290" s="539"/>
      <c r="BD290" s="539"/>
      <c r="BE290" s="539"/>
      <c r="BF290" s="539"/>
      <c r="BG290" s="539"/>
      <c r="BH290" s="539"/>
      <c r="BI290" s="539"/>
      <c r="BJ290" s="539"/>
      <c r="BK290" s="539"/>
      <c r="BL290" s="539"/>
      <c r="BM290" s="539"/>
      <c r="BN290" s="539"/>
      <c r="BO290" s="539"/>
      <c r="BP290" s="539"/>
      <c r="BQ290" s="539"/>
      <c r="BR290" s="539"/>
      <c r="BS290" s="539"/>
      <c r="BT290" s="539"/>
      <c r="BU290" s="539"/>
      <c r="BV290" s="539"/>
      <c r="BW290" s="539"/>
      <c r="BX290" s="539"/>
      <c r="BY290" s="539"/>
      <c r="BZ290" s="539"/>
      <c r="CA290" s="539"/>
      <c r="CB290" s="539"/>
      <c r="CC290" s="539"/>
      <c r="CD290" s="539"/>
      <c r="CE290" s="539"/>
      <c r="CF290" s="539"/>
      <c r="CG290" s="539"/>
      <c r="CH290" s="539"/>
      <c r="CI290" s="539"/>
      <c r="CJ290" s="539"/>
      <c r="CK290" s="539"/>
      <c r="CL290" s="539"/>
      <c r="CM290" s="539"/>
      <c r="CN290" s="539"/>
      <c r="CO290" s="539"/>
      <c r="CP290" s="539"/>
      <c r="CQ290" s="539"/>
      <c r="CR290" s="539"/>
      <c r="CS290" s="539"/>
      <c r="CT290" s="539"/>
      <c r="CU290" s="539"/>
      <c r="CV290" s="539"/>
      <c r="CW290" s="539"/>
      <c r="CX290" s="539"/>
      <c r="CY290" s="539"/>
      <c r="CZ290" s="539"/>
      <c r="DA290" s="539"/>
      <c r="DB290" s="539"/>
      <c r="DC290" s="539"/>
      <c r="DD290" s="539"/>
      <c r="DE290" s="539"/>
      <c r="DF290" s="539"/>
      <c r="DG290" s="539"/>
      <c r="DH290" s="539"/>
      <c r="DI290" s="539"/>
      <c r="DJ290" s="539"/>
      <c r="DK290" s="539"/>
      <c r="DL290" s="539"/>
      <c r="DM290" s="539"/>
      <c r="DN290" s="539"/>
      <c r="DO290" s="539"/>
      <c r="DP290" s="539"/>
      <c r="DQ290" s="539"/>
      <c r="DR290" s="539"/>
      <c r="DS290" s="539"/>
      <c r="DT290" s="539"/>
      <c r="DU290" s="539"/>
      <c r="DV290" s="539"/>
      <c r="DW290" s="539"/>
      <c r="DX290" s="539"/>
      <c r="DY290" s="539"/>
      <c r="DZ290" s="539"/>
      <c r="EA290" s="539"/>
      <c r="EB290" s="539"/>
      <c r="EC290" s="539"/>
      <c r="ED290" s="539"/>
    </row>
    <row r="291" spans="1:134" ht="13.5" hidden="1" customHeight="1">
      <c r="A291" s="549"/>
      <c r="B291" s="11" t="e">
        <f>+#REF!</f>
        <v>#REF!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539"/>
      <c r="AR291" s="539"/>
      <c r="AS291" s="539"/>
      <c r="AT291" s="539"/>
      <c r="AU291" s="539"/>
      <c r="AV291" s="539"/>
      <c r="AW291" s="539"/>
      <c r="AX291" s="539"/>
      <c r="AY291" s="539"/>
      <c r="AZ291" s="539"/>
      <c r="BA291" s="539"/>
      <c r="BB291" s="539"/>
      <c r="BC291" s="539"/>
      <c r="BD291" s="539"/>
      <c r="BE291" s="539"/>
      <c r="BF291" s="539"/>
      <c r="BG291" s="539"/>
      <c r="BH291" s="539"/>
      <c r="BI291" s="539"/>
      <c r="BJ291" s="539"/>
      <c r="BK291" s="539"/>
      <c r="BL291" s="539"/>
      <c r="BM291" s="539"/>
      <c r="BN291" s="539"/>
      <c r="BO291" s="539"/>
      <c r="BP291" s="539"/>
      <c r="BQ291" s="539"/>
      <c r="BR291" s="539"/>
      <c r="BS291" s="539"/>
      <c r="BT291" s="539"/>
      <c r="BU291" s="539"/>
      <c r="BV291" s="539"/>
      <c r="BW291" s="539"/>
      <c r="BX291" s="539"/>
      <c r="BY291" s="539"/>
      <c r="BZ291" s="539"/>
      <c r="CA291" s="539"/>
      <c r="CB291" s="539"/>
      <c r="CC291" s="539"/>
      <c r="CD291" s="539"/>
      <c r="CE291" s="539"/>
      <c r="CF291" s="539"/>
      <c r="CG291" s="539"/>
      <c r="CH291" s="539"/>
      <c r="CI291" s="539"/>
      <c r="CJ291" s="539"/>
      <c r="CK291" s="539"/>
      <c r="CL291" s="539"/>
      <c r="CM291" s="539"/>
      <c r="CN291" s="539"/>
      <c r="CO291" s="539"/>
      <c r="CP291" s="539"/>
      <c r="CQ291" s="539"/>
      <c r="CR291" s="539"/>
      <c r="CS291" s="539"/>
      <c r="CT291" s="539"/>
      <c r="CU291" s="539"/>
      <c r="CV291" s="539"/>
      <c r="CW291" s="539"/>
      <c r="CX291" s="539"/>
      <c r="CY291" s="539"/>
      <c r="CZ291" s="539"/>
      <c r="DA291" s="539"/>
      <c r="DB291" s="539"/>
      <c r="DC291" s="539"/>
      <c r="DD291" s="539"/>
      <c r="DE291" s="539"/>
      <c r="DF291" s="539"/>
      <c r="DG291" s="539"/>
      <c r="DH291" s="539"/>
      <c r="DI291" s="539"/>
      <c r="DJ291" s="539"/>
      <c r="DK291" s="539"/>
      <c r="DL291" s="539"/>
      <c r="DM291" s="539"/>
      <c r="DN291" s="539"/>
      <c r="DO291" s="539"/>
      <c r="DP291" s="539"/>
      <c r="DQ291" s="539"/>
      <c r="DR291" s="539"/>
      <c r="DS291" s="539"/>
      <c r="DT291" s="539"/>
      <c r="DU291" s="539"/>
      <c r="DV291" s="539"/>
      <c r="DW291" s="539"/>
      <c r="DX291" s="539"/>
      <c r="DY291" s="539"/>
      <c r="DZ291" s="539"/>
      <c r="EA291" s="539"/>
      <c r="EB291" s="539"/>
      <c r="EC291" s="539"/>
      <c r="ED291" s="539"/>
    </row>
    <row r="292" spans="1:134" ht="13.5" hidden="1" customHeight="1">
      <c r="A292" s="549"/>
      <c r="B292" s="11" t="e">
        <f>+#REF!</f>
        <v>#REF!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539"/>
      <c r="AR292" s="539"/>
      <c r="AS292" s="539"/>
      <c r="AT292" s="539"/>
      <c r="AU292" s="539"/>
      <c r="AV292" s="539"/>
      <c r="AW292" s="539"/>
      <c r="AX292" s="539"/>
      <c r="AY292" s="539"/>
      <c r="AZ292" s="539"/>
      <c r="BA292" s="539"/>
      <c r="BB292" s="539"/>
      <c r="BC292" s="539"/>
      <c r="BD292" s="539"/>
      <c r="BE292" s="539"/>
      <c r="BF292" s="539"/>
      <c r="BG292" s="539"/>
      <c r="BH292" s="539"/>
      <c r="BI292" s="539"/>
      <c r="BJ292" s="539"/>
      <c r="BK292" s="539"/>
      <c r="BL292" s="539"/>
      <c r="BM292" s="539"/>
      <c r="BN292" s="539"/>
      <c r="BO292" s="539"/>
      <c r="BP292" s="539"/>
      <c r="BQ292" s="539"/>
      <c r="BR292" s="539"/>
      <c r="BS292" s="539"/>
      <c r="BT292" s="539"/>
      <c r="BU292" s="539"/>
      <c r="BV292" s="539"/>
      <c r="BW292" s="539"/>
      <c r="BX292" s="539"/>
      <c r="BY292" s="539"/>
      <c r="BZ292" s="539"/>
      <c r="CA292" s="539"/>
      <c r="CB292" s="539"/>
      <c r="CC292" s="539"/>
      <c r="CD292" s="539"/>
      <c r="CE292" s="539"/>
      <c r="CF292" s="539"/>
      <c r="CG292" s="539"/>
      <c r="CH292" s="539"/>
      <c r="CI292" s="539"/>
      <c r="CJ292" s="539"/>
      <c r="CK292" s="539"/>
      <c r="CL292" s="539"/>
      <c r="CM292" s="539"/>
      <c r="CN292" s="539"/>
      <c r="CO292" s="539"/>
      <c r="CP292" s="539"/>
      <c r="CQ292" s="539"/>
      <c r="CR292" s="539"/>
      <c r="CS292" s="539"/>
      <c r="CT292" s="539"/>
      <c r="CU292" s="539"/>
      <c r="CV292" s="539"/>
      <c r="CW292" s="539"/>
      <c r="CX292" s="539"/>
      <c r="CY292" s="539"/>
      <c r="CZ292" s="539"/>
      <c r="DA292" s="539"/>
      <c r="DB292" s="539"/>
      <c r="DC292" s="539"/>
      <c r="DD292" s="539"/>
      <c r="DE292" s="539"/>
      <c r="DF292" s="539"/>
      <c r="DG292" s="539"/>
      <c r="DH292" s="539"/>
      <c r="DI292" s="539"/>
      <c r="DJ292" s="539"/>
      <c r="DK292" s="539"/>
      <c r="DL292" s="539"/>
      <c r="DM292" s="539"/>
      <c r="DN292" s="539"/>
      <c r="DO292" s="539"/>
      <c r="DP292" s="539"/>
      <c r="DQ292" s="539"/>
      <c r="DR292" s="539"/>
      <c r="DS292" s="539"/>
      <c r="DT292" s="539"/>
      <c r="DU292" s="539"/>
      <c r="DV292" s="539"/>
      <c r="DW292" s="539"/>
      <c r="DX292" s="539"/>
      <c r="DY292" s="539"/>
      <c r="DZ292" s="539"/>
      <c r="EA292" s="539"/>
      <c r="EB292" s="539"/>
      <c r="EC292" s="539"/>
      <c r="ED292" s="539"/>
    </row>
    <row r="293" spans="1:134" ht="13.5" hidden="1" customHeight="1">
      <c r="A293" s="549"/>
      <c r="B293" s="11" t="e">
        <f>+#REF!</f>
        <v>#REF!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539"/>
      <c r="AR293" s="539"/>
      <c r="AS293" s="539"/>
      <c r="AT293" s="539"/>
      <c r="AU293" s="539"/>
      <c r="AV293" s="539"/>
      <c r="AW293" s="539"/>
      <c r="AX293" s="539"/>
      <c r="AY293" s="539"/>
      <c r="AZ293" s="539"/>
      <c r="BA293" s="539"/>
      <c r="BB293" s="539"/>
      <c r="BC293" s="539"/>
      <c r="BD293" s="539"/>
      <c r="BE293" s="539"/>
      <c r="BF293" s="539"/>
      <c r="BG293" s="539"/>
      <c r="BH293" s="539"/>
      <c r="BI293" s="539"/>
      <c r="BJ293" s="539"/>
      <c r="BK293" s="539"/>
      <c r="BL293" s="539"/>
      <c r="BM293" s="539"/>
      <c r="BN293" s="539"/>
      <c r="BO293" s="539"/>
      <c r="BP293" s="539"/>
      <c r="BQ293" s="539"/>
      <c r="BR293" s="539"/>
      <c r="BS293" s="539"/>
      <c r="BT293" s="539"/>
      <c r="BU293" s="539"/>
      <c r="BV293" s="539"/>
      <c r="BW293" s="539"/>
      <c r="BX293" s="539"/>
      <c r="BY293" s="539"/>
      <c r="BZ293" s="539"/>
      <c r="CA293" s="539"/>
      <c r="CB293" s="539"/>
      <c r="CC293" s="539"/>
      <c r="CD293" s="539"/>
      <c r="CE293" s="539"/>
      <c r="CF293" s="539"/>
      <c r="CG293" s="539"/>
      <c r="CH293" s="539"/>
      <c r="CI293" s="539"/>
      <c r="CJ293" s="539"/>
      <c r="CK293" s="539"/>
      <c r="CL293" s="539"/>
      <c r="CM293" s="539"/>
      <c r="CN293" s="539"/>
      <c r="CO293" s="539"/>
      <c r="CP293" s="539"/>
      <c r="CQ293" s="539"/>
      <c r="CR293" s="539"/>
      <c r="CS293" s="539"/>
      <c r="CT293" s="539"/>
      <c r="CU293" s="539"/>
      <c r="CV293" s="539"/>
      <c r="CW293" s="539"/>
      <c r="CX293" s="539"/>
      <c r="CY293" s="539"/>
      <c r="CZ293" s="539"/>
      <c r="DA293" s="539"/>
      <c r="DB293" s="539"/>
      <c r="DC293" s="539"/>
      <c r="DD293" s="539"/>
      <c r="DE293" s="539"/>
      <c r="DF293" s="539"/>
      <c r="DG293" s="539"/>
      <c r="DH293" s="539"/>
      <c r="DI293" s="539"/>
      <c r="DJ293" s="539"/>
      <c r="DK293" s="539"/>
      <c r="DL293" s="539"/>
      <c r="DM293" s="539"/>
      <c r="DN293" s="539"/>
      <c r="DO293" s="539"/>
      <c r="DP293" s="539"/>
      <c r="DQ293" s="539"/>
      <c r="DR293" s="539"/>
      <c r="DS293" s="539"/>
      <c r="DT293" s="539"/>
      <c r="DU293" s="539"/>
      <c r="DV293" s="539"/>
      <c r="DW293" s="539"/>
      <c r="DX293" s="539"/>
      <c r="DY293" s="539"/>
      <c r="DZ293" s="539"/>
      <c r="EA293" s="539"/>
      <c r="EB293" s="539"/>
      <c r="EC293" s="539"/>
      <c r="ED293" s="539"/>
    </row>
    <row r="294" spans="1:134" ht="13.5" hidden="1" customHeight="1">
      <c r="A294" s="549"/>
      <c r="B294" s="11" t="e">
        <f>+#REF!</f>
        <v>#REF!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539"/>
      <c r="AR294" s="539"/>
      <c r="AS294" s="539"/>
      <c r="AT294" s="539"/>
      <c r="AU294" s="539"/>
      <c r="AV294" s="539"/>
      <c r="AW294" s="539"/>
      <c r="AX294" s="539"/>
      <c r="AY294" s="539"/>
      <c r="AZ294" s="539"/>
      <c r="BA294" s="539"/>
      <c r="BB294" s="539"/>
      <c r="BC294" s="539"/>
      <c r="BD294" s="539"/>
      <c r="BE294" s="539"/>
      <c r="BF294" s="539"/>
      <c r="BG294" s="539"/>
      <c r="BH294" s="539"/>
      <c r="BI294" s="539"/>
      <c r="BJ294" s="539"/>
      <c r="BK294" s="539"/>
      <c r="BL294" s="539"/>
      <c r="BM294" s="539"/>
      <c r="BN294" s="539"/>
      <c r="BO294" s="539"/>
      <c r="BP294" s="539"/>
      <c r="BQ294" s="539"/>
      <c r="BR294" s="539"/>
      <c r="BS294" s="539"/>
      <c r="BT294" s="539"/>
      <c r="BU294" s="539"/>
      <c r="BV294" s="539"/>
      <c r="BW294" s="539"/>
      <c r="BX294" s="539"/>
      <c r="BY294" s="539"/>
      <c r="BZ294" s="539"/>
      <c r="CA294" s="539"/>
      <c r="CB294" s="539"/>
      <c r="CC294" s="539"/>
      <c r="CD294" s="539"/>
      <c r="CE294" s="539"/>
      <c r="CF294" s="539"/>
      <c r="CG294" s="539"/>
      <c r="CH294" s="539"/>
      <c r="CI294" s="539"/>
      <c r="CJ294" s="539"/>
      <c r="CK294" s="539"/>
      <c r="CL294" s="539"/>
      <c r="CM294" s="539"/>
      <c r="CN294" s="539"/>
      <c r="CO294" s="539"/>
      <c r="CP294" s="539"/>
      <c r="CQ294" s="539"/>
      <c r="CR294" s="539"/>
      <c r="CS294" s="539"/>
      <c r="CT294" s="539"/>
      <c r="CU294" s="539"/>
      <c r="CV294" s="539"/>
      <c r="CW294" s="539"/>
      <c r="CX294" s="539"/>
      <c r="CY294" s="539"/>
      <c r="CZ294" s="539"/>
      <c r="DA294" s="539"/>
      <c r="DB294" s="539"/>
      <c r="DC294" s="539"/>
      <c r="DD294" s="539"/>
      <c r="DE294" s="539"/>
      <c r="DF294" s="539"/>
      <c r="DG294" s="539"/>
      <c r="DH294" s="539"/>
      <c r="DI294" s="539"/>
      <c r="DJ294" s="539"/>
      <c r="DK294" s="539"/>
      <c r="DL294" s="539"/>
      <c r="DM294" s="539"/>
      <c r="DN294" s="539"/>
      <c r="DO294" s="539"/>
      <c r="DP294" s="539"/>
      <c r="DQ294" s="539"/>
      <c r="DR294" s="539"/>
      <c r="DS294" s="539"/>
      <c r="DT294" s="539"/>
      <c r="DU294" s="539"/>
      <c r="DV294" s="539"/>
      <c r="DW294" s="539"/>
      <c r="DX294" s="539"/>
      <c r="DY294" s="539"/>
      <c r="DZ294" s="539"/>
      <c r="EA294" s="539"/>
      <c r="EB294" s="539"/>
      <c r="EC294" s="539"/>
      <c r="ED294" s="539"/>
    </row>
    <row r="295" spans="1:134" ht="13.5" hidden="1" customHeight="1">
      <c r="A295" s="549"/>
      <c r="B295" s="11" t="e">
        <f>+#REF!</f>
        <v>#REF!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539"/>
      <c r="AR295" s="539"/>
      <c r="AS295" s="539"/>
      <c r="AT295" s="539"/>
      <c r="AU295" s="539"/>
      <c r="AV295" s="539"/>
      <c r="AW295" s="539"/>
      <c r="AX295" s="539"/>
      <c r="AY295" s="539"/>
      <c r="AZ295" s="539"/>
      <c r="BA295" s="539"/>
      <c r="BB295" s="539"/>
      <c r="BC295" s="539"/>
      <c r="BD295" s="539"/>
      <c r="BE295" s="539"/>
      <c r="BF295" s="539"/>
      <c r="BG295" s="539"/>
      <c r="BH295" s="539"/>
      <c r="BI295" s="539"/>
      <c r="BJ295" s="539"/>
      <c r="BK295" s="539"/>
      <c r="BL295" s="539"/>
      <c r="BM295" s="539"/>
      <c r="BN295" s="539"/>
      <c r="BO295" s="539"/>
      <c r="BP295" s="539"/>
      <c r="BQ295" s="539"/>
      <c r="BR295" s="539"/>
      <c r="BS295" s="539"/>
      <c r="BT295" s="539"/>
      <c r="BU295" s="539"/>
      <c r="BV295" s="539"/>
      <c r="BW295" s="539"/>
      <c r="BX295" s="539"/>
      <c r="BY295" s="539"/>
      <c r="BZ295" s="539"/>
      <c r="CA295" s="539"/>
      <c r="CB295" s="539"/>
      <c r="CC295" s="539"/>
      <c r="CD295" s="539"/>
      <c r="CE295" s="539"/>
      <c r="CF295" s="539"/>
      <c r="CG295" s="539"/>
      <c r="CH295" s="539"/>
      <c r="CI295" s="539"/>
      <c r="CJ295" s="539"/>
      <c r="CK295" s="539"/>
      <c r="CL295" s="539"/>
      <c r="CM295" s="539"/>
      <c r="CN295" s="539"/>
      <c r="CO295" s="539"/>
      <c r="CP295" s="539"/>
      <c r="CQ295" s="539"/>
      <c r="CR295" s="539"/>
      <c r="CS295" s="539"/>
      <c r="CT295" s="539"/>
      <c r="CU295" s="539"/>
      <c r="CV295" s="539"/>
      <c r="CW295" s="539"/>
      <c r="CX295" s="539"/>
      <c r="CY295" s="539"/>
      <c r="CZ295" s="539"/>
      <c r="DA295" s="539"/>
      <c r="DB295" s="539"/>
      <c r="DC295" s="539"/>
      <c r="DD295" s="539"/>
      <c r="DE295" s="539"/>
      <c r="DF295" s="539"/>
      <c r="DG295" s="539"/>
      <c r="DH295" s="539"/>
      <c r="DI295" s="539"/>
      <c r="DJ295" s="539"/>
      <c r="DK295" s="539"/>
      <c r="DL295" s="539"/>
      <c r="DM295" s="539"/>
      <c r="DN295" s="539"/>
      <c r="DO295" s="539"/>
      <c r="DP295" s="539"/>
      <c r="DQ295" s="539"/>
      <c r="DR295" s="539"/>
      <c r="DS295" s="539"/>
      <c r="DT295" s="539"/>
      <c r="DU295" s="539"/>
      <c r="DV295" s="539"/>
      <c r="DW295" s="539"/>
      <c r="DX295" s="539"/>
      <c r="DY295" s="539"/>
      <c r="DZ295" s="539"/>
      <c r="EA295" s="539"/>
      <c r="EB295" s="539"/>
      <c r="EC295" s="539"/>
      <c r="ED295" s="539"/>
    </row>
    <row r="296" spans="1:134" ht="13.5" hidden="1" customHeight="1">
      <c r="A296" s="549"/>
      <c r="B296" s="11" t="e">
        <f>+#REF!</f>
        <v>#REF!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539"/>
      <c r="AR296" s="539"/>
      <c r="AS296" s="539"/>
      <c r="AT296" s="539"/>
      <c r="AU296" s="539"/>
      <c r="AV296" s="539"/>
      <c r="AW296" s="539"/>
      <c r="AX296" s="539"/>
      <c r="AY296" s="539"/>
      <c r="AZ296" s="539"/>
      <c r="BA296" s="539"/>
      <c r="BB296" s="539"/>
      <c r="BC296" s="539"/>
      <c r="BD296" s="539"/>
      <c r="BE296" s="539"/>
      <c r="BF296" s="539"/>
      <c r="BG296" s="539"/>
      <c r="BH296" s="539"/>
      <c r="BI296" s="539"/>
      <c r="BJ296" s="539"/>
      <c r="BK296" s="539"/>
      <c r="BL296" s="539"/>
      <c r="BM296" s="539"/>
      <c r="BN296" s="539"/>
      <c r="BO296" s="539"/>
      <c r="BP296" s="539"/>
      <c r="BQ296" s="539"/>
      <c r="BR296" s="539"/>
      <c r="BS296" s="539"/>
      <c r="BT296" s="539"/>
      <c r="BU296" s="539"/>
      <c r="BV296" s="539"/>
      <c r="BW296" s="539"/>
      <c r="BX296" s="539"/>
      <c r="BY296" s="539"/>
      <c r="BZ296" s="539"/>
      <c r="CA296" s="539"/>
      <c r="CB296" s="539"/>
      <c r="CC296" s="539"/>
      <c r="CD296" s="539"/>
      <c r="CE296" s="539"/>
      <c r="CF296" s="539"/>
      <c r="CG296" s="539"/>
      <c r="CH296" s="539"/>
      <c r="CI296" s="539"/>
      <c r="CJ296" s="539"/>
      <c r="CK296" s="539"/>
      <c r="CL296" s="539"/>
      <c r="CM296" s="539"/>
      <c r="CN296" s="539"/>
      <c r="CO296" s="539"/>
      <c r="CP296" s="539"/>
      <c r="CQ296" s="539"/>
      <c r="CR296" s="539"/>
      <c r="CS296" s="539"/>
      <c r="CT296" s="539"/>
      <c r="CU296" s="539"/>
      <c r="CV296" s="539"/>
      <c r="CW296" s="539"/>
      <c r="CX296" s="539"/>
      <c r="CY296" s="539"/>
      <c r="CZ296" s="539"/>
      <c r="DA296" s="539"/>
      <c r="DB296" s="539"/>
      <c r="DC296" s="539"/>
      <c r="DD296" s="539"/>
      <c r="DE296" s="539"/>
      <c r="DF296" s="539"/>
      <c r="DG296" s="539"/>
      <c r="DH296" s="539"/>
      <c r="DI296" s="539"/>
      <c r="DJ296" s="539"/>
      <c r="DK296" s="539"/>
      <c r="DL296" s="539"/>
      <c r="DM296" s="539"/>
      <c r="DN296" s="539"/>
      <c r="DO296" s="539"/>
      <c r="DP296" s="539"/>
      <c r="DQ296" s="539"/>
      <c r="DR296" s="539"/>
      <c r="DS296" s="539"/>
      <c r="DT296" s="539"/>
      <c r="DU296" s="539"/>
      <c r="DV296" s="539"/>
      <c r="DW296" s="539"/>
      <c r="DX296" s="539"/>
      <c r="DY296" s="539"/>
      <c r="DZ296" s="539"/>
      <c r="EA296" s="539"/>
      <c r="EB296" s="539"/>
      <c r="EC296" s="539"/>
      <c r="ED296" s="539"/>
    </row>
    <row r="297" spans="1:134" ht="13.5" hidden="1" customHeight="1">
      <c r="A297" s="549"/>
      <c r="B297" s="11" t="e">
        <f>+#REF!</f>
        <v>#REF!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539"/>
      <c r="AR297" s="539"/>
      <c r="AS297" s="539"/>
      <c r="AT297" s="539"/>
      <c r="AU297" s="539"/>
      <c r="AV297" s="539"/>
      <c r="AW297" s="539"/>
      <c r="AX297" s="539"/>
      <c r="AY297" s="539"/>
      <c r="AZ297" s="539"/>
      <c r="BA297" s="539"/>
      <c r="BB297" s="539"/>
      <c r="BC297" s="539"/>
      <c r="BD297" s="539"/>
      <c r="BE297" s="539"/>
      <c r="BF297" s="539"/>
      <c r="BG297" s="539"/>
      <c r="BH297" s="539"/>
      <c r="BI297" s="539"/>
      <c r="BJ297" s="539"/>
      <c r="BK297" s="539"/>
      <c r="BL297" s="539"/>
      <c r="BM297" s="539"/>
      <c r="BN297" s="539"/>
      <c r="BO297" s="539"/>
      <c r="BP297" s="539"/>
      <c r="BQ297" s="539"/>
      <c r="BR297" s="539"/>
      <c r="BS297" s="539"/>
      <c r="BT297" s="539"/>
      <c r="BU297" s="539"/>
      <c r="BV297" s="539"/>
      <c r="BW297" s="539"/>
      <c r="BX297" s="539"/>
      <c r="BY297" s="539"/>
      <c r="BZ297" s="539"/>
      <c r="CA297" s="539"/>
      <c r="CB297" s="539"/>
      <c r="CC297" s="539"/>
      <c r="CD297" s="539"/>
      <c r="CE297" s="539"/>
      <c r="CF297" s="539"/>
      <c r="CG297" s="539"/>
      <c r="CH297" s="539"/>
      <c r="CI297" s="539"/>
      <c r="CJ297" s="539"/>
      <c r="CK297" s="539"/>
      <c r="CL297" s="539"/>
      <c r="CM297" s="539"/>
      <c r="CN297" s="539"/>
      <c r="CO297" s="539"/>
      <c r="CP297" s="539"/>
      <c r="CQ297" s="539"/>
      <c r="CR297" s="539"/>
      <c r="CS297" s="539"/>
      <c r="CT297" s="539"/>
      <c r="CU297" s="539"/>
      <c r="CV297" s="539"/>
      <c r="CW297" s="539"/>
      <c r="CX297" s="539"/>
      <c r="CY297" s="539"/>
      <c r="CZ297" s="539"/>
      <c r="DA297" s="539"/>
      <c r="DB297" s="539"/>
      <c r="DC297" s="539"/>
      <c r="DD297" s="539"/>
      <c r="DE297" s="539"/>
      <c r="DF297" s="539"/>
      <c r="DG297" s="539"/>
      <c r="DH297" s="539"/>
      <c r="DI297" s="539"/>
      <c r="DJ297" s="539"/>
      <c r="DK297" s="539"/>
      <c r="DL297" s="539"/>
      <c r="DM297" s="539"/>
      <c r="DN297" s="539"/>
      <c r="DO297" s="539"/>
      <c r="DP297" s="539"/>
      <c r="DQ297" s="539"/>
      <c r="DR297" s="539"/>
      <c r="DS297" s="539"/>
      <c r="DT297" s="539"/>
      <c r="DU297" s="539"/>
      <c r="DV297" s="539"/>
      <c r="DW297" s="539"/>
      <c r="DX297" s="539"/>
      <c r="DY297" s="539"/>
      <c r="DZ297" s="539"/>
      <c r="EA297" s="539"/>
      <c r="EB297" s="539"/>
      <c r="EC297" s="539"/>
      <c r="ED297" s="539"/>
    </row>
    <row r="298" spans="1:134" ht="13.5" hidden="1" customHeight="1">
      <c r="A298" s="549"/>
      <c r="B298" s="11" t="e">
        <f>+#REF!</f>
        <v>#REF!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539"/>
      <c r="AR298" s="539"/>
      <c r="AS298" s="539"/>
      <c r="AT298" s="539"/>
      <c r="AU298" s="539"/>
      <c r="AV298" s="539"/>
      <c r="AW298" s="539"/>
      <c r="AX298" s="539"/>
      <c r="AY298" s="539"/>
      <c r="AZ298" s="539"/>
      <c r="BA298" s="539"/>
      <c r="BB298" s="539"/>
      <c r="BC298" s="539"/>
      <c r="BD298" s="539"/>
      <c r="BE298" s="539"/>
      <c r="BF298" s="539"/>
      <c r="BG298" s="539"/>
      <c r="BH298" s="539"/>
      <c r="BI298" s="539"/>
      <c r="BJ298" s="539"/>
      <c r="BK298" s="539"/>
      <c r="BL298" s="539"/>
      <c r="BM298" s="539"/>
      <c r="BN298" s="539"/>
      <c r="BO298" s="539"/>
      <c r="BP298" s="539"/>
      <c r="BQ298" s="539"/>
      <c r="BR298" s="539"/>
      <c r="BS298" s="539"/>
      <c r="BT298" s="539"/>
      <c r="BU298" s="539"/>
      <c r="BV298" s="539"/>
      <c r="BW298" s="539"/>
      <c r="BX298" s="539"/>
      <c r="BY298" s="539"/>
      <c r="BZ298" s="539"/>
      <c r="CA298" s="539"/>
      <c r="CB298" s="539"/>
      <c r="CC298" s="539"/>
      <c r="CD298" s="539"/>
      <c r="CE298" s="539"/>
      <c r="CF298" s="539"/>
      <c r="CG298" s="539"/>
      <c r="CH298" s="539"/>
      <c r="CI298" s="539"/>
      <c r="CJ298" s="539"/>
      <c r="CK298" s="539"/>
      <c r="CL298" s="539"/>
      <c r="CM298" s="539"/>
      <c r="CN298" s="539"/>
      <c r="CO298" s="539"/>
      <c r="CP298" s="539"/>
      <c r="CQ298" s="539"/>
      <c r="CR298" s="539"/>
      <c r="CS298" s="539"/>
      <c r="CT298" s="539"/>
      <c r="CU298" s="539"/>
      <c r="CV298" s="539"/>
      <c r="CW298" s="539"/>
      <c r="CX298" s="539"/>
      <c r="CY298" s="539"/>
      <c r="CZ298" s="539"/>
      <c r="DA298" s="539"/>
      <c r="DB298" s="539"/>
      <c r="DC298" s="539"/>
      <c r="DD298" s="539"/>
      <c r="DE298" s="539"/>
      <c r="DF298" s="539"/>
      <c r="DG298" s="539"/>
      <c r="DH298" s="539"/>
      <c r="DI298" s="539"/>
      <c r="DJ298" s="539"/>
      <c r="DK298" s="539"/>
      <c r="DL298" s="539"/>
      <c r="DM298" s="539"/>
      <c r="DN298" s="539"/>
      <c r="DO298" s="539"/>
      <c r="DP298" s="539"/>
      <c r="DQ298" s="539"/>
      <c r="DR298" s="539"/>
      <c r="DS298" s="539"/>
      <c r="DT298" s="539"/>
      <c r="DU298" s="539"/>
      <c r="DV298" s="539"/>
      <c r="DW298" s="539"/>
      <c r="DX298" s="539"/>
      <c r="DY298" s="539"/>
      <c r="DZ298" s="539"/>
      <c r="EA298" s="539"/>
      <c r="EB298" s="539"/>
      <c r="EC298" s="539"/>
      <c r="ED298" s="539"/>
    </row>
    <row r="299" spans="1:134" ht="13.5" hidden="1" customHeight="1">
      <c r="A299" s="549"/>
      <c r="B299" s="11" t="e">
        <f>+#REF!</f>
        <v>#REF!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539"/>
      <c r="AR299" s="539"/>
      <c r="AS299" s="539"/>
      <c r="AT299" s="539"/>
      <c r="AU299" s="539"/>
      <c r="AV299" s="539"/>
      <c r="AW299" s="539"/>
      <c r="AX299" s="539"/>
      <c r="AY299" s="539"/>
      <c r="AZ299" s="539"/>
      <c r="BA299" s="539"/>
      <c r="BB299" s="539"/>
      <c r="BC299" s="539"/>
      <c r="BD299" s="539"/>
      <c r="BE299" s="539"/>
      <c r="BF299" s="539"/>
      <c r="BG299" s="539"/>
      <c r="BH299" s="539"/>
      <c r="BI299" s="539"/>
      <c r="BJ299" s="539"/>
      <c r="BK299" s="539"/>
      <c r="BL299" s="539"/>
      <c r="BM299" s="539"/>
      <c r="BN299" s="539"/>
      <c r="BO299" s="539"/>
      <c r="BP299" s="539"/>
      <c r="BQ299" s="539"/>
      <c r="BR299" s="539"/>
      <c r="BS299" s="539"/>
      <c r="BT299" s="539"/>
      <c r="BU299" s="539"/>
      <c r="BV299" s="539"/>
      <c r="BW299" s="539"/>
      <c r="BX299" s="539"/>
      <c r="BY299" s="539"/>
      <c r="BZ299" s="539"/>
      <c r="CA299" s="539"/>
      <c r="CB299" s="539"/>
      <c r="CC299" s="539"/>
      <c r="CD299" s="539"/>
      <c r="CE299" s="539"/>
      <c r="CF299" s="539"/>
      <c r="CG299" s="539"/>
      <c r="CH299" s="539"/>
      <c r="CI299" s="539"/>
      <c r="CJ299" s="539"/>
      <c r="CK299" s="539"/>
      <c r="CL299" s="539"/>
      <c r="CM299" s="539"/>
      <c r="CN299" s="539"/>
      <c r="CO299" s="539"/>
      <c r="CP299" s="539"/>
      <c r="CQ299" s="539"/>
      <c r="CR299" s="539"/>
      <c r="CS299" s="539"/>
      <c r="CT299" s="539"/>
      <c r="CU299" s="539"/>
      <c r="CV299" s="539"/>
      <c r="CW299" s="539"/>
      <c r="CX299" s="539"/>
      <c r="CY299" s="539"/>
      <c r="CZ299" s="539"/>
      <c r="DA299" s="539"/>
      <c r="DB299" s="539"/>
      <c r="DC299" s="539"/>
      <c r="DD299" s="539"/>
      <c r="DE299" s="539"/>
      <c r="DF299" s="539"/>
      <c r="DG299" s="539"/>
      <c r="DH299" s="539"/>
      <c r="DI299" s="539"/>
      <c r="DJ299" s="539"/>
      <c r="DK299" s="539"/>
      <c r="DL299" s="539"/>
      <c r="DM299" s="539"/>
      <c r="DN299" s="539"/>
      <c r="DO299" s="539"/>
      <c r="DP299" s="539"/>
      <c r="DQ299" s="539"/>
      <c r="DR299" s="539"/>
      <c r="DS299" s="539"/>
      <c r="DT299" s="539"/>
      <c r="DU299" s="539"/>
      <c r="DV299" s="539"/>
      <c r="DW299" s="539"/>
      <c r="DX299" s="539"/>
      <c r="DY299" s="539"/>
      <c r="DZ299" s="539"/>
      <c r="EA299" s="539"/>
      <c r="EB299" s="539"/>
      <c r="EC299" s="539"/>
      <c r="ED299" s="539"/>
    </row>
    <row r="300" spans="1:134" ht="13.5" customHeight="1">
      <c r="A300" s="539"/>
      <c r="B300" s="10" t="e">
        <f>+#REF!</f>
        <v>#REF!</v>
      </c>
      <c r="C300" s="10">
        <v>170120.56015500001</v>
      </c>
      <c r="D300" s="10">
        <v>182815.74024400002</v>
      </c>
      <c r="E300" s="10">
        <v>182139.26807000002</v>
      </c>
      <c r="F300" s="10">
        <v>33586.675151000003</v>
      </c>
      <c r="G300" s="10">
        <v>39401.908331502535</v>
      </c>
      <c r="H300" s="10">
        <v>39091.721421557748</v>
      </c>
      <c r="I300" s="10">
        <v>38781.314070346671</v>
      </c>
      <c r="J300" s="10">
        <v>38308.290597206498</v>
      </c>
      <c r="K300" s="10">
        <v>37663.143143867128</v>
      </c>
      <c r="L300" s="10">
        <v>281316.31580302602</v>
      </c>
      <c r="M300" s="10">
        <v>281311.60604242684</v>
      </c>
      <c r="N300" s="10">
        <v>281311.60604242678</v>
      </c>
      <c r="O300" s="10">
        <v>281311.60604242672</v>
      </c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539"/>
      <c r="AR300" s="539"/>
      <c r="AS300" s="539"/>
      <c r="AT300" s="539"/>
      <c r="AU300" s="539"/>
      <c r="AV300" s="539"/>
      <c r="AW300" s="539"/>
      <c r="AX300" s="539"/>
      <c r="AY300" s="539"/>
      <c r="AZ300" s="539"/>
      <c r="BA300" s="539"/>
      <c r="BB300" s="539"/>
      <c r="BC300" s="539"/>
      <c r="BD300" s="539"/>
      <c r="BE300" s="539"/>
      <c r="BF300" s="539"/>
      <c r="BG300" s="539"/>
      <c r="BH300" s="539"/>
      <c r="BI300" s="539"/>
      <c r="BJ300" s="539"/>
      <c r="BK300" s="539"/>
      <c r="BL300" s="539"/>
      <c r="BM300" s="539"/>
      <c r="BN300" s="539"/>
      <c r="BO300" s="539"/>
      <c r="BP300" s="539"/>
      <c r="BQ300" s="539"/>
      <c r="BR300" s="539"/>
      <c r="BS300" s="539"/>
      <c r="BT300" s="539"/>
      <c r="BU300" s="539"/>
      <c r="BV300" s="539"/>
      <c r="BW300" s="539"/>
      <c r="BX300" s="539"/>
      <c r="BY300" s="539"/>
      <c r="BZ300" s="539"/>
      <c r="CA300" s="539"/>
      <c r="CB300" s="539"/>
      <c r="CC300" s="539"/>
      <c r="CD300" s="539"/>
      <c r="CE300" s="539"/>
      <c r="CF300" s="539"/>
      <c r="CG300" s="539"/>
      <c r="CH300" s="539"/>
      <c r="CI300" s="539"/>
      <c r="CJ300" s="539"/>
      <c r="CK300" s="539"/>
      <c r="CL300" s="539"/>
      <c r="CM300" s="539"/>
      <c r="CN300" s="539"/>
      <c r="CO300" s="539"/>
      <c r="CP300" s="539"/>
      <c r="CQ300" s="539"/>
      <c r="CR300" s="539"/>
      <c r="CS300" s="539"/>
      <c r="CT300" s="539"/>
      <c r="CU300" s="539"/>
      <c r="CV300" s="539"/>
      <c r="CW300" s="539"/>
      <c r="CX300" s="539"/>
      <c r="CY300" s="539"/>
      <c r="CZ300" s="539"/>
      <c r="DA300" s="539"/>
      <c r="DB300" s="539"/>
      <c r="DC300" s="539"/>
      <c r="DD300" s="539"/>
      <c r="DE300" s="539"/>
      <c r="DF300" s="539"/>
      <c r="DG300" s="539"/>
      <c r="DH300" s="539"/>
      <c r="DI300" s="539"/>
      <c r="DJ300" s="539"/>
      <c r="DK300" s="539"/>
      <c r="DL300" s="539"/>
      <c r="DM300" s="539"/>
      <c r="DN300" s="539"/>
      <c r="DO300" s="539"/>
      <c r="DP300" s="539"/>
      <c r="DQ300" s="539"/>
      <c r="DR300" s="539"/>
      <c r="DS300" s="539"/>
      <c r="DT300" s="539"/>
      <c r="DU300" s="539"/>
      <c r="DV300" s="539"/>
      <c r="DW300" s="539"/>
      <c r="DX300" s="539"/>
      <c r="DY300" s="539"/>
      <c r="DZ300" s="539"/>
      <c r="EA300" s="539"/>
      <c r="EB300" s="539"/>
      <c r="EC300" s="539"/>
      <c r="ED300" s="539"/>
    </row>
    <row r="301" spans="1:134" ht="13.5" hidden="1" customHeight="1">
      <c r="A301" s="549"/>
      <c r="B301" s="11" t="e">
        <f>+#REF!</f>
        <v>#REF!</v>
      </c>
      <c r="C301" s="12">
        <f>IF(ISNUMBER(Historical!E42),Historical!E42, )</f>
        <v>2700</v>
      </c>
      <c r="D301" s="12">
        <f>IF(ISNUMBER(Historical!G42),Historical!G42, )</f>
        <v>2701</v>
      </c>
      <c r="E301" s="12">
        <f>IF(ISNUMBER(Historical!I42),Historical!I42, )</f>
        <v>2702</v>
      </c>
      <c r="F301" s="12">
        <f>IF(ISNUMBER(Projection!H7),IF(MONTH(Projection!H7)&lt;&gt;12,IF(ISNUMBER(Projection!L35),Projection!L35, ),IF(ISNUMBER(Historical!K42),Historical!K42, )), )</f>
        <v>2683</v>
      </c>
      <c r="G301" s="12">
        <f>IF(ISNUMBER(Projection!H7),IF(MONTH(Projection!$H$7)&lt;&gt;12,IF(ISNUMBER(Projection!N35),Projection!N35, ),IF(ISNUMBER(Projection!L35),Projection!L35, )), )</f>
        <v>2683</v>
      </c>
      <c r="H301" s="12">
        <f>IF(ISNUMBER(Projection!H7),IF(MONTH(Projection!$H$7)&lt;&gt;12,IF(ISNUMBER(Projection!P35),Projection!P35, ),IF(ISNUMBER(Projection!N35),Projection!N35, )), )</f>
        <v>2683</v>
      </c>
      <c r="I301" s="12">
        <f>IF(ISNUMBER(Projection!H7),IF(MONTH(Projection!$H$7)&lt;&gt;12,IF(ISNUMBER(Projection!R35),Projection!R35, ),IF(ISNUMBER(Projection!P35),Projection!P35, )), )</f>
        <v>2683</v>
      </c>
      <c r="J301" s="12">
        <f>IF(ISNUMBER(Projection!H7),IF(MONTH(Projection!$H$7)&lt;&gt;12,IF(ISNUMBER(Projection!T35),Projection!T35, ),IF(ISNUMBER(Projection!R35),Projection!R35, )), )</f>
        <v>2683</v>
      </c>
      <c r="K301" s="12">
        <f>IF(ISNUMBER(Projection!H7),IF(MONTH(Projection!$H$7)&lt;&gt;12,IF(ISNUMBER(Projection!Z35),Projection!Z35, ),IF(ISNUMBER(Projection!T35),Projection!T35, )), )</f>
        <v>2683</v>
      </c>
      <c r="L301" s="12">
        <f>IF(ISNUMBER(Projection!H7),IF(MONTH(Projection!$H$7)&lt;&gt;12,IF(ISNUMBER(Projection!AB35),Projection!AB35, ),IF(ISNUMBER(Projection!Z35),Projection!Z35, )), )</f>
        <v>2683</v>
      </c>
      <c r="M301" s="12">
        <f>IF(ISNUMBER(Projection!$H$7),IF(MONTH(Projection!$H$7)&lt;&gt;12,IF(ISNUMBER(Projection!AD35),Projection!AD35, ),IF(ISNUMBER(Projection!AB35),Projection!AB35, )), )</f>
        <v>2683</v>
      </c>
      <c r="N301" s="12">
        <f>IF(ISNUMBER(Projection!$H$7),IF(MONTH(Projection!$H$7)&lt;&gt;12,IF(ISNUMBER(Projection!AF35),Projection!AF35, ),IF(ISNUMBER(Projection!AD35),Projection!AD35, )), )</f>
        <v>2683</v>
      </c>
      <c r="O301" s="12">
        <f>IF(ISNUMBER(Projection!$H$7),IF(MONTH(Projection!$H$7)&lt;&gt;12,IF(ISNUMBER(Projection!AH35),Projection!AH35, ),IF(ISNUMBER(Projection!AF35),Projection!AF35, )), )</f>
        <v>2683</v>
      </c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539"/>
      <c r="AR301" s="539"/>
      <c r="AS301" s="539"/>
      <c r="AT301" s="539"/>
      <c r="AU301" s="539"/>
      <c r="AV301" s="539"/>
      <c r="AW301" s="539"/>
      <c r="AX301" s="539"/>
      <c r="AY301" s="539"/>
      <c r="AZ301" s="539"/>
      <c r="BA301" s="539"/>
      <c r="BB301" s="539"/>
      <c r="BC301" s="539"/>
      <c r="BD301" s="539"/>
      <c r="BE301" s="539"/>
      <c r="BF301" s="539"/>
      <c r="BG301" s="539"/>
      <c r="BH301" s="539"/>
      <c r="BI301" s="539"/>
      <c r="BJ301" s="539"/>
      <c r="BK301" s="539"/>
      <c r="BL301" s="539"/>
      <c r="BM301" s="539"/>
      <c r="BN301" s="539"/>
      <c r="BO301" s="539"/>
      <c r="BP301" s="539"/>
      <c r="BQ301" s="539"/>
      <c r="BR301" s="539"/>
      <c r="BS301" s="539"/>
      <c r="BT301" s="539"/>
      <c r="BU301" s="539"/>
      <c r="BV301" s="539"/>
      <c r="BW301" s="539"/>
      <c r="BX301" s="539"/>
      <c r="BY301" s="539"/>
      <c r="BZ301" s="539"/>
      <c r="CA301" s="539"/>
      <c r="CB301" s="539"/>
      <c r="CC301" s="539"/>
      <c r="CD301" s="539"/>
      <c r="CE301" s="539"/>
      <c r="CF301" s="539"/>
      <c r="CG301" s="539"/>
      <c r="CH301" s="539"/>
      <c r="CI301" s="539"/>
      <c r="CJ301" s="539"/>
      <c r="CK301" s="539"/>
      <c r="CL301" s="539"/>
      <c r="CM301" s="539"/>
      <c r="CN301" s="539"/>
      <c r="CO301" s="539"/>
      <c r="CP301" s="539"/>
      <c r="CQ301" s="539"/>
      <c r="CR301" s="539"/>
      <c r="CS301" s="539"/>
      <c r="CT301" s="539"/>
      <c r="CU301" s="539"/>
      <c r="CV301" s="539"/>
      <c r="CW301" s="539"/>
      <c r="CX301" s="539"/>
      <c r="CY301" s="539"/>
      <c r="CZ301" s="539"/>
      <c r="DA301" s="539"/>
      <c r="DB301" s="539"/>
      <c r="DC301" s="539"/>
      <c r="DD301" s="539"/>
      <c r="DE301" s="539"/>
      <c r="DF301" s="539"/>
      <c r="DG301" s="539"/>
      <c r="DH301" s="539"/>
      <c r="DI301" s="539"/>
      <c r="DJ301" s="539"/>
      <c r="DK301" s="539"/>
      <c r="DL301" s="539"/>
      <c r="DM301" s="539"/>
      <c r="DN301" s="539"/>
      <c r="DO301" s="539"/>
      <c r="DP301" s="539"/>
      <c r="DQ301" s="539"/>
      <c r="DR301" s="539"/>
      <c r="DS301" s="539"/>
      <c r="DT301" s="539"/>
      <c r="DU301" s="539"/>
      <c r="DV301" s="539"/>
      <c r="DW301" s="539"/>
      <c r="DX301" s="539"/>
      <c r="DY301" s="539"/>
      <c r="DZ301" s="539"/>
      <c r="EA301" s="539"/>
      <c r="EB301" s="539"/>
      <c r="EC301" s="539"/>
      <c r="ED301" s="539"/>
    </row>
    <row r="302" spans="1:134" ht="13.5" hidden="1" customHeight="1">
      <c r="A302" s="549"/>
      <c r="B302" s="11" t="e">
        <f>+#REF!</f>
        <v>#REF!</v>
      </c>
      <c r="C302" s="12">
        <f>IF(ISNUMBER(Historical!E43),Historical!E43, )</f>
        <v>2800</v>
      </c>
      <c r="D302" s="12">
        <f>IF(ISNUMBER(Historical!G43),Historical!G43, )</f>
        <v>2801</v>
      </c>
      <c r="E302" s="12">
        <f>IF(ISNUMBER(Historical!I43),Historical!I43, )</f>
        <v>2802</v>
      </c>
      <c r="F302" s="12">
        <f>IF(ISNUMBER(Projection!H7),IF(MONTH(Projection!H7)&lt;&gt;12,IF(ISNUMBER(Projection!L36),Projection!L36, ),IF(ISNUMBER(Historical!K43),Historical!K43, )), )</f>
        <v>2773</v>
      </c>
      <c r="G302" s="12">
        <f>IF(ISNUMBER(Projection!H7),IF(MONTH(Projection!$H$7)&lt;&gt;12,IF(ISNUMBER(Projection!N36),Projection!N36, ),IF(ISNUMBER(Projection!L36),Projection!L36, )), )</f>
        <v>2773</v>
      </c>
      <c r="H302" s="12">
        <f>IF(ISNUMBER(Projection!H7),IF(MONTH(Projection!$H$7)&lt;&gt;12,IF(ISNUMBER(Projection!P36),Projection!P36, ),IF(ISNUMBER(Projection!N36),Projection!N36, )), )</f>
        <v>2773</v>
      </c>
      <c r="I302" s="12">
        <f>IF(ISNUMBER(Projection!H7),IF(MONTH(Projection!$H$7)&lt;&gt;12,IF(ISNUMBER(Projection!R36),Projection!R36, ),IF(ISNUMBER(Projection!P36),Projection!P36, )), )</f>
        <v>2773</v>
      </c>
      <c r="J302" s="12">
        <f>IF(ISNUMBER(Projection!H7),IF(MONTH(Projection!$H$7)&lt;&gt;12,IF(ISNUMBER(Projection!T36),Projection!T36, ),IF(ISNUMBER(Projection!R36),Projection!R36, )), )</f>
        <v>2773</v>
      </c>
      <c r="K302" s="12">
        <f>IF(ISNUMBER(Projection!H7),IF(MONTH(Projection!$H$7)&lt;&gt;12,IF(ISNUMBER(Projection!Z36),Projection!Z36, ),IF(ISNUMBER(Projection!T36),Projection!T36, )), )</f>
        <v>2773</v>
      </c>
      <c r="L302" s="12">
        <f>IF(ISNUMBER(Projection!H7),IF(MONTH(Projection!$H$7)&lt;&gt;12,IF(ISNUMBER(Projection!AB36),Projection!AB36, ),IF(ISNUMBER(Projection!Z36),Projection!Z36, )), )</f>
        <v>2773</v>
      </c>
      <c r="M302" s="12">
        <f>IF(ISNUMBER(Projection!$H$7),IF(MONTH(Projection!$H$7)&lt;&gt;12,IF(ISNUMBER(Projection!AD36),Projection!AD36, ),IF(ISNUMBER(Projection!AB36),Projection!AB36, )), )</f>
        <v>2773</v>
      </c>
      <c r="N302" s="12">
        <f>IF(ISNUMBER(Projection!$H$7),IF(MONTH(Projection!$H$7)&lt;&gt;12,IF(ISNUMBER(Projection!AF36),Projection!AF36, ),IF(ISNUMBER(Projection!AD36),Projection!AD36, )), )</f>
        <v>2773</v>
      </c>
      <c r="O302" s="12">
        <f>IF(ISNUMBER(Projection!$H$7),IF(MONTH(Projection!$H$7)&lt;&gt;12,IF(ISNUMBER(Projection!AH36),Projection!AH36, ),IF(ISNUMBER(Projection!AF36),Projection!AF36, )), )</f>
        <v>2773</v>
      </c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539"/>
      <c r="AR302" s="539"/>
      <c r="AS302" s="539"/>
      <c r="AT302" s="539"/>
      <c r="AU302" s="539"/>
      <c r="AV302" s="539"/>
      <c r="AW302" s="539"/>
      <c r="AX302" s="539"/>
      <c r="AY302" s="539"/>
      <c r="AZ302" s="539"/>
      <c r="BA302" s="539"/>
      <c r="BB302" s="539"/>
      <c r="BC302" s="539"/>
      <c r="BD302" s="539"/>
      <c r="BE302" s="539"/>
      <c r="BF302" s="539"/>
      <c r="BG302" s="539"/>
      <c r="BH302" s="539"/>
      <c r="BI302" s="539"/>
      <c r="BJ302" s="539"/>
      <c r="BK302" s="539"/>
      <c r="BL302" s="539"/>
      <c r="BM302" s="539"/>
      <c r="BN302" s="539"/>
      <c r="BO302" s="539"/>
      <c r="BP302" s="539"/>
      <c r="BQ302" s="539"/>
      <c r="BR302" s="539"/>
      <c r="BS302" s="539"/>
      <c r="BT302" s="539"/>
      <c r="BU302" s="539"/>
      <c r="BV302" s="539"/>
      <c r="BW302" s="539"/>
      <c r="BX302" s="539"/>
      <c r="BY302" s="539"/>
      <c r="BZ302" s="539"/>
      <c r="CA302" s="539"/>
      <c r="CB302" s="539"/>
      <c r="CC302" s="539"/>
      <c r="CD302" s="539"/>
      <c r="CE302" s="539"/>
      <c r="CF302" s="539"/>
      <c r="CG302" s="539"/>
      <c r="CH302" s="539"/>
      <c r="CI302" s="539"/>
      <c r="CJ302" s="539"/>
      <c r="CK302" s="539"/>
      <c r="CL302" s="539"/>
      <c r="CM302" s="539"/>
      <c r="CN302" s="539"/>
      <c r="CO302" s="539"/>
      <c r="CP302" s="539"/>
      <c r="CQ302" s="539"/>
      <c r="CR302" s="539"/>
      <c r="CS302" s="539"/>
      <c r="CT302" s="539"/>
      <c r="CU302" s="539"/>
      <c r="CV302" s="539"/>
      <c r="CW302" s="539"/>
      <c r="CX302" s="539"/>
      <c r="CY302" s="539"/>
      <c r="CZ302" s="539"/>
      <c r="DA302" s="539"/>
      <c r="DB302" s="539"/>
      <c r="DC302" s="539"/>
      <c r="DD302" s="539"/>
      <c r="DE302" s="539"/>
      <c r="DF302" s="539"/>
      <c r="DG302" s="539"/>
      <c r="DH302" s="539"/>
      <c r="DI302" s="539"/>
      <c r="DJ302" s="539"/>
      <c r="DK302" s="539"/>
      <c r="DL302" s="539"/>
      <c r="DM302" s="539"/>
      <c r="DN302" s="539"/>
      <c r="DO302" s="539"/>
      <c r="DP302" s="539"/>
      <c r="DQ302" s="539"/>
      <c r="DR302" s="539"/>
      <c r="DS302" s="539"/>
      <c r="DT302" s="539"/>
      <c r="DU302" s="539"/>
      <c r="DV302" s="539"/>
      <c r="DW302" s="539"/>
      <c r="DX302" s="539"/>
      <c r="DY302" s="539"/>
      <c r="DZ302" s="539"/>
      <c r="EA302" s="539"/>
      <c r="EB302" s="539"/>
      <c r="EC302" s="539"/>
      <c r="ED302" s="539"/>
    </row>
    <row r="303" spans="1:134" ht="13.5" hidden="1" customHeight="1">
      <c r="A303" s="549"/>
      <c r="B303" s="11" t="e">
        <f>+#REF!</f>
        <v>#REF!</v>
      </c>
      <c r="C303" s="12">
        <f>IF(ISNUMBER(Historical!E40),Historical!E40, )</f>
        <v>2500</v>
      </c>
      <c r="D303" s="12">
        <f>IF(ISNUMBER(Historical!G40),Historical!G40, )</f>
        <v>2501</v>
      </c>
      <c r="E303" s="12">
        <f>IF(ISNUMBER(Historical!I40),Historical!I40, )</f>
        <v>2502</v>
      </c>
      <c r="F303" s="12">
        <f>IF(ISNUMBER(Projection!H7),IF(MONTH(Projection!H7)&lt;&gt;12,IF(ISNUMBER(Projection!L33),Projection!L33, ),IF(ISNUMBER(Historical!K40),Historical!K40, )), )</f>
        <v>0</v>
      </c>
      <c r="G303" s="12">
        <f>IF(ISNUMBER(Projection!H7),IF(MONTH(Projection!$H$7)&lt;&gt;12,IF(ISNUMBER(Projection!N33),Projection!N33, ),IF(ISNUMBER(Projection!L33),Projection!L33, )), )</f>
        <v>0</v>
      </c>
      <c r="H303" s="12">
        <f>IF(ISNUMBER(Projection!H7),IF(MONTH(Projection!$H$7)&lt;&gt;12,IF(ISNUMBER(Projection!P33),Projection!P33, ),IF(ISNUMBER(Projection!N33),Projection!N33, )), )</f>
        <v>1986.7556627921895</v>
      </c>
      <c r="I303" s="12">
        <f>IF(ISNUMBER(Projection!H7),IF(MONTH(Projection!$H$7)&lt;&gt;12,IF(ISNUMBER(Projection!R33),Projection!R33, ),IF(ISNUMBER(Projection!P33),Projection!P33, )), )</f>
        <v>4093.2167961703544</v>
      </c>
      <c r="J303" s="12">
        <f>IF(ISNUMBER(Projection!H7),IF(MONTH(Projection!$H$7)&lt;&gt;12,IF(ISNUMBER(Projection!T33),Projection!T33, ),IF(ISNUMBER(Projection!R33),Projection!R33, )), )</f>
        <v>6464.4789505150566</v>
      </c>
      <c r="K303" s="12">
        <f>IF(ISNUMBER(Projection!H7),IF(MONTH(Projection!$H$7)&lt;&gt;12,IF(ISNUMBER(Projection!Z33),Projection!Z33, ),IF(ISNUMBER(Projection!T33),Projection!T33, )), )</f>
        <v>-4039.2437792375404</v>
      </c>
      <c r="L303" s="12">
        <f>IF(ISNUMBER(Projection!H7),IF(MONTH(Projection!$H$7)&lt;&gt;12,IF(ISNUMBER(Projection!AB33),Projection!AB33, ),IF(ISNUMBER(Projection!Z33),Projection!Z33, )), )</f>
        <v>-4039.2437792375395</v>
      </c>
      <c r="M303" s="12">
        <f>IF(ISNUMBER(Projection!$H$7),IF(MONTH(Projection!$H$7)&lt;&gt;12,IF(ISNUMBER(Projection!AD33),Projection!AD33, ),IF(ISNUMBER(Projection!AB33),Projection!AB33, )), )</f>
        <v>-4039.2437792375385</v>
      </c>
      <c r="N303" s="12">
        <f>IF(ISNUMBER(Projection!$H$7),IF(MONTH(Projection!$H$7)&lt;&gt;12,IF(ISNUMBER(Projection!AF33),Projection!AF33, ),IF(ISNUMBER(Projection!AD33),Projection!AD33, )), )</f>
        <v>-4039.2437792375376</v>
      </c>
      <c r="O303" s="12">
        <f>IF(ISNUMBER(Projection!$H$7),IF(MONTH(Projection!$H$7)&lt;&gt;12,IF(ISNUMBER(Projection!AH33),Projection!AH33, ),IF(ISNUMBER(Projection!AF33),Projection!AF33, )), )</f>
        <v>-4039.2437792375367</v>
      </c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539"/>
      <c r="AR303" s="539"/>
      <c r="AS303" s="539"/>
      <c r="AT303" s="539"/>
      <c r="AU303" s="539"/>
      <c r="AV303" s="539"/>
      <c r="AW303" s="539"/>
      <c r="AX303" s="539"/>
      <c r="AY303" s="539"/>
      <c r="AZ303" s="539"/>
      <c r="BA303" s="539"/>
      <c r="BB303" s="539"/>
      <c r="BC303" s="539"/>
      <c r="BD303" s="539"/>
      <c r="BE303" s="539"/>
      <c r="BF303" s="539"/>
      <c r="BG303" s="539"/>
      <c r="BH303" s="539"/>
      <c r="BI303" s="539"/>
      <c r="BJ303" s="539"/>
      <c r="BK303" s="539"/>
      <c r="BL303" s="539"/>
      <c r="BM303" s="539"/>
      <c r="BN303" s="539"/>
      <c r="BO303" s="539"/>
      <c r="BP303" s="539"/>
      <c r="BQ303" s="539"/>
      <c r="BR303" s="539"/>
      <c r="BS303" s="539"/>
      <c r="BT303" s="539"/>
      <c r="BU303" s="539"/>
      <c r="BV303" s="539"/>
      <c r="BW303" s="539"/>
      <c r="BX303" s="539"/>
      <c r="BY303" s="539"/>
      <c r="BZ303" s="539"/>
      <c r="CA303" s="539"/>
      <c r="CB303" s="539"/>
      <c r="CC303" s="539"/>
      <c r="CD303" s="539"/>
      <c r="CE303" s="539"/>
      <c r="CF303" s="539"/>
      <c r="CG303" s="539"/>
      <c r="CH303" s="539"/>
      <c r="CI303" s="539"/>
      <c r="CJ303" s="539"/>
      <c r="CK303" s="539"/>
      <c r="CL303" s="539"/>
      <c r="CM303" s="539"/>
      <c r="CN303" s="539"/>
      <c r="CO303" s="539"/>
      <c r="CP303" s="539"/>
      <c r="CQ303" s="539"/>
      <c r="CR303" s="539"/>
      <c r="CS303" s="539"/>
      <c r="CT303" s="539"/>
      <c r="CU303" s="539"/>
      <c r="CV303" s="539"/>
      <c r="CW303" s="539"/>
      <c r="CX303" s="539"/>
      <c r="CY303" s="539"/>
      <c r="CZ303" s="539"/>
      <c r="DA303" s="539"/>
      <c r="DB303" s="539"/>
      <c r="DC303" s="539"/>
      <c r="DD303" s="539"/>
      <c r="DE303" s="539"/>
      <c r="DF303" s="539"/>
      <c r="DG303" s="539"/>
      <c r="DH303" s="539"/>
      <c r="DI303" s="539"/>
      <c r="DJ303" s="539"/>
      <c r="DK303" s="539"/>
      <c r="DL303" s="539"/>
      <c r="DM303" s="539"/>
      <c r="DN303" s="539"/>
      <c r="DO303" s="539"/>
      <c r="DP303" s="539"/>
      <c r="DQ303" s="539"/>
      <c r="DR303" s="539"/>
      <c r="DS303" s="539"/>
      <c r="DT303" s="539"/>
      <c r="DU303" s="539"/>
      <c r="DV303" s="539"/>
      <c r="DW303" s="539"/>
      <c r="DX303" s="539"/>
      <c r="DY303" s="539"/>
      <c r="DZ303" s="539"/>
      <c r="EA303" s="539"/>
      <c r="EB303" s="539"/>
      <c r="EC303" s="539"/>
      <c r="ED303" s="539"/>
    </row>
    <row r="304" spans="1:134" ht="13.5" hidden="1" customHeight="1">
      <c r="A304" s="549"/>
      <c r="B304" s="11" t="e">
        <f>+#REF!</f>
        <v>#REF!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539"/>
      <c r="AR304" s="539"/>
      <c r="AS304" s="539"/>
      <c r="AT304" s="539"/>
      <c r="AU304" s="539"/>
      <c r="AV304" s="539"/>
      <c r="AW304" s="539"/>
      <c r="AX304" s="539"/>
      <c r="AY304" s="539"/>
      <c r="AZ304" s="539"/>
      <c r="BA304" s="539"/>
      <c r="BB304" s="539"/>
      <c r="BC304" s="539"/>
      <c r="BD304" s="539"/>
      <c r="BE304" s="539"/>
      <c r="BF304" s="539"/>
      <c r="BG304" s="539"/>
      <c r="BH304" s="539"/>
      <c r="BI304" s="539"/>
      <c r="BJ304" s="539"/>
      <c r="BK304" s="539"/>
      <c r="BL304" s="539"/>
      <c r="BM304" s="539"/>
      <c r="BN304" s="539"/>
      <c r="BO304" s="539"/>
      <c r="BP304" s="539"/>
      <c r="BQ304" s="539"/>
      <c r="BR304" s="539"/>
      <c r="BS304" s="539"/>
      <c r="BT304" s="539"/>
      <c r="BU304" s="539"/>
      <c r="BV304" s="539"/>
      <c r="BW304" s="539"/>
      <c r="BX304" s="539"/>
      <c r="BY304" s="539"/>
      <c r="BZ304" s="539"/>
      <c r="CA304" s="539"/>
      <c r="CB304" s="539"/>
      <c r="CC304" s="539"/>
      <c r="CD304" s="539"/>
      <c r="CE304" s="539"/>
      <c r="CF304" s="539"/>
      <c r="CG304" s="539"/>
      <c r="CH304" s="539"/>
      <c r="CI304" s="539"/>
      <c r="CJ304" s="539"/>
      <c r="CK304" s="539"/>
      <c r="CL304" s="539"/>
      <c r="CM304" s="539"/>
      <c r="CN304" s="539"/>
      <c r="CO304" s="539"/>
      <c r="CP304" s="539"/>
      <c r="CQ304" s="539"/>
      <c r="CR304" s="539"/>
      <c r="CS304" s="539"/>
      <c r="CT304" s="539"/>
      <c r="CU304" s="539"/>
      <c r="CV304" s="539"/>
      <c r="CW304" s="539"/>
      <c r="CX304" s="539"/>
      <c r="CY304" s="539"/>
      <c r="CZ304" s="539"/>
      <c r="DA304" s="539"/>
      <c r="DB304" s="539"/>
      <c r="DC304" s="539"/>
      <c r="DD304" s="539"/>
      <c r="DE304" s="539"/>
      <c r="DF304" s="539"/>
      <c r="DG304" s="539"/>
      <c r="DH304" s="539"/>
      <c r="DI304" s="539"/>
      <c r="DJ304" s="539"/>
      <c r="DK304" s="539"/>
      <c r="DL304" s="539"/>
      <c r="DM304" s="539"/>
      <c r="DN304" s="539"/>
      <c r="DO304" s="539"/>
      <c r="DP304" s="539"/>
      <c r="DQ304" s="539"/>
      <c r="DR304" s="539"/>
      <c r="DS304" s="539"/>
      <c r="DT304" s="539"/>
      <c r="DU304" s="539"/>
      <c r="DV304" s="539"/>
      <c r="DW304" s="539"/>
      <c r="DX304" s="539"/>
      <c r="DY304" s="539"/>
      <c r="DZ304" s="539"/>
      <c r="EA304" s="539"/>
      <c r="EB304" s="539"/>
      <c r="EC304" s="539"/>
      <c r="ED304" s="539"/>
    </row>
    <row r="305" spans="1:134" ht="13.5" hidden="1" customHeight="1">
      <c r="A305" s="549"/>
      <c r="B305" s="11" t="e">
        <f>+#REF!</f>
        <v>#REF!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539"/>
      <c r="AR305" s="539"/>
      <c r="AS305" s="539"/>
      <c r="AT305" s="539"/>
      <c r="AU305" s="539"/>
      <c r="AV305" s="539"/>
      <c r="AW305" s="539"/>
      <c r="AX305" s="539"/>
      <c r="AY305" s="539"/>
      <c r="AZ305" s="539"/>
      <c r="BA305" s="539"/>
      <c r="BB305" s="539"/>
      <c r="BC305" s="539"/>
      <c r="BD305" s="539"/>
      <c r="BE305" s="539"/>
      <c r="BF305" s="539"/>
      <c r="BG305" s="539"/>
      <c r="BH305" s="539"/>
      <c r="BI305" s="539"/>
      <c r="BJ305" s="539"/>
      <c r="BK305" s="539"/>
      <c r="BL305" s="539"/>
      <c r="BM305" s="539"/>
      <c r="BN305" s="539"/>
      <c r="BO305" s="539"/>
      <c r="BP305" s="539"/>
      <c r="BQ305" s="539"/>
      <c r="BR305" s="539"/>
      <c r="BS305" s="539"/>
      <c r="BT305" s="539"/>
      <c r="BU305" s="539"/>
      <c r="BV305" s="539"/>
      <c r="BW305" s="539"/>
      <c r="BX305" s="539"/>
      <c r="BY305" s="539"/>
      <c r="BZ305" s="539"/>
      <c r="CA305" s="539"/>
      <c r="CB305" s="539"/>
      <c r="CC305" s="539"/>
      <c r="CD305" s="539"/>
      <c r="CE305" s="539"/>
      <c r="CF305" s="539"/>
      <c r="CG305" s="539"/>
      <c r="CH305" s="539"/>
      <c r="CI305" s="539"/>
      <c r="CJ305" s="539"/>
      <c r="CK305" s="539"/>
      <c r="CL305" s="539"/>
      <c r="CM305" s="539"/>
      <c r="CN305" s="539"/>
      <c r="CO305" s="539"/>
      <c r="CP305" s="539"/>
      <c r="CQ305" s="539"/>
      <c r="CR305" s="539"/>
      <c r="CS305" s="539"/>
      <c r="CT305" s="539"/>
      <c r="CU305" s="539"/>
      <c r="CV305" s="539"/>
      <c r="CW305" s="539"/>
      <c r="CX305" s="539"/>
      <c r="CY305" s="539"/>
      <c r="CZ305" s="539"/>
      <c r="DA305" s="539"/>
      <c r="DB305" s="539"/>
      <c r="DC305" s="539"/>
      <c r="DD305" s="539"/>
      <c r="DE305" s="539"/>
      <c r="DF305" s="539"/>
      <c r="DG305" s="539"/>
      <c r="DH305" s="539"/>
      <c r="DI305" s="539"/>
      <c r="DJ305" s="539"/>
      <c r="DK305" s="539"/>
      <c r="DL305" s="539"/>
      <c r="DM305" s="539"/>
      <c r="DN305" s="539"/>
      <c r="DO305" s="539"/>
      <c r="DP305" s="539"/>
      <c r="DQ305" s="539"/>
      <c r="DR305" s="539"/>
      <c r="DS305" s="539"/>
      <c r="DT305" s="539"/>
      <c r="DU305" s="539"/>
      <c r="DV305" s="539"/>
      <c r="DW305" s="539"/>
      <c r="DX305" s="539"/>
      <c r="DY305" s="539"/>
      <c r="DZ305" s="539"/>
      <c r="EA305" s="539"/>
      <c r="EB305" s="539"/>
      <c r="EC305" s="539"/>
      <c r="ED305" s="539"/>
    </row>
    <row r="306" spans="1:134" ht="13.5" hidden="1" customHeight="1">
      <c r="A306" s="549"/>
      <c r="B306" s="11" t="e">
        <f>+#REF!</f>
        <v>#REF!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539"/>
      <c r="AR306" s="539"/>
      <c r="AS306" s="539"/>
      <c r="AT306" s="539"/>
      <c r="AU306" s="539"/>
      <c r="AV306" s="539"/>
      <c r="AW306" s="539"/>
      <c r="AX306" s="539"/>
      <c r="AY306" s="539"/>
      <c r="AZ306" s="539"/>
      <c r="BA306" s="539"/>
      <c r="BB306" s="539"/>
      <c r="BC306" s="539"/>
      <c r="BD306" s="539"/>
      <c r="BE306" s="539"/>
      <c r="BF306" s="539"/>
      <c r="BG306" s="539"/>
      <c r="BH306" s="539"/>
      <c r="BI306" s="539"/>
      <c r="BJ306" s="539"/>
      <c r="BK306" s="539"/>
      <c r="BL306" s="539"/>
      <c r="BM306" s="539"/>
      <c r="BN306" s="539"/>
      <c r="BO306" s="539"/>
      <c r="BP306" s="539"/>
      <c r="BQ306" s="539"/>
      <c r="BR306" s="539"/>
      <c r="BS306" s="539"/>
      <c r="BT306" s="539"/>
      <c r="BU306" s="539"/>
      <c r="BV306" s="539"/>
      <c r="BW306" s="539"/>
      <c r="BX306" s="539"/>
      <c r="BY306" s="539"/>
      <c r="BZ306" s="539"/>
      <c r="CA306" s="539"/>
      <c r="CB306" s="539"/>
      <c r="CC306" s="539"/>
      <c r="CD306" s="539"/>
      <c r="CE306" s="539"/>
      <c r="CF306" s="539"/>
      <c r="CG306" s="539"/>
      <c r="CH306" s="539"/>
      <c r="CI306" s="539"/>
      <c r="CJ306" s="539"/>
      <c r="CK306" s="539"/>
      <c r="CL306" s="539"/>
      <c r="CM306" s="539"/>
      <c r="CN306" s="539"/>
      <c r="CO306" s="539"/>
      <c r="CP306" s="539"/>
      <c r="CQ306" s="539"/>
      <c r="CR306" s="539"/>
      <c r="CS306" s="539"/>
      <c r="CT306" s="539"/>
      <c r="CU306" s="539"/>
      <c r="CV306" s="539"/>
      <c r="CW306" s="539"/>
      <c r="CX306" s="539"/>
      <c r="CY306" s="539"/>
      <c r="CZ306" s="539"/>
      <c r="DA306" s="539"/>
      <c r="DB306" s="539"/>
      <c r="DC306" s="539"/>
      <c r="DD306" s="539"/>
      <c r="DE306" s="539"/>
      <c r="DF306" s="539"/>
      <c r="DG306" s="539"/>
      <c r="DH306" s="539"/>
      <c r="DI306" s="539"/>
      <c r="DJ306" s="539"/>
      <c r="DK306" s="539"/>
      <c r="DL306" s="539"/>
      <c r="DM306" s="539"/>
      <c r="DN306" s="539"/>
      <c r="DO306" s="539"/>
      <c r="DP306" s="539"/>
      <c r="DQ306" s="539"/>
      <c r="DR306" s="539"/>
      <c r="DS306" s="539"/>
      <c r="DT306" s="539"/>
      <c r="DU306" s="539"/>
      <c r="DV306" s="539"/>
      <c r="DW306" s="539"/>
      <c r="DX306" s="539"/>
      <c r="DY306" s="539"/>
      <c r="DZ306" s="539"/>
      <c r="EA306" s="539"/>
      <c r="EB306" s="539"/>
      <c r="EC306" s="539"/>
      <c r="ED306" s="539"/>
    </row>
    <row r="307" spans="1:134" ht="13.5" hidden="1" customHeight="1">
      <c r="A307" s="549"/>
      <c r="B307" s="11" t="e">
        <f>+#REF!</f>
        <v>#REF!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539"/>
      <c r="AR307" s="539"/>
      <c r="AS307" s="539"/>
      <c r="AT307" s="539"/>
      <c r="AU307" s="539"/>
      <c r="AV307" s="539"/>
      <c r="AW307" s="539"/>
      <c r="AX307" s="539"/>
      <c r="AY307" s="539"/>
      <c r="AZ307" s="539"/>
      <c r="BA307" s="539"/>
      <c r="BB307" s="539"/>
      <c r="BC307" s="539"/>
      <c r="BD307" s="539"/>
      <c r="BE307" s="539"/>
      <c r="BF307" s="539"/>
      <c r="BG307" s="539"/>
      <c r="BH307" s="539"/>
      <c r="BI307" s="539"/>
      <c r="BJ307" s="539"/>
      <c r="BK307" s="539"/>
      <c r="BL307" s="539"/>
      <c r="BM307" s="539"/>
      <c r="BN307" s="539"/>
      <c r="BO307" s="539"/>
      <c r="BP307" s="539"/>
      <c r="BQ307" s="539"/>
      <c r="BR307" s="539"/>
      <c r="BS307" s="539"/>
      <c r="BT307" s="539"/>
      <c r="BU307" s="539"/>
      <c r="BV307" s="539"/>
      <c r="BW307" s="539"/>
      <c r="BX307" s="539"/>
      <c r="BY307" s="539"/>
      <c r="BZ307" s="539"/>
      <c r="CA307" s="539"/>
      <c r="CB307" s="539"/>
      <c r="CC307" s="539"/>
      <c r="CD307" s="539"/>
      <c r="CE307" s="539"/>
      <c r="CF307" s="539"/>
      <c r="CG307" s="539"/>
      <c r="CH307" s="539"/>
      <c r="CI307" s="539"/>
      <c r="CJ307" s="539"/>
      <c r="CK307" s="539"/>
      <c r="CL307" s="539"/>
      <c r="CM307" s="539"/>
      <c r="CN307" s="539"/>
      <c r="CO307" s="539"/>
      <c r="CP307" s="539"/>
      <c r="CQ307" s="539"/>
      <c r="CR307" s="539"/>
      <c r="CS307" s="539"/>
      <c r="CT307" s="539"/>
      <c r="CU307" s="539"/>
      <c r="CV307" s="539"/>
      <c r="CW307" s="539"/>
      <c r="CX307" s="539"/>
      <c r="CY307" s="539"/>
      <c r="CZ307" s="539"/>
      <c r="DA307" s="539"/>
      <c r="DB307" s="539"/>
      <c r="DC307" s="539"/>
      <c r="DD307" s="539"/>
      <c r="DE307" s="539"/>
      <c r="DF307" s="539"/>
      <c r="DG307" s="539"/>
      <c r="DH307" s="539"/>
      <c r="DI307" s="539"/>
      <c r="DJ307" s="539"/>
      <c r="DK307" s="539"/>
      <c r="DL307" s="539"/>
      <c r="DM307" s="539"/>
      <c r="DN307" s="539"/>
      <c r="DO307" s="539"/>
      <c r="DP307" s="539"/>
      <c r="DQ307" s="539"/>
      <c r="DR307" s="539"/>
      <c r="DS307" s="539"/>
      <c r="DT307" s="539"/>
      <c r="DU307" s="539"/>
      <c r="DV307" s="539"/>
      <c r="DW307" s="539"/>
      <c r="DX307" s="539"/>
      <c r="DY307" s="539"/>
      <c r="DZ307" s="539"/>
      <c r="EA307" s="539"/>
      <c r="EB307" s="539"/>
      <c r="EC307" s="539"/>
      <c r="ED307" s="539"/>
    </row>
    <row r="308" spans="1:134" ht="13.5" hidden="1" customHeight="1">
      <c r="A308" s="549"/>
      <c r="B308" s="11" t="e">
        <f>+#REF!</f>
        <v>#REF!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539"/>
      <c r="AR308" s="539"/>
      <c r="AS308" s="539"/>
      <c r="AT308" s="539"/>
      <c r="AU308" s="539"/>
      <c r="AV308" s="539"/>
      <c r="AW308" s="539"/>
      <c r="AX308" s="539"/>
      <c r="AY308" s="539"/>
      <c r="AZ308" s="539"/>
      <c r="BA308" s="539"/>
      <c r="BB308" s="539"/>
      <c r="BC308" s="539"/>
      <c r="BD308" s="539"/>
      <c r="BE308" s="539"/>
      <c r="BF308" s="539"/>
      <c r="BG308" s="539"/>
      <c r="BH308" s="539"/>
      <c r="BI308" s="539"/>
      <c r="BJ308" s="539"/>
      <c r="BK308" s="539"/>
      <c r="BL308" s="539"/>
      <c r="BM308" s="539"/>
      <c r="BN308" s="539"/>
      <c r="BO308" s="539"/>
      <c r="BP308" s="539"/>
      <c r="BQ308" s="539"/>
      <c r="BR308" s="539"/>
      <c r="BS308" s="539"/>
      <c r="BT308" s="539"/>
      <c r="BU308" s="539"/>
      <c r="BV308" s="539"/>
      <c r="BW308" s="539"/>
      <c r="BX308" s="539"/>
      <c r="BY308" s="539"/>
      <c r="BZ308" s="539"/>
      <c r="CA308" s="539"/>
      <c r="CB308" s="539"/>
      <c r="CC308" s="539"/>
      <c r="CD308" s="539"/>
      <c r="CE308" s="539"/>
      <c r="CF308" s="539"/>
      <c r="CG308" s="539"/>
      <c r="CH308" s="539"/>
      <c r="CI308" s="539"/>
      <c r="CJ308" s="539"/>
      <c r="CK308" s="539"/>
      <c r="CL308" s="539"/>
      <c r="CM308" s="539"/>
      <c r="CN308" s="539"/>
      <c r="CO308" s="539"/>
      <c r="CP308" s="539"/>
      <c r="CQ308" s="539"/>
      <c r="CR308" s="539"/>
      <c r="CS308" s="539"/>
      <c r="CT308" s="539"/>
      <c r="CU308" s="539"/>
      <c r="CV308" s="539"/>
      <c r="CW308" s="539"/>
      <c r="CX308" s="539"/>
      <c r="CY308" s="539"/>
      <c r="CZ308" s="539"/>
      <c r="DA308" s="539"/>
      <c r="DB308" s="539"/>
      <c r="DC308" s="539"/>
      <c r="DD308" s="539"/>
      <c r="DE308" s="539"/>
      <c r="DF308" s="539"/>
      <c r="DG308" s="539"/>
      <c r="DH308" s="539"/>
      <c r="DI308" s="539"/>
      <c r="DJ308" s="539"/>
      <c r="DK308" s="539"/>
      <c r="DL308" s="539"/>
      <c r="DM308" s="539"/>
      <c r="DN308" s="539"/>
      <c r="DO308" s="539"/>
      <c r="DP308" s="539"/>
      <c r="DQ308" s="539"/>
      <c r="DR308" s="539"/>
      <c r="DS308" s="539"/>
      <c r="DT308" s="539"/>
      <c r="DU308" s="539"/>
      <c r="DV308" s="539"/>
      <c r="DW308" s="539"/>
      <c r="DX308" s="539"/>
      <c r="DY308" s="539"/>
      <c r="DZ308" s="539"/>
      <c r="EA308" s="539"/>
      <c r="EB308" s="539"/>
      <c r="EC308" s="539"/>
      <c r="ED308" s="539"/>
    </row>
    <row r="309" spans="1:134" ht="13.5" hidden="1" customHeight="1">
      <c r="A309" s="549"/>
      <c r="B309" s="11" t="e">
        <f>+#REF!</f>
        <v>#REF!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539"/>
      <c r="AR309" s="539"/>
      <c r="AS309" s="539"/>
      <c r="AT309" s="539"/>
      <c r="AU309" s="539"/>
      <c r="AV309" s="539"/>
      <c r="AW309" s="539"/>
      <c r="AX309" s="539"/>
      <c r="AY309" s="539"/>
      <c r="AZ309" s="539"/>
      <c r="BA309" s="539"/>
      <c r="BB309" s="539"/>
      <c r="BC309" s="539"/>
      <c r="BD309" s="539"/>
      <c r="BE309" s="539"/>
      <c r="BF309" s="539"/>
      <c r="BG309" s="539"/>
      <c r="BH309" s="539"/>
      <c r="BI309" s="539"/>
      <c r="BJ309" s="539"/>
      <c r="BK309" s="539"/>
      <c r="BL309" s="539"/>
      <c r="BM309" s="539"/>
      <c r="BN309" s="539"/>
      <c r="BO309" s="539"/>
      <c r="BP309" s="539"/>
      <c r="BQ309" s="539"/>
      <c r="BR309" s="539"/>
      <c r="BS309" s="539"/>
      <c r="BT309" s="539"/>
      <c r="BU309" s="539"/>
      <c r="BV309" s="539"/>
      <c r="BW309" s="539"/>
      <c r="BX309" s="539"/>
      <c r="BY309" s="539"/>
      <c r="BZ309" s="539"/>
      <c r="CA309" s="539"/>
      <c r="CB309" s="539"/>
      <c r="CC309" s="539"/>
      <c r="CD309" s="539"/>
      <c r="CE309" s="539"/>
      <c r="CF309" s="539"/>
      <c r="CG309" s="539"/>
      <c r="CH309" s="539"/>
      <c r="CI309" s="539"/>
      <c r="CJ309" s="539"/>
      <c r="CK309" s="539"/>
      <c r="CL309" s="539"/>
      <c r="CM309" s="539"/>
      <c r="CN309" s="539"/>
      <c r="CO309" s="539"/>
      <c r="CP309" s="539"/>
      <c r="CQ309" s="539"/>
      <c r="CR309" s="539"/>
      <c r="CS309" s="539"/>
      <c r="CT309" s="539"/>
      <c r="CU309" s="539"/>
      <c r="CV309" s="539"/>
      <c r="CW309" s="539"/>
      <c r="CX309" s="539"/>
      <c r="CY309" s="539"/>
      <c r="CZ309" s="539"/>
      <c r="DA309" s="539"/>
      <c r="DB309" s="539"/>
      <c r="DC309" s="539"/>
      <c r="DD309" s="539"/>
      <c r="DE309" s="539"/>
      <c r="DF309" s="539"/>
      <c r="DG309" s="539"/>
      <c r="DH309" s="539"/>
      <c r="DI309" s="539"/>
      <c r="DJ309" s="539"/>
      <c r="DK309" s="539"/>
      <c r="DL309" s="539"/>
      <c r="DM309" s="539"/>
      <c r="DN309" s="539"/>
      <c r="DO309" s="539"/>
      <c r="DP309" s="539"/>
      <c r="DQ309" s="539"/>
      <c r="DR309" s="539"/>
      <c r="DS309" s="539"/>
      <c r="DT309" s="539"/>
      <c r="DU309" s="539"/>
      <c r="DV309" s="539"/>
      <c r="DW309" s="539"/>
      <c r="DX309" s="539"/>
      <c r="DY309" s="539"/>
      <c r="DZ309" s="539"/>
      <c r="EA309" s="539"/>
      <c r="EB309" s="539"/>
      <c r="EC309" s="539"/>
      <c r="ED309" s="539"/>
    </row>
    <row r="310" spans="1:134" ht="13.5" hidden="1" customHeight="1">
      <c r="A310" s="549"/>
      <c r="B310" s="11" t="e">
        <f>+#REF!</f>
        <v>#REF!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539"/>
      <c r="AR310" s="539"/>
      <c r="AS310" s="539"/>
      <c r="AT310" s="539"/>
      <c r="AU310" s="539"/>
      <c r="AV310" s="539"/>
      <c r="AW310" s="539"/>
      <c r="AX310" s="539"/>
      <c r="AY310" s="539"/>
      <c r="AZ310" s="539"/>
      <c r="BA310" s="539"/>
      <c r="BB310" s="539"/>
      <c r="BC310" s="539"/>
      <c r="BD310" s="539"/>
      <c r="BE310" s="539"/>
      <c r="BF310" s="539"/>
      <c r="BG310" s="539"/>
      <c r="BH310" s="539"/>
      <c r="BI310" s="539"/>
      <c r="BJ310" s="539"/>
      <c r="BK310" s="539"/>
      <c r="BL310" s="539"/>
      <c r="BM310" s="539"/>
      <c r="BN310" s="539"/>
      <c r="BO310" s="539"/>
      <c r="BP310" s="539"/>
      <c r="BQ310" s="539"/>
      <c r="BR310" s="539"/>
      <c r="BS310" s="539"/>
      <c r="BT310" s="539"/>
      <c r="BU310" s="539"/>
      <c r="BV310" s="539"/>
      <c r="BW310" s="539"/>
      <c r="BX310" s="539"/>
      <c r="BY310" s="539"/>
      <c r="BZ310" s="539"/>
      <c r="CA310" s="539"/>
      <c r="CB310" s="539"/>
      <c r="CC310" s="539"/>
      <c r="CD310" s="539"/>
      <c r="CE310" s="539"/>
      <c r="CF310" s="539"/>
      <c r="CG310" s="539"/>
      <c r="CH310" s="539"/>
      <c r="CI310" s="539"/>
      <c r="CJ310" s="539"/>
      <c r="CK310" s="539"/>
      <c r="CL310" s="539"/>
      <c r="CM310" s="539"/>
      <c r="CN310" s="539"/>
      <c r="CO310" s="539"/>
      <c r="CP310" s="539"/>
      <c r="CQ310" s="539"/>
      <c r="CR310" s="539"/>
      <c r="CS310" s="539"/>
      <c r="CT310" s="539"/>
      <c r="CU310" s="539"/>
      <c r="CV310" s="539"/>
      <c r="CW310" s="539"/>
      <c r="CX310" s="539"/>
      <c r="CY310" s="539"/>
      <c r="CZ310" s="539"/>
      <c r="DA310" s="539"/>
      <c r="DB310" s="539"/>
      <c r="DC310" s="539"/>
      <c r="DD310" s="539"/>
      <c r="DE310" s="539"/>
      <c r="DF310" s="539"/>
      <c r="DG310" s="539"/>
      <c r="DH310" s="539"/>
      <c r="DI310" s="539"/>
      <c r="DJ310" s="539"/>
      <c r="DK310" s="539"/>
      <c r="DL310" s="539"/>
      <c r="DM310" s="539"/>
      <c r="DN310" s="539"/>
      <c r="DO310" s="539"/>
      <c r="DP310" s="539"/>
      <c r="DQ310" s="539"/>
      <c r="DR310" s="539"/>
      <c r="DS310" s="539"/>
      <c r="DT310" s="539"/>
      <c r="DU310" s="539"/>
      <c r="DV310" s="539"/>
      <c r="DW310" s="539"/>
      <c r="DX310" s="539"/>
      <c r="DY310" s="539"/>
      <c r="DZ310" s="539"/>
      <c r="EA310" s="539"/>
      <c r="EB310" s="539"/>
      <c r="EC310" s="539"/>
      <c r="ED310" s="539"/>
    </row>
    <row r="311" spans="1:134" ht="13.5" hidden="1" customHeight="1">
      <c r="A311" s="549"/>
      <c r="B311" s="11" t="e">
        <f>+#REF!</f>
        <v>#REF!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539"/>
      <c r="AR311" s="539"/>
      <c r="AS311" s="539"/>
      <c r="AT311" s="539"/>
      <c r="AU311" s="539"/>
      <c r="AV311" s="539"/>
      <c r="AW311" s="539"/>
      <c r="AX311" s="539"/>
      <c r="AY311" s="539"/>
      <c r="AZ311" s="539"/>
      <c r="BA311" s="539"/>
      <c r="BB311" s="539"/>
      <c r="BC311" s="539"/>
      <c r="BD311" s="539"/>
      <c r="BE311" s="539"/>
      <c r="BF311" s="539"/>
      <c r="BG311" s="539"/>
      <c r="BH311" s="539"/>
      <c r="BI311" s="539"/>
      <c r="BJ311" s="539"/>
      <c r="BK311" s="539"/>
      <c r="BL311" s="539"/>
      <c r="BM311" s="539"/>
      <c r="BN311" s="539"/>
      <c r="BO311" s="539"/>
      <c r="BP311" s="539"/>
      <c r="BQ311" s="539"/>
      <c r="BR311" s="539"/>
      <c r="BS311" s="539"/>
      <c r="BT311" s="539"/>
      <c r="BU311" s="539"/>
      <c r="BV311" s="539"/>
      <c r="BW311" s="539"/>
      <c r="BX311" s="539"/>
      <c r="BY311" s="539"/>
      <c r="BZ311" s="539"/>
      <c r="CA311" s="539"/>
      <c r="CB311" s="539"/>
      <c r="CC311" s="539"/>
      <c r="CD311" s="539"/>
      <c r="CE311" s="539"/>
      <c r="CF311" s="539"/>
      <c r="CG311" s="539"/>
      <c r="CH311" s="539"/>
      <c r="CI311" s="539"/>
      <c r="CJ311" s="539"/>
      <c r="CK311" s="539"/>
      <c r="CL311" s="539"/>
      <c r="CM311" s="539"/>
      <c r="CN311" s="539"/>
      <c r="CO311" s="539"/>
      <c r="CP311" s="539"/>
      <c r="CQ311" s="539"/>
      <c r="CR311" s="539"/>
      <c r="CS311" s="539"/>
      <c r="CT311" s="539"/>
      <c r="CU311" s="539"/>
      <c r="CV311" s="539"/>
      <c r="CW311" s="539"/>
      <c r="CX311" s="539"/>
      <c r="CY311" s="539"/>
      <c r="CZ311" s="539"/>
      <c r="DA311" s="539"/>
      <c r="DB311" s="539"/>
      <c r="DC311" s="539"/>
      <c r="DD311" s="539"/>
      <c r="DE311" s="539"/>
      <c r="DF311" s="539"/>
      <c r="DG311" s="539"/>
      <c r="DH311" s="539"/>
      <c r="DI311" s="539"/>
      <c r="DJ311" s="539"/>
      <c r="DK311" s="539"/>
      <c r="DL311" s="539"/>
      <c r="DM311" s="539"/>
      <c r="DN311" s="539"/>
      <c r="DO311" s="539"/>
      <c r="DP311" s="539"/>
      <c r="DQ311" s="539"/>
      <c r="DR311" s="539"/>
      <c r="DS311" s="539"/>
      <c r="DT311" s="539"/>
      <c r="DU311" s="539"/>
      <c r="DV311" s="539"/>
      <c r="DW311" s="539"/>
      <c r="DX311" s="539"/>
      <c r="DY311" s="539"/>
      <c r="DZ311" s="539"/>
      <c r="EA311" s="539"/>
      <c r="EB311" s="539"/>
      <c r="EC311" s="539"/>
      <c r="ED311" s="539"/>
    </row>
    <row r="312" spans="1:134" ht="13.5" hidden="1" customHeight="1">
      <c r="A312" s="549"/>
      <c r="B312" s="11" t="e">
        <f>+#REF!</f>
        <v>#REF!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539"/>
      <c r="AR312" s="539"/>
      <c r="AS312" s="539"/>
      <c r="AT312" s="539"/>
      <c r="AU312" s="539"/>
      <c r="AV312" s="539"/>
      <c r="AW312" s="539"/>
      <c r="AX312" s="539"/>
      <c r="AY312" s="539"/>
      <c r="AZ312" s="539"/>
      <c r="BA312" s="539"/>
      <c r="BB312" s="539"/>
      <c r="BC312" s="539"/>
      <c r="BD312" s="539"/>
      <c r="BE312" s="539"/>
      <c r="BF312" s="539"/>
      <c r="BG312" s="539"/>
      <c r="BH312" s="539"/>
      <c r="BI312" s="539"/>
      <c r="BJ312" s="539"/>
      <c r="BK312" s="539"/>
      <c r="BL312" s="539"/>
      <c r="BM312" s="539"/>
      <c r="BN312" s="539"/>
      <c r="BO312" s="539"/>
      <c r="BP312" s="539"/>
      <c r="BQ312" s="539"/>
      <c r="BR312" s="539"/>
      <c r="BS312" s="539"/>
      <c r="BT312" s="539"/>
      <c r="BU312" s="539"/>
      <c r="BV312" s="539"/>
      <c r="BW312" s="539"/>
      <c r="BX312" s="539"/>
      <c r="BY312" s="539"/>
      <c r="BZ312" s="539"/>
      <c r="CA312" s="539"/>
      <c r="CB312" s="539"/>
      <c r="CC312" s="539"/>
      <c r="CD312" s="539"/>
      <c r="CE312" s="539"/>
      <c r="CF312" s="539"/>
      <c r="CG312" s="539"/>
      <c r="CH312" s="539"/>
      <c r="CI312" s="539"/>
      <c r="CJ312" s="539"/>
      <c r="CK312" s="539"/>
      <c r="CL312" s="539"/>
      <c r="CM312" s="539"/>
      <c r="CN312" s="539"/>
      <c r="CO312" s="539"/>
      <c r="CP312" s="539"/>
      <c r="CQ312" s="539"/>
      <c r="CR312" s="539"/>
      <c r="CS312" s="539"/>
      <c r="CT312" s="539"/>
      <c r="CU312" s="539"/>
      <c r="CV312" s="539"/>
      <c r="CW312" s="539"/>
      <c r="CX312" s="539"/>
      <c r="CY312" s="539"/>
      <c r="CZ312" s="539"/>
      <c r="DA312" s="539"/>
      <c r="DB312" s="539"/>
      <c r="DC312" s="539"/>
      <c r="DD312" s="539"/>
      <c r="DE312" s="539"/>
      <c r="DF312" s="539"/>
      <c r="DG312" s="539"/>
      <c r="DH312" s="539"/>
      <c r="DI312" s="539"/>
      <c r="DJ312" s="539"/>
      <c r="DK312" s="539"/>
      <c r="DL312" s="539"/>
      <c r="DM312" s="539"/>
      <c r="DN312" s="539"/>
      <c r="DO312" s="539"/>
      <c r="DP312" s="539"/>
      <c r="DQ312" s="539"/>
      <c r="DR312" s="539"/>
      <c r="DS312" s="539"/>
      <c r="DT312" s="539"/>
      <c r="DU312" s="539"/>
      <c r="DV312" s="539"/>
      <c r="DW312" s="539"/>
      <c r="DX312" s="539"/>
      <c r="DY312" s="539"/>
      <c r="DZ312" s="539"/>
      <c r="EA312" s="539"/>
      <c r="EB312" s="539"/>
      <c r="EC312" s="539"/>
      <c r="ED312" s="539"/>
    </row>
    <row r="313" spans="1:134" ht="13.5" hidden="1" customHeight="1">
      <c r="A313" s="549"/>
      <c r="B313" s="11" t="e">
        <f>+#REF!</f>
        <v>#REF!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539"/>
      <c r="AR313" s="539"/>
      <c r="AS313" s="539"/>
      <c r="AT313" s="539"/>
      <c r="AU313" s="539"/>
      <c r="AV313" s="539"/>
      <c r="AW313" s="539"/>
      <c r="AX313" s="539"/>
      <c r="AY313" s="539"/>
      <c r="AZ313" s="539"/>
      <c r="BA313" s="539"/>
      <c r="BB313" s="539"/>
      <c r="BC313" s="539"/>
      <c r="BD313" s="539"/>
      <c r="BE313" s="539"/>
      <c r="BF313" s="539"/>
      <c r="BG313" s="539"/>
      <c r="BH313" s="539"/>
      <c r="BI313" s="539"/>
      <c r="BJ313" s="539"/>
      <c r="BK313" s="539"/>
      <c r="BL313" s="539"/>
      <c r="BM313" s="539"/>
      <c r="BN313" s="539"/>
      <c r="BO313" s="539"/>
      <c r="BP313" s="539"/>
      <c r="BQ313" s="539"/>
      <c r="BR313" s="539"/>
      <c r="BS313" s="539"/>
      <c r="BT313" s="539"/>
      <c r="BU313" s="539"/>
      <c r="BV313" s="539"/>
      <c r="BW313" s="539"/>
      <c r="BX313" s="539"/>
      <c r="BY313" s="539"/>
      <c r="BZ313" s="539"/>
      <c r="CA313" s="539"/>
      <c r="CB313" s="539"/>
      <c r="CC313" s="539"/>
      <c r="CD313" s="539"/>
      <c r="CE313" s="539"/>
      <c r="CF313" s="539"/>
      <c r="CG313" s="539"/>
      <c r="CH313" s="539"/>
      <c r="CI313" s="539"/>
      <c r="CJ313" s="539"/>
      <c r="CK313" s="539"/>
      <c r="CL313" s="539"/>
      <c r="CM313" s="539"/>
      <c r="CN313" s="539"/>
      <c r="CO313" s="539"/>
      <c r="CP313" s="539"/>
      <c r="CQ313" s="539"/>
      <c r="CR313" s="539"/>
      <c r="CS313" s="539"/>
      <c r="CT313" s="539"/>
      <c r="CU313" s="539"/>
      <c r="CV313" s="539"/>
      <c r="CW313" s="539"/>
      <c r="CX313" s="539"/>
      <c r="CY313" s="539"/>
      <c r="CZ313" s="539"/>
      <c r="DA313" s="539"/>
      <c r="DB313" s="539"/>
      <c r="DC313" s="539"/>
      <c r="DD313" s="539"/>
      <c r="DE313" s="539"/>
      <c r="DF313" s="539"/>
      <c r="DG313" s="539"/>
      <c r="DH313" s="539"/>
      <c r="DI313" s="539"/>
      <c r="DJ313" s="539"/>
      <c r="DK313" s="539"/>
      <c r="DL313" s="539"/>
      <c r="DM313" s="539"/>
      <c r="DN313" s="539"/>
      <c r="DO313" s="539"/>
      <c r="DP313" s="539"/>
      <c r="DQ313" s="539"/>
      <c r="DR313" s="539"/>
      <c r="DS313" s="539"/>
      <c r="DT313" s="539"/>
      <c r="DU313" s="539"/>
      <c r="DV313" s="539"/>
      <c r="DW313" s="539"/>
      <c r="DX313" s="539"/>
      <c r="DY313" s="539"/>
      <c r="DZ313" s="539"/>
      <c r="EA313" s="539"/>
      <c r="EB313" s="539"/>
      <c r="EC313" s="539"/>
      <c r="ED313" s="539"/>
    </row>
    <row r="314" spans="1:134" ht="13.5" hidden="1" customHeight="1">
      <c r="A314" s="549"/>
      <c r="B314" s="11" t="e">
        <f>+#REF!</f>
        <v>#REF!</v>
      </c>
      <c r="C314" s="12">
        <f>IF(ISNUMBER(Historical!E44),Historical!E44, )</f>
        <v>2900</v>
      </c>
      <c r="D314" s="12">
        <f>IF(ISNUMBER(Historical!G44),Historical!G44, )</f>
        <v>2901</v>
      </c>
      <c r="E314" s="12">
        <f>IF(ISNUMBER(Historical!I44),Historical!I44, )</f>
        <v>2902</v>
      </c>
      <c r="F314" s="12">
        <f>IF(ISNUMBER(Projection!H7),IF(MONTH(Projection!H7)&lt;&gt;12,IF(ISNUMBER(Projection!L37),Projection!L37, ),IF(ISNUMBER(Historical!K44),Historical!K44, )), )</f>
        <v>2863</v>
      </c>
      <c r="G314" s="12">
        <f>IF(ISNUMBER(Projection!H7),IF(MONTH(Projection!$H$7)&lt;&gt;12,IF(ISNUMBER(Projection!N37),Projection!N37, ),IF(ISNUMBER(Projection!L37),Projection!L37, )), )</f>
        <v>2863</v>
      </c>
      <c r="H314" s="12">
        <f>IF(ISNUMBER(Projection!H7),IF(MONTH(Projection!$H$7)&lt;&gt;12,IF(ISNUMBER(Projection!P37),Projection!P37, ),IF(ISNUMBER(Projection!N37),Projection!N37, )), )</f>
        <v>2863</v>
      </c>
      <c r="I314" s="12">
        <f>IF(ISNUMBER(Projection!H7),IF(MONTH(Projection!$H$7)&lt;&gt;12,IF(ISNUMBER(Projection!R37),Projection!R37, ),IF(ISNUMBER(Projection!P37),Projection!P37, )), )</f>
        <v>2863</v>
      </c>
      <c r="J314" s="12">
        <f>IF(ISNUMBER(Projection!H7),IF(MONTH(Projection!$H$7)&lt;&gt;12,IF(ISNUMBER(Projection!T37),Projection!T37, ),IF(ISNUMBER(Projection!R37),Projection!R37, )), )</f>
        <v>2863</v>
      </c>
      <c r="K314" s="12">
        <f>IF(ISNUMBER(Projection!H7),IF(MONTH(Projection!$H$7)&lt;&gt;12,IF(ISNUMBER(Projection!Z37),Projection!Z37, ),IF(ISNUMBER(Projection!T37),Projection!T37, )), )</f>
        <v>2863</v>
      </c>
      <c r="L314" s="12">
        <f>IF(ISNUMBER(Projection!H7),IF(MONTH(Projection!$H$7)&lt;&gt;12,IF(ISNUMBER(Projection!AB37),Projection!AB37, ),IF(ISNUMBER(Projection!Z37),Projection!Z37, )), )</f>
        <v>2863</v>
      </c>
      <c r="M314" s="12">
        <f>IF(ISNUMBER(Projection!$H$7),IF(MONTH(Projection!$H$7)&lt;&gt;12,IF(ISNUMBER(Projection!AD37),Projection!AD37, ),IF(ISNUMBER(Projection!AB37),Projection!AB37, )), )</f>
        <v>2863</v>
      </c>
      <c r="N314" s="12">
        <f>IF(ISNUMBER(Projection!$H$7),IF(MONTH(Projection!$H$7)&lt;&gt;12,IF(ISNUMBER(Projection!AF37),Projection!AF37, ),IF(ISNUMBER(Projection!AD37),Projection!AD37, )), )</f>
        <v>2863</v>
      </c>
      <c r="O314" s="12">
        <f>IF(ISNUMBER(Projection!$H$7),IF(MONTH(Projection!$H$7)&lt;&gt;12,IF(ISNUMBER(Projection!AH37),Projection!AH37, ),IF(ISNUMBER(Projection!AF37),Projection!AF37, )), )</f>
        <v>2863</v>
      </c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539"/>
      <c r="AR314" s="539"/>
      <c r="AS314" s="539"/>
      <c r="AT314" s="539"/>
      <c r="AU314" s="539"/>
      <c r="AV314" s="539"/>
      <c r="AW314" s="539"/>
      <c r="AX314" s="539"/>
      <c r="AY314" s="539"/>
      <c r="AZ314" s="539"/>
      <c r="BA314" s="539"/>
      <c r="BB314" s="539"/>
      <c r="BC314" s="539"/>
      <c r="BD314" s="539"/>
      <c r="BE314" s="539"/>
      <c r="BF314" s="539"/>
      <c r="BG314" s="539"/>
      <c r="BH314" s="539"/>
      <c r="BI314" s="539"/>
      <c r="BJ314" s="539"/>
      <c r="BK314" s="539"/>
      <c r="BL314" s="539"/>
      <c r="BM314" s="539"/>
      <c r="BN314" s="539"/>
      <c r="BO314" s="539"/>
      <c r="BP314" s="539"/>
      <c r="BQ314" s="539"/>
      <c r="BR314" s="539"/>
      <c r="BS314" s="539"/>
      <c r="BT314" s="539"/>
      <c r="BU314" s="539"/>
      <c r="BV314" s="539"/>
      <c r="BW314" s="539"/>
      <c r="BX314" s="539"/>
      <c r="BY314" s="539"/>
      <c r="BZ314" s="539"/>
      <c r="CA314" s="539"/>
      <c r="CB314" s="539"/>
      <c r="CC314" s="539"/>
      <c r="CD314" s="539"/>
      <c r="CE314" s="539"/>
      <c r="CF314" s="539"/>
      <c r="CG314" s="539"/>
      <c r="CH314" s="539"/>
      <c r="CI314" s="539"/>
      <c r="CJ314" s="539"/>
      <c r="CK314" s="539"/>
      <c r="CL314" s="539"/>
      <c r="CM314" s="539"/>
      <c r="CN314" s="539"/>
      <c r="CO314" s="539"/>
      <c r="CP314" s="539"/>
      <c r="CQ314" s="539"/>
      <c r="CR314" s="539"/>
      <c r="CS314" s="539"/>
      <c r="CT314" s="539"/>
      <c r="CU314" s="539"/>
      <c r="CV314" s="539"/>
      <c r="CW314" s="539"/>
      <c r="CX314" s="539"/>
      <c r="CY314" s="539"/>
      <c r="CZ314" s="539"/>
      <c r="DA314" s="539"/>
      <c r="DB314" s="539"/>
      <c r="DC314" s="539"/>
      <c r="DD314" s="539"/>
      <c r="DE314" s="539"/>
      <c r="DF314" s="539"/>
      <c r="DG314" s="539"/>
      <c r="DH314" s="539"/>
      <c r="DI314" s="539"/>
      <c r="DJ314" s="539"/>
      <c r="DK314" s="539"/>
      <c r="DL314" s="539"/>
      <c r="DM314" s="539"/>
      <c r="DN314" s="539"/>
      <c r="DO314" s="539"/>
      <c r="DP314" s="539"/>
      <c r="DQ314" s="539"/>
      <c r="DR314" s="539"/>
      <c r="DS314" s="539"/>
      <c r="DT314" s="539"/>
      <c r="DU314" s="539"/>
      <c r="DV314" s="539"/>
      <c r="DW314" s="539"/>
      <c r="DX314" s="539"/>
      <c r="DY314" s="539"/>
      <c r="DZ314" s="539"/>
      <c r="EA314" s="539"/>
      <c r="EB314" s="539"/>
      <c r="EC314" s="539"/>
      <c r="ED314" s="539"/>
    </row>
    <row r="315" spans="1:134" ht="13.5" hidden="1" customHeight="1">
      <c r="A315" s="549"/>
      <c r="B315" s="11" t="e">
        <f>+#REF!</f>
        <v>#REF!</v>
      </c>
      <c r="C315" s="12">
        <f>IF(ISNUMBER(Historical!E41),Historical!E41, )</f>
        <v>2600</v>
      </c>
      <c r="D315" s="12">
        <f>IF(ISNUMBER(Historical!G41),Historical!G41, )</f>
        <v>2601</v>
      </c>
      <c r="E315" s="12">
        <f>IF(ISNUMBER(Historical!I41),Historical!I41, )</f>
        <v>2602</v>
      </c>
      <c r="F315" s="12">
        <f>IF(ISNUMBER(Projection!H7),IF(MONTH(Projection!H4)&lt;&gt;12,IF(ISNUMBER(Projection!L34),Projection!L34, ),IF(ISNUMBER(Historical!K41),Historical!K41, )), )</f>
        <v>2593</v>
      </c>
      <c r="G315" s="12">
        <f>IF(ISNUMBER(Projection!H7),IF(MONTH(Projection!$H$7)&lt;&gt;12,IF(ISNUMBER(Projection!N34),Projection!N34, ),IF(ISNUMBER(Projection!L34),Projection!L34, )), )</f>
        <v>2593</v>
      </c>
      <c r="H315" s="12">
        <f>IF(ISNUMBER(Projection!H7),IF(MONTH(Projection!$H$7)&lt;&gt;12,IF(ISNUMBER(Projection!P34),Projection!P34, ),IF(ISNUMBER(Projection!N34),Projection!N34, )), )</f>
        <v>2593</v>
      </c>
      <c r="I315" s="12">
        <f>IF(ISNUMBER(Projection!H7),IF(MONTH(Projection!$H$7)&lt;&gt;12,IF(ISNUMBER(Projection!R34),Projection!R34, ),IF(ISNUMBER(Projection!P34),Projection!P34, )), )</f>
        <v>2593</v>
      </c>
      <c r="J315" s="12">
        <f>IF(ISNUMBER(Projection!H7),IF(MONTH(Projection!$H$7)&lt;&gt;12,IF(ISNUMBER(Projection!T34),Projection!T34, ),IF(ISNUMBER(Projection!R34),Projection!R34, )), )</f>
        <v>2593</v>
      </c>
      <c r="K315" s="12">
        <f>IF(ISNUMBER(Projection!H7),IF(MONTH(Projection!$H$7)&lt;&gt;12,IF(ISNUMBER(Projection!Z34),Projection!Z34, ),IF(ISNUMBER(Projection!T34),Projection!T34, )), )</f>
        <v>2593</v>
      </c>
      <c r="L315" s="12">
        <f>IF(ISNUMBER(Projection!H7),IF(MONTH(Projection!$H$7)&lt;&gt;12,IF(ISNUMBER(Projection!AB34),Projection!AB34, ),IF(ISNUMBER(Projection!Z34),Projection!Z34, )), )</f>
        <v>2593</v>
      </c>
      <c r="M315" s="12">
        <f>IF(ISNUMBER(Projection!$H$7),IF(MONTH(Projection!$H$7)&lt;&gt;12,IF(ISNUMBER(Projection!AD193),Projection!AD193, ),IF(ISNUMBER(Projection!AB193),Projection!AB193, )), )</f>
        <v>0</v>
      </c>
      <c r="N315" s="12">
        <f>IF(ISNUMBER(Projection!$H$7),IF(MONTH(Projection!$H$7)&lt;&gt;12,IF(ISNUMBER(Projection!AF193),Projection!AF193, ),IF(ISNUMBER(Projection!AD193),Projection!AD193, )), )</f>
        <v>0</v>
      </c>
      <c r="O315" s="12">
        <f>IF(ISNUMBER(Projection!$H$7),IF(MONTH(Projection!$H$7)&lt;&gt;12,IF(ISNUMBER(Projection!AH193),Projection!AH193, ),IF(ISNUMBER(Projection!AF193),Projection!AF193, )), )</f>
        <v>0</v>
      </c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539"/>
      <c r="AR315" s="539"/>
      <c r="AS315" s="539"/>
      <c r="AT315" s="539"/>
      <c r="AU315" s="539"/>
      <c r="AV315" s="539"/>
      <c r="AW315" s="539"/>
      <c r="AX315" s="539"/>
      <c r="AY315" s="539"/>
      <c r="AZ315" s="539"/>
      <c r="BA315" s="539"/>
      <c r="BB315" s="539"/>
      <c r="BC315" s="539"/>
      <c r="BD315" s="539"/>
      <c r="BE315" s="539"/>
      <c r="BF315" s="539"/>
      <c r="BG315" s="539"/>
      <c r="BH315" s="539"/>
      <c r="BI315" s="539"/>
      <c r="BJ315" s="539"/>
      <c r="BK315" s="539"/>
      <c r="BL315" s="539"/>
      <c r="BM315" s="539"/>
      <c r="BN315" s="539"/>
      <c r="BO315" s="539"/>
      <c r="BP315" s="539"/>
      <c r="BQ315" s="539"/>
      <c r="BR315" s="539"/>
      <c r="BS315" s="539"/>
      <c r="BT315" s="539"/>
      <c r="BU315" s="539"/>
      <c r="BV315" s="539"/>
      <c r="BW315" s="539"/>
      <c r="BX315" s="539"/>
      <c r="BY315" s="539"/>
      <c r="BZ315" s="539"/>
      <c r="CA315" s="539"/>
      <c r="CB315" s="539"/>
      <c r="CC315" s="539"/>
      <c r="CD315" s="539"/>
      <c r="CE315" s="539"/>
      <c r="CF315" s="539"/>
      <c r="CG315" s="539"/>
      <c r="CH315" s="539"/>
      <c r="CI315" s="539"/>
      <c r="CJ315" s="539"/>
      <c r="CK315" s="539"/>
      <c r="CL315" s="539"/>
      <c r="CM315" s="539"/>
      <c r="CN315" s="539"/>
      <c r="CO315" s="539"/>
      <c r="CP315" s="539"/>
      <c r="CQ315" s="539"/>
      <c r="CR315" s="539"/>
      <c r="CS315" s="539"/>
      <c r="CT315" s="539"/>
      <c r="CU315" s="539"/>
      <c r="CV315" s="539"/>
      <c r="CW315" s="539"/>
      <c r="CX315" s="539"/>
      <c r="CY315" s="539"/>
      <c r="CZ315" s="539"/>
      <c r="DA315" s="539"/>
      <c r="DB315" s="539"/>
      <c r="DC315" s="539"/>
      <c r="DD315" s="539"/>
      <c r="DE315" s="539"/>
      <c r="DF315" s="539"/>
      <c r="DG315" s="539"/>
      <c r="DH315" s="539"/>
      <c r="DI315" s="539"/>
      <c r="DJ315" s="539"/>
      <c r="DK315" s="539"/>
      <c r="DL315" s="539"/>
      <c r="DM315" s="539"/>
      <c r="DN315" s="539"/>
      <c r="DO315" s="539"/>
      <c r="DP315" s="539"/>
      <c r="DQ315" s="539"/>
      <c r="DR315" s="539"/>
      <c r="DS315" s="539"/>
      <c r="DT315" s="539"/>
      <c r="DU315" s="539"/>
      <c r="DV315" s="539"/>
      <c r="DW315" s="539"/>
      <c r="DX315" s="539"/>
      <c r="DY315" s="539"/>
      <c r="DZ315" s="539"/>
      <c r="EA315" s="539"/>
      <c r="EB315" s="539"/>
      <c r="EC315" s="539"/>
      <c r="ED315" s="539"/>
    </row>
    <row r="316" spans="1:134" ht="13.5" customHeight="1">
      <c r="A316" s="545"/>
      <c r="B316" s="6" t="e">
        <f>+#REF!</f>
        <v>#REF!</v>
      </c>
      <c r="C316" s="7">
        <f>SUM(C284,C300,C268)</f>
        <v>170120.56015500001</v>
      </c>
      <c r="D316" s="7">
        <f t="shared" ref="D316:AP316" si="8">SUM(D268,D284,D300)</f>
        <v>197361.93624500002</v>
      </c>
      <c r="E316" s="7">
        <f t="shared" si="8"/>
        <v>203290.16339600002</v>
      </c>
      <c r="F316" s="7">
        <f t="shared" si="8"/>
        <v>377700.30205900001</v>
      </c>
      <c r="G316" s="7">
        <f t="shared" si="8"/>
        <v>367058.0373488281</v>
      </c>
      <c r="H316" s="7">
        <f t="shared" si="8"/>
        <v>360777.33379407629</v>
      </c>
      <c r="I316" s="7">
        <f t="shared" si="8"/>
        <v>352862.59583699412</v>
      </c>
      <c r="J316" s="7">
        <f t="shared" si="8"/>
        <v>338227.24218425021</v>
      </c>
      <c r="K316" s="7">
        <f t="shared" si="8"/>
        <v>352563.72193886351</v>
      </c>
      <c r="L316" s="7">
        <f t="shared" si="8"/>
        <v>269384.92228486884</v>
      </c>
      <c r="M316" s="7">
        <f t="shared" si="8"/>
        <v>281311.60604242684</v>
      </c>
      <c r="N316" s="7">
        <f t="shared" si="8"/>
        <v>281311.60604242678</v>
      </c>
      <c r="O316" s="7">
        <f t="shared" si="8"/>
        <v>281311.60604242672</v>
      </c>
      <c r="P316" s="7">
        <f t="shared" si="8"/>
        <v>0</v>
      </c>
      <c r="Q316" s="7">
        <f t="shared" si="8"/>
        <v>0</v>
      </c>
      <c r="R316" s="7">
        <f t="shared" si="8"/>
        <v>0</v>
      </c>
      <c r="S316" s="7">
        <f t="shared" si="8"/>
        <v>0</v>
      </c>
      <c r="T316" s="7">
        <f t="shared" si="8"/>
        <v>0</v>
      </c>
      <c r="U316" s="7">
        <f t="shared" si="8"/>
        <v>0</v>
      </c>
      <c r="V316" s="7">
        <f t="shared" si="8"/>
        <v>0</v>
      </c>
      <c r="W316" s="7">
        <f t="shared" si="8"/>
        <v>0</v>
      </c>
      <c r="X316" s="7">
        <f t="shared" si="8"/>
        <v>0</v>
      </c>
      <c r="Y316" s="7">
        <f t="shared" si="8"/>
        <v>0</v>
      </c>
      <c r="Z316" s="7">
        <f t="shared" si="8"/>
        <v>0</v>
      </c>
      <c r="AA316" s="7">
        <f t="shared" si="8"/>
        <v>0</v>
      </c>
      <c r="AB316" s="7">
        <f t="shared" si="8"/>
        <v>0</v>
      </c>
      <c r="AC316" s="7">
        <f t="shared" si="8"/>
        <v>0</v>
      </c>
      <c r="AD316" s="7">
        <f t="shared" si="8"/>
        <v>0</v>
      </c>
      <c r="AE316" s="7">
        <f t="shared" si="8"/>
        <v>0</v>
      </c>
      <c r="AF316" s="7">
        <f t="shared" si="8"/>
        <v>0</v>
      </c>
      <c r="AG316" s="7">
        <f t="shared" si="8"/>
        <v>0</v>
      </c>
      <c r="AH316" s="7">
        <f t="shared" si="8"/>
        <v>0</v>
      </c>
      <c r="AI316" s="7">
        <f t="shared" si="8"/>
        <v>0</v>
      </c>
      <c r="AJ316" s="7">
        <f t="shared" si="8"/>
        <v>0</v>
      </c>
      <c r="AK316" s="7">
        <f t="shared" si="8"/>
        <v>0</v>
      </c>
      <c r="AL316" s="7">
        <f t="shared" si="8"/>
        <v>0</v>
      </c>
      <c r="AM316" s="7">
        <f t="shared" si="8"/>
        <v>0</v>
      </c>
      <c r="AN316" s="7">
        <f t="shared" si="8"/>
        <v>0</v>
      </c>
      <c r="AO316" s="7">
        <f t="shared" si="8"/>
        <v>0</v>
      </c>
      <c r="AP316" s="7">
        <f t="shared" si="8"/>
        <v>0</v>
      </c>
      <c r="AQ316" s="539"/>
      <c r="AR316" s="539"/>
      <c r="AS316" s="539"/>
      <c r="AT316" s="539"/>
      <c r="AU316" s="539"/>
      <c r="AV316" s="539"/>
      <c r="AW316" s="539"/>
      <c r="AX316" s="539"/>
      <c r="AY316" s="539"/>
      <c r="AZ316" s="539"/>
      <c r="BA316" s="539"/>
      <c r="BB316" s="539"/>
      <c r="BC316" s="539"/>
      <c r="BD316" s="539"/>
      <c r="BE316" s="539"/>
      <c r="BF316" s="539"/>
      <c r="BG316" s="539"/>
      <c r="BH316" s="539"/>
      <c r="BI316" s="539"/>
      <c r="BJ316" s="539"/>
      <c r="BK316" s="539"/>
      <c r="BL316" s="539"/>
      <c r="BM316" s="539"/>
      <c r="BN316" s="539"/>
      <c r="BO316" s="539"/>
      <c r="BP316" s="539"/>
      <c r="BQ316" s="539"/>
      <c r="BR316" s="539"/>
      <c r="BS316" s="539"/>
      <c r="BT316" s="539"/>
      <c r="BU316" s="539"/>
      <c r="BV316" s="539"/>
      <c r="BW316" s="539"/>
      <c r="BX316" s="539"/>
      <c r="BY316" s="539"/>
      <c r="BZ316" s="539"/>
      <c r="CA316" s="539"/>
      <c r="CB316" s="539"/>
      <c r="CC316" s="539"/>
      <c r="CD316" s="539"/>
      <c r="CE316" s="539"/>
      <c r="CF316" s="539"/>
      <c r="CG316" s="539"/>
      <c r="CH316" s="539"/>
      <c r="CI316" s="539"/>
      <c r="CJ316" s="539"/>
      <c r="CK316" s="539"/>
      <c r="CL316" s="539"/>
      <c r="CM316" s="539"/>
      <c r="CN316" s="539"/>
      <c r="CO316" s="539"/>
      <c r="CP316" s="539"/>
      <c r="CQ316" s="539"/>
      <c r="CR316" s="539"/>
      <c r="CS316" s="539"/>
      <c r="CT316" s="539"/>
      <c r="CU316" s="539"/>
      <c r="CV316" s="539"/>
      <c r="CW316" s="539"/>
      <c r="CX316" s="539"/>
      <c r="CY316" s="539"/>
      <c r="CZ316" s="539"/>
      <c r="DA316" s="539"/>
      <c r="DB316" s="539"/>
      <c r="DC316" s="539"/>
      <c r="DD316" s="539"/>
      <c r="DE316" s="539"/>
      <c r="DF316" s="539"/>
      <c r="DG316" s="539"/>
      <c r="DH316" s="539"/>
      <c r="DI316" s="539"/>
      <c r="DJ316" s="539"/>
      <c r="DK316" s="539"/>
      <c r="DL316" s="539"/>
      <c r="DM316" s="539"/>
      <c r="DN316" s="539"/>
      <c r="DO316" s="539"/>
      <c r="DP316" s="539"/>
      <c r="DQ316" s="539"/>
      <c r="DR316" s="539"/>
      <c r="DS316" s="539"/>
      <c r="DT316" s="539"/>
      <c r="DU316" s="539"/>
      <c r="DV316" s="539"/>
      <c r="DW316" s="539"/>
      <c r="DX316" s="539"/>
      <c r="DY316" s="539"/>
      <c r="DZ316" s="539"/>
      <c r="EA316" s="539"/>
      <c r="EB316" s="539"/>
      <c r="EC316" s="539"/>
      <c r="ED316" s="539"/>
    </row>
    <row r="317" spans="1:134" ht="13.5" customHeight="1">
      <c r="A317" s="539"/>
      <c r="B317" s="10" t="e">
        <f>+#REF!</f>
        <v>#REF!</v>
      </c>
      <c r="C317" s="10">
        <v>0</v>
      </c>
      <c r="D317" s="10">
        <v>0</v>
      </c>
      <c r="E317" s="10">
        <v>0</v>
      </c>
      <c r="F317" s="10">
        <v>0</v>
      </c>
      <c r="G317" s="10">
        <v>56792.646819448186</v>
      </c>
      <c r="H317" s="10">
        <v>28396.3255394482</v>
      </c>
      <c r="I317" s="10">
        <v>4.2594481965352315E-3</v>
      </c>
      <c r="J317" s="10">
        <v>4.2594481947162421E-3</v>
      </c>
      <c r="K317" s="10">
        <v>4.2594481947162421E-3</v>
      </c>
      <c r="L317" s="10">
        <v>4.2594481947162421E-3</v>
      </c>
      <c r="M317" s="10">
        <v>4.2594481947162421E-3</v>
      </c>
      <c r="N317" s="10">
        <v>4.2594481947162421E-3</v>
      </c>
      <c r="O317" s="10">
        <v>4.2594481947162421E-3</v>
      </c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539"/>
      <c r="AR317" s="539"/>
      <c r="AS317" s="539"/>
      <c r="AT317" s="539"/>
      <c r="AU317" s="539"/>
      <c r="AV317" s="539"/>
      <c r="AW317" s="539"/>
      <c r="AX317" s="539"/>
      <c r="AY317" s="539"/>
      <c r="AZ317" s="539"/>
      <c r="BA317" s="539"/>
      <c r="BB317" s="539"/>
      <c r="BC317" s="539"/>
      <c r="BD317" s="539"/>
      <c r="BE317" s="539"/>
      <c r="BF317" s="539"/>
      <c r="BG317" s="539"/>
      <c r="BH317" s="539"/>
      <c r="BI317" s="539"/>
      <c r="BJ317" s="539"/>
      <c r="BK317" s="539"/>
      <c r="BL317" s="539"/>
      <c r="BM317" s="539"/>
      <c r="BN317" s="539"/>
      <c r="BO317" s="539"/>
      <c r="BP317" s="539"/>
      <c r="BQ317" s="539"/>
      <c r="BR317" s="539"/>
      <c r="BS317" s="539"/>
      <c r="BT317" s="539"/>
      <c r="BU317" s="539"/>
      <c r="BV317" s="539"/>
      <c r="BW317" s="539"/>
      <c r="BX317" s="539"/>
      <c r="BY317" s="539"/>
      <c r="BZ317" s="539"/>
      <c r="CA317" s="539"/>
      <c r="CB317" s="539"/>
      <c r="CC317" s="539"/>
      <c r="CD317" s="539"/>
      <c r="CE317" s="539"/>
      <c r="CF317" s="539"/>
      <c r="CG317" s="539"/>
      <c r="CH317" s="539"/>
      <c r="CI317" s="539"/>
      <c r="CJ317" s="539"/>
      <c r="CK317" s="539"/>
      <c r="CL317" s="539"/>
      <c r="CM317" s="539"/>
      <c r="CN317" s="539"/>
      <c r="CO317" s="539"/>
      <c r="CP317" s="539"/>
      <c r="CQ317" s="539"/>
      <c r="CR317" s="539"/>
      <c r="CS317" s="539"/>
      <c r="CT317" s="539"/>
      <c r="CU317" s="539"/>
      <c r="CV317" s="539"/>
      <c r="CW317" s="539"/>
      <c r="CX317" s="539"/>
      <c r="CY317" s="539"/>
      <c r="CZ317" s="539"/>
      <c r="DA317" s="539"/>
      <c r="DB317" s="539"/>
      <c r="DC317" s="539"/>
      <c r="DD317" s="539"/>
      <c r="DE317" s="539"/>
      <c r="DF317" s="539"/>
      <c r="DG317" s="539"/>
      <c r="DH317" s="539"/>
      <c r="DI317" s="539"/>
      <c r="DJ317" s="539"/>
      <c r="DK317" s="539"/>
      <c r="DL317" s="539"/>
      <c r="DM317" s="539"/>
      <c r="DN317" s="539"/>
      <c r="DO317" s="539"/>
      <c r="DP317" s="539"/>
      <c r="DQ317" s="539"/>
      <c r="DR317" s="539"/>
      <c r="DS317" s="539"/>
      <c r="DT317" s="539"/>
      <c r="DU317" s="539"/>
      <c r="DV317" s="539"/>
      <c r="DW317" s="539"/>
      <c r="DX317" s="539"/>
      <c r="DY317" s="539"/>
      <c r="DZ317" s="539"/>
      <c r="EA317" s="539"/>
      <c r="EB317" s="539"/>
      <c r="EC317" s="539"/>
      <c r="ED317" s="539"/>
    </row>
    <row r="318" spans="1:134" ht="13.5" hidden="1" customHeight="1">
      <c r="A318" s="549"/>
      <c r="B318" s="11" t="e">
        <f>+#REF!</f>
        <v>#REF!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539"/>
      <c r="AR318" s="539"/>
      <c r="AS318" s="539"/>
      <c r="AT318" s="539"/>
      <c r="AU318" s="539"/>
      <c r="AV318" s="539"/>
      <c r="AW318" s="539"/>
      <c r="AX318" s="539"/>
      <c r="AY318" s="539"/>
      <c r="AZ318" s="539"/>
      <c r="BA318" s="539"/>
      <c r="BB318" s="539"/>
      <c r="BC318" s="539"/>
      <c r="BD318" s="539"/>
      <c r="BE318" s="539"/>
      <c r="BF318" s="539"/>
      <c r="BG318" s="539"/>
      <c r="BH318" s="539"/>
      <c r="BI318" s="539"/>
      <c r="BJ318" s="539"/>
      <c r="BK318" s="539"/>
      <c r="BL318" s="539"/>
      <c r="BM318" s="539"/>
      <c r="BN318" s="539"/>
      <c r="BO318" s="539"/>
      <c r="BP318" s="539"/>
      <c r="BQ318" s="539"/>
      <c r="BR318" s="539"/>
      <c r="BS318" s="539"/>
      <c r="BT318" s="539"/>
      <c r="BU318" s="539"/>
      <c r="BV318" s="539"/>
      <c r="BW318" s="539"/>
      <c r="BX318" s="539"/>
      <c r="BY318" s="539"/>
      <c r="BZ318" s="539"/>
      <c r="CA318" s="539"/>
      <c r="CB318" s="539"/>
      <c r="CC318" s="539"/>
      <c r="CD318" s="539"/>
      <c r="CE318" s="539"/>
      <c r="CF318" s="539"/>
      <c r="CG318" s="539"/>
      <c r="CH318" s="539"/>
      <c r="CI318" s="539"/>
      <c r="CJ318" s="539"/>
      <c r="CK318" s="539"/>
      <c r="CL318" s="539"/>
      <c r="CM318" s="539"/>
      <c r="CN318" s="539"/>
      <c r="CO318" s="539"/>
      <c r="CP318" s="539"/>
      <c r="CQ318" s="539"/>
      <c r="CR318" s="539"/>
      <c r="CS318" s="539"/>
      <c r="CT318" s="539"/>
      <c r="CU318" s="539"/>
      <c r="CV318" s="539"/>
      <c r="CW318" s="539"/>
      <c r="CX318" s="539"/>
      <c r="CY318" s="539"/>
      <c r="CZ318" s="539"/>
      <c r="DA318" s="539"/>
      <c r="DB318" s="539"/>
      <c r="DC318" s="539"/>
      <c r="DD318" s="539"/>
      <c r="DE318" s="539"/>
      <c r="DF318" s="539"/>
      <c r="DG318" s="539"/>
      <c r="DH318" s="539"/>
      <c r="DI318" s="539"/>
      <c r="DJ318" s="539"/>
      <c r="DK318" s="539"/>
      <c r="DL318" s="539"/>
      <c r="DM318" s="539"/>
      <c r="DN318" s="539"/>
      <c r="DO318" s="539"/>
      <c r="DP318" s="539"/>
      <c r="DQ318" s="539"/>
      <c r="DR318" s="539"/>
      <c r="DS318" s="539"/>
      <c r="DT318" s="539"/>
      <c r="DU318" s="539"/>
      <c r="DV318" s="539"/>
      <c r="DW318" s="539"/>
      <c r="DX318" s="539"/>
      <c r="DY318" s="539"/>
      <c r="DZ318" s="539"/>
      <c r="EA318" s="539"/>
      <c r="EB318" s="539"/>
      <c r="EC318" s="539"/>
      <c r="ED318" s="539"/>
    </row>
    <row r="319" spans="1:134" ht="13.5" hidden="1" customHeight="1">
      <c r="A319" s="549"/>
      <c r="B319" s="11" t="e">
        <f>+#REF!</f>
        <v>#REF!</v>
      </c>
      <c r="C319" s="12">
        <f>IF(ISNUMBER(Historical!E53),Historical!E53, )</f>
        <v>3800</v>
      </c>
      <c r="D319" s="12">
        <f>IF(ISNUMBER(Historical!G53),Historical!G53, )</f>
        <v>3801</v>
      </c>
      <c r="E319" s="12">
        <f>IF(ISNUMBER(Historical!I53),Historical!I53, )</f>
        <v>3802</v>
      </c>
      <c r="F319" s="12">
        <f>IF(ISNUMBER(Projection!H7),IF(MONTH(Projection!H7)&lt;&gt;12,IF(ISNUMBER(Projection!L46),Projection!L46, ),IF(ISNUMBER(Historical!K53),Historical!K53, )), )</f>
        <v>6806</v>
      </c>
      <c r="G319" s="12">
        <f>IF(ISNUMBER(Projection!H7),IF(MONTH(Projection!$H$7)&lt;&gt;12,IF(ISNUMBER(Projection!N46),Projection!N46, ),IF(ISNUMBER(Projection!L46),Projection!L46, )), )</f>
        <v>6806</v>
      </c>
      <c r="H319" s="12">
        <f>IF(ISNUMBER(Projection!H7),IF(MONTH(Projection!$H$7)&lt;&gt;12,IF(ISNUMBER(Projection!P46),Projection!P46, ),IF(ISNUMBER(Projection!N46),Projection!N46, )), )</f>
        <v>6806</v>
      </c>
      <c r="I319" s="12">
        <f>IF(ISNUMBER(Projection!H7),IF(MONTH(Projection!$H$7)&lt;&gt;12,IF(ISNUMBER(Projection!R46),Projection!R46, ),IF(ISNUMBER(Projection!P46),Projection!P46, )), )</f>
        <v>6806</v>
      </c>
      <c r="J319" s="12">
        <f>IF(ISNUMBER(Projection!H7),IF(MONTH(Projection!$H$7)&lt;&gt;12,IF(ISNUMBER(Projection!T46),Projection!T46, ),IF(ISNUMBER(Projection!R46),Projection!R46, )), )</f>
        <v>6806</v>
      </c>
      <c r="K319" s="12">
        <f>IF(ISNUMBER(Projection!H7),IF(MONTH(Projection!$H$7)&lt;&gt;12,IF(ISNUMBER(Projection!Z46),Projection!Z46, ),IF(ISNUMBER(Projection!T46),Projection!T46, )), )</f>
        <v>6806</v>
      </c>
      <c r="L319" s="12">
        <f>IF(ISNUMBER(Projection!H7),IF(MONTH(Projection!$H$7)&lt;&gt;12,IF(ISNUMBER(Projection!AB46),Projection!AB46, ),IF(ISNUMBER(Projection!Z46),Projection!Z46, )), )</f>
        <v>6806</v>
      </c>
      <c r="M319" s="12">
        <f>IF(ISNUMBER(Projection!$H$7),IF(MONTH(Projection!$H$7)&lt;&gt;12,IF(ISNUMBER(Projection!AD46),Projection!AD46, ),IF(ISNUMBER(Projection!AB46),Projection!AB46, )), )</f>
        <v>6806</v>
      </c>
      <c r="N319" s="12">
        <f>IF(ISNUMBER(Projection!$H$7),IF(MONTH(Projection!$H$7)&lt;&gt;12,IF(ISNUMBER(Projection!AF46),Projection!AF46, ),IF(ISNUMBER(Projection!AD46),Projection!AD46, )), )</f>
        <v>6806</v>
      </c>
      <c r="O319" s="12">
        <f>IF(ISNUMBER(Projection!$H$7),IF(MONTH(Projection!$H$7)&lt;&gt;12,IF(ISNUMBER(Projection!AH46),Projection!AH46, ),IF(ISNUMBER(Projection!AF46),Projection!AF46, )), )</f>
        <v>6806</v>
      </c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539"/>
      <c r="AR319" s="539"/>
      <c r="AS319" s="539"/>
      <c r="AT319" s="539"/>
      <c r="AU319" s="539"/>
      <c r="AV319" s="539"/>
      <c r="AW319" s="539"/>
      <c r="AX319" s="539"/>
      <c r="AY319" s="539"/>
      <c r="AZ319" s="539"/>
      <c r="BA319" s="539"/>
      <c r="BB319" s="539"/>
      <c r="BC319" s="539"/>
      <c r="BD319" s="539"/>
      <c r="BE319" s="539"/>
      <c r="BF319" s="539"/>
      <c r="BG319" s="539"/>
      <c r="BH319" s="539"/>
      <c r="BI319" s="539"/>
      <c r="BJ319" s="539"/>
      <c r="BK319" s="539"/>
      <c r="BL319" s="539"/>
      <c r="BM319" s="539"/>
      <c r="BN319" s="539"/>
      <c r="BO319" s="539"/>
      <c r="BP319" s="539"/>
      <c r="BQ319" s="539"/>
      <c r="BR319" s="539"/>
      <c r="BS319" s="539"/>
      <c r="BT319" s="539"/>
      <c r="BU319" s="539"/>
      <c r="BV319" s="539"/>
      <c r="BW319" s="539"/>
      <c r="BX319" s="539"/>
      <c r="BY319" s="539"/>
      <c r="BZ319" s="539"/>
      <c r="CA319" s="539"/>
      <c r="CB319" s="539"/>
      <c r="CC319" s="539"/>
      <c r="CD319" s="539"/>
      <c r="CE319" s="539"/>
      <c r="CF319" s="539"/>
      <c r="CG319" s="539"/>
      <c r="CH319" s="539"/>
      <c r="CI319" s="539"/>
      <c r="CJ319" s="539"/>
      <c r="CK319" s="539"/>
      <c r="CL319" s="539"/>
      <c r="CM319" s="539"/>
      <c r="CN319" s="539"/>
      <c r="CO319" s="539"/>
      <c r="CP319" s="539"/>
      <c r="CQ319" s="539"/>
      <c r="CR319" s="539"/>
      <c r="CS319" s="539"/>
      <c r="CT319" s="539"/>
      <c r="CU319" s="539"/>
      <c r="CV319" s="539"/>
      <c r="CW319" s="539"/>
      <c r="CX319" s="539"/>
      <c r="CY319" s="539"/>
      <c r="CZ319" s="539"/>
      <c r="DA319" s="539"/>
      <c r="DB319" s="539"/>
      <c r="DC319" s="539"/>
      <c r="DD319" s="539"/>
      <c r="DE319" s="539"/>
      <c r="DF319" s="539"/>
      <c r="DG319" s="539"/>
      <c r="DH319" s="539"/>
      <c r="DI319" s="539"/>
      <c r="DJ319" s="539"/>
      <c r="DK319" s="539"/>
      <c r="DL319" s="539"/>
      <c r="DM319" s="539"/>
      <c r="DN319" s="539"/>
      <c r="DO319" s="539"/>
      <c r="DP319" s="539"/>
      <c r="DQ319" s="539"/>
      <c r="DR319" s="539"/>
      <c r="DS319" s="539"/>
      <c r="DT319" s="539"/>
      <c r="DU319" s="539"/>
      <c r="DV319" s="539"/>
      <c r="DW319" s="539"/>
      <c r="DX319" s="539"/>
      <c r="DY319" s="539"/>
      <c r="DZ319" s="539"/>
      <c r="EA319" s="539"/>
      <c r="EB319" s="539"/>
      <c r="EC319" s="539"/>
      <c r="ED319" s="539"/>
    </row>
    <row r="320" spans="1:134" ht="13.5" hidden="1" customHeight="1">
      <c r="A320" s="549"/>
      <c r="B320" s="11" t="e">
        <f>+#REF!</f>
        <v>#REF!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539"/>
      <c r="AR320" s="539"/>
      <c r="AS320" s="539"/>
      <c r="AT320" s="539"/>
      <c r="AU320" s="539"/>
      <c r="AV320" s="539"/>
      <c r="AW320" s="539"/>
      <c r="AX320" s="539"/>
      <c r="AY320" s="539"/>
      <c r="AZ320" s="539"/>
      <c r="BA320" s="539"/>
      <c r="BB320" s="539"/>
      <c r="BC320" s="539"/>
      <c r="BD320" s="539"/>
      <c r="BE320" s="539"/>
      <c r="BF320" s="539"/>
      <c r="BG320" s="539"/>
      <c r="BH320" s="539"/>
      <c r="BI320" s="539"/>
      <c r="BJ320" s="539"/>
      <c r="BK320" s="539"/>
      <c r="BL320" s="539"/>
      <c r="BM320" s="539"/>
      <c r="BN320" s="539"/>
      <c r="BO320" s="539"/>
      <c r="BP320" s="539"/>
      <c r="BQ320" s="539"/>
      <c r="BR320" s="539"/>
      <c r="BS320" s="539"/>
      <c r="BT320" s="539"/>
      <c r="BU320" s="539"/>
      <c r="BV320" s="539"/>
      <c r="BW320" s="539"/>
      <c r="BX320" s="539"/>
      <c r="BY320" s="539"/>
      <c r="BZ320" s="539"/>
      <c r="CA320" s="539"/>
      <c r="CB320" s="539"/>
      <c r="CC320" s="539"/>
      <c r="CD320" s="539"/>
      <c r="CE320" s="539"/>
      <c r="CF320" s="539"/>
      <c r="CG320" s="539"/>
      <c r="CH320" s="539"/>
      <c r="CI320" s="539"/>
      <c r="CJ320" s="539"/>
      <c r="CK320" s="539"/>
      <c r="CL320" s="539"/>
      <c r="CM320" s="539"/>
      <c r="CN320" s="539"/>
      <c r="CO320" s="539"/>
      <c r="CP320" s="539"/>
      <c r="CQ320" s="539"/>
      <c r="CR320" s="539"/>
      <c r="CS320" s="539"/>
      <c r="CT320" s="539"/>
      <c r="CU320" s="539"/>
      <c r="CV320" s="539"/>
      <c r="CW320" s="539"/>
      <c r="CX320" s="539"/>
      <c r="CY320" s="539"/>
      <c r="CZ320" s="539"/>
      <c r="DA320" s="539"/>
      <c r="DB320" s="539"/>
      <c r="DC320" s="539"/>
      <c r="DD320" s="539"/>
      <c r="DE320" s="539"/>
      <c r="DF320" s="539"/>
      <c r="DG320" s="539"/>
      <c r="DH320" s="539"/>
      <c r="DI320" s="539"/>
      <c r="DJ320" s="539"/>
      <c r="DK320" s="539"/>
      <c r="DL320" s="539"/>
      <c r="DM320" s="539"/>
      <c r="DN320" s="539"/>
      <c r="DO320" s="539"/>
      <c r="DP320" s="539"/>
      <c r="DQ320" s="539"/>
      <c r="DR320" s="539"/>
      <c r="DS320" s="539"/>
      <c r="DT320" s="539"/>
      <c r="DU320" s="539"/>
      <c r="DV320" s="539"/>
      <c r="DW320" s="539"/>
      <c r="DX320" s="539"/>
      <c r="DY320" s="539"/>
      <c r="DZ320" s="539"/>
      <c r="EA320" s="539"/>
      <c r="EB320" s="539"/>
      <c r="EC320" s="539"/>
      <c r="ED320" s="539"/>
    </row>
    <row r="321" spans="1:134" ht="13.5" hidden="1" customHeight="1">
      <c r="A321" s="549"/>
      <c r="B321" s="11" t="e">
        <f>+#REF!</f>
        <v>#REF!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539"/>
      <c r="AR321" s="539"/>
      <c r="AS321" s="539"/>
      <c r="AT321" s="539"/>
      <c r="AU321" s="539"/>
      <c r="AV321" s="539"/>
      <c r="AW321" s="539"/>
      <c r="AX321" s="539"/>
      <c r="AY321" s="539"/>
      <c r="AZ321" s="539"/>
      <c r="BA321" s="539"/>
      <c r="BB321" s="539"/>
      <c r="BC321" s="539"/>
      <c r="BD321" s="539"/>
      <c r="BE321" s="539"/>
      <c r="BF321" s="539"/>
      <c r="BG321" s="539"/>
      <c r="BH321" s="539"/>
      <c r="BI321" s="539"/>
      <c r="BJ321" s="539"/>
      <c r="BK321" s="539"/>
      <c r="BL321" s="539"/>
      <c r="BM321" s="539"/>
      <c r="BN321" s="539"/>
      <c r="BO321" s="539"/>
      <c r="BP321" s="539"/>
      <c r="BQ321" s="539"/>
      <c r="BR321" s="539"/>
      <c r="BS321" s="539"/>
      <c r="BT321" s="539"/>
      <c r="BU321" s="539"/>
      <c r="BV321" s="539"/>
      <c r="BW321" s="539"/>
      <c r="BX321" s="539"/>
      <c r="BY321" s="539"/>
      <c r="BZ321" s="539"/>
      <c r="CA321" s="539"/>
      <c r="CB321" s="539"/>
      <c r="CC321" s="539"/>
      <c r="CD321" s="539"/>
      <c r="CE321" s="539"/>
      <c r="CF321" s="539"/>
      <c r="CG321" s="539"/>
      <c r="CH321" s="539"/>
      <c r="CI321" s="539"/>
      <c r="CJ321" s="539"/>
      <c r="CK321" s="539"/>
      <c r="CL321" s="539"/>
      <c r="CM321" s="539"/>
      <c r="CN321" s="539"/>
      <c r="CO321" s="539"/>
      <c r="CP321" s="539"/>
      <c r="CQ321" s="539"/>
      <c r="CR321" s="539"/>
      <c r="CS321" s="539"/>
      <c r="CT321" s="539"/>
      <c r="CU321" s="539"/>
      <c r="CV321" s="539"/>
      <c r="CW321" s="539"/>
      <c r="CX321" s="539"/>
      <c r="CY321" s="539"/>
      <c r="CZ321" s="539"/>
      <c r="DA321" s="539"/>
      <c r="DB321" s="539"/>
      <c r="DC321" s="539"/>
      <c r="DD321" s="539"/>
      <c r="DE321" s="539"/>
      <c r="DF321" s="539"/>
      <c r="DG321" s="539"/>
      <c r="DH321" s="539"/>
      <c r="DI321" s="539"/>
      <c r="DJ321" s="539"/>
      <c r="DK321" s="539"/>
      <c r="DL321" s="539"/>
      <c r="DM321" s="539"/>
      <c r="DN321" s="539"/>
      <c r="DO321" s="539"/>
      <c r="DP321" s="539"/>
      <c r="DQ321" s="539"/>
      <c r="DR321" s="539"/>
      <c r="DS321" s="539"/>
      <c r="DT321" s="539"/>
      <c r="DU321" s="539"/>
      <c r="DV321" s="539"/>
      <c r="DW321" s="539"/>
      <c r="DX321" s="539"/>
      <c r="DY321" s="539"/>
      <c r="DZ321" s="539"/>
      <c r="EA321" s="539"/>
      <c r="EB321" s="539"/>
      <c r="EC321" s="539"/>
      <c r="ED321" s="539"/>
    </row>
    <row r="322" spans="1:134" ht="13.5" hidden="1" customHeight="1">
      <c r="A322" s="549"/>
      <c r="B322" s="11" t="e">
        <f>+#REF!</f>
        <v>#REF!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539"/>
      <c r="AR322" s="539"/>
      <c r="AS322" s="539"/>
      <c r="AT322" s="539"/>
      <c r="AU322" s="539"/>
      <c r="AV322" s="539"/>
      <c r="AW322" s="539"/>
      <c r="AX322" s="539"/>
      <c r="AY322" s="539"/>
      <c r="AZ322" s="539"/>
      <c r="BA322" s="539"/>
      <c r="BB322" s="539"/>
      <c r="BC322" s="539"/>
      <c r="BD322" s="539"/>
      <c r="BE322" s="539"/>
      <c r="BF322" s="539"/>
      <c r="BG322" s="539"/>
      <c r="BH322" s="539"/>
      <c r="BI322" s="539"/>
      <c r="BJ322" s="539"/>
      <c r="BK322" s="539"/>
      <c r="BL322" s="539"/>
      <c r="BM322" s="539"/>
      <c r="BN322" s="539"/>
      <c r="BO322" s="539"/>
      <c r="BP322" s="539"/>
      <c r="BQ322" s="539"/>
      <c r="BR322" s="539"/>
      <c r="BS322" s="539"/>
      <c r="BT322" s="539"/>
      <c r="BU322" s="539"/>
      <c r="BV322" s="539"/>
      <c r="BW322" s="539"/>
      <c r="BX322" s="539"/>
      <c r="BY322" s="539"/>
      <c r="BZ322" s="539"/>
      <c r="CA322" s="539"/>
      <c r="CB322" s="539"/>
      <c r="CC322" s="539"/>
      <c r="CD322" s="539"/>
      <c r="CE322" s="539"/>
      <c r="CF322" s="539"/>
      <c r="CG322" s="539"/>
      <c r="CH322" s="539"/>
      <c r="CI322" s="539"/>
      <c r="CJ322" s="539"/>
      <c r="CK322" s="539"/>
      <c r="CL322" s="539"/>
      <c r="CM322" s="539"/>
      <c r="CN322" s="539"/>
      <c r="CO322" s="539"/>
      <c r="CP322" s="539"/>
      <c r="CQ322" s="539"/>
      <c r="CR322" s="539"/>
      <c r="CS322" s="539"/>
      <c r="CT322" s="539"/>
      <c r="CU322" s="539"/>
      <c r="CV322" s="539"/>
      <c r="CW322" s="539"/>
      <c r="CX322" s="539"/>
      <c r="CY322" s="539"/>
      <c r="CZ322" s="539"/>
      <c r="DA322" s="539"/>
      <c r="DB322" s="539"/>
      <c r="DC322" s="539"/>
      <c r="DD322" s="539"/>
      <c r="DE322" s="539"/>
      <c r="DF322" s="539"/>
      <c r="DG322" s="539"/>
      <c r="DH322" s="539"/>
      <c r="DI322" s="539"/>
      <c r="DJ322" s="539"/>
      <c r="DK322" s="539"/>
      <c r="DL322" s="539"/>
      <c r="DM322" s="539"/>
      <c r="DN322" s="539"/>
      <c r="DO322" s="539"/>
      <c r="DP322" s="539"/>
      <c r="DQ322" s="539"/>
      <c r="DR322" s="539"/>
      <c r="DS322" s="539"/>
      <c r="DT322" s="539"/>
      <c r="DU322" s="539"/>
      <c r="DV322" s="539"/>
      <c r="DW322" s="539"/>
      <c r="DX322" s="539"/>
      <c r="DY322" s="539"/>
      <c r="DZ322" s="539"/>
      <c r="EA322" s="539"/>
      <c r="EB322" s="539"/>
      <c r="EC322" s="539"/>
      <c r="ED322" s="539"/>
    </row>
    <row r="323" spans="1:134" ht="13.5" hidden="1" customHeight="1">
      <c r="A323" s="549"/>
      <c r="B323" s="11" t="e">
        <f>+#REF!</f>
        <v>#REF!</v>
      </c>
      <c r="C323" s="12">
        <f>IF(ISNUMBER(Historical!E51),Historical!E51, )</f>
        <v>3600</v>
      </c>
      <c r="D323" s="12">
        <f>IF(ISNUMBER(Historical!G51),Historical!G51, )</f>
        <v>3601</v>
      </c>
      <c r="E323" s="12">
        <f>IF(ISNUMBER(Historical!I51),Historical!I51, )</f>
        <v>3602</v>
      </c>
      <c r="F323" s="12">
        <f>IF(ISNUMBER(Projection!H7),IF(MONTH(Projection!H7)&lt;&gt;12,IF(ISNUMBER(Projection!L44),Projection!L44, ),IF(ISNUMBER(Historical!K51),Historical!K51, )), )</f>
        <v>66694</v>
      </c>
      <c r="G323" s="12">
        <f>IF(ISNUMBER(Projection!H7),IF(MONTH(Projection!$H$7)&lt;&gt;12,IF(ISNUMBER(Projection!N44),Projection!N44, ),IF(ISNUMBER(Projection!L44),Projection!L44, )), )</f>
        <v>66694</v>
      </c>
      <c r="H323" s="12">
        <f>IF(ISNUMBER(Projection!H7),IF(MONTH(Projection!$H$7)&lt;&gt;12,IF(ISNUMBER(Projection!P44),Projection!P44, ),IF(ISNUMBER(Projection!N44),Projection!N44, )), )</f>
        <v>66694</v>
      </c>
      <c r="I323" s="12">
        <f>IF(ISNUMBER(Projection!H7),IF(MONTH(Projection!$H$7)&lt;&gt;12,IF(ISNUMBER(Projection!R44),Projection!R44, ),IF(ISNUMBER(Projection!P44),Projection!P44, )), )</f>
        <v>66694</v>
      </c>
      <c r="J323" s="12">
        <f>IF(ISNUMBER(Projection!H7),IF(MONTH(Projection!$H$7)&lt;&gt;12,IF(ISNUMBER(Projection!T44),Projection!T44, ),IF(ISNUMBER(Projection!R44),Projection!R44, )), )</f>
        <v>66694</v>
      </c>
      <c r="K323" s="12">
        <f>IF(ISNUMBER(Projection!H7),IF(MONTH(Projection!$H$7)&lt;&gt;12,IF(ISNUMBER(Projection!Z44),Projection!Z44, ),IF(ISNUMBER(Projection!T44),Projection!T44, )), )</f>
        <v>66694</v>
      </c>
      <c r="L323" s="12">
        <f>IF(ISNUMBER(Projection!H7),IF(MONTH(Projection!$H$7)&lt;&gt;12,IF(ISNUMBER(Projection!AB44),Projection!AB44, ),IF(ISNUMBER(Projection!Z44),Projection!Z44, )), )</f>
        <v>66694</v>
      </c>
      <c r="M323" s="12">
        <f>IF(ISNUMBER(Projection!$H$7),IF(MONTH(Projection!$H$7)&lt;&gt;12,IF(ISNUMBER(Projection!AD44),Projection!AD44, ),IF(ISNUMBER(Projection!AB44),Projection!AB44, )), )</f>
        <v>66694</v>
      </c>
      <c r="N323" s="12">
        <f>IF(ISNUMBER(Projection!$H$7),IF(MONTH(Projection!$H$7)&lt;&gt;12,IF(ISNUMBER(Projection!AF44),Projection!AF44, ),IF(ISNUMBER(Projection!AD44),Projection!AD44, )), )</f>
        <v>66694</v>
      </c>
      <c r="O323" s="12">
        <f>IF(ISNUMBER(Projection!$H$7),IF(MONTH(Projection!$H$7)&lt;&gt;12,IF(ISNUMBER(Projection!AH44),Projection!AH44, ),IF(ISNUMBER(Projection!AF44),Projection!AF44, )), )</f>
        <v>66694</v>
      </c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539"/>
      <c r="AR323" s="539"/>
      <c r="AS323" s="539"/>
      <c r="AT323" s="539"/>
      <c r="AU323" s="539"/>
      <c r="AV323" s="539"/>
      <c r="AW323" s="539"/>
      <c r="AX323" s="539"/>
      <c r="AY323" s="539"/>
      <c r="AZ323" s="539"/>
      <c r="BA323" s="539"/>
      <c r="BB323" s="539"/>
      <c r="BC323" s="539"/>
      <c r="BD323" s="539"/>
      <c r="BE323" s="539"/>
      <c r="BF323" s="539"/>
      <c r="BG323" s="539"/>
      <c r="BH323" s="539"/>
      <c r="BI323" s="539"/>
      <c r="BJ323" s="539"/>
      <c r="BK323" s="539"/>
      <c r="BL323" s="539"/>
      <c r="BM323" s="539"/>
      <c r="BN323" s="539"/>
      <c r="BO323" s="539"/>
      <c r="BP323" s="539"/>
      <c r="BQ323" s="539"/>
      <c r="BR323" s="539"/>
      <c r="BS323" s="539"/>
      <c r="BT323" s="539"/>
      <c r="BU323" s="539"/>
      <c r="BV323" s="539"/>
      <c r="BW323" s="539"/>
      <c r="BX323" s="539"/>
      <c r="BY323" s="539"/>
      <c r="BZ323" s="539"/>
      <c r="CA323" s="539"/>
      <c r="CB323" s="539"/>
      <c r="CC323" s="539"/>
      <c r="CD323" s="539"/>
      <c r="CE323" s="539"/>
      <c r="CF323" s="539"/>
      <c r="CG323" s="539"/>
      <c r="CH323" s="539"/>
      <c r="CI323" s="539"/>
      <c r="CJ323" s="539"/>
      <c r="CK323" s="539"/>
      <c r="CL323" s="539"/>
      <c r="CM323" s="539"/>
      <c r="CN323" s="539"/>
      <c r="CO323" s="539"/>
      <c r="CP323" s="539"/>
      <c r="CQ323" s="539"/>
      <c r="CR323" s="539"/>
      <c r="CS323" s="539"/>
      <c r="CT323" s="539"/>
      <c r="CU323" s="539"/>
      <c r="CV323" s="539"/>
      <c r="CW323" s="539"/>
      <c r="CX323" s="539"/>
      <c r="CY323" s="539"/>
      <c r="CZ323" s="539"/>
      <c r="DA323" s="539"/>
      <c r="DB323" s="539"/>
      <c r="DC323" s="539"/>
      <c r="DD323" s="539"/>
      <c r="DE323" s="539"/>
      <c r="DF323" s="539"/>
      <c r="DG323" s="539"/>
      <c r="DH323" s="539"/>
      <c r="DI323" s="539"/>
      <c r="DJ323" s="539"/>
      <c r="DK323" s="539"/>
      <c r="DL323" s="539"/>
      <c r="DM323" s="539"/>
      <c r="DN323" s="539"/>
      <c r="DO323" s="539"/>
      <c r="DP323" s="539"/>
      <c r="DQ323" s="539"/>
      <c r="DR323" s="539"/>
      <c r="DS323" s="539"/>
      <c r="DT323" s="539"/>
      <c r="DU323" s="539"/>
      <c r="DV323" s="539"/>
      <c r="DW323" s="539"/>
      <c r="DX323" s="539"/>
      <c r="DY323" s="539"/>
      <c r="DZ323" s="539"/>
      <c r="EA323" s="539"/>
      <c r="EB323" s="539"/>
      <c r="EC323" s="539"/>
      <c r="ED323" s="539"/>
    </row>
    <row r="324" spans="1:134" ht="13.5" hidden="1" customHeight="1">
      <c r="A324" s="549"/>
      <c r="B324" s="11" t="e">
        <f>+#REF!</f>
        <v>#REF!</v>
      </c>
      <c r="C324" s="12">
        <f>IF(ISNUMBER(Historical!E52),Historical!E52, )</f>
        <v>3700</v>
      </c>
      <c r="D324" s="12">
        <f>IF(ISNUMBER(Historical!G52),Historical!G52, )</f>
        <v>3701</v>
      </c>
      <c r="E324" s="12">
        <f>IF(ISNUMBER(Historical!I52),Historical!I52, )</f>
        <v>3702</v>
      </c>
      <c r="F324" s="12">
        <f>IF(ISNUMBER(Projection!$H$7),IF(MONTH(Projection!$H$7)&lt;&gt;12,IF(ISNUMBER(Projection!L45),Projection!L45, ),IF(ISNUMBER(Historical!K52),Historical!K52, )), )</f>
        <v>6906</v>
      </c>
      <c r="G324" s="12">
        <f>IF(ISNUMBER(Projection!$H$7),IF(MONTH(Projection!$H$7)&lt;&gt;12,IF(ISNUMBER(Projection!N45),Projection!N45, ),IF(ISNUMBER(Projection!L45),Projection!L45, )), )</f>
        <v>6906</v>
      </c>
      <c r="H324" s="12">
        <f>IF(ISNUMBER(Projection!$H$7),IF(MONTH(Projection!$H$7)&lt;&gt;12,IF(ISNUMBER(Projection!P45),Projection!P45, ),IF(ISNUMBER(Projection!N45),Projection!N45, )), )</f>
        <v>6906</v>
      </c>
      <c r="I324" s="12">
        <f>IF(ISNUMBER(Projection!$H$7),IF(MONTH(Projection!$H$7)&lt;&gt;12,IF(ISNUMBER(Projection!R45),Projection!R45, ),IF(ISNUMBER(Projection!P45),Projection!P45, )), )</f>
        <v>6906</v>
      </c>
      <c r="J324" s="12">
        <f>IF(ISNUMBER(Projection!$H$7),IF(MONTH(Projection!$H$7)&lt;&gt;12,IF(ISNUMBER(Projection!T45),Projection!T45, ),IF(ISNUMBER(Projection!R45),Projection!R45, )), )</f>
        <v>6906</v>
      </c>
      <c r="K324" s="12">
        <f>IF(ISNUMBER(Projection!$H$7),IF(MONTH(Projection!$H$7)&lt;&gt;12,IF(ISNUMBER(Projection!Z45),Projection!Z45, ),IF(ISNUMBER(Projection!T45),Projection!T45, )), )</f>
        <v>6906</v>
      </c>
      <c r="L324" s="12">
        <f>IF(ISNUMBER(Projection!$H$7),IF(MONTH(Projection!$H$7)&lt;&gt;12,IF(ISNUMBER(Projection!AB45),Projection!AB45, ),IF(ISNUMBER(Projection!Z45),Projection!Z45, )), )</f>
        <v>6906</v>
      </c>
      <c r="M324" s="12">
        <f>IF(ISNUMBER(Projection!$H$7),IF(MONTH(Projection!$H$7)&lt;&gt;12,IF(ISNUMBER(Projection!AD45),Projection!AD45, ),IF(ISNUMBER(Projection!AB45),Projection!AB45, )), )</f>
        <v>6906</v>
      </c>
      <c r="N324" s="12">
        <f>IF(ISNUMBER(Projection!$H$7),IF(MONTH(Projection!$H$7)&lt;&gt;12,IF(ISNUMBER(Projection!AF45),Projection!AF45, ),IF(ISNUMBER(Projection!AD45),Projection!AD45, )), )</f>
        <v>6906</v>
      </c>
      <c r="O324" s="12">
        <f>IF(ISNUMBER(Projection!$H$7),IF(MONTH(Projection!$H$7)&lt;&gt;12,IF(ISNUMBER(Projection!AH45),Projection!AH45, ),IF(ISNUMBER(Projection!AF45),Projection!AF45, )), )</f>
        <v>6906</v>
      </c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539"/>
      <c r="AR324" s="539"/>
      <c r="AS324" s="539"/>
      <c r="AT324" s="539"/>
      <c r="AU324" s="539"/>
      <c r="AV324" s="539"/>
      <c r="AW324" s="539"/>
      <c r="AX324" s="539"/>
      <c r="AY324" s="539"/>
      <c r="AZ324" s="539"/>
      <c r="BA324" s="539"/>
      <c r="BB324" s="539"/>
      <c r="BC324" s="539"/>
      <c r="BD324" s="539"/>
      <c r="BE324" s="539"/>
      <c r="BF324" s="539"/>
      <c r="BG324" s="539"/>
      <c r="BH324" s="539"/>
      <c r="BI324" s="539"/>
      <c r="BJ324" s="539"/>
      <c r="BK324" s="539"/>
      <c r="BL324" s="539"/>
      <c r="BM324" s="539"/>
      <c r="BN324" s="539"/>
      <c r="BO324" s="539"/>
      <c r="BP324" s="539"/>
      <c r="BQ324" s="539"/>
      <c r="BR324" s="539"/>
      <c r="BS324" s="539"/>
      <c r="BT324" s="539"/>
      <c r="BU324" s="539"/>
      <c r="BV324" s="539"/>
      <c r="BW324" s="539"/>
      <c r="BX324" s="539"/>
      <c r="BY324" s="539"/>
      <c r="BZ324" s="539"/>
      <c r="CA324" s="539"/>
      <c r="CB324" s="539"/>
      <c r="CC324" s="539"/>
      <c r="CD324" s="539"/>
      <c r="CE324" s="539"/>
      <c r="CF324" s="539"/>
      <c r="CG324" s="539"/>
      <c r="CH324" s="539"/>
      <c r="CI324" s="539"/>
      <c r="CJ324" s="539"/>
      <c r="CK324" s="539"/>
      <c r="CL324" s="539"/>
      <c r="CM324" s="539"/>
      <c r="CN324" s="539"/>
      <c r="CO324" s="539"/>
      <c r="CP324" s="539"/>
      <c r="CQ324" s="539"/>
      <c r="CR324" s="539"/>
      <c r="CS324" s="539"/>
      <c r="CT324" s="539"/>
      <c r="CU324" s="539"/>
      <c r="CV324" s="539"/>
      <c r="CW324" s="539"/>
      <c r="CX324" s="539"/>
      <c r="CY324" s="539"/>
      <c r="CZ324" s="539"/>
      <c r="DA324" s="539"/>
      <c r="DB324" s="539"/>
      <c r="DC324" s="539"/>
      <c r="DD324" s="539"/>
      <c r="DE324" s="539"/>
      <c r="DF324" s="539"/>
      <c r="DG324" s="539"/>
      <c r="DH324" s="539"/>
      <c r="DI324" s="539"/>
      <c r="DJ324" s="539"/>
      <c r="DK324" s="539"/>
      <c r="DL324" s="539"/>
      <c r="DM324" s="539"/>
      <c r="DN324" s="539"/>
      <c r="DO324" s="539"/>
      <c r="DP324" s="539"/>
      <c r="DQ324" s="539"/>
      <c r="DR324" s="539"/>
      <c r="DS324" s="539"/>
      <c r="DT324" s="539"/>
      <c r="DU324" s="539"/>
      <c r="DV324" s="539"/>
      <c r="DW324" s="539"/>
      <c r="DX324" s="539"/>
      <c r="DY324" s="539"/>
      <c r="DZ324" s="539"/>
      <c r="EA324" s="539"/>
      <c r="EB324" s="539"/>
      <c r="EC324" s="539"/>
      <c r="ED324" s="539"/>
    </row>
    <row r="325" spans="1:134" ht="13.5" hidden="1" customHeight="1">
      <c r="A325" s="549"/>
      <c r="B325" s="11" t="e">
        <f>+#REF!</f>
        <v>#REF!</v>
      </c>
      <c r="C325" s="12">
        <f>IF(ISNUMBER(Historical!E54),Historical!E54, )</f>
        <v>3900</v>
      </c>
      <c r="D325" s="12">
        <f>IF(ISNUMBER(Historical!G54),Historical!G54, )</f>
        <v>3901</v>
      </c>
      <c r="E325" s="12">
        <f>IF(ISNUMBER(Historical!I54),Historical!I54, )</f>
        <v>3902</v>
      </c>
      <c r="F325" s="12">
        <f>IF(ISNUMBER(Projection!$H$7),IF(MONTH(Projection!$H$7)&lt;&gt;12,IF(ISNUMBER(Projection!L47),Projection!L47, ),IF(ISNUMBER(Historical!K54),Historical!K54, )), )</f>
        <v>7306</v>
      </c>
      <c r="G325" s="12">
        <f>IF(ISNUMBER(Projection!$H$7),IF(MONTH(Projection!$H$7)&lt;&gt;12,IF(ISNUMBER(Projection!N47),Projection!N47, ),IF(ISNUMBER(Projection!L47),Projection!L47, )), )</f>
        <v>7306</v>
      </c>
      <c r="H325" s="12">
        <f>IF(ISNUMBER(Projection!$H$7),IF(MONTH(Projection!$H$7)&lt;&gt;12,IF(ISNUMBER(Projection!P47),Projection!P47, ),IF(ISNUMBER(Projection!N47),Projection!N47, )), )</f>
        <v>7306</v>
      </c>
      <c r="I325" s="12">
        <f>IF(ISNUMBER(Projection!$H$7),IF(MONTH(Projection!$H$7)&lt;&gt;12,IF(ISNUMBER(Projection!R47),Projection!R47, ),IF(ISNUMBER(Projection!P47),Projection!P47, )), )</f>
        <v>7306</v>
      </c>
      <c r="J325" s="12">
        <f>IF(ISNUMBER(Projection!$H$7),IF(MONTH(Projection!$H$7)&lt;&gt;12,IF(ISNUMBER(Projection!T47),Projection!T47, ),IF(ISNUMBER(Projection!R47),Projection!R47, )), )</f>
        <v>7306</v>
      </c>
      <c r="K325" s="12">
        <f>IF(ISNUMBER(Projection!$H$7),IF(MONTH(Projection!$H$7)&lt;&gt;12,IF(ISNUMBER(Projection!Z47),Projection!Z47, ),IF(ISNUMBER(Projection!T47),Projection!T47, )), )</f>
        <v>7306</v>
      </c>
      <c r="L325" s="12">
        <f>IF(ISNUMBER(Projection!$H$7),IF(MONTH(Projection!$H$7)&lt;&gt;12,IF(ISNUMBER(Projection!AB47),Projection!AB47, ),IF(ISNUMBER(Projection!Z47),Projection!Z47, )), )</f>
        <v>7306</v>
      </c>
      <c r="M325" s="12">
        <f>IF(ISNUMBER(Projection!$H$7),IF(MONTH(Projection!$H$7)&lt;&gt;12,IF(ISNUMBER(Projection!AD47),Projection!AD47, ),IF(ISNUMBER(Projection!AB47),Projection!AB47, )), )</f>
        <v>7306</v>
      </c>
      <c r="N325" s="12">
        <f>IF(ISNUMBER(Projection!$H$7),IF(MONTH(Projection!$H$7)&lt;&gt;12,IF(ISNUMBER(Projection!AF47),Projection!AF47, ),IF(ISNUMBER(Projection!AD47),Projection!AD47, )), )</f>
        <v>7306</v>
      </c>
      <c r="O325" s="12">
        <f>IF(ISNUMBER(Projection!$H$7),IF(MONTH(Projection!$H$7)&lt;&gt;12,IF(ISNUMBER(Projection!AH47),Projection!AH47, ),IF(ISNUMBER(Projection!AF47),Projection!AF47, )), )</f>
        <v>7306</v>
      </c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539"/>
      <c r="AR325" s="539"/>
      <c r="AS325" s="539"/>
      <c r="AT325" s="539"/>
      <c r="AU325" s="539"/>
      <c r="AV325" s="539"/>
      <c r="AW325" s="539"/>
      <c r="AX325" s="539"/>
      <c r="AY325" s="539"/>
      <c r="AZ325" s="539"/>
      <c r="BA325" s="539"/>
      <c r="BB325" s="539"/>
      <c r="BC325" s="539"/>
      <c r="BD325" s="539"/>
      <c r="BE325" s="539"/>
      <c r="BF325" s="539"/>
      <c r="BG325" s="539"/>
      <c r="BH325" s="539"/>
      <c r="BI325" s="539"/>
      <c r="BJ325" s="539"/>
      <c r="BK325" s="539"/>
      <c r="BL325" s="539"/>
      <c r="BM325" s="539"/>
      <c r="BN325" s="539"/>
      <c r="BO325" s="539"/>
      <c r="BP325" s="539"/>
      <c r="BQ325" s="539"/>
      <c r="BR325" s="539"/>
      <c r="BS325" s="539"/>
      <c r="BT325" s="539"/>
      <c r="BU325" s="539"/>
      <c r="BV325" s="539"/>
      <c r="BW325" s="539"/>
      <c r="BX325" s="539"/>
      <c r="BY325" s="539"/>
      <c r="BZ325" s="539"/>
      <c r="CA325" s="539"/>
      <c r="CB325" s="539"/>
      <c r="CC325" s="539"/>
      <c r="CD325" s="539"/>
      <c r="CE325" s="539"/>
      <c r="CF325" s="539"/>
      <c r="CG325" s="539"/>
      <c r="CH325" s="539"/>
      <c r="CI325" s="539"/>
      <c r="CJ325" s="539"/>
      <c r="CK325" s="539"/>
      <c r="CL325" s="539"/>
      <c r="CM325" s="539"/>
      <c r="CN325" s="539"/>
      <c r="CO325" s="539"/>
      <c r="CP325" s="539"/>
      <c r="CQ325" s="539"/>
      <c r="CR325" s="539"/>
      <c r="CS325" s="539"/>
      <c r="CT325" s="539"/>
      <c r="CU325" s="539"/>
      <c r="CV325" s="539"/>
      <c r="CW325" s="539"/>
      <c r="CX325" s="539"/>
      <c r="CY325" s="539"/>
      <c r="CZ325" s="539"/>
      <c r="DA325" s="539"/>
      <c r="DB325" s="539"/>
      <c r="DC325" s="539"/>
      <c r="DD325" s="539"/>
      <c r="DE325" s="539"/>
      <c r="DF325" s="539"/>
      <c r="DG325" s="539"/>
      <c r="DH325" s="539"/>
      <c r="DI325" s="539"/>
      <c r="DJ325" s="539"/>
      <c r="DK325" s="539"/>
      <c r="DL325" s="539"/>
      <c r="DM325" s="539"/>
      <c r="DN325" s="539"/>
      <c r="DO325" s="539"/>
      <c r="DP325" s="539"/>
      <c r="DQ325" s="539"/>
      <c r="DR325" s="539"/>
      <c r="DS325" s="539"/>
      <c r="DT325" s="539"/>
      <c r="DU325" s="539"/>
      <c r="DV325" s="539"/>
      <c r="DW325" s="539"/>
      <c r="DX325" s="539"/>
      <c r="DY325" s="539"/>
      <c r="DZ325" s="539"/>
      <c r="EA325" s="539"/>
      <c r="EB325" s="539"/>
      <c r="EC325" s="539"/>
      <c r="ED325" s="539"/>
    </row>
    <row r="326" spans="1:134" ht="13.5" hidden="1" customHeight="1">
      <c r="A326" s="549"/>
      <c r="B326" s="11" t="e">
        <f>+#REF!</f>
        <v>#REF!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539"/>
      <c r="AR326" s="539"/>
      <c r="AS326" s="539"/>
      <c r="AT326" s="539"/>
      <c r="AU326" s="539"/>
      <c r="AV326" s="539"/>
      <c r="AW326" s="539"/>
      <c r="AX326" s="539"/>
      <c r="AY326" s="539"/>
      <c r="AZ326" s="539"/>
      <c r="BA326" s="539"/>
      <c r="BB326" s="539"/>
      <c r="BC326" s="539"/>
      <c r="BD326" s="539"/>
      <c r="BE326" s="539"/>
      <c r="BF326" s="539"/>
      <c r="BG326" s="539"/>
      <c r="BH326" s="539"/>
      <c r="BI326" s="539"/>
      <c r="BJ326" s="539"/>
      <c r="BK326" s="539"/>
      <c r="BL326" s="539"/>
      <c r="BM326" s="539"/>
      <c r="BN326" s="539"/>
      <c r="BO326" s="539"/>
      <c r="BP326" s="539"/>
      <c r="BQ326" s="539"/>
      <c r="BR326" s="539"/>
      <c r="BS326" s="539"/>
      <c r="BT326" s="539"/>
      <c r="BU326" s="539"/>
      <c r="BV326" s="539"/>
      <c r="BW326" s="539"/>
      <c r="BX326" s="539"/>
      <c r="BY326" s="539"/>
      <c r="BZ326" s="539"/>
      <c r="CA326" s="539"/>
      <c r="CB326" s="539"/>
      <c r="CC326" s="539"/>
      <c r="CD326" s="539"/>
      <c r="CE326" s="539"/>
      <c r="CF326" s="539"/>
      <c r="CG326" s="539"/>
      <c r="CH326" s="539"/>
      <c r="CI326" s="539"/>
      <c r="CJ326" s="539"/>
      <c r="CK326" s="539"/>
      <c r="CL326" s="539"/>
      <c r="CM326" s="539"/>
      <c r="CN326" s="539"/>
      <c r="CO326" s="539"/>
      <c r="CP326" s="539"/>
      <c r="CQ326" s="539"/>
      <c r="CR326" s="539"/>
      <c r="CS326" s="539"/>
      <c r="CT326" s="539"/>
      <c r="CU326" s="539"/>
      <c r="CV326" s="539"/>
      <c r="CW326" s="539"/>
      <c r="CX326" s="539"/>
      <c r="CY326" s="539"/>
      <c r="CZ326" s="539"/>
      <c r="DA326" s="539"/>
      <c r="DB326" s="539"/>
      <c r="DC326" s="539"/>
      <c r="DD326" s="539"/>
      <c r="DE326" s="539"/>
      <c r="DF326" s="539"/>
      <c r="DG326" s="539"/>
      <c r="DH326" s="539"/>
      <c r="DI326" s="539"/>
      <c r="DJ326" s="539"/>
      <c r="DK326" s="539"/>
      <c r="DL326" s="539"/>
      <c r="DM326" s="539"/>
      <c r="DN326" s="539"/>
      <c r="DO326" s="539"/>
      <c r="DP326" s="539"/>
      <c r="DQ326" s="539"/>
      <c r="DR326" s="539"/>
      <c r="DS326" s="539"/>
      <c r="DT326" s="539"/>
      <c r="DU326" s="539"/>
      <c r="DV326" s="539"/>
      <c r="DW326" s="539"/>
      <c r="DX326" s="539"/>
      <c r="DY326" s="539"/>
      <c r="DZ326" s="539"/>
      <c r="EA326" s="539"/>
      <c r="EB326" s="539"/>
      <c r="EC326" s="539"/>
      <c r="ED326" s="539"/>
    </row>
    <row r="327" spans="1:134" ht="13.5" hidden="1" customHeight="1">
      <c r="A327" s="549"/>
      <c r="B327" s="11" t="e">
        <f>+#REF!</f>
        <v>#REF!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539"/>
      <c r="AR327" s="539"/>
      <c r="AS327" s="539"/>
      <c r="AT327" s="539"/>
      <c r="AU327" s="539"/>
      <c r="AV327" s="539"/>
      <c r="AW327" s="539"/>
      <c r="AX327" s="539"/>
      <c r="AY327" s="539"/>
      <c r="AZ327" s="539"/>
      <c r="BA327" s="539"/>
      <c r="BB327" s="539"/>
      <c r="BC327" s="539"/>
      <c r="BD327" s="539"/>
      <c r="BE327" s="539"/>
      <c r="BF327" s="539"/>
      <c r="BG327" s="539"/>
      <c r="BH327" s="539"/>
      <c r="BI327" s="539"/>
      <c r="BJ327" s="539"/>
      <c r="BK327" s="539"/>
      <c r="BL327" s="539"/>
      <c r="BM327" s="539"/>
      <c r="BN327" s="539"/>
      <c r="BO327" s="539"/>
      <c r="BP327" s="539"/>
      <c r="BQ327" s="539"/>
      <c r="BR327" s="539"/>
      <c r="BS327" s="539"/>
      <c r="BT327" s="539"/>
      <c r="BU327" s="539"/>
      <c r="BV327" s="539"/>
      <c r="BW327" s="539"/>
      <c r="BX327" s="539"/>
      <c r="BY327" s="539"/>
      <c r="BZ327" s="539"/>
      <c r="CA327" s="539"/>
      <c r="CB327" s="539"/>
      <c r="CC327" s="539"/>
      <c r="CD327" s="539"/>
      <c r="CE327" s="539"/>
      <c r="CF327" s="539"/>
      <c r="CG327" s="539"/>
      <c r="CH327" s="539"/>
      <c r="CI327" s="539"/>
      <c r="CJ327" s="539"/>
      <c r="CK327" s="539"/>
      <c r="CL327" s="539"/>
      <c r="CM327" s="539"/>
      <c r="CN327" s="539"/>
      <c r="CO327" s="539"/>
      <c r="CP327" s="539"/>
      <c r="CQ327" s="539"/>
      <c r="CR327" s="539"/>
      <c r="CS327" s="539"/>
      <c r="CT327" s="539"/>
      <c r="CU327" s="539"/>
      <c r="CV327" s="539"/>
      <c r="CW327" s="539"/>
      <c r="CX327" s="539"/>
      <c r="CY327" s="539"/>
      <c r="CZ327" s="539"/>
      <c r="DA327" s="539"/>
      <c r="DB327" s="539"/>
      <c r="DC327" s="539"/>
      <c r="DD327" s="539"/>
      <c r="DE327" s="539"/>
      <c r="DF327" s="539"/>
      <c r="DG327" s="539"/>
      <c r="DH327" s="539"/>
      <c r="DI327" s="539"/>
      <c r="DJ327" s="539"/>
      <c r="DK327" s="539"/>
      <c r="DL327" s="539"/>
      <c r="DM327" s="539"/>
      <c r="DN327" s="539"/>
      <c r="DO327" s="539"/>
      <c r="DP327" s="539"/>
      <c r="DQ327" s="539"/>
      <c r="DR327" s="539"/>
      <c r="DS327" s="539"/>
      <c r="DT327" s="539"/>
      <c r="DU327" s="539"/>
      <c r="DV327" s="539"/>
      <c r="DW327" s="539"/>
      <c r="DX327" s="539"/>
      <c r="DY327" s="539"/>
      <c r="DZ327" s="539"/>
      <c r="EA327" s="539"/>
      <c r="EB327" s="539"/>
      <c r="EC327" s="539"/>
      <c r="ED327" s="539"/>
    </row>
    <row r="328" spans="1:134" ht="13.5" hidden="1" customHeight="1">
      <c r="A328" s="549"/>
      <c r="B328" s="11" t="e">
        <f>+#REF!</f>
        <v>#REF!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539"/>
      <c r="AR328" s="539"/>
      <c r="AS328" s="539"/>
      <c r="AT328" s="539"/>
      <c r="AU328" s="539"/>
      <c r="AV328" s="539"/>
      <c r="AW328" s="539"/>
      <c r="AX328" s="539"/>
      <c r="AY328" s="539"/>
      <c r="AZ328" s="539"/>
      <c r="BA328" s="539"/>
      <c r="BB328" s="539"/>
      <c r="BC328" s="539"/>
      <c r="BD328" s="539"/>
      <c r="BE328" s="539"/>
      <c r="BF328" s="539"/>
      <c r="BG328" s="539"/>
      <c r="BH328" s="539"/>
      <c r="BI328" s="539"/>
      <c r="BJ328" s="539"/>
      <c r="BK328" s="539"/>
      <c r="BL328" s="539"/>
      <c r="BM328" s="539"/>
      <c r="BN328" s="539"/>
      <c r="BO328" s="539"/>
      <c r="BP328" s="539"/>
      <c r="BQ328" s="539"/>
      <c r="BR328" s="539"/>
      <c r="BS328" s="539"/>
      <c r="BT328" s="539"/>
      <c r="BU328" s="539"/>
      <c r="BV328" s="539"/>
      <c r="BW328" s="539"/>
      <c r="BX328" s="539"/>
      <c r="BY328" s="539"/>
      <c r="BZ328" s="539"/>
      <c r="CA328" s="539"/>
      <c r="CB328" s="539"/>
      <c r="CC328" s="539"/>
      <c r="CD328" s="539"/>
      <c r="CE328" s="539"/>
      <c r="CF328" s="539"/>
      <c r="CG328" s="539"/>
      <c r="CH328" s="539"/>
      <c r="CI328" s="539"/>
      <c r="CJ328" s="539"/>
      <c r="CK328" s="539"/>
      <c r="CL328" s="539"/>
      <c r="CM328" s="539"/>
      <c r="CN328" s="539"/>
      <c r="CO328" s="539"/>
      <c r="CP328" s="539"/>
      <c r="CQ328" s="539"/>
      <c r="CR328" s="539"/>
      <c r="CS328" s="539"/>
      <c r="CT328" s="539"/>
      <c r="CU328" s="539"/>
      <c r="CV328" s="539"/>
      <c r="CW328" s="539"/>
      <c r="CX328" s="539"/>
      <c r="CY328" s="539"/>
      <c r="CZ328" s="539"/>
      <c r="DA328" s="539"/>
      <c r="DB328" s="539"/>
      <c r="DC328" s="539"/>
      <c r="DD328" s="539"/>
      <c r="DE328" s="539"/>
      <c r="DF328" s="539"/>
      <c r="DG328" s="539"/>
      <c r="DH328" s="539"/>
      <c r="DI328" s="539"/>
      <c r="DJ328" s="539"/>
      <c r="DK328" s="539"/>
      <c r="DL328" s="539"/>
      <c r="DM328" s="539"/>
      <c r="DN328" s="539"/>
      <c r="DO328" s="539"/>
      <c r="DP328" s="539"/>
      <c r="DQ328" s="539"/>
      <c r="DR328" s="539"/>
      <c r="DS328" s="539"/>
      <c r="DT328" s="539"/>
      <c r="DU328" s="539"/>
      <c r="DV328" s="539"/>
      <c r="DW328" s="539"/>
      <c r="DX328" s="539"/>
      <c r="DY328" s="539"/>
      <c r="DZ328" s="539"/>
      <c r="EA328" s="539"/>
      <c r="EB328" s="539"/>
      <c r="EC328" s="539"/>
      <c r="ED328" s="539"/>
    </row>
    <row r="329" spans="1:134" ht="13.5" hidden="1" customHeight="1">
      <c r="A329" s="549"/>
      <c r="B329" s="11" t="e">
        <f>+#REF!</f>
        <v>#REF!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539"/>
      <c r="AR329" s="539"/>
      <c r="AS329" s="539"/>
      <c r="AT329" s="539"/>
      <c r="AU329" s="539"/>
      <c r="AV329" s="539"/>
      <c r="AW329" s="539"/>
      <c r="AX329" s="539"/>
      <c r="AY329" s="539"/>
      <c r="AZ329" s="539"/>
      <c r="BA329" s="539"/>
      <c r="BB329" s="539"/>
      <c r="BC329" s="539"/>
      <c r="BD329" s="539"/>
      <c r="BE329" s="539"/>
      <c r="BF329" s="539"/>
      <c r="BG329" s="539"/>
      <c r="BH329" s="539"/>
      <c r="BI329" s="539"/>
      <c r="BJ329" s="539"/>
      <c r="BK329" s="539"/>
      <c r="BL329" s="539"/>
      <c r="BM329" s="539"/>
      <c r="BN329" s="539"/>
      <c r="BO329" s="539"/>
      <c r="BP329" s="539"/>
      <c r="BQ329" s="539"/>
      <c r="BR329" s="539"/>
      <c r="BS329" s="539"/>
      <c r="BT329" s="539"/>
      <c r="BU329" s="539"/>
      <c r="BV329" s="539"/>
      <c r="BW329" s="539"/>
      <c r="BX329" s="539"/>
      <c r="BY329" s="539"/>
      <c r="BZ329" s="539"/>
      <c r="CA329" s="539"/>
      <c r="CB329" s="539"/>
      <c r="CC329" s="539"/>
      <c r="CD329" s="539"/>
      <c r="CE329" s="539"/>
      <c r="CF329" s="539"/>
      <c r="CG329" s="539"/>
      <c r="CH329" s="539"/>
      <c r="CI329" s="539"/>
      <c r="CJ329" s="539"/>
      <c r="CK329" s="539"/>
      <c r="CL329" s="539"/>
      <c r="CM329" s="539"/>
      <c r="CN329" s="539"/>
      <c r="CO329" s="539"/>
      <c r="CP329" s="539"/>
      <c r="CQ329" s="539"/>
      <c r="CR329" s="539"/>
      <c r="CS329" s="539"/>
      <c r="CT329" s="539"/>
      <c r="CU329" s="539"/>
      <c r="CV329" s="539"/>
      <c r="CW329" s="539"/>
      <c r="CX329" s="539"/>
      <c r="CY329" s="539"/>
      <c r="CZ329" s="539"/>
      <c r="DA329" s="539"/>
      <c r="DB329" s="539"/>
      <c r="DC329" s="539"/>
      <c r="DD329" s="539"/>
      <c r="DE329" s="539"/>
      <c r="DF329" s="539"/>
      <c r="DG329" s="539"/>
      <c r="DH329" s="539"/>
      <c r="DI329" s="539"/>
      <c r="DJ329" s="539"/>
      <c r="DK329" s="539"/>
      <c r="DL329" s="539"/>
      <c r="DM329" s="539"/>
      <c r="DN329" s="539"/>
      <c r="DO329" s="539"/>
      <c r="DP329" s="539"/>
      <c r="DQ329" s="539"/>
      <c r="DR329" s="539"/>
      <c r="DS329" s="539"/>
      <c r="DT329" s="539"/>
      <c r="DU329" s="539"/>
      <c r="DV329" s="539"/>
      <c r="DW329" s="539"/>
      <c r="DX329" s="539"/>
      <c r="DY329" s="539"/>
      <c r="DZ329" s="539"/>
      <c r="EA329" s="539"/>
      <c r="EB329" s="539"/>
      <c r="EC329" s="539"/>
      <c r="ED329" s="539"/>
    </row>
    <row r="330" spans="1:134" ht="13.5" hidden="1" customHeight="1">
      <c r="A330" s="549"/>
      <c r="B330" s="11" t="e">
        <f>+#REF!</f>
        <v>#REF!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539"/>
      <c r="AR330" s="539"/>
      <c r="AS330" s="539"/>
      <c r="AT330" s="539"/>
      <c r="AU330" s="539"/>
      <c r="AV330" s="539"/>
      <c r="AW330" s="539"/>
      <c r="AX330" s="539"/>
      <c r="AY330" s="539"/>
      <c r="AZ330" s="539"/>
      <c r="BA330" s="539"/>
      <c r="BB330" s="539"/>
      <c r="BC330" s="539"/>
      <c r="BD330" s="539"/>
      <c r="BE330" s="539"/>
      <c r="BF330" s="539"/>
      <c r="BG330" s="539"/>
      <c r="BH330" s="539"/>
      <c r="BI330" s="539"/>
      <c r="BJ330" s="539"/>
      <c r="BK330" s="539"/>
      <c r="BL330" s="539"/>
      <c r="BM330" s="539"/>
      <c r="BN330" s="539"/>
      <c r="BO330" s="539"/>
      <c r="BP330" s="539"/>
      <c r="BQ330" s="539"/>
      <c r="BR330" s="539"/>
      <c r="BS330" s="539"/>
      <c r="BT330" s="539"/>
      <c r="BU330" s="539"/>
      <c r="BV330" s="539"/>
      <c r="BW330" s="539"/>
      <c r="BX330" s="539"/>
      <c r="BY330" s="539"/>
      <c r="BZ330" s="539"/>
      <c r="CA330" s="539"/>
      <c r="CB330" s="539"/>
      <c r="CC330" s="539"/>
      <c r="CD330" s="539"/>
      <c r="CE330" s="539"/>
      <c r="CF330" s="539"/>
      <c r="CG330" s="539"/>
      <c r="CH330" s="539"/>
      <c r="CI330" s="539"/>
      <c r="CJ330" s="539"/>
      <c r="CK330" s="539"/>
      <c r="CL330" s="539"/>
      <c r="CM330" s="539"/>
      <c r="CN330" s="539"/>
      <c r="CO330" s="539"/>
      <c r="CP330" s="539"/>
      <c r="CQ330" s="539"/>
      <c r="CR330" s="539"/>
      <c r="CS330" s="539"/>
      <c r="CT330" s="539"/>
      <c r="CU330" s="539"/>
      <c r="CV330" s="539"/>
      <c r="CW330" s="539"/>
      <c r="CX330" s="539"/>
      <c r="CY330" s="539"/>
      <c r="CZ330" s="539"/>
      <c r="DA330" s="539"/>
      <c r="DB330" s="539"/>
      <c r="DC330" s="539"/>
      <c r="DD330" s="539"/>
      <c r="DE330" s="539"/>
      <c r="DF330" s="539"/>
      <c r="DG330" s="539"/>
      <c r="DH330" s="539"/>
      <c r="DI330" s="539"/>
      <c r="DJ330" s="539"/>
      <c r="DK330" s="539"/>
      <c r="DL330" s="539"/>
      <c r="DM330" s="539"/>
      <c r="DN330" s="539"/>
      <c r="DO330" s="539"/>
      <c r="DP330" s="539"/>
      <c r="DQ330" s="539"/>
      <c r="DR330" s="539"/>
      <c r="DS330" s="539"/>
      <c r="DT330" s="539"/>
      <c r="DU330" s="539"/>
      <c r="DV330" s="539"/>
      <c r="DW330" s="539"/>
      <c r="DX330" s="539"/>
      <c r="DY330" s="539"/>
      <c r="DZ330" s="539"/>
      <c r="EA330" s="539"/>
      <c r="EB330" s="539"/>
      <c r="EC330" s="539"/>
      <c r="ED330" s="539"/>
    </row>
    <row r="331" spans="1:134" ht="13.5" hidden="1" customHeight="1">
      <c r="A331" s="549"/>
      <c r="B331" s="11" t="e">
        <f>+#REF!</f>
        <v>#REF!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539"/>
      <c r="AR331" s="539"/>
      <c r="AS331" s="539"/>
      <c r="AT331" s="539"/>
      <c r="AU331" s="539"/>
      <c r="AV331" s="539"/>
      <c r="AW331" s="539"/>
      <c r="AX331" s="539"/>
      <c r="AY331" s="539"/>
      <c r="AZ331" s="539"/>
      <c r="BA331" s="539"/>
      <c r="BB331" s="539"/>
      <c r="BC331" s="539"/>
      <c r="BD331" s="539"/>
      <c r="BE331" s="539"/>
      <c r="BF331" s="539"/>
      <c r="BG331" s="539"/>
      <c r="BH331" s="539"/>
      <c r="BI331" s="539"/>
      <c r="BJ331" s="539"/>
      <c r="BK331" s="539"/>
      <c r="BL331" s="539"/>
      <c r="BM331" s="539"/>
      <c r="BN331" s="539"/>
      <c r="BO331" s="539"/>
      <c r="BP331" s="539"/>
      <c r="BQ331" s="539"/>
      <c r="BR331" s="539"/>
      <c r="BS331" s="539"/>
      <c r="BT331" s="539"/>
      <c r="BU331" s="539"/>
      <c r="BV331" s="539"/>
      <c r="BW331" s="539"/>
      <c r="BX331" s="539"/>
      <c r="BY331" s="539"/>
      <c r="BZ331" s="539"/>
      <c r="CA331" s="539"/>
      <c r="CB331" s="539"/>
      <c r="CC331" s="539"/>
      <c r="CD331" s="539"/>
      <c r="CE331" s="539"/>
      <c r="CF331" s="539"/>
      <c r="CG331" s="539"/>
      <c r="CH331" s="539"/>
      <c r="CI331" s="539"/>
      <c r="CJ331" s="539"/>
      <c r="CK331" s="539"/>
      <c r="CL331" s="539"/>
      <c r="CM331" s="539"/>
      <c r="CN331" s="539"/>
      <c r="CO331" s="539"/>
      <c r="CP331" s="539"/>
      <c r="CQ331" s="539"/>
      <c r="CR331" s="539"/>
      <c r="CS331" s="539"/>
      <c r="CT331" s="539"/>
      <c r="CU331" s="539"/>
      <c r="CV331" s="539"/>
      <c r="CW331" s="539"/>
      <c r="CX331" s="539"/>
      <c r="CY331" s="539"/>
      <c r="CZ331" s="539"/>
      <c r="DA331" s="539"/>
      <c r="DB331" s="539"/>
      <c r="DC331" s="539"/>
      <c r="DD331" s="539"/>
      <c r="DE331" s="539"/>
      <c r="DF331" s="539"/>
      <c r="DG331" s="539"/>
      <c r="DH331" s="539"/>
      <c r="DI331" s="539"/>
      <c r="DJ331" s="539"/>
      <c r="DK331" s="539"/>
      <c r="DL331" s="539"/>
      <c r="DM331" s="539"/>
      <c r="DN331" s="539"/>
      <c r="DO331" s="539"/>
      <c r="DP331" s="539"/>
      <c r="DQ331" s="539"/>
      <c r="DR331" s="539"/>
      <c r="DS331" s="539"/>
      <c r="DT331" s="539"/>
      <c r="DU331" s="539"/>
      <c r="DV331" s="539"/>
      <c r="DW331" s="539"/>
      <c r="DX331" s="539"/>
      <c r="DY331" s="539"/>
      <c r="DZ331" s="539"/>
      <c r="EA331" s="539"/>
      <c r="EB331" s="539"/>
      <c r="EC331" s="539"/>
      <c r="ED331" s="539"/>
    </row>
    <row r="332" spans="1:134" ht="13.5" hidden="1" customHeight="1">
      <c r="A332" s="549"/>
      <c r="B332" s="11" t="e">
        <f>+#REF!</f>
        <v>#REF!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539"/>
      <c r="AR332" s="539"/>
      <c r="AS332" s="539"/>
      <c r="AT332" s="539"/>
      <c r="AU332" s="539"/>
      <c r="AV332" s="539"/>
      <c r="AW332" s="539"/>
      <c r="AX332" s="539"/>
      <c r="AY332" s="539"/>
      <c r="AZ332" s="539"/>
      <c r="BA332" s="539"/>
      <c r="BB332" s="539"/>
      <c r="BC332" s="539"/>
      <c r="BD332" s="539"/>
      <c r="BE332" s="539"/>
      <c r="BF332" s="539"/>
      <c r="BG332" s="539"/>
      <c r="BH332" s="539"/>
      <c r="BI332" s="539"/>
      <c r="BJ332" s="539"/>
      <c r="BK332" s="539"/>
      <c r="BL332" s="539"/>
      <c r="BM332" s="539"/>
      <c r="BN332" s="539"/>
      <c r="BO332" s="539"/>
      <c r="BP332" s="539"/>
      <c r="BQ332" s="539"/>
      <c r="BR332" s="539"/>
      <c r="BS332" s="539"/>
      <c r="BT332" s="539"/>
      <c r="BU332" s="539"/>
      <c r="BV332" s="539"/>
      <c r="BW332" s="539"/>
      <c r="BX332" s="539"/>
      <c r="BY332" s="539"/>
      <c r="BZ332" s="539"/>
      <c r="CA332" s="539"/>
      <c r="CB332" s="539"/>
      <c r="CC332" s="539"/>
      <c r="CD332" s="539"/>
      <c r="CE332" s="539"/>
      <c r="CF332" s="539"/>
      <c r="CG332" s="539"/>
      <c r="CH332" s="539"/>
      <c r="CI332" s="539"/>
      <c r="CJ332" s="539"/>
      <c r="CK332" s="539"/>
      <c r="CL332" s="539"/>
      <c r="CM332" s="539"/>
      <c r="CN332" s="539"/>
      <c r="CO332" s="539"/>
      <c r="CP332" s="539"/>
      <c r="CQ332" s="539"/>
      <c r="CR332" s="539"/>
      <c r="CS332" s="539"/>
      <c r="CT332" s="539"/>
      <c r="CU332" s="539"/>
      <c r="CV332" s="539"/>
      <c r="CW332" s="539"/>
      <c r="CX332" s="539"/>
      <c r="CY332" s="539"/>
      <c r="CZ332" s="539"/>
      <c r="DA332" s="539"/>
      <c r="DB332" s="539"/>
      <c r="DC332" s="539"/>
      <c r="DD332" s="539"/>
      <c r="DE332" s="539"/>
      <c r="DF332" s="539"/>
      <c r="DG332" s="539"/>
      <c r="DH332" s="539"/>
      <c r="DI332" s="539"/>
      <c r="DJ332" s="539"/>
      <c r="DK332" s="539"/>
      <c r="DL332" s="539"/>
      <c r="DM332" s="539"/>
      <c r="DN332" s="539"/>
      <c r="DO332" s="539"/>
      <c r="DP332" s="539"/>
      <c r="DQ332" s="539"/>
      <c r="DR332" s="539"/>
      <c r="DS332" s="539"/>
      <c r="DT332" s="539"/>
      <c r="DU332" s="539"/>
      <c r="DV332" s="539"/>
      <c r="DW332" s="539"/>
      <c r="DX332" s="539"/>
      <c r="DY332" s="539"/>
      <c r="DZ332" s="539"/>
      <c r="EA332" s="539"/>
      <c r="EB332" s="539"/>
      <c r="EC332" s="539"/>
      <c r="ED332" s="539"/>
    </row>
    <row r="333" spans="1:134" ht="13.5" customHeight="1">
      <c r="A333" s="539"/>
      <c r="B333" s="10" t="e">
        <f>+#REF!</f>
        <v>#REF!</v>
      </c>
      <c r="C333" s="10">
        <v>0</v>
      </c>
      <c r="D333" s="10">
        <v>6654.2438249999996</v>
      </c>
      <c r="E333" s="10">
        <v>6654.2438249999996</v>
      </c>
      <c r="F333" s="10">
        <v>6654.2438240000001</v>
      </c>
      <c r="G333" s="10">
        <v>6654.2438240000001</v>
      </c>
      <c r="H333" s="10">
        <v>6654.2438240000001</v>
      </c>
      <c r="I333" s="10">
        <v>6654.2438240000001</v>
      </c>
      <c r="J333" s="10">
        <v>6654.2438240000001</v>
      </c>
      <c r="K333" s="10">
        <v>6654.2438240000001</v>
      </c>
      <c r="L333" s="10">
        <v>6654.2438240000001</v>
      </c>
      <c r="M333" s="10">
        <v>6654.2438240000001</v>
      </c>
      <c r="N333" s="10">
        <v>6654.2438240000001</v>
      </c>
      <c r="O333" s="10">
        <v>6654.2438240000001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539"/>
      <c r="AR333" s="539"/>
      <c r="AS333" s="539"/>
      <c r="AT333" s="539"/>
      <c r="AU333" s="539"/>
      <c r="AV333" s="539"/>
      <c r="AW333" s="539"/>
      <c r="AX333" s="539"/>
      <c r="AY333" s="539"/>
      <c r="AZ333" s="539"/>
      <c r="BA333" s="539"/>
      <c r="BB333" s="539"/>
      <c r="BC333" s="539"/>
      <c r="BD333" s="539"/>
      <c r="BE333" s="539"/>
      <c r="BF333" s="539"/>
      <c r="BG333" s="539"/>
      <c r="BH333" s="539"/>
      <c r="BI333" s="539"/>
      <c r="BJ333" s="539"/>
      <c r="BK333" s="539"/>
      <c r="BL333" s="539"/>
      <c r="BM333" s="539"/>
      <c r="BN333" s="539"/>
      <c r="BO333" s="539"/>
      <c r="BP333" s="539"/>
      <c r="BQ333" s="539"/>
      <c r="BR333" s="539"/>
      <c r="BS333" s="539"/>
      <c r="BT333" s="539"/>
      <c r="BU333" s="539"/>
      <c r="BV333" s="539"/>
      <c r="BW333" s="539"/>
      <c r="BX333" s="539"/>
      <c r="BY333" s="539"/>
      <c r="BZ333" s="539"/>
      <c r="CA333" s="539"/>
      <c r="CB333" s="539"/>
      <c r="CC333" s="539"/>
      <c r="CD333" s="539"/>
      <c r="CE333" s="539"/>
      <c r="CF333" s="539"/>
      <c r="CG333" s="539"/>
      <c r="CH333" s="539"/>
      <c r="CI333" s="539"/>
      <c r="CJ333" s="539"/>
      <c r="CK333" s="539"/>
      <c r="CL333" s="539"/>
      <c r="CM333" s="539"/>
      <c r="CN333" s="539"/>
      <c r="CO333" s="539"/>
      <c r="CP333" s="539"/>
      <c r="CQ333" s="539"/>
      <c r="CR333" s="539"/>
      <c r="CS333" s="539"/>
      <c r="CT333" s="539"/>
      <c r="CU333" s="539"/>
      <c r="CV333" s="539"/>
      <c r="CW333" s="539"/>
      <c r="CX333" s="539"/>
      <c r="CY333" s="539"/>
      <c r="CZ333" s="539"/>
      <c r="DA333" s="539"/>
      <c r="DB333" s="539"/>
      <c r="DC333" s="539"/>
      <c r="DD333" s="539"/>
      <c r="DE333" s="539"/>
      <c r="DF333" s="539"/>
      <c r="DG333" s="539"/>
      <c r="DH333" s="539"/>
      <c r="DI333" s="539"/>
      <c r="DJ333" s="539"/>
      <c r="DK333" s="539"/>
      <c r="DL333" s="539"/>
      <c r="DM333" s="539"/>
      <c r="DN333" s="539"/>
      <c r="DO333" s="539"/>
      <c r="DP333" s="539"/>
      <c r="DQ333" s="539"/>
      <c r="DR333" s="539"/>
      <c r="DS333" s="539"/>
      <c r="DT333" s="539"/>
      <c r="DU333" s="539"/>
      <c r="DV333" s="539"/>
      <c r="DW333" s="539"/>
      <c r="DX333" s="539"/>
      <c r="DY333" s="539"/>
      <c r="DZ333" s="539"/>
      <c r="EA333" s="539"/>
      <c r="EB333" s="539"/>
      <c r="EC333" s="539"/>
      <c r="ED333" s="539"/>
    </row>
    <row r="334" spans="1:134" ht="13.5" hidden="1" customHeight="1">
      <c r="A334" s="549"/>
      <c r="B334" s="11" t="e">
        <f>+#REF!</f>
        <v>#REF!</v>
      </c>
      <c r="C334" s="12">
        <f>IF(ISNUMBER(Historical!E58),Historical!E58, )</f>
        <v>4300</v>
      </c>
      <c r="D334" s="12">
        <f>IF(ISNUMBER(Historical!G58),Historical!G58, )</f>
        <v>4301</v>
      </c>
      <c r="E334" s="12">
        <f>IF(ISNUMBER(Historical!I58),Historical!I58, )</f>
        <v>4302</v>
      </c>
      <c r="F334" s="12">
        <f>IF(ISNUMBER(Projection!H7),IF(MONTH(Projection!$H$7)&lt;&gt;12,IF(ISNUMBER(Projection!L51),Projection!L51, ),IF(ISNUMBER(Historical!K58),Historical!K58, )), )</f>
        <v>4293</v>
      </c>
      <c r="G334" s="12">
        <f>IF(ISNUMBER(Projection!H7),IF(MONTH(Projection!$H$7)&lt;&gt;12,IF(ISNUMBER(Projection!N51),Projection!N51, ),IF(ISNUMBER(Projection!L51),Projection!L51, )), )</f>
        <v>4293</v>
      </c>
      <c r="H334" s="12">
        <f>IF(ISNUMBER(Projection!H7),IF(MONTH(Projection!$H$7)&lt;&gt;12,IF(ISNUMBER(Projection!P51),Projection!P51, ),IF(ISNUMBER(Projection!N51),Projection!N51, )), )</f>
        <v>4293</v>
      </c>
      <c r="I334" s="12">
        <f>IF(ISNUMBER(Projection!H7),IF(MONTH(Projection!$H$7)&lt;&gt;12,IF(ISNUMBER(Projection!R51),Projection!R51, ),IF(ISNUMBER(Projection!P51),Projection!P51, )), )</f>
        <v>4293</v>
      </c>
      <c r="J334" s="12">
        <f>IF(ISNUMBER(Projection!H7),IF(MONTH(Projection!$H$7)&lt;&gt;12,IF(ISNUMBER(Projection!T51),Projection!T51, ),IF(ISNUMBER(Projection!R51),Projection!R51, )), )</f>
        <v>4293</v>
      </c>
      <c r="K334" s="12">
        <f>IF(ISNUMBER(Projection!H7),IF(MONTH(Projection!$H$7)&lt;&gt;12,IF(ISNUMBER(Projection!Z51),Projection!Z51, ),IF(ISNUMBER(Projection!T51),Projection!T51, )), )</f>
        <v>4293</v>
      </c>
      <c r="L334" s="12">
        <f>IF(ISNUMBER(Projection!H7),IF(MONTH(Projection!$H$7)&lt;&gt;12,IF(ISNUMBER(Projection!AB51),Projection!AB51, ),IF(ISNUMBER(Projection!Z51),Projection!Z51, )), )</f>
        <v>4293</v>
      </c>
      <c r="M334" s="12">
        <f>IF(ISNUMBER(Projection!$H$7),IF(MONTH(Projection!$H$7)&lt;&gt;12,IF(ISNUMBER(Projection!AD51),Projection!AD51, ),IF(ISNUMBER(Projection!AB51),Projection!AB51, )), )</f>
        <v>4293</v>
      </c>
      <c r="N334" s="12">
        <f>IF(ISNUMBER(Projection!$H$7),IF(MONTH(Projection!$H$7)&lt;&gt;12,IF(ISNUMBER(Projection!AF51),Projection!AF51, ),IF(ISNUMBER(Projection!AD51),Projection!AD51, )), )</f>
        <v>4293</v>
      </c>
      <c r="O334" s="12">
        <f>IF(ISNUMBER(Projection!$H$7),IF(MONTH(Projection!$H$7)&lt;&gt;12,IF(ISNUMBER(Projection!AH51),Projection!AH51, ),IF(ISNUMBER(Projection!AF51),Projection!AF51, )), )</f>
        <v>4293</v>
      </c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539"/>
      <c r="AR334" s="539"/>
      <c r="AS334" s="539"/>
      <c r="AT334" s="539"/>
      <c r="AU334" s="539"/>
      <c r="AV334" s="539"/>
      <c r="AW334" s="539"/>
      <c r="AX334" s="539"/>
      <c r="AY334" s="539"/>
      <c r="AZ334" s="539"/>
      <c r="BA334" s="539"/>
      <c r="BB334" s="539"/>
      <c r="BC334" s="539"/>
      <c r="BD334" s="539"/>
      <c r="BE334" s="539"/>
      <c r="BF334" s="539"/>
      <c r="BG334" s="539"/>
      <c r="BH334" s="539"/>
      <c r="BI334" s="539"/>
      <c r="BJ334" s="539"/>
      <c r="BK334" s="539"/>
      <c r="BL334" s="539"/>
      <c r="BM334" s="539"/>
      <c r="BN334" s="539"/>
      <c r="BO334" s="539"/>
      <c r="BP334" s="539"/>
      <c r="BQ334" s="539"/>
      <c r="BR334" s="539"/>
      <c r="BS334" s="539"/>
      <c r="BT334" s="539"/>
      <c r="BU334" s="539"/>
      <c r="BV334" s="539"/>
      <c r="BW334" s="539"/>
      <c r="BX334" s="539"/>
      <c r="BY334" s="539"/>
      <c r="BZ334" s="539"/>
      <c r="CA334" s="539"/>
      <c r="CB334" s="539"/>
      <c r="CC334" s="539"/>
      <c r="CD334" s="539"/>
      <c r="CE334" s="539"/>
      <c r="CF334" s="539"/>
      <c r="CG334" s="539"/>
      <c r="CH334" s="539"/>
      <c r="CI334" s="539"/>
      <c r="CJ334" s="539"/>
      <c r="CK334" s="539"/>
      <c r="CL334" s="539"/>
      <c r="CM334" s="539"/>
      <c r="CN334" s="539"/>
      <c r="CO334" s="539"/>
      <c r="CP334" s="539"/>
      <c r="CQ334" s="539"/>
      <c r="CR334" s="539"/>
      <c r="CS334" s="539"/>
      <c r="CT334" s="539"/>
      <c r="CU334" s="539"/>
      <c r="CV334" s="539"/>
      <c r="CW334" s="539"/>
      <c r="CX334" s="539"/>
      <c r="CY334" s="539"/>
      <c r="CZ334" s="539"/>
      <c r="DA334" s="539"/>
      <c r="DB334" s="539"/>
      <c r="DC334" s="539"/>
      <c r="DD334" s="539"/>
      <c r="DE334" s="539"/>
      <c r="DF334" s="539"/>
      <c r="DG334" s="539"/>
      <c r="DH334" s="539"/>
      <c r="DI334" s="539"/>
      <c r="DJ334" s="539"/>
      <c r="DK334" s="539"/>
      <c r="DL334" s="539"/>
      <c r="DM334" s="539"/>
      <c r="DN334" s="539"/>
      <c r="DO334" s="539"/>
      <c r="DP334" s="539"/>
      <c r="DQ334" s="539"/>
      <c r="DR334" s="539"/>
      <c r="DS334" s="539"/>
      <c r="DT334" s="539"/>
      <c r="DU334" s="539"/>
      <c r="DV334" s="539"/>
      <c r="DW334" s="539"/>
      <c r="DX334" s="539"/>
      <c r="DY334" s="539"/>
      <c r="DZ334" s="539"/>
      <c r="EA334" s="539"/>
      <c r="EB334" s="539"/>
      <c r="EC334" s="539"/>
      <c r="ED334" s="539"/>
    </row>
    <row r="335" spans="1:134" ht="13.5" hidden="1" customHeight="1">
      <c r="A335" s="549"/>
      <c r="B335" s="11" t="e">
        <f>+#REF!</f>
        <v>#REF!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539"/>
      <c r="AR335" s="539"/>
      <c r="AS335" s="539"/>
      <c r="AT335" s="539"/>
      <c r="AU335" s="539"/>
      <c r="AV335" s="539"/>
      <c r="AW335" s="539"/>
      <c r="AX335" s="539"/>
      <c r="AY335" s="539"/>
      <c r="AZ335" s="539"/>
      <c r="BA335" s="539"/>
      <c r="BB335" s="539"/>
      <c r="BC335" s="539"/>
      <c r="BD335" s="539"/>
      <c r="BE335" s="539"/>
      <c r="BF335" s="539"/>
      <c r="BG335" s="539"/>
      <c r="BH335" s="539"/>
      <c r="BI335" s="539"/>
      <c r="BJ335" s="539"/>
      <c r="BK335" s="539"/>
      <c r="BL335" s="539"/>
      <c r="BM335" s="539"/>
      <c r="BN335" s="539"/>
      <c r="BO335" s="539"/>
      <c r="BP335" s="539"/>
      <c r="BQ335" s="539"/>
      <c r="BR335" s="539"/>
      <c r="BS335" s="539"/>
      <c r="BT335" s="539"/>
      <c r="BU335" s="539"/>
      <c r="BV335" s="539"/>
      <c r="BW335" s="539"/>
      <c r="BX335" s="539"/>
      <c r="BY335" s="539"/>
      <c r="BZ335" s="539"/>
      <c r="CA335" s="539"/>
      <c r="CB335" s="539"/>
      <c r="CC335" s="539"/>
      <c r="CD335" s="539"/>
      <c r="CE335" s="539"/>
      <c r="CF335" s="539"/>
      <c r="CG335" s="539"/>
      <c r="CH335" s="539"/>
      <c r="CI335" s="539"/>
      <c r="CJ335" s="539"/>
      <c r="CK335" s="539"/>
      <c r="CL335" s="539"/>
      <c r="CM335" s="539"/>
      <c r="CN335" s="539"/>
      <c r="CO335" s="539"/>
      <c r="CP335" s="539"/>
      <c r="CQ335" s="539"/>
      <c r="CR335" s="539"/>
      <c r="CS335" s="539"/>
      <c r="CT335" s="539"/>
      <c r="CU335" s="539"/>
      <c r="CV335" s="539"/>
      <c r="CW335" s="539"/>
      <c r="CX335" s="539"/>
      <c r="CY335" s="539"/>
      <c r="CZ335" s="539"/>
      <c r="DA335" s="539"/>
      <c r="DB335" s="539"/>
      <c r="DC335" s="539"/>
      <c r="DD335" s="539"/>
      <c r="DE335" s="539"/>
      <c r="DF335" s="539"/>
      <c r="DG335" s="539"/>
      <c r="DH335" s="539"/>
      <c r="DI335" s="539"/>
      <c r="DJ335" s="539"/>
      <c r="DK335" s="539"/>
      <c r="DL335" s="539"/>
      <c r="DM335" s="539"/>
      <c r="DN335" s="539"/>
      <c r="DO335" s="539"/>
      <c r="DP335" s="539"/>
      <c r="DQ335" s="539"/>
      <c r="DR335" s="539"/>
      <c r="DS335" s="539"/>
      <c r="DT335" s="539"/>
      <c r="DU335" s="539"/>
      <c r="DV335" s="539"/>
      <c r="DW335" s="539"/>
      <c r="DX335" s="539"/>
      <c r="DY335" s="539"/>
      <c r="DZ335" s="539"/>
      <c r="EA335" s="539"/>
      <c r="EB335" s="539"/>
      <c r="EC335" s="539"/>
      <c r="ED335" s="539"/>
    </row>
    <row r="336" spans="1:134" ht="13.5" hidden="1" customHeight="1">
      <c r="A336" s="549"/>
      <c r="B336" s="11" t="e">
        <f>+#REF!</f>
        <v>#REF!</v>
      </c>
      <c r="C336" s="12">
        <f>IF(ISNUMBER(Historical!E57),Historical!E57, )</f>
        <v>4200</v>
      </c>
      <c r="D336" s="12">
        <f>IF(ISNUMBER(Historical!G57),Historical!G57, )</f>
        <v>4201</v>
      </c>
      <c r="E336" s="12">
        <f>IF(ISNUMBER(Historical!I57),Historical!I57, )</f>
        <v>4202</v>
      </c>
      <c r="F336" s="12">
        <f>IF(ISNUMBER(Projection!H7),IF(MONTH(Projection!H7)&lt;&gt;12,IF(ISNUMBER(Projection!L50),Projection!L50, ),IF(ISNUMBER(Historical!K57),Historical!K57, )), )</f>
        <v>4243</v>
      </c>
      <c r="G336" s="12">
        <f>IF(ISNUMBER(Projection!H7),IF(MONTH(Projection!$H$7)&lt;&gt;12,IF(ISNUMBER(Projection!N50),Projection!N50, ),IF(ISNUMBER(Projection!L50),Projection!L50, )), )</f>
        <v>4243</v>
      </c>
      <c r="H336" s="12">
        <f>IF(ISNUMBER(Projection!H7),IF(MONTH(Projection!$H$7)&lt;&gt;12,IF(ISNUMBER(Projection!P50),Projection!P50, ),IF(ISNUMBER(Projection!N50),Projection!N50, )), )</f>
        <v>4243</v>
      </c>
      <c r="I336" s="12">
        <f>IF(ISNUMBER(Projection!H7),IF(MONTH(Projection!$H$7)&lt;&gt;12,IF(ISNUMBER(Projection!R50),Projection!R50, ),IF(ISNUMBER(Projection!P50),Projection!P50, )), )</f>
        <v>4243</v>
      </c>
      <c r="J336" s="12">
        <f>IF(ISNUMBER(Projection!H7),IF(MONTH(Projection!$H$7)&lt;&gt;12,IF(ISNUMBER(Projection!T50),Projection!T50, ),IF(ISNUMBER(Projection!R50),Projection!R50, )), )</f>
        <v>4243</v>
      </c>
      <c r="K336" s="12">
        <f>IF(ISNUMBER(Projection!H7),IF(MONTH(Projection!$H$7)&lt;&gt;12,IF(ISNUMBER(Projection!Z50),Projection!Z50, ),IF(ISNUMBER(Projection!T50),Projection!T50, )), )</f>
        <v>4243</v>
      </c>
      <c r="L336" s="12">
        <f>IF(ISNUMBER(Projection!H7),IF(MONTH(Projection!$H$7)&lt;&gt;12,IF(ISNUMBER(Projection!AB50),Projection!AB50, ),IF(ISNUMBER(Projection!Z50),Projection!Z50, )), )</f>
        <v>4243</v>
      </c>
      <c r="M336" s="12">
        <f>IF(ISNUMBER(Projection!$H$7),IF(MONTH(Projection!$H$7)&lt;&gt;12,IF(ISNUMBER(Projection!AD50),Projection!AD50, ),IF(ISNUMBER(Projection!AB50),Projection!AB50, )), )</f>
        <v>4243</v>
      </c>
      <c r="N336" s="12">
        <f>IF(ISNUMBER(Projection!$H$7),IF(MONTH(Projection!$H$7)&lt;&gt;12,IF(ISNUMBER(Projection!AF50),Projection!AF50, ),IF(ISNUMBER(Projection!AD50),Projection!AD50, )), )</f>
        <v>4243</v>
      </c>
      <c r="O336" s="12">
        <f>IF(ISNUMBER(Projection!$H$7),IF(MONTH(Projection!$H$7)&lt;&gt;12,IF(ISNUMBER(Projection!AH50),Projection!AH50, ),IF(ISNUMBER(Projection!AF50),Projection!AF50, )), )</f>
        <v>4243</v>
      </c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539"/>
      <c r="AR336" s="539"/>
      <c r="AS336" s="539"/>
      <c r="AT336" s="539"/>
      <c r="AU336" s="539"/>
      <c r="AV336" s="539"/>
      <c r="AW336" s="539"/>
      <c r="AX336" s="539"/>
      <c r="AY336" s="539"/>
      <c r="AZ336" s="539"/>
      <c r="BA336" s="539"/>
      <c r="BB336" s="539"/>
      <c r="BC336" s="539"/>
      <c r="BD336" s="539"/>
      <c r="BE336" s="539"/>
      <c r="BF336" s="539"/>
      <c r="BG336" s="539"/>
      <c r="BH336" s="539"/>
      <c r="BI336" s="539"/>
      <c r="BJ336" s="539"/>
      <c r="BK336" s="539"/>
      <c r="BL336" s="539"/>
      <c r="BM336" s="539"/>
      <c r="BN336" s="539"/>
      <c r="BO336" s="539"/>
      <c r="BP336" s="539"/>
      <c r="BQ336" s="539"/>
      <c r="BR336" s="539"/>
      <c r="BS336" s="539"/>
      <c r="BT336" s="539"/>
      <c r="BU336" s="539"/>
      <c r="BV336" s="539"/>
      <c r="BW336" s="539"/>
      <c r="BX336" s="539"/>
      <c r="BY336" s="539"/>
      <c r="BZ336" s="539"/>
      <c r="CA336" s="539"/>
      <c r="CB336" s="539"/>
      <c r="CC336" s="539"/>
      <c r="CD336" s="539"/>
      <c r="CE336" s="539"/>
      <c r="CF336" s="539"/>
      <c r="CG336" s="539"/>
      <c r="CH336" s="539"/>
      <c r="CI336" s="539"/>
      <c r="CJ336" s="539"/>
      <c r="CK336" s="539"/>
      <c r="CL336" s="539"/>
      <c r="CM336" s="539"/>
      <c r="CN336" s="539"/>
      <c r="CO336" s="539"/>
      <c r="CP336" s="539"/>
      <c r="CQ336" s="539"/>
      <c r="CR336" s="539"/>
      <c r="CS336" s="539"/>
      <c r="CT336" s="539"/>
      <c r="CU336" s="539"/>
      <c r="CV336" s="539"/>
      <c r="CW336" s="539"/>
      <c r="CX336" s="539"/>
      <c r="CY336" s="539"/>
      <c r="CZ336" s="539"/>
      <c r="DA336" s="539"/>
      <c r="DB336" s="539"/>
      <c r="DC336" s="539"/>
      <c r="DD336" s="539"/>
      <c r="DE336" s="539"/>
      <c r="DF336" s="539"/>
      <c r="DG336" s="539"/>
      <c r="DH336" s="539"/>
      <c r="DI336" s="539"/>
      <c r="DJ336" s="539"/>
      <c r="DK336" s="539"/>
      <c r="DL336" s="539"/>
      <c r="DM336" s="539"/>
      <c r="DN336" s="539"/>
      <c r="DO336" s="539"/>
      <c r="DP336" s="539"/>
      <c r="DQ336" s="539"/>
      <c r="DR336" s="539"/>
      <c r="DS336" s="539"/>
      <c r="DT336" s="539"/>
      <c r="DU336" s="539"/>
      <c r="DV336" s="539"/>
      <c r="DW336" s="539"/>
      <c r="DX336" s="539"/>
      <c r="DY336" s="539"/>
      <c r="DZ336" s="539"/>
      <c r="EA336" s="539"/>
      <c r="EB336" s="539"/>
      <c r="EC336" s="539"/>
      <c r="ED336" s="539"/>
    </row>
    <row r="337" spans="1:134" ht="13.5" hidden="1" customHeight="1">
      <c r="A337" s="549"/>
      <c r="B337" s="11" t="e">
        <f>+#REF!</f>
        <v>#REF!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539"/>
      <c r="AR337" s="539"/>
      <c r="AS337" s="539"/>
      <c r="AT337" s="539"/>
      <c r="AU337" s="539"/>
      <c r="AV337" s="539"/>
      <c r="AW337" s="539"/>
      <c r="AX337" s="539"/>
      <c r="AY337" s="539"/>
      <c r="AZ337" s="539"/>
      <c r="BA337" s="539"/>
      <c r="BB337" s="539"/>
      <c r="BC337" s="539"/>
      <c r="BD337" s="539"/>
      <c r="BE337" s="539"/>
      <c r="BF337" s="539"/>
      <c r="BG337" s="539"/>
      <c r="BH337" s="539"/>
      <c r="BI337" s="539"/>
      <c r="BJ337" s="539"/>
      <c r="BK337" s="539"/>
      <c r="BL337" s="539"/>
      <c r="BM337" s="539"/>
      <c r="BN337" s="539"/>
      <c r="BO337" s="539"/>
      <c r="BP337" s="539"/>
      <c r="BQ337" s="539"/>
      <c r="BR337" s="539"/>
      <c r="BS337" s="539"/>
      <c r="BT337" s="539"/>
      <c r="BU337" s="539"/>
      <c r="BV337" s="539"/>
      <c r="BW337" s="539"/>
      <c r="BX337" s="539"/>
      <c r="BY337" s="539"/>
      <c r="BZ337" s="539"/>
      <c r="CA337" s="539"/>
      <c r="CB337" s="539"/>
      <c r="CC337" s="539"/>
      <c r="CD337" s="539"/>
      <c r="CE337" s="539"/>
      <c r="CF337" s="539"/>
      <c r="CG337" s="539"/>
      <c r="CH337" s="539"/>
      <c r="CI337" s="539"/>
      <c r="CJ337" s="539"/>
      <c r="CK337" s="539"/>
      <c r="CL337" s="539"/>
      <c r="CM337" s="539"/>
      <c r="CN337" s="539"/>
      <c r="CO337" s="539"/>
      <c r="CP337" s="539"/>
      <c r="CQ337" s="539"/>
      <c r="CR337" s="539"/>
      <c r="CS337" s="539"/>
      <c r="CT337" s="539"/>
      <c r="CU337" s="539"/>
      <c r="CV337" s="539"/>
      <c r="CW337" s="539"/>
      <c r="CX337" s="539"/>
      <c r="CY337" s="539"/>
      <c r="CZ337" s="539"/>
      <c r="DA337" s="539"/>
      <c r="DB337" s="539"/>
      <c r="DC337" s="539"/>
      <c r="DD337" s="539"/>
      <c r="DE337" s="539"/>
      <c r="DF337" s="539"/>
      <c r="DG337" s="539"/>
      <c r="DH337" s="539"/>
      <c r="DI337" s="539"/>
      <c r="DJ337" s="539"/>
      <c r="DK337" s="539"/>
      <c r="DL337" s="539"/>
      <c r="DM337" s="539"/>
      <c r="DN337" s="539"/>
      <c r="DO337" s="539"/>
      <c r="DP337" s="539"/>
      <c r="DQ337" s="539"/>
      <c r="DR337" s="539"/>
      <c r="DS337" s="539"/>
      <c r="DT337" s="539"/>
      <c r="DU337" s="539"/>
      <c r="DV337" s="539"/>
      <c r="DW337" s="539"/>
      <c r="DX337" s="539"/>
      <c r="DY337" s="539"/>
      <c r="DZ337" s="539"/>
      <c r="EA337" s="539"/>
      <c r="EB337" s="539"/>
      <c r="EC337" s="539"/>
      <c r="ED337" s="539"/>
    </row>
    <row r="338" spans="1:134" ht="13.5" hidden="1" customHeight="1">
      <c r="A338" s="549"/>
      <c r="B338" s="11" t="e">
        <f>+#REF!</f>
        <v>#REF!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539"/>
      <c r="AR338" s="539"/>
      <c r="AS338" s="539"/>
      <c r="AT338" s="539"/>
      <c r="AU338" s="539"/>
      <c r="AV338" s="539"/>
      <c r="AW338" s="539"/>
      <c r="AX338" s="539"/>
      <c r="AY338" s="539"/>
      <c r="AZ338" s="539"/>
      <c r="BA338" s="539"/>
      <c r="BB338" s="539"/>
      <c r="BC338" s="539"/>
      <c r="BD338" s="539"/>
      <c r="BE338" s="539"/>
      <c r="BF338" s="539"/>
      <c r="BG338" s="539"/>
      <c r="BH338" s="539"/>
      <c r="BI338" s="539"/>
      <c r="BJ338" s="539"/>
      <c r="BK338" s="539"/>
      <c r="BL338" s="539"/>
      <c r="BM338" s="539"/>
      <c r="BN338" s="539"/>
      <c r="BO338" s="539"/>
      <c r="BP338" s="539"/>
      <c r="BQ338" s="539"/>
      <c r="BR338" s="539"/>
      <c r="BS338" s="539"/>
      <c r="BT338" s="539"/>
      <c r="BU338" s="539"/>
      <c r="BV338" s="539"/>
      <c r="BW338" s="539"/>
      <c r="BX338" s="539"/>
      <c r="BY338" s="539"/>
      <c r="BZ338" s="539"/>
      <c r="CA338" s="539"/>
      <c r="CB338" s="539"/>
      <c r="CC338" s="539"/>
      <c r="CD338" s="539"/>
      <c r="CE338" s="539"/>
      <c r="CF338" s="539"/>
      <c r="CG338" s="539"/>
      <c r="CH338" s="539"/>
      <c r="CI338" s="539"/>
      <c r="CJ338" s="539"/>
      <c r="CK338" s="539"/>
      <c r="CL338" s="539"/>
      <c r="CM338" s="539"/>
      <c r="CN338" s="539"/>
      <c r="CO338" s="539"/>
      <c r="CP338" s="539"/>
      <c r="CQ338" s="539"/>
      <c r="CR338" s="539"/>
      <c r="CS338" s="539"/>
      <c r="CT338" s="539"/>
      <c r="CU338" s="539"/>
      <c r="CV338" s="539"/>
      <c r="CW338" s="539"/>
      <c r="CX338" s="539"/>
      <c r="CY338" s="539"/>
      <c r="CZ338" s="539"/>
      <c r="DA338" s="539"/>
      <c r="DB338" s="539"/>
      <c r="DC338" s="539"/>
      <c r="DD338" s="539"/>
      <c r="DE338" s="539"/>
      <c r="DF338" s="539"/>
      <c r="DG338" s="539"/>
      <c r="DH338" s="539"/>
      <c r="DI338" s="539"/>
      <c r="DJ338" s="539"/>
      <c r="DK338" s="539"/>
      <c r="DL338" s="539"/>
      <c r="DM338" s="539"/>
      <c r="DN338" s="539"/>
      <c r="DO338" s="539"/>
      <c r="DP338" s="539"/>
      <c r="DQ338" s="539"/>
      <c r="DR338" s="539"/>
      <c r="DS338" s="539"/>
      <c r="DT338" s="539"/>
      <c r="DU338" s="539"/>
      <c r="DV338" s="539"/>
      <c r="DW338" s="539"/>
      <c r="DX338" s="539"/>
      <c r="DY338" s="539"/>
      <c r="DZ338" s="539"/>
      <c r="EA338" s="539"/>
      <c r="EB338" s="539"/>
      <c r="EC338" s="539"/>
      <c r="ED338" s="539"/>
    </row>
    <row r="339" spans="1:134" ht="13.5" hidden="1" customHeight="1">
      <c r="A339" s="549"/>
      <c r="B339" s="11" t="e">
        <f>+#REF!</f>
        <v>#REF!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539"/>
      <c r="AR339" s="539"/>
      <c r="AS339" s="539"/>
      <c r="AT339" s="539"/>
      <c r="AU339" s="539"/>
      <c r="AV339" s="539"/>
      <c r="AW339" s="539"/>
      <c r="AX339" s="539"/>
      <c r="AY339" s="539"/>
      <c r="AZ339" s="539"/>
      <c r="BA339" s="539"/>
      <c r="BB339" s="539"/>
      <c r="BC339" s="539"/>
      <c r="BD339" s="539"/>
      <c r="BE339" s="539"/>
      <c r="BF339" s="539"/>
      <c r="BG339" s="539"/>
      <c r="BH339" s="539"/>
      <c r="BI339" s="539"/>
      <c r="BJ339" s="539"/>
      <c r="BK339" s="539"/>
      <c r="BL339" s="539"/>
      <c r="BM339" s="539"/>
      <c r="BN339" s="539"/>
      <c r="BO339" s="539"/>
      <c r="BP339" s="539"/>
      <c r="BQ339" s="539"/>
      <c r="BR339" s="539"/>
      <c r="BS339" s="539"/>
      <c r="BT339" s="539"/>
      <c r="BU339" s="539"/>
      <c r="BV339" s="539"/>
      <c r="BW339" s="539"/>
      <c r="BX339" s="539"/>
      <c r="BY339" s="539"/>
      <c r="BZ339" s="539"/>
      <c r="CA339" s="539"/>
      <c r="CB339" s="539"/>
      <c r="CC339" s="539"/>
      <c r="CD339" s="539"/>
      <c r="CE339" s="539"/>
      <c r="CF339" s="539"/>
      <c r="CG339" s="539"/>
      <c r="CH339" s="539"/>
      <c r="CI339" s="539"/>
      <c r="CJ339" s="539"/>
      <c r="CK339" s="539"/>
      <c r="CL339" s="539"/>
      <c r="CM339" s="539"/>
      <c r="CN339" s="539"/>
      <c r="CO339" s="539"/>
      <c r="CP339" s="539"/>
      <c r="CQ339" s="539"/>
      <c r="CR339" s="539"/>
      <c r="CS339" s="539"/>
      <c r="CT339" s="539"/>
      <c r="CU339" s="539"/>
      <c r="CV339" s="539"/>
      <c r="CW339" s="539"/>
      <c r="CX339" s="539"/>
      <c r="CY339" s="539"/>
      <c r="CZ339" s="539"/>
      <c r="DA339" s="539"/>
      <c r="DB339" s="539"/>
      <c r="DC339" s="539"/>
      <c r="DD339" s="539"/>
      <c r="DE339" s="539"/>
      <c r="DF339" s="539"/>
      <c r="DG339" s="539"/>
      <c r="DH339" s="539"/>
      <c r="DI339" s="539"/>
      <c r="DJ339" s="539"/>
      <c r="DK339" s="539"/>
      <c r="DL339" s="539"/>
      <c r="DM339" s="539"/>
      <c r="DN339" s="539"/>
      <c r="DO339" s="539"/>
      <c r="DP339" s="539"/>
      <c r="DQ339" s="539"/>
      <c r="DR339" s="539"/>
      <c r="DS339" s="539"/>
      <c r="DT339" s="539"/>
      <c r="DU339" s="539"/>
      <c r="DV339" s="539"/>
      <c r="DW339" s="539"/>
      <c r="DX339" s="539"/>
      <c r="DY339" s="539"/>
      <c r="DZ339" s="539"/>
      <c r="EA339" s="539"/>
      <c r="EB339" s="539"/>
      <c r="EC339" s="539"/>
      <c r="ED339" s="539"/>
    </row>
    <row r="340" spans="1:134" ht="13.5" hidden="1" customHeight="1">
      <c r="A340" s="549"/>
      <c r="B340" s="11" t="e">
        <f>+#REF!</f>
        <v>#REF!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539"/>
      <c r="AR340" s="539"/>
      <c r="AS340" s="539"/>
      <c r="AT340" s="539"/>
      <c r="AU340" s="539"/>
      <c r="AV340" s="539"/>
      <c r="AW340" s="539"/>
      <c r="AX340" s="539"/>
      <c r="AY340" s="539"/>
      <c r="AZ340" s="539"/>
      <c r="BA340" s="539"/>
      <c r="BB340" s="539"/>
      <c r="BC340" s="539"/>
      <c r="BD340" s="539"/>
      <c r="BE340" s="539"/>
      <c r="BF340" s="539"/>
      <c r="BG340" s="539"/>
      <c r="BH340" s="539"/>
      <c r="BI340" s="539"/>
      <c r="BJ340" s="539"/>
      <c r="BK340" s="539"/>
      <c r="BL340" s="539"/>
      <c r="BM340" s="539"/>
      <c r="BN340" s="539"/>
      <c r="BO340" s="539"/>
      <c r="BP340" s="539"/>
      <c r="BQ340" s="539"/>
      <c r="BR340" s="539"/>
      <c r="BS340" s="539"/>
      <c r="BT340" s="539"/>
      <c r="BU340" s="539"/>
      <c r="BV340" s="539"/>
      <c r="BW340" s="539"/>
      <c r="BX340" s="539"/>
      <c r="BY340" s="539"/>
      <c r="BZ340" s="539"/>
      <c r="CA340" s="539"/>
      <c r="CB340" s="539"/>
      <c r="CC340" s="539"/>
      <c r="CD340" s="539"/>
      <c r="CE340" s="539"/>
      <c r="CF340" s="539"/>
      <c r="CG340" s="539"/>
      <c r="CH340" s="539"/>
      <c r="CI340" s="539"/>
      <c r="CJ340" s="539"/>
      <c r="CK340" s="539"/>
      <c r="CL340" s="539"/>
      <c r="CM340" s="539"/>
      <c r="CN340" s="539"/>
      <c r="CO340" s="539"/>
      <c r="CP340" s="539"/>
      <c r="CQ340" s="539"/>
      <c r="CR340" s="539"/>
      <c r="CS340" s="539"/>
      <c r="CT340" s="539"/>
      <c r="CU340" s="539"/>
      <c r="CV340" s="539"/>
      <c r="CW340" s="539"/>
      <c r="CX340" s="539"/>
      <c r="CY340" s="539"/>
      <c r="CZ340" s="539"/>
      <c r="DA340" s="539"/>
      <c r="DB340" s="539"/>
      <c r="DC340" s="539"/>
      <c r="DD340" s="539"/>
      <c r="DE340" s="539"/>
      <c r="DF340" s="539"/>
      <c r="DG340" s="539"/>
      <c r="DH340" s="539"/>
      <c r="DI340" s="539"/>
      <c r="DJ340" s="539"/>
      <c r="DK340" s="539"/>
      <c r="DL340" s="539"/>
      <c r="DM340" s="539"/>
      <c r="DN340" s="539"/>
      <c r="DO340" s="539"/>
      <c r="DP340" s="539"/>
      <c r="DQ340" s="539"/>
      <c r="DR340" s="539"/>
      <c r="DS340" s="539"/>
      <c r="DT340" s="539"/>
      <c r="DU340" s="539"/>
      <c r="DV340" s="539"/>
      <c r="DW340" s="539"/>
      <c r="DX340" s="539"/>
      <c r="DY340" s="539"/>
      <c r="DZ340" s="539"/>
      <c r="EA340" s="539"/>
      <c r="EB340" s="539"/>
      <c r="EC340" s="539"/>
      <c r="ED340" s="539"/>
    </row>
    <row r="341" spans="1:134" ht="13.5" hidden="1" customHeight="1">
      <c r="A341" s="549"/>
      <c r="B341" s="11" t="e">
        <f>+#REF!</f>
        <v>#REF!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539"/>
      <c r="AR341" s="539"/>
      <c r="AS341" s="539"/>
      <c r="AT341" s="539"/>
      <c r="AU341" s="539"/>
      <c r="AV341" s="539"/>
      <c r="AW341" s="539"/>
      <c r="AX341" s="539"/>
      <c r="AY341" s="539"/>
      <c r="AZ341" s="539"/>
      <c r="BA341" s="539"/>
      <c r="BB341" s="539"/>
      <c r="BC341" s="539"/>
      <c r="BD341" s="539"/>
      <c r="BE341" s="539"/>
      <c r="BF341" s="539"/>
      <c r="BG341" s="539"/>
      <c r="BH341" s="539"/>
      <c r="BI341" s="539"/>
      <c r="BJ341" s="539"/>
      <c r="BK341" s="539"/>
      <c r="BL341" s="539"/>
      <c r="BM341" s="539"/>
      <c r="BN341" s="539"/>
      <c r="BO341" s="539"/>
      <c r="BP341" s="539"/>
      <c r="BQ341" s="539"/>
      <c r="BR341" s="539"/>
      <c r="BS341" s="539"/>
      <c r="BT341" s="539"/>
      <c r="BU341" s="539"/>
      <c r="BV341" s="539"/>
      <c r="BW341" s="539"/>
      <c r="BX341" s="539"/>
      <c r="BY341" s="539"/>
      <c r="BZ341" s="539"/>
      <c r="CA341" s="539"/>
      <c r="CB341" s="539"/>
      <c r="CC341" s="539"/>
      <c r="CD341" s="539"/>
      <c r="CE341" s="539"/>
      <c r="CF341" s="539"/>
      <c r="CG341" s="539"/>
      <c r="CH341" s="539"/>
      <c r="CI341" s="539"/>
      <c r="CJ341" s="539"/>
      <c r="CK341" s="539"/>
      <c r="CL341" s="539"/>
      <c r="CM341" s="539"/>
      <c r="CN341" s="539"/>
      <c r="CO341" s="539"/>
      <c r="CP341" s="539"/>
      <c r="CQ341" s="539"/>
      <c r="CR341" s="539"/>
      <c r="CS341" s="539"/>
      <c r="CT341" s="539"/>
      <c r="CU341" s="539"/>
      <c r="CV341" s="539"/>
      <c r="CW341" s="539"/>
      <c r="CX341" s="539"/>
      <c r="CY341" s="539"/>
      <c r="CZ341" s="539"/>
      <c r="DA341" s="539"/>
      <c r="DB341" s="539"/>
      <c r="DC341" s="539"/>
      <c r="DD341" s="539"/>
      <c r="DE341" s="539"/>
      <c r="DF341" s="539"/>
      <c r="DG341" s="539"/>
      <c r="DH341" s="539"/>
      <c r="DI341" s="539"/>
      <c r="DJ341" s="539"/>
      <c r="DK341" s="539"/>
      <c r="DL341" s="539"/>
      <c r="DM341" s="539"/>
      <c r="DN341" s="539"/>
      <c r="DO341" s="539"/>
      <c r="DP341" s="539"/>
      <c r="DQ341" s="539"/>
      <c r="DR341" s="539"/>
      <c r="DS341" s="539"/>
      <c r="DT341" s="539"/>
      <c r="DU341" s="539"/>
      <c r="DV341" s="539"/>
      <c r="DW341" s="539"/>
      <c r="DX341" s="539"/>
      <c r="DY341" s="539"/>
      <c r="DZ341" s="539"/>
      <c r="EA341" s="539"/>
      <c r="EB341" s="539"/>
      <c r="EC341" s="539"/>
      <c r="ED341" s="539"/>
    </row>
    <row r="342" spans="1:134" ht="13.5" hidden="1" customHeight="1">
      <c r="A342" s="549"/>
      <c r="B342" s="11" t="e">
        <f>+#REF!</f>
        <v>#REF!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539"/>
      <c r="AR342" s="539"/>
      <c r="AS342" s="539"/>
      <c r="AT342" s="539"/>
      <c r="AU342" s="539"/>
      <c r="AV342" s="539"/>
      <c r="AW342" s="539"/>
      <c r="AX342" s="539"/>
      <c r="AY342" s="539"/>
      <c r="AZ342" s="539"/>
      <c r="BA342" s="539"/>
      <c r="BB342" s="539"/>
      <c r="BC342" s="539"/>
      <c r="BD342" s="539"/>
      <c r="BE342" s="539"/>
      <c r="BF342" s="539"/>
      <c r="BG342" s="539"/>
      <c r="BH342" s="539"/>
      <c r="BI342" s="539"/>
      <c r="BJ342" s="539"/>
      <c r="BK342" s="539"/>
      <c r="BL342" s="539"/>
      <c r="BM342" s="539"/>
      <c r="BN342" s="539"/>
      <c r="BO342" s="539"/>
      <c r="BP342" s="539"/>
      <c r="BQ342" s="539"/>
      <c r="BR342" s="539"/>
      <c r="BS342" s="539"/>
      <c r="BT342" s="539"/>
      <c r="BU342" s="539"/>
      <c r="BV342" s="539"/>
      <c r="BW342" s="539"/>
      <c r="BX342" s="539"/>
      <c r="BY342" s="539"/>
      <c r="BZ342" s="539"/>
      <c r="CA342" s="539"/>
      <c r="CB342" s="539"/>
      <c r="CC342" s="539"/>
      <c r="CD342" s="539"/>
      <c r="CE342" s="539"/>
      <c r="CF342" s="539"/>
      <c r="CG342" s="539"/>
      <c r="CH342" s="539"/>
      <c r="CI342" s="539"/>
      <c r="CJ342" s="539"/>
      <c r="CK342" s="539"/>
      <c r="CL342" s="539"/>
      <c r="CM342" s="539"/>
      <c r="CN342" s="539"/>
      <c r="CO342" s="539"/>
      <c r="CP342" s="539"/>
      <c r="CQ342" s="539"/>
      <c r="CR342" s="539"/>
      <c r="CS342" s="539"/>
      <c r="CT342" s="539"/>
      <c r="CU342" s="539"/>
      <c r="CV342" s="539"/>
      <c r="CW342" s="539"/>
      <c r="CX342" s="539"/>
      <c r="CY342" s="539"/>
      <c r="CZ342" s="539"/>
      <c r="DA342" s="539"/>
      <c r="DB342" s="539"/>
      <c r="DC342" s="539"/>
      <c r="DD342" s="539"/>
      <c r="DE342" s="539"/>
      <c r="DF342" s="539"/>
      <c r="DG342" s="539"/>
      <c r="DH342" s="539"/>
      <c r="DI342" s="539"/>
      <c r="DJ342" s="539"/>
      <c r="DK342" s="539"/>
      <c r="DL342" s="539"/>
      <c r="DM342" s="539"/>
      <c r="DN342" s="539"/>
      <c r="DO342" s="539"/>
      <c r="DP342" s="539"/>
      <c r="DQ342" s="539"/>
      <c r="DR342" s="539"/>
      <c r="DS342" s="539"/>
      <c r="DT342" s="539"/>
      <c r="DU342" s="539"/>
      <c r="DV342" s="539"/>
      <c r="DW342" s="539"/>
      <c r="DX342" s="539"/>
      <c r="DY342" s="539"/>
      <c r="DZ342" s="539"/>
      <c r="EA342" s="539"/>
      <c r="EB342" s="539"/>
      <c r="EC342" s="539"/>
      <c r="ED342" s="539"/>
    </row>
    <row r="343" spans="1:134" ht="13.5" hidden="1" customHeight="1">
      <c r="A343" s="549"/>
      <c r="B343" s="11" t="e">
        <f>+#REF!</f>
        <v>#REF!</v>
      </c>
      <c r="C343" s="12">
        <f>IF(ISNUMBER(Historical!E55),Historical!E55, )</f>
        <v>4000</v>
      </c>
      <c r="D343" s="12">
        <f>IF(ISNUMBER(Historical!G55),Historical!G55, )</f>
        <v>4001</v>
      </c>
      <c r="E343" s="12">
        <f>IF(ISNUMBER(Historical!I55),Historical!I55, )</f>
        <v>4002</v>
      </c>
      <c r="F343" s="12">
        <f>IF(ISNUMBER(Projection!H7),IF(MONTH(Projection!H7)&lt;&gt;12,IF(ISNUMBER(Projection!L48),Projection!L48, ),IF(ISNUMBER(Historical!K55),Historical!K55, )), )</f>
        <v>3993</v>
      </c>
      <c r="G343" s="12">
        <f>IF(ISNUMBER(Projection!H7),IF(MONTH(Projection!$H$7)&lt;&gt;12,IF(ISNUMBER(Projection!N48),Projection!N48, ),IF(ISNUMBER(Projection!L48),Projection!L48, )), )</f>
        <v>3993</v>
      </c>
      <c r="H343" s="12">
        <f>IF(ISNUMBER(Projection!H7),IF(MONTH(Projection!$H$7)&lt;&gt;12,IF(ISNUMBER(Projection!P48),Projection!P48, ),IF(ISNUMBER(Projection!N48),Projection!N48, )), )</f>
        <v>3993</v>
      </c>
      <c r="I343" s="12">
        <f>IF(ISNUMBER(Projection!H7),IF(MONTH(Projection!$H$7)&lt;&gt;12,IF(ISNUMBER(Projection!R48),Projection!R48, ),IF(ISNUMBER(Projection!P48),Projection!P48, )), )</f>
        <v>3993</v>
      </c>
      <c r="J343" s="12">
        <f>IF(ISNUMBER(Projection!H7),IF(MONTH(Projection!$H$7)&lt;&gt;12,IF(ISNUMBER(Projection!T48),Projection!T48, ),IF(ISNUMBER(Projection!R48),Projection!R48, )), )</f>
        <v>3993</v>
      </c>
      <c r="K343" s="12">
        <f>IF(ISNUMBER(Projection!H7),IF(MONTH(Projection!$H$7)&lt;&gt;12,IF(ISNUMBER(Projection!Z48),Projection!Z48, ),IF(ISNUMBER(Projection!T48),Projection!T48, )), )</f>
        <v>3993</v>
      </c>
      <c r="L343" s="12">
        <f>IF(ISNUMBER(Projection!H7),IF(MONTH(Projection!$H$7)&lt;&gt;12,IF(ISNUMBER(Projection!AB48),Projection!AB48, ),IF(ISNUMBER(Projection!Z48),Projection!Z48, )), )</f>
        <v>3993</v>
      </c>
      <c r="M343" s="12">
        <f>IF(ISNUMBER(Projection!$H$7),IF(MONTH(Projection!$H$7)&lt;&gt;12,IF(ISNUMBER(Projection!AD48),Projection!AD48, ),IF(ISNUMBER(Projection!AB48),Projection!AB48, )), )</f>
        <v>3993</v>
      </c>
      <c r="N343" s="12">
        <f>IF(ISNUMBER(Projection!$H$7),IF(MONTH(Projection!$H$7)&lt;&gt;12,IF(ISNUMBER(Projection!AF48),Projection!AF48, ),IF(ISNUMBER(Projection!AD48),Projection!AD48, )), )</f>
        <v>3993</v>
      </c>
      <c r="O343" s="12">
        <f>IF(ISNUMBER(Projection!$H$7),IF(MONTH(Projection!$H$7)&lt;&gt;12,IF(ISNUMBER(Projection!AH48),Projection!AH48, ),IF(ISNUMBER(Projection!AF48),Projection!AF48, )), )</f>
        <v>3993</v>
      </c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539"/>
      <c r="AR343" s="539"/>
      <c r="AS343" s="539"/>
      <c r="AT343" s="539"/>
      <c r="AU343" s="539"/>
      <c r="AV343" s="539"/>
      <c r="AW343" s="539"/>
      <c r="AX343" s="539"/>
      <c r="AY343" s="539"/>
      <c r="AZ343" s="539"/>
      <c r="BA343" s="539"/>
      <c r="BB343" s="539"/>
      <c r="BC343" s="539"/>
      <c r="BD343" s="539"/>
      <c r="BE343" s="539"/>
      <c r="BF343" s="539"/>
      <c r="BG343" s="539"/>
      <c r="BH343" s="539"/>
      <c r="BI343" s="539"/>
      <c r="BJ343" s="539"/>
      <c r="BK343" s="539"/>
      <c r="BL343" s="539"/>
      <c r="BM343" s="539"/>
      <c r="BN343" s="539"/>
      <c r="BO343" s="539"/>
      <c r="BP343" s="539"/>
      <c r="BQ343" s="539"/>
      <c r="BR343" s="539"/>
      <c r="BS343" s="539"/>
      <c r="BT343" s="539"/>
      <c r="BU343" s="539"/>
      <c r="BV343" s="539"/>
      <c r="BW343" s="539"/>
      <c r="BX343" s="539"/>
      <c r="BY343" s="539"/>
      <c r="BZ343" s="539"/>
      <c r="CA343" s="539"/>
      <c r="CB343" s="539"/>
      <c r="CC343" s="539"/>
      <c r="CD343" s="539"/>
      <c r="CE343" s="539"/>
      <c r="CF343" s="539"/>
      <c r="CG343" s="539"/>
      <c r="CH343" s="539"/>
      <c r="CI343" s="539"/>
      <c r="CJ343" s="539"/>
      <c r="CK343" s="539"/>
      <c r="CL343" s="539"/>
      <c r="CM343" s="539"/>
      <c r="CN343" s="539"/>
      <c r="CO343" s="539"/>
      <c r="CP343" s="539"/>
      <c r="CQ343" s="539"/>
      <c r="CR343" s="539"/>
      <c r="CS343" s="539"/>
      <c r="CT343" s="539"/>
      <c r="CU343" s="539"/>
      <c r="CV343" s="539"/>
      <c r="CW343" s="539"/>
      <c r="CX343" s="539"/>
      <c r="CY343" s="539"/>
      <c r="CZ343" s="539"/>
      <c r="DA343" s="539"/>
      <c r="DB343" s="539"/>
      <c r="DC343" s="539"/>
      <c r="DD343" s="539"/>
      <c r="DE343" s="539"/>
      <c r="DF343" s="539"/>
      <c r="DG343" s="539"/>
      <c r="DH343" s="539"/>
      <c r="DI343" s="539"/>
      <c r="DJ343" s="539"/>
      <c r="DK343" s="539"/>
      <c r="DL343" s="539"/>
      <c r="DM343" s="539"/>
      <c r="DN343" s="539"/>
      <c r="DO343" s="539"/>
      <c r="DP343" s="539"/>
      <c r="DQ343" s="539"/>
      <c r="DR343" s="539"/>
      <c r="DS343" s="539"/>
      <c r="DT343" s="539"/>
      <c r="DU343" s="539"/>
      <c r="DV343" s="539"/>
      <c r="DW343" s="539"/>
      <c r="DX343" s="539"/>
      <c r="DY343" s="539"/>
      <c r="DZ343" s="539"/>
      <c r="EA343" s="539"/>
      <c r="EB343" s="539"/>
      <c r="EC343" s="539"/>
      <c r="ED343" s="539"/>
    </row>
    <row r="344" spans="1:134" ht="13.5" hidden="1" customHeight="1">
      <c r="A344" s="549"/>
      <c r="B344" s="11" t="e">
        <f>+#REF!</f>
        <v>#REF!</v>
      </c>
      <c r="C344" s="12">
        <f>IF(ISNUMBER(Historical!E56),Historical!E56, )</f>
        <v>4100</v>
      </c>
      <c r="D344" s="12">
        <f>IF(ISNUMBER(Historical!G56),Historical!G56, )</f>
        <v>4101</v>
      </c>
      <c r="E344" s="12">
        <f>IF(ISNUMBER(Historical!I56),Historical!I56, )</f>
        <v>4102</v>
      </c>
      <c r="F344" s="12">
        <f>IF(ISNUMBER(Projection!H7),IF(MONTH(Projection!H7)&lt;&gt;12,IF(ISNUMBER(Projection!L49),Projection!L49, ),IF(ISNUMBER(Historical!K56),Historical!K56, )), )</f>
        <v>4093</v>
      </c>
      <c r="G344" s="12">
        <f>IF(ISNUMBER(Projection!H7),IF(MONTH(Projection!$H$7)&lt;&gt;12,IF(ISNUMBER(Projection!N49),Projection!N49, ),IF(ISNUMBER(Projection!L49),Projection!L49, )), )</f>
        <v>4093</v>
      </c>
      <c r="H344" s="12">
        <f>IF(ISNUMBER(Projection!H7),IF(MONTH(Projection!$H$7)&lt;&gt;12,IF(ISNUMBER(Projection!P49),Projection!P49, ),IF(ISNUMBER(Projection!N49),Projection!N49, )), )</f>
        <v>4093</v>
      </c>
      <c r="I344" s="12">
        <f>IF(ISNUMBER(Projection!H7),IF(MONTH(Projection!$H$7)&lt;&gt;12,IF(ISNUMBER(Projection!R49),Projection!R49, ),IF(ISNUMBER(Projection!P49),Projection!P49, )), )</f>
        <v>4093</v>
      </c>
      <c r="J344" s="12">
        <f>IF(ISNUMBER(Projection!H7),IF(MONTH(Projection!$H$7)&lt;&gt;12,IF(ISNUMBER(Projection!T49),Projection!T49, ),IF(ISNUMBER(Projection!R49),Projection!R49, )), )</f>
        <v>4093</v>
      </c>
      <c r="K344" s="12">
        <f>IF(ISNUMBER(Projection!H7),IF(MONTH(Projection!$H$7)&lt;&gt;12,IF(ISNUMBER(Projection!Z49),Projection!Z49, ),IF(ISNUMBER(Projection!T49),Projection!T49, )), )</f>
        <v>4093</v>
      </c>
      <c r="L344" s="12">
        <f>IF(ISNUMBER(Projection!H7),IF(MONTH(Projection!$H$7)&lt;&gt;12,IF(ISNUMBER(Projection!AB49),Projection!AB49, ),IF(ISNUMBER(Projection!Z49),Projection!Z49, )), )</f>
        <v>4093</v>
      </c>
      <c r="M344" s="12">
        <f>IF(ISNUMBER(Projection!$H$7),IF(MONTH(Projection!$H$7)&lt;&gt;12,IF(ISNUMBER(Projection!AD49),Projection!AD49, ),IF(ISNUMBER(Projection!AB49),Projection!AB49, )), )</f>
        <v>4093</v>
      </c>
      <c r="N344" s="12">
        <f>IF(ISNUMBER(Projection!$H$7),IF(MONTH(Projection!$H$7)&lt;&gt;12,IF(ISNUMBER(Projection!AF49),Projection!AF49, ),IF(ISNUMBER(Projection!AD49),Projection!AD49, )), )</f>
        <v>4093</v>
      </c>
      <c r="O344" s="12">
        <f>IF(ISNUMBER(Projection!$H$7),IF(MONTH(Projection!$H$7)&lt;&gt;12,IF(ISNUMBER(Projection!AH49),Projection!AH49, ),IF(ISNUMBER(Projection!AF49),Projection!AF49, )), )</f>
        <v>4093</v>
      </c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539"/>
      <c r="AR344" s="539"/>
      <c r="AS344" s="539"/>
      <c r="AT344" s="539"/>
      <c r="AU344" s="539"/>
      <c r="AV344" s="539"/>
      <c r="AW344" s="539"/>
      <c r="AX344" s="539"/>
      <c r="AY344" s="539"/>
      <c r="AZ344" s="539"/>
      <c r="BA344" s="539"/>
      <c r="BB344" s="539"/>
      <c r="BC344" s="539"/>
      <c r="BD344" s="539"/>
      <c r="BE344" s="539"/>
      <c r="BF344" s="539"/>
      <c r="BG344" s="539"/>
      <c r="BH344" s="539"/>
      <c r="BI344" s="539"/>
      <c r="BJ344" s="539"/>
      <c r="BK344" s="539"/>
      <c r="BL344" s="539"/>
      <c r="BM344" s="539"/>
      <c r="BN344" s="539"/>
      <c r="BO344" s="539"/>
      <c r="BP344" s="539"/>
      <c r="BQ344" s="539"/>
      <c r="BR344" s="539"/>
      <c r="BS344" s="539"/>
      <c r="BT344" s="539"/>
      <c r="BU344" s="539"/>
      <c r="BV344" s="539"/>
      <c r="BW344" s="539"/>
      <c r="BX344" s="539"/>
      <c r="BY344" s="539"/>
      <c r="BZ344" s="539"/>
      <c r="CA344" s="539"/>
      <c r="CB344" s="539"/>
      <c r="CC344" s="539"/>
      <c r="CD344" s="539"/>
      <c r="CE344" s="539"/>
      <c r="CF344" s="539"/>
      <c r="CG344" s="539"/>
      <c r="CH344" s="539"/>
      <c r="CI344" s="539"/>
      <c r="CJ344" s="539"/>
      <c r="CK344" s="539"/>
      <c r="CL344" s="539"/>
      <c r="CM344" s="539"/>
      <c r="CN344" s="539"/>
      <c r="CO344" s="539"/>
      <c r="CP344" s="539"/>
      <c r="CQ344" s="539"/>
      <c r="CR344" s="539"/>
      <c r="CS344" s="539"/>
      <c r="CT344" s="539"/>
      <c r="CU344" s="539"/>
      <c r="CV344" s="539"/>
      <c r="CW344" s="539"/>
      <c r="CX344" s="539"/>
      <c r="CY344" s="539"/>
      <c r="CZ344" s="539"/>
      <c r="DA344" s="539"/>
      <c r="DB344" s="539"/>
      <c r="DC344" s="539"/>
      <c r="DD344" s="539"/>
      <c r="DE344" s="539"/>
      <c r="DF344" s="539"/>
      <c r="DG344" s="539"/>
      <c r="DH344" s="539"/>
      <c r="DI344" s="539"/>
      <c r="DJ344" s="539"/>
      <c r="DK344" s="539"/>
      <c r="DL344" s="539"/>
      <c r="DM344" s="539"/>
      <c r="DN344" s="539"/>
      <c r="DO344" s="539"/>
      <c r="DP344" s="539"/>
      <c r="DQ344" s="539"/>
      <c r="DR344" s="539"/>
      <c r="DS344" s="539"/>
      <c r="DT344" s="539"/>
      <c r="DU344" s="539"/>
      <c r="DV344" s="539"/>
      <c r="DW344" s="539"/>
      <c r="DX344" s="539"/>
      <c r="DY344" s="539"/>
      <c r="DZ344" s="539"/>
      <c r="EA344" s="539"/>
      <c r="EB344" s="539"/>
      <c r="EC344" s="539"/>
      <c r="ED344" s="539"/>
    </row>
    <row r="345" spans="1:134" ht="13.5" hidden="1" customHeight="1">
      <c r="A345" s="549"/>
      <c r="B345" s="11" t="e">
        <f>+#REF!</f>
        <v>#REF!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539"/>
      <c r="AR345" s="539"/>
      <c r="AS345" s="539"/>
      <c r="AT345" s="539"/>
      <c r="AU345" s="539"/>
      <c r="AV345" s="539"/>
      <c r="AW345" s="539"/>
      <c r="AX345" s="539"/>
      <c r="AY345" s="539"/>
      <c r="AZ345" s="539"/>
      <c r="BA345" s="539"/>
      <c r="BB345" s="539"/>
      <c r="BC345" s="539"/>
      <c r="BD345" s="539"/>
      <c r="BE345" s="539"/>
      <c r="BF345" s="539"/>
      <c r="BG345" s="539"/>
      <c r="BH345" s="539"/>
      <c r="BI345" s="539"/>
      <c r="BJ345" s="539"/>
      <c r="BK345" s="539"/>
      <c r="BL345" s="539"/>
      <c r="BM345" s="539"/>
      <c r="BN345" s="539"/>
      <c r="BO345" s="539"/>
      <c r="BP345" s="539"/>
      <c r="BQ345" s="539"/>
      <c r="BR345" s="539"/>
      <c r="BS345" s="539"/>
      <c r="BT345" s="539"/>
      <c r="BU345" s="539"/>
      <c r="BV345" s="539"/>
      <c r="BW345" s="539"/>
      <c r="BX345" s="539"/>
      <c r="BY345" s="539"/>
      <c r="BZ345" s="539"/>
      <c r="CA345" s="539"/>
      <c r="CB345" s="539"/>
      <c r="CC345" s="539"/>
      <c r="CD345" s="539"/>
      <c r="CE345" s="539"/>
      <c r="CF345" s="539"/>
      <c r="CG345" s="539"/>
      <c r="CH345" s="539"/>
      <c r="CI345" s="539"/>
      <c r="CJ345" s="539"/>
      <c r="CK345" s="539"/>
      <c r="CL345" s="539"/>
      <c r="CM345" s="539"/>
      <c r="CN345" s="539"/>
      <c r="CO345" s="539"/>
      <c r="CP345" s="539"/>
      <c r="CQ345" s="539"/>
      <c r="CR345" s="539"/>
      <c r="CS345" s="539"/>
      <c r="CT345" s="539"/>
      <c r="CU345" s="539"/>
      <c r="CV345" s="539"/>
      <c r="CW345" s="539"/>
      <c r="CX345" s="539"/>
      <c r="CY345" s="539"/>
      <c r="CZ345" s="539"/>
      <c r="DA345" s="539"/>
      <c r="DB345" s="539"/>
      <c r="DC345" s="539"/>
      <c r="DD345" s="539"/>
      <c r="DE345" s="539"/>
      <c r="DF345" s="539"/>
      <c r="DG345" s="539"/>
      <c r="DH345" s="539"/>
      <c r="DI345" s="539"/>
      <c r="DJ345" s="539"/>
      <c r="DK345" s="539"/>
      <c r="DL345" s="539"/>
      <c r="DM345" s="539"/>
      <c r="DN345" s="539"/>
      <c r="DO345" s="539"/>
      <c r="DP345" s="539"/>
      <c r="DQ345" s="539"/>
      <c r="DR345" s="539"/>
      <c r="DS345" s="539"/>
      <c r="DT345" s="539"/>
      <c r="DU345" s="539"/>
      <c r="DV345" s="539"/>
      <c r="DW345" s="539"/>
      <c r="DX345" s="539"/>
      <c r="DY345" s="539"/>
      <c r="DZ345" s="539"/>
      <c r="EA345" s="539"/>
      <c r="EB345" s="539"/>
      <c r="EC345" s="539"/>
      <c r="ED345" s="539"/>
    </row>
    <row r="346" spans="1:134" ht="13.5" hidden="1" customHeight="1">
      <c r="A346" s="549"/>
      <c r="B346" s="11" t="e">
        <f>+#REF!</f>
        <v>#REF!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539"/>
      <c r="AR346" s="539"/>
      <c r="AS346" s="539"/>
      <c r="AT346" s="539"/>
      <c r="AU346" s="539"/>
      <c r="AV346" s="539"/>
      <c r="AW346" s="539"/>
      <c r="AX346" s="539"/>
      <c r="AY346" s="539"/>
      <c r="AZ346" s="539"/>
      <c r="BA346" s="539"/>
      <c r="BB346" s="539"/>
      <c r="BC346" s="539"/>
      <c r="BD346" s="539"/>
      <c r="BE346" s="539"/>
      <c r="BF346" s="539"/>
      <c r="BG346" s="539"/>
      <c r="BH346" s="539"/>
      <c r="BI346" s="539"/>
      <c r="BJ346" s="539"/>
      <c r="BK346" s="539"/>
      <c r="BL346" s="539"/>
      <c r="BM346" s="539"/>
      <c r="BN346" s="539"/>
      <c r="BO346" s="539"/>
      <c r="BP346" s="539"/>
      <c r="BQ346" s="539"/>
      <c r="BR346" s="539"/>
      <c r="BS346" s="539"/>
      <c r="BT346" s="539"/>
      <c r="BU346" s="539"/>
      <c r="BV346" s="539"/>
      <c r="BW346" s="539"/>
      <c r="BX346" s="539"/>
      <c r="BY346" s="539"/>
      <c r="BZ346" s="539"/>
      <c r="CA346" s="539"/>
      <c r="CB346" s="539"/>
      <c r="CC346" s="539"/>
      <c r="CD346" s="539"/>
      <c r="CE346" s="539"/>
      <c r="CF346" s="539"/>
      <c r="CG346" s="539"/>
      <c r="CH346" s="539"/>
      <c r="CI346" s="539"/>
      <c r="CJ346" s="539"/>
      <c r="CK346" s="539"/>
      <c r="CL346" s="539"/>
      <c r="CM346" s="539"/>
      <c r="CN346" s="539"/>
      <c r="CO346" s="539"/>
      <c r="CP346" s="539"/>
      <c r="CQ346" s="539"/>
      <c r="CR346" s="539"/>
      <c r="CS346" s="539"/>
      <c r="CT346" s="539"/>
      <c r="CU346" s="539"/>
      <c r="CV346" s="539"/>
      <c r="CW346" s="539"/>
      <c r="CX346" s="539"/>
      <c r="CY346" s="539"/>
      <c r="CZ346" s="539"/>
      <c r="DA346" s="539"/>
      <c r="DB346" s="539"/>
      <c r="DC346" s="539"/>
      <c r="DD346" s="539"/>
      <c r="DE346" s="539"/>
      <c r="DF346" s="539"/>
      <c r="DG346" s="539"/>
      <c r="DH346" s="539"/>
      <c r="DI346" s="539"/>
      <c r="DJ346" s="539"/>
      <c r="DK346" s="539"/>
      <c r="DL346" s="539"/>
      <c r="DM346" s="539"/>
      <c r="DN346" s="539"/>
      <c r="DO346" s="539"/>
      <c r="DP346" s="539"/>
      <c r="DQ346" s="539"/>
      <c r="DR346" s="539"/>
      <c r="DS346" s="539"/>
      <c r="DT346" s="539"/>
      <c r="DU346" s="539"/>
      <c r="DV346" s="539"/>
      <c r="DW346" s="539"/>
      <c r="DX346" s="539"/>
      <c r="DY346" s="539"/>
      <c r="DZ346" s="539"/>
      <c r="EA346" s="539"/>
      <c r="EB346" s="539"/>
      <c r="EC346" s="539"/>
      <c r="ED346" s="539"/>
    </row>
    <row r="347" spans="1:134" ht="13.5" hidden="1" customHeight="1">
      <c r="A347" s="549"/>
      <c r="B347" s="11" t="e">
        <f>+#REF!</f>
        <v>#REF!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539"/>
      <c r="AR347" s="539"/>
      <c r="AS347" s="539"/>
      <c r="AT347" s="539"/>
      <c r="AU347" s="539"/>
      <c r="AV347" s="539"/>
      <c r="AW347" s="539"/>
      <c r="AX347" s="539"/>
      <c r="AY347" s="539"/>
      <c r="AZ347" s="539"/>
      <c r="BA347" s="539"/>
      <c r="BB347" s="539"/>
      <c r="BC347" s="539"/>
      <c r="BD347" s="539"/>
      <c r="BE347" s="539"/>
      <c r="BF347" s="539"/>
      <c r="BG347" s="539"/>
      <c r="BH347" s="539"/>
      <c r="BI347" s="539"/>
      <c r="BJ347" s="539"/>
      <c r="BK347" s="539"/>
      <c r="BL347" s="539"/>
      <c r="BM347" s="539"/>
      <c r="BN347" s="539"/>
      <c r="BO347" s="539"/>
      <c r="BP347" s="539"/>
      <c r="BQ347" s="539"/>
      <c r="BR347" s="539"/>
      <c r="BS347" s="539"/>
      <c r="BT347" s="539"/>
      <c r="BU347" s="539"/>
      <c r="BV347" s="539"/>
      <c r="BW347" s="539"/>
      <c r="BX347" s="539"/>
      <c r="BY347" s="539"/>
      <c r="BZ347" s="539"/>
      <c r="CA347" s="539"/>
      <c r="CB347" s="539"/>
      <c r="CC347" s="539"/>
      <c r="CD347" s="539"/>
      <c r="CE347" s="539"/>
      <c r="CF347" s="539"/>
      <c r="CG347" s="539"/>
      <c r="CH347" s="539"/>
      <c r="CI347" s="539"/>
      <c r="CJ347" s="539"/>
      <c r="CK347" s="539"/>
      <c r="CL347" s="539"/>
      <c r="CM347" s="539"/>
      <c r="CN347" s="539"/>
      <c r="CO347" s="539"/>
      <c r="CP347" s="539"/>
      <c r="CQ347" s="539"/>
      <c r="CR347" s="539"/>
      <c r="CS347" s="539"/>
      <c r="CT347" s="539"/>
      <c r="CU347" s="539"/>
      <c r="CV347" s="539"/>
      <c r="CW347" s="539"/>
      <c r="CX347" s="539"/>
      <c r="CY347" s="539"/>
      <c r="CZ347" s="539"/>
      <c r="DA347" s="539"/>
      <c r="DB347" s="539"/>
      <c r="DC347" s="539"/>
      <c r="DD347" s="539"/>
      <c r="DE347" s="539"/>
      <c r="DF347" s="539"/>
      <c r="DG347" s="539"/>
      <c r="DH347" s="539"/>
      <c r="DI347" s="539"/>
      <c r="DJ347" s="539"/>
      <c r="DK347" s="539"/>
      <c r="DL347" s="539"/>
      <c r="DM347" s="539"/>
      <c r="DN347" s="539"/>
      <c r="DO347" s="539"/>
      <c r="DP347" s="539"/>
      <c r="DQ347" s="539"/>
      <c r="DR347" s="539"/>
      <c r="DS347" s="539"/>
      <c r="DT347" s="539"/>
      <c r="DU347" s="539"/>
      <c r="DV347" s="539"/>
      <c r="DW347" s="539"/>
      <c r="DX347" s="539"/>
      <c r="DY347" s="539"/>
      <c r="DZ347" s="539"/>
      <c r="EA347" s="539"/>
      <c r="EB347" s="539"/>
      <c r="EC347" s="539"/>
      <c r="ED347" s="539"/>
    </row>
    <row r="348" spans="1:134" ht="13.5" hidden="1" customHeight="1">
      <c r="A348" s="549"/>
      <c r="B348" s="11" t="e">
        <f>+#REF!</f>
        <v>#REF!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539"/>
      <c r="AR348" s="539"/>
      <c r="AS348" s="539"/>
      <c r="AT348" s="539"/>
      <c r="AU348" s="539"/>
      <c r="AV348" s="539"/>
      <c r="AW348" s="539"/>
      <c r="AX348" s="539"/>
      <c r="AY348" s="539"/>
      <c r="AZ348" s="539"/>
      <c r="BA348" s="539"/>
      <c r="BB348" s="539"/>
      <c r="BC348" s="539"/>
      <c r="BD348" s="539"/>
      <c r="BE348" s="539"/>
      <c r="BF348" s="539"/>
      <c r="BG348" s="539"/>
      <c r="BH348" s="539"/>
      <c r="BI348" s="539"/>
      <c r="BJ348" s="539"/>
      <c r="BK348" s="539"/>
      <c r="BL348" s="539"/>
      <c r="BM348" s="539"/>
      <c r="BN348" s="539"/>
      <c r="BO348" s="539"/>
      <c r="BP348" s="539"/>
      <c r="BQ348" s="539"/>
      <c r="BR348" s="539"/>
      <c r="BS348" s="539"/>
      <c r="BT348" s="539"/>
      <c r="BU348" s="539"/>
      <c r="BV348" s="539"/>
      <c r="BW348" s="539"/>
      <c r="BX348" s="539"/>
      <c r="BY348" s="539"/>
      <c r="BZ348" s="539"/>
      <c r="CA348" s="539"/>
      <c r="CB348" s="539"/>
      <c r="CC348" s="539"/>
      <c r="CD348" s="539"/>
      <c r="CE348" s="539"/>
      <c r="CF348" s="539"/>
      <c r="CG348" s="539"/>
      <c r="CH348" s="539"/>
      <c r="CI348" s="539"/>
      <c r="CJ348" s="539"/>
      <c r="CK348" s="539"/>
      <c r="CL348" s="539"/>
      <c r="CM348" s="539"/>
      <c r="CN348" s="539"/>
      <c r="CO348" s="539"/>
      <c r="CP348" s="539"/>
      <c r="CQ348" s="539"/>
      <c r="CR348" s="539"/>
      <c r="CS348" s="539"/>
      <c r="CT348" s="539"/>
      <c r="CU348" s="539"/>
      <c r="CV348" s="539"/>
      <c r="CW348" s="539"/>
      <c r="CX348" s="539"/>
      <c r="CY348" s="539"/>
      <c r="CZ348" s="539"/>
      <c r="DA348" s="539"/>
      <c r="DB348" s="539"/>
      <c r="DC348" s="539"/>
      <c r="DD348" s="539"/>
      <c r="DE348" s="539"/>
      <c r="DF348" s="539"/>
      <c r="DG348" s="539"/>
      <c r="DH348" s="539"/>
      <c r="DI348" s="539"/>
      <c r="DJ348" s="539"/>
      <c r="DK348" s="539"/>
      <c r="DL348" s="539"/>
      <c r="DM348" s="539"/>
      <c r="DN348" s="539"/>
      <c r="DO348" s="539"/>
      <c r="DP348" s="539"/>
      <c r="DQ348" s="539"/>
      <c r="DR348" s="539"/>
      <c r="DS348" s="539"/>
      <c r="DT348" s="539"/>
      <c r="DU348" s="539"/>
      <c r="DV348" s="539"/>
      <c r="DW348" s="539"/>
      <c r="DX348" s="539"/>
      <c r="DY348" s="539"/>
      <c r="DZ348" s="539"/>
      <c r="EA348" s="539"/>
      <c r="EB348" s="539"/>
      <c r="EC348" s="539"/>
      <c r="ED348" s="539"/>
    </row>
    <row r="349" spans="1:134" ht="13.5" customHeight="1">
      <c r="A349" s="545"/>
      <c r="B349" s="6" t="e">
        <f>+#REF!</f>
        <v>#REF!</v>
      </c>
      <c r="C349" s="7">
        <f>SUM(C317+C333)</f>
        <v>0</v>
      </c>
      <c r="D349" s="7">
        <f t="shared" ref="D349:AP349" si="9">SUM(D317,D333)</f>
        <v>6654.2438249999996</v>
      </c>
      <c r="E349" s="7">
        <f t="shared" si="9"/>
        <v>6654.2438249999996</v>
      </c>
      <c r="F349" s="7">
        <f t="shared" si="9"/>
        <v>6654.2438240000001</v>
      </c>
      <c r="G349" s="7">
        <f t="shared" si="9"/>
        <v>63446.890643448183</v>
      </c>
      <c r="H349" s="7">
        <f t="shared" si="9"/>
        <v>35050.569363448201</v>
      </c>
      <c r="I349" s="7">
        <f t="shared" si="9"/>
        <v>6654.2480834481967</v>
      </c>
      <c r="J349" s="7">
        <f t="shared" si="9"/>
        <v>6654.2480834481948</v>
      </c>
      <c r="K349" s="7">
        <f t="shared" si="9"/>
        <v>6654.2480834481948</v>
      </c>
      <c r="L349" s="7">
        <f t="shared" si="9"/>
        <v>6654.2480834481948</v>
      </c>
      <c r="M349" s="7">
        <f t="shared" si="9"/>
        <v>6654.2480834481948</v>
      </c>
      <c r="N349" s="7">
        <f t="shared" si="9"/>
        <v>6654.2480834481948</v>
      </c>
      <c r="O349" s="7">
        <f t="shared" si="9"/>
        <v>6654.2480834481948</v>
      </c>
      <c r="P349" s="7">
        <f t="shared" si="9"/>
        <v>0</v>
      </c>
      <c r="Q349" s="7">
        <f t="shared" si="9"/>
        <v>0</v>
      </c>
      <c r="R349" s="7">
        <f t="shared" si="9"/>
        <v>0</v>
      </c>
      <c r="S349" s="7">
        <f t="shared" si="9"/>
        <v>0</v>
      </c>
      <c r="T349" s="7">
        <f t="shared" si="9"/>
        <v>0</v>
      </c>
      <c r="U349" s="7">
        <f t="shared" si="9"/>
        <v>0</v>
      </c>
      <c r="V349" s="7">
        <f t="shared" si="9"/>
        <v>0</v>
      </c>
      <c r="W349" s="7">
        <f t="shared" si="9"/>
        <v>0</v>
      </c>
      <c r="X349" s="7">
        <f t="shared" si="9"/>
        <v>0</v>
      </c>
      <c r="Y349" s="7">
        <f t="shared" si="9"/>
        <v>0</v>
      </c>
      <c r="Z349" s="7">
        <f t="shared" si="9"/>
        <v>0</v>
      </c>
      <c r="AA349" s="7">
        <f t="shared" si="9"/>
        <v>0</v>
      </c>
      <c r="AB349" s="7">
        <f t="shared" si="9"/>
        <v>0</v>
      </c>
      <c r="AC349" s="7">
        <f t="shared" si="9"/>
        <v>0</v>
      </c>
      <c r="AD349" s="7">
        <f t="shared" si="9"/>
        <v>0</v>
      </c>
      <c r="AE349" s="7">
        <f t="shared" si="9"/>
        <v>0</v>
      </c>
      <c r="AF349" s="7">
        <f t="shared" si="9"/>
        <v>0</v>
      </c>
      <c r="AG349" s="7">
        <f t="shared" si="9"/>
        <v>0</v>
      </c>
      <c r="AH349" s="7">
        <f t="shared" si="9"/>
        <v>0</v>
      </c>
      <c r="AI349" s="7">
        <f t="shared" si="9"/>
        <v>0</v>
      </c>
      <c r="AJ349" s="7">
        <f t="shared" si="9"/>
        <v>0</v>
      </c>
      <c r="AK349" s="7">
        <f t="shared" si="9"/>
        <v>0</v>
      </c>
      <c r="AL349" s="7">
        <f t="shared" si="9"/>
        <v>0</v>
      </c>
      <c r="AM349" s="7">
        <f t="shared" si="9"/>
        <v>0</v>
      </c>
      <c r="AN349" s="7">
        <f t="shared" si="9"/>
        <v>0</v>
      </c>
      <c r="AO349" s="7">
        <f t="shared" si="9"/>
        <v>0</v>
      </c>
      <c r="AP349" s="7">
        <f t="shared" si="9"/>
        <v>0</v>
      </c>
      <c r="AQ349" s="539"/>
      <c r="AR349" s="539"/>
      <c r="AS349" s="539"/>
      <c r="AT349" s="539"/>
      <c r="AU349" s="539"/>
      <c r="AV349" s="539"/>
      <c r="AW349" s="539"/>
      <c r="AX349" s="539"/>
      <c r="AY349" s="539"/>
      <c r="AZ349" s="539"/>
      <c r="BA349" s="539"/>
      <c r="BB349" s="539"/>
      <c r="BC349" s="539"/>
      <c r="BD349" s="539"/>
      <c r="BE349" s="539"/>
      <c r="BF349" s="539"/>
      <c r="BG349" s="539"/>
      <c r="BH349" s="539"/>
      <c r="BI349" s="539"/>
      <c r="BJ349" s="539"/>
      <c r="BK349" s="539"/>
      <c r="BL349" s="539"/>
      <c r="BM349" s="539"/>
      <c r="BN349" s="539"/>
      <c r="BO349" s="539"/>
      <c r="BP349" s="539"/>
      <c r="BQ349" s="539"/>
      <c r="BR349" s="539"/>
      <c r="BS349" s="539"/>
      <c r="BT349" s="539"/>
      <c r="BU349" s="539"/>
      <c r="BV349" s="539"/>
      <c r="BW349" s="539"/>
      <c r="BX349" s="539"/>
      <c r="BY349" s="539"/>
      <c r="BZ349" s="539"/>
      <c r="CA349" s="539"/>
      <c r="CB349" s="539"/>
      <c r="CC349" s="539"/>
      <c r="CD349" s="539"/>
      <c r="CE349" s="539"/>
      <c r="CF349" s="539"/>
      <c r="CG349" s="539"/>
      <c r="CH349" s="539"/>
      <c r="CI349" s="539"/>
      <c r="CJ349" s="539"/>
      <c r="CK349" s="539"/>
      <c r="CL349" s="539"/>
      <c r="CM349" s="539"/>
      <c r="CN349" s="539"/>
      <c r="CO349" s="539"/>
      <c r="CP349" s="539"/>
      <c r="CQ349" s="539"/>
      <c r="CR349" s="539"/>
      <c r="CS349" s="539"/>
      <c r="CT349" s="539"/>
      <c r="CU349" s="539"/>
      <c r="CV349" s="539"/>
      <c r="CW349" s="539"/>
      <c r="CX349" s="539"/>
      <c r="CY349" s="539"/>
      <c r="CZ349" s="539"/>
      <c r="DA349" s="539"/>
      <c r="DB349" s="539"/>
      <c r="DC349" s="539"/>
      <c r="DD349" s="539"/>
      <c r="DE349" s="539"/>
      <c r="DF349" s="539"/>
      <c r="DG349" s="539"/>
      <c r="DH349" s="539"/>
      <c r="DI349" s="539"/>
      <c r="DJ349" s="539"/>
      <c r="DK349" s="539"/>
      <c r="DL349" s="539"/>
      <c r="DM349" s="539"/>
      <c r="DN349" s="539"/>
      <c r="DO349" s="539"/>
      <c r="DP349" s="539"/>
      <c r="DQ349" s="539"/>
      <c r="DR349" s="539"/>
      <c r="DS349" s="539"/>
      <c r="DT349" s="539"/>
      <c r="DU349" s="539"/>
      <c r="DV349" s="539"/>
      <c r="DW349" s="539"/>
      <c r="DX349" s="539"/>
      <c r="DY349" s="539"/>
      <c r="DZ349" s="539"/>
      <c r="EA349" s="539"/>
      <c r="EB349" s="539"/>
      <c r="EC349" s="539"/>
      <c r="ED349" s="539"/>
    </row>
    <row r="350" spans="1:134" ht="13.5" customHeight="1">
      <c r="A350" s="545"/>
      <c r="B350" s="6" t="e">
        <f>+#REF!</f>
        <v>#REF!</v>
      </c>
      <c r="C350" s="7">
        <f t="shared" ref="C350:AP350" si="10">SUM(C316,C349)</f>
        <v>170120.56015500001</v>
      </c>
      <c r="D350" s="7">
        <f t="shared" si="10"/>
        <v>204016.18007000003</v>
      </c>
      <c r="E350" s="7">
        <f t="shared" si="10"/>
        <v>209944.40722100003</v>
      </c>
      <c r="F350" s="7">
        <f t="shared" si="10"/>
        <v>384354.54588300001</v>
      </c>
      <c r="G350" s="7">
        <f t="shared" si="10"/>
        <v>430504.92799227627</v>
      </c>
      <c r="H350" s="7">
        <f t="shared" si="10"/>
        <v>395827.90315752447</v>
      </c>
      <c r="I350" s="7">
        <f t="shared" si="10"/>
        <v>359516.84392044233</v>
      </c>
      <c r="J350" s="7">
        <f t="shared" si="10"/>
        <v>344881.49026769842</v>
      </c>
      <c r="K350" s="7">
        <f t="shared" si="10"/>
        <v>359217.97002231173</v>
      </c>
      <c r="L350" s="7">
        <f t="shared" si="10"/>
        <v>276039.17036831705</v>
      </c>
      <c r="M350" s="7">
        <f t="shared" si="10"/>
        <v>287965.85412587505</v>
      </c>
      <c r="N350" s="7">
        <f t="shared" si="10"/>
        <v>287965.85412587499</v>
      </c>
      <c r="O350" s="7">
        <f t="shared" si="10"/>
        <v>287965.85412587493</v>
      </c>
      <c r="P350" s="7">
        <f t="shared" si="10"/>
        <v>0</v>
      </c>
      <c r="Q350" s="7">
        <f t="shared" si="10"/>
        <v>0</v>
      </c>
      <c r="R350" s="7">
        <f t="shared" si="10"/>
        <v>0</v>
      </c>
      <c r="S350" s="7">
        <f t="shared" si="10"/>
        <v>0</v>
      </c>
      <c r="T350" s="7">
        <f t="shared" si="10"/>
        <v>0</v>
      </c>
      <c r="U350" s="7">
        <f t="shared" si="10"/>
        <v>0</v>
      </c>
      <c r="V350" s="7">
        <f t="shared" si="10"/>
        <v>0</v>
      </c>
      <c r="W350" s="7">
        <f t="shared" si="10"/>
        <v>0</v>
      </c>
      <c r="X350" s="7">
        <f t="shared" si="10"/>
        <v>0</v>
      </c>
      <c r="Y350" s="7">
        <f t="shared" si="10"/>
        <v>0</v>
      </c>
      <c r="Z350" s="7">
        <f t="shared" si="10"/>
        <v>0</v>
      </c>
      <c r="AA350" s="7">
        <f t="shared" si="10"/>
        <v>0</v>
      </c>
      <c r="AB350" s="7">
        <f t="shared" si="10"/>
        <v>0</v>
      </c>
      <c r="AC350" s="7">
        <f t="shared" si="10"/>
        <v>0</v>
      </c>
      <c r="AD350" s="7">
        <f t="shared" si="10"/>
        <v>0</v>
      </c>
      <c r="AE350" s="7">
        <f t="shared" si="10"/>
        <v>0</v>
      </c>
      <c r="AF350" s="7">
        <f t="shared" si="10"/>
        <v>0</v>
      </c>
      <c r="AG350" s="7">
        <f t="shared" si="10"/>
        <v>0</v>
      </c>
      <c r="AH350" s="7">
        <f t="shared" si="10"/>
        <v>0</v>
      </c>
      <c r="AI350" s="7">
        <f t="shared" si="10"/>
        <v>0</v>
      </c>
      <c r="AJ350" s="7">
        <f t="shared" si="10"/>
        <v>0</v>
      </c>
      <c r="AK350" s="7">
        <f t="shared" si="10"/>
        <v>0</v>
      </c>
      <c r="AL350" s="7">
        <f t="shared" si="10"/>
        <v>0</v>
      </c>
      <c r="AM350" s="7">
        <f t="shared" si="10"/>
        <v>0</v>
      </c>
      <c r="AN350" s="7">
        <f t="shared" si="10"/>
        <v>0</v>
      </c>
      <c r="AO350" s="7">
        <f t="shared" si="10"/>
        <v>0</v>
      </c>
      <c r="AP350" s="7">
        <f t="shared" si="10"/>
        <v>0</v>
      </c>
      <c r="AQ350" s="539"/>
      <c r="AR350" s="539"/>
      <c r="AS350" s="539"/>
      <c r="AT350" s="539"/>
      <c r="AU350" s="539"/>
      <c r="AV350" s="539"/>
      <c r="AW350" s="539"/>
      <c r="AX350" s="539"/>
      <c r="AY350" s="539"/>
      <c r="AZ350" s="539"/>
      <c r="BA350" s="539"/>
      <c r="BB350" s="539"/>
      <c r="BC350" s="539"/>
      <c r="BD350" s="539"/>
      <c r="BE350" s="539"/>
      <c r="BF350" s="539"/>
      <c r="BG350" s="539"/>
      <c r="BH350" s="539"/>
      <c r="BI350" s="539"/>
      <c r="BJ350" s="539"/>
      <c r="BK350" s="539"/>
      <c r="BL350" s="539"/>
      <c r="BM350" s="539"/>
      <c r="BN350" s="539"/>
      <c r="BO350" s="539"/>
      <c r="BP350" s="539"/>
      <c r="BQ350" s="539"/>
      <c r="BR350" s="539"/>
      <c r="BS350" s="539"/>
      <c r="BT350" s="539"/>
      <c r="BU350" s="539"/>
      <c r="BV350" s="539"/>
      <c r="BW350" s="539"/>
      <c r="BX350" s="539"/>
      <c r="BY350" s="539"/>
      <c r="BZ350" s="539"/>
      <c r="CA350" s="539"/>
      <c r="CB350" s="539"/>
      <c r="CC350" s="539"/>
      <c r="CD350" s="539"/>
      <c r="CE350" s="539"/>
      <c r="CF350" s="539"/>
      <c r="CG350" s="539"/>
      <c r="CH350" s="539"/>
      <c r="CI350" s="539"/>
      <c r="CJ350" s="539"/>
      <c r="CK350" s="539"/>
      <c r="CL350" s="539"/>
      <c r="CM350" s="539"/>
      <c r="CN350" s="539"/>
      <c r="CO350" s="539"/>
      <c r="CP350" s="539"/>
      <c r="CQ350" s="539"/>
      <c r="CR350" s="539"/>
      <c r="CS350" s="539"/>
      <c r="CT350" s="539"/>
      <c r="CU350" s="539"/>
      <c r="CV350" s="539"/>
      <c r="CW350" s="539"/>
      <c r="CX350" s="539"/>
      <c r="CY350" s="539"/>
      <c r="CZ350" s="539"/>
      <c r="DA350" s="539"/>
      <c r="DB350" s="539"/>
      <c r="DC350" s="539"/>
      <c r="DD350" s="539"/>
      <c r="DE350" s="539"/>
      <c r="DF350" s="539"/>
      <c r="DG350" s="539"/>
      <c r="DH350" s="539"/>
      <c r="DI350" s="539"/>
      <c r="DJ350" s="539"/>
      <c r="DK350" s="539"/>
      <c r="DL350" s="539"/>
      <c r="DM350" s="539"/>
      <c r="DN350" s="539"/>
      <c r="DO350" s="539"/>
      <c r="DP350" s="539"/>
      <c r="DQ350" s="539"/>
      <c r="DR350" s="539"/>
      <c r="DS350" s="539"/>
      <c r="DT350" s="539"/>
      <c r="DU350" s="539"/>
      <c r="DV350" s="539"/>
      <c r="DW350" s="539"/>
      <c r="DX350" s="539"/>
      <c r="DY350" s="539"/>
      <c r="DZ350" s="539"/>
      <c r="EA350" s="539"/>
      <c r="EB350" s="539"/>
      <c r="EC350" s="539"/>
      <c r="ED350" s="539"/>
    </row>
    <row r="351" spans="1:134" ht="13.5" customHeight="1">
      <c r="A351" s="539"/>
      <c r="B351" s="10" t="e">
        <f>+#REF!</f>
        <v>#REF!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539"/>
      <c r="AR351" s="539"/>
      <c r="AS351" s="539"/>
      <c r="AT351" s="539"/>
      <c r="AU351" s="539"/>
      <c r="AV351" s="539"/>
      <c r="AW351" s="539"/>
      <c r="AX351" s="539"/>
      <c r="AY351" s="539"/>
      <c r="AZ351" s="539"/>
      <c r="BA351" s="539"/>
      <c r="BB351" s="539"/>
      <c r="BC351" s="539"/>
      <c r="BD351" s="539"/>
      <c r="BE351" s="539"/>
      <c r="BF351" s="539"/>
      <c r="BG351" s="539"/>
      <c r="BH351" s="539"/>
      <c r="BI351" s="539"/>
      <c r="BJ351" s="539"/>
      <c r="BK351" s="539"/>
      <c r="BL351" s="539"/>
      <c r="BM351" s="539"/>
      <c r="BN351" s="539"/>
      <c r="BO351" s="539"/>
      <c r="BP351" s="539"/>
      <c r="BQ351" s="539"/>
      <c r="BR351" s="539"/>
      <c r="BS351" s="539"/>
      <c r="BT351" s="539"/>
      <c r="BU351" s="539"/>
      <c r="BV351" s="539"/>
      <c r="BW351" s="539"/>
      <c r="BX351" s="539"/>
      <c r="BY351" s="539"/>
      <c r="BZ351" s="539"/>
      <c r="CA351" s="539"/>
      <c r="CB351" s="539"/>
      <c r="CC351" s="539"/>
      <c r="CD351" s="539"/>
      <c r="CE351" s="539"/>
      <c r="CF351" s="539"/>
      <c r="CG351" s="539"/>
      <c r="CH351" s="539"/>
      <c r="CI351" s="539"/>
      <c r="CJ351" s="539"/>
      <c r="CK351" s="539"/>
      <c r="CL351" s="539"/>
      <c r="CM351" s="539"/>
      <c r="CN351" s="539"/>
      <c r="CO351" s="539"/>
      <c r="CP351" s="539"/>
      <c r="CQ351" s="539"/>
      <c r="CR351" s="539"/>
      <c r="CS351" s="539"/>
      <c r="CT351" s="539"/>
      <c r="CU351" s="539"/>
      <c r="CV351" s="539"/>
      <c r="CW351" s="539"/>
      <c r="CX351" s="539"/>
      <c r="CY351" s="539"/>
      <c r="CZ351" s="539"/>
      <c r="DA351" s="539"/>
      <c r="DB351" s="539"/>
      <c r="DC351" s="539"/>
      <c r="DD351" s="539"/>
      <c r="DE351" s="539"/>
      <c r="DF351" s="539"/>
      <c r="DG351" s="539"/>
      <c r="DH351" s="539"/>
      <c r="DI351" s="539"/>
      <c r="DJ351" s="539"/>
      <c r="DK351" s="539"/>
      <c r="DL351" s="539"/>
      <c r="DM351" s="539"/>
      <c r="DN351" s="539"/>
      <c r="DO351" s="539"/>
      <c r="DP351" s="539"/>
      <c r="DQ351" s="539"/>
      <c r="DR351" s="539"/>
      <c r="DS351" s="539"/>
      <c r="DT351" s="539"/>
      <c r="DU351" s="539"/>
      <c r="DV351" s="539"/>
      <c r="DW351" s="539"/>
      <c r="DX351" s="539"/>
      <c r="DY351" s="539"/>
      <c r="DZ351" s="539"/>
      <c r="EA351" s="539"/>
      <c r="EB351" s="539"/>
      <c r="EC351" s="539"/>
      <c r="ED351" s="539"/>
    </row>
    <row r="352" spans="1:134" ht="13.5" hidden="1" customHeight="1">
      <c r="A352" s="549"/>
      <c r="B352" s="11" t="e">
        <f>+#REF!</f>
        <v>#REF!</v>
      </c>
      <c r="C352" s="12">
        <v>0</v>
      </c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539"/>
      <c r="AR352" s="539"/>
      <c r="AS352" s="539"/>
      <c r="AT352" s="539"/>
      <c r="AU352" s="539"/>
      <c r="AV352" s="539"/>
      <c r="AW352" s="539"/>
      <c r="AX352" s="539"/>
      <c r="AY352" s="539"/>
      <c r="AZ352" s="539"/>
      <c r="BA352" s="539"/>
      <c r="BB352" s="539"/>
      <c r="BC352" s="539"/>
      <c r="BD352" s="539"/>
      <c r="BE352" s="539"/>
      <c r="BF352" s="539"/>
      <c r="BG352" s="539"/>
      <c r="BH352" s="539"/>
      <c r="BI352" s="539"/>
      <c r="BJ352" s="539"/>
      <c r="BK352" s="539"/>
      <c r="BL352" s="539"/>
      <c r="BM352" s="539"/>
      <c r="BN352" s="539"/>
      <c r="BO352" s="539"/>
      <c r="BP352" s="539"/>
      <c r="BQ352" s="539"/>
      <c r="BR352" s="539"/>
      <c r="BS352" s="539"/>
      <c r="BT352" s="539"/>
      <c r="BU352" s="539"/>
      <c r="BV352" s="539"/>
      <c r="BW352" s="539"/>
      <c r="BX352" s="539"/>
      <c r="BY352" s="539"/>
      <c r="BZ352" s="539"/>
      <c r="CA352" s="539"/>
      <c r="CB352" s="539"/>
      <c r="CC352" s="539"/>
      <c r="CD352" s="539"/>
      <c r="CE352" s="539"/>
      <c r="CF352" s="539"/>
      <c r="CG352" s="539"/>
      <c r="CH352" s="539"/>
      <c r="CI352" s="539"/>
      <c r="CJ352" s="539"/>
      <c r="CK352" s="539"/>
      <c r="CL352" s="539"/>
      <c r="CM352" s="539"/>
      <c r="CN352" s="539"/>
      <c r="CO352" s="539"/>
      <c r="CP352" s="539"/>
      <c r="CQ352" s="539"/>
      <c r="CR352" s="539"/>
      <c r="CS352" s="539"/>
      <c r="CT352" s="539"/>
      <c r="CU352" s="539"/>
      <c r="CV352" s="539"/>
      <c r="CW352" s="539"/>
      <c r="CX352" s="539"/>
      <c r="CY352" s="539"/>
      <c r="CZ352" s="539"/>
      <c r="DA352" s="539"/>
      <c r="DB352" s="539"/>
      <c r="DC352" s="539"/>
      <c r="DD352" s="539"/>
      <c r="DE352" s="539"/>
      <c r="DF352" s="539"/>
      <c r="DG352" s="539"/>
      <c r="DH352" s="539"/>
      <c r="DI352" s="539"/>
      <c r="DJ352" s="539"/>
      <c r="DK352" s="539"/>
      <c r="DL352" s="539"/>
      <c r="DM352" s="539"/>
      <c r="DN352" s="539"/>
      <c r="DO352" s="539"/>
      <c r="DP352" s="539"/>
      <c r="DQ352" s="539"/>
      <c r="DR352" s="539"/>
      <c r="DS352" s="539"/>
      <c r="DT352" s="539"/>
      <c r="DU352" s="539"/>
      <c r="DV352" s="539"/>
      <c r="DW352" s="539"/>
      <c r="DX352" s="539"/>
      <c r="DY352" s="539"/>
      <c r="DZ352" s="539"/>
      <c r="EA352" s="539"/>
      <c r="EB352" s="539"/>
      <c r="EC352" s="539"/>
      <c r="ED352" s="539"/>
    </row>
    <row r="353" spans="1:134" ht="13.5" hidden="1" customHeight="1">
      <c r="A353" s="549"/>
      <c r="B353" s="11" t="e">
        <f>+#REF!</f>
        <v>#REF!</v>
      </c>
      <c r="C353" s="12">
        <f>IF(ISNUMBER(Historical!E62),Historical!E62, )</f>
        <v>4700</v>
      </c>
      <c r="D353" s="12">
        <f>IF(ISNUMBER(Historical!G62),Historical!G62, )</f>
        <v>4701</v>
      </c>
      <c r="E353" s="12">
        <f>IF(ISNUMBER(Historical!I62),Historical!I62, )</f>
        <v>4702</v>
      </c>
      <c r="F353" s="12">
        <f>IF(ISNUMBER(Projection!H7),IF(MONTH(Projection!H7)&lt;&gt;12,IF(ISNUMBER(Projection!L55),Projection!L55, ),IF(ISNUMBER(Historical!K62),Historical!K62, )), )</f>
        <v>4703</v>
      </c>
      <c r="G353" s="12">
        <f>IF(ISNUMBER(Projection!H7),IF(MONTH(Projection!$H$7)&lt;&gt;12,IF(ISNUMBER(Projection!N55),Projection!N55, ),IF(ISNUMBER(Projection!L55),Projection!L55, )), )</f>
        <v>4703</v>
      </c>
      <c r="H353" s="12">
        <f>IF(ISNUMBER(Projection!H7),IF(MONTH(Projection!$H$7)&lt;&gt;12,IF(ISNUMBER(Projection!P55),Projection!P55, ),IF(ISNUMBER(Projection!N55),Projection!N55, )), )</f>
        <v>4703</v>
      </c>
      <c r="I353" s="12">
        <f>IF(ISNUMBER(Projection!H7),IF(MONTH(Projection!$H$7)&lt;&gt;12,IF(ISNUMBER(Projection!R55),Projection!R55, ),IF(ISNUMBER(Projection!P55),Projection!P55, )), )</f>
        <v>4703</v>
      </c>
      <c r="J353" s="12">
        <f>IF(ISNUMBER(Projection!H7),IF(MONTH(Projection!$H$7)&lt;&gt;12,IF(ISNUMBER(Projection!T55),Projection!T55, ),IF(ISNUMBER(Projection!R55),Projection!R55, )), )</f>
        <v>4703</v>
      </c>
      <c r="K353" s="12">
        <f>IF(ISNUMBER(Projection!H7),IF(MONTH(Projection!$H$7)&lt;&gt;12,IF(ISNUMBER(Projection!Z55),Projection!Z55, ),IF(ISNUMBER(Projection!T55),Projection!T55, )), )</f>
        <v>4703</v>
      </c>
      <c r="L353" s="12">
        <f>IF(ISNUMBER(Projection!H7),IF(MONTH(Projection!$H$7)&lt;&gt;12,IF(ISNUMBER(Projection!AB55),Projection!AB55, ),IF(ISNUMBER(Projection!Z55),Projection!Z55, )), )</f>
        <v>4703</v>
      </c>
      <c r="M353" s="12">
        <f>IF(ISNUMBER(Projection!$H$7),IF(MONTH(Projection!$H$7)&lt;&gt;12,IF(ISNUMBER(Projection!AD55),Projection!AD55, ),IF(ISNUMBER(Projection!AB55),Projection!AB55, )), )</f>
        <v>4703</v>
      </c>
      <c r="N353" s="12">
        <f>IF(ISNUMBER(Projection!$H$7),IF(MONTH(Projection!$H$7)&lt;&gt;12,IF(ISNUMBER(Projection!AF55),Projection!AF55, ),IF(ISNUMBER(Projection!AD55),Projection!AD55, )), )</f>
        <v>4703</v>
      </c>
      <c r="O353" s="12">
        <f>IF(ISNUMBER(Projection!$H$7),IF(MONTH(Projection!$H$7)&lt;&gt;12,IF(ISNUMBER(Projection!AH55),Projection!AH55, ),IF(ISNUMBER(Projection!AF55),Projection!AF55, )), )</f>
        <v>4703</v>
      </c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539"/>
      <c r="AR353" s="539"/>
      <c r="AS353" s="539"/>
      <c r="AT353" s="539"/>
      <c r="AU353" s="539"/>
      <c r="AV353" s="539"/>
      <c r="AW353" s="539"/>
      <c r="AX353" s="539"/>
      <c r="AY353" s="539"/>
      <c r="AZ353" s="539"/>
      <c r="BA353" s="539"/>
      <c r="BB353" s="539"/>
      <c r="BC353" s="539"/>
      <c r="BD353" s="539"/>
      <c r="BE353" s="539"/>
      <c r="BF353" s="539"/>
      <c r="BG353" s="539"/>
      <c r="BH353" s="539"/>
      <c r="BI353" s="539"/>
      <c r="BJ353" s="539"/>
      <c r="BK353" s="539"/>
      <c r="BL353" s="539"/>
      <c r="BM353" s="539"/>
      <c r="BN353" s="539"/>
      <c r="BO353" s="539"/>
      <c r="BP353" s="539"/>
      <c r="BQ353" s="539"/>
      <c r="BR353" s="539"/>
      <c r="BS353" s="539"/>
      <c r="BT353" s="539"/>
      <c r="BU353" s="539"/>
      <c r="BV353" s="539"/>
      <c r="BW353" s="539"/>
      <c r="BX353" s="539"/>
      <c r="BY353" s="539"/>
      <c r="BZ353" s="539"/>
      <c r="CA353" s="539"/>
      <c r="CB353" s="539"/>
      <c r="CC353" s="539"/>
      <c r="CD353" s="539"/>
      <c r="CE353" s="539"/>
      <c r="CF353" s="539"/>
      <c r="CG353" s="539"/>
      <c r="CH353" s="539"/>
      <c r="CI353" s="539"/>
      <c r="CJ353" s="539"/>
      <c r="CK353" s="539"/>
      <c r="CL353" s="539"/>
      <c r="CM353" s="539"/>
      <c r="CN353" s="539"/>
      <c r="CO353" s="539"/>
      <c r="CP353" s="539"/>
      <c r="CQ353" s="539"/>
      <c r="CR353" s="539"/>
      <c r="CS353" s="539"/>
      <c r="CT353" s="539"/>
      <c r="CU353" s="539"/>
      <c r="CV353" s="539"/>
      <c r="CW353" s="539"/>
      <c r="CX353" s="539"/>
      <c r="CY353" s="539"/>
      <c r="CZ353" s="539"/>
      <c r="DA353" s="539"/>
      <c r="DB353" s="539"/>
      <c r="DC353" s="539"/>
      <c r="DD353" s="539"/>
      <c r="DE353" s="539"/>
      <c r="DF353" s="539"/>
      <c r="DG353" s="539"/>
      <c r="DH353" s="539"/>
      <c r="DI353" s="539"/>
      <c r="DJ353" s="539"/>
      <c r="DK353" s="539"/>
      <c r="DL353" s="539"/>
      <c r="DM353" s="539"/>
      <c r="DN353" s="539"/>
      <c r="DO353" s="539"/>
      <c r="DP353" s="539"/>
      <c r="DQ353" s="539"/>
      <c r="DR353" s="539"/>
      <c r="DS353" s="539"/>
      <c r="DT353" s="539"/>
      <c r="DU353" s="539"/>
      <c r="DV353" s="539"/>
      <c r="DW353" s="539"/>
      <c r="DX353" s="539"/>
      <c r="DY353" s="539"/>
      <c r="DZ353" s="539"/>
      <c r="EA353" s="539"/>
      <c r="EB353" s="539"/>
      <c r="EC353" s="539"/>
      <c r="ED353" s="539"/>
    </row>
    <row r="354" spans="1:134" ht="13.5" hidden="1" customHeight="1">
      <c r="A354" s="549"/>
      <c r="B354" s="11" t="e">
        <f>+#REF!</f>
        <v>#REF!</v>
      </c>
      <c r="C354" s="12">
        <f>IF(ISNUMBER(Historical!E67),Historical!E67, )</f>
        <v>5200</v>
      </c>
      <c r="D354" s="12">
        <f>IF(ISNUMBER(Historical!G67),Historical!G67, )</f>
        <v>5201</v>
      </c>
      <c r="E354" s="12">
        <f>IF(ISNUMBER(Historical!I67),Historical!I67, )</f>
        <v>5202</v>
      </c>
      <c r="F354" s="12">
        <f>IF(ISNUMBER(Projection!H7),IF(MONTH(Projection!H7)&lt;&gt;12,IF(ISNUMBER(Projection!L58),Projection!L58, ),IF(ISNUMBER(Historical!K67),Historical!K67, )), )</f>
        <v>21006.2</v>
      </c>
      <c r="G354" s="12">
        <f>IF(ISNUMBER(Projection!H7),IF(MONTH(Projection!$H$7)&lt;&gt;12,IF(ISNUMBER(Projection!N58),Projection!N58, ),IF(ISNUMBER(Projection!L58),Projection!L58, )), )</f>
        <v>21006.2</v>
      </c>
      <c r="H354" s="12">
        <f>IF(ISNUMBER(Projection!H7),IF(MONTH(Projection!$H$7)&lt;&gt;12,IF(ISNUMBER(Projection!P58),Projection!P58, ),IF(ISNUMBER(Projection!N58),Projection!N58, )), )</f>
        <v>21006.2</v>
      </c>
      <c r="I354" s="12">
        <f>IF(ISNUMBER(Projection!H7),IF(MONTH(Projection!$H$7)&lt;&gt;12,IF(ISNUMBER(Projection!R58),Projection!R58, ),IF(ISNUMBER(Projection!P58),Projection!P58, )), )</f>
        <v>21006.2</v>
      </c>
      <c r="J354" s="12">
        <f>IF(ISNUMBER(Projection!H7),IF(MONTH(Projection!$H$7)&lt;&gt;12,IF(ISNUMBER(Projection!T58),Projection!T58, ),IF(ISNUMBER(Projection!R58),Projection!R58, )), )</f>
        <v>21006.2</v>
      </c>
      <c r="K354" s="12">
        <f>IF(ISNUMBER(Projection!H7),IF(MONTH(Projection!$H$7)&lt;&gt;12,IF(ISNUMBER(Projection!Z58),Projection!Z58, ),IF(ISNUMBER(Projection!T58),Projection!T58, )), )</f>
        <v>21006.2</v>
      </c>
      <c r="L354" s="12">
        <f>IF(ISNUMBER(Projection!H7),IF(MONTH(Projection!$H$7)&lt;&gt;12,IF(ISNUMBER(Projection!AB58),Projection!AB58, ),IF(ISNUMBER(Projection!Z58),Projection!Z58, )), )</f>
        <v>21006.2</v>
      </c>
      <c r="M354" s="12">
        <f>IF(ISNUMBER(Projection!$H$7),IF(MONTH(Projection!$H$7)&lt;&gt;12,IF(ISNUMBER(Projection!AD58),Projection!AD58, ),IF(ISNUMBER(Projection!AB58),Projection!AB58, )), )</f>
        <v>21006.2</v>
      </c>
      <c r="N354" s="12">
        <f>IF(ISNUMBER(Projection!$H$7),IF(MONTH(Projection!$H$7)&lt;&gt;12,IF(ISNUMBER(Projection!AF58),Projection!AF58, ),IF(ISNUMBER(Projection!AD58),Projection!AD58, )), )</f>
        <v>21006.2</v>
      </c>
      <c r="O354" s="12">
        <f>IF(ISNUMBER(Projection!$H$7),IF(MONTH(Projection!$H$7)&lt;&gt;12,IF(ISNUMBER(Projection!AH58),Projection!AH58, ),IF(ISNUMBER(Projection!AF58),Projection!AF58, )), )</f>
        <v>21006.2</v>
      </c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539"/>
      <c r="AR354" s="539"/>
      <c r="AS354" s="539"/>
      <c r="AT354" s="539"/>
      <c r="AU354" s="539"/>
      <c r="AV354" s="539"/>
      <c r="AW354" s="539"/>
      <c r="AX354" s="539"/>
      <c r="AY354" s="539"/>
      <c r="AZ354" s="539"/>
      <c r="BA354" s="539"/>
      <c r="BB354" s="539"/>
      <c r="BC354" s="539"/>
      <c r="BD354" s="539"/>
      <c r="BE354" s="539"/>
      <c r="BF354" s="539"/>
      <c r="BG354" s="539"/>
      <c r="BH354" s="539"/>
      <c r="BI354" s="539"/>
      <c r="BJ354" s="539"/>
      <c r="BK354" s="539"/>
      <c r="BL354" s="539"/>
      <c r="BM354" s="539"/>
      <c r="BN354" s="539"/>
      <c r="BO354" s="539"/>
      <c r="BP354" s="539"/>
      <c r="BQ354" s="539"/>
      <c r="BR354" s="539"/>
      <c r="BS354" s="539"/>
      <c r="BT354" s="539"/>
      <c r="BU354" s="539"/>
      <c r="BV354" s="539"/>
      <c r="BW354" s="539"/>
      <c r="BX354" s="539"/>
      <c r="BY354" s="539"/>
      <c r="BZ354" s="539"/>
      <c r="CA354" s="539"/>
      <c r="CB354" s="539"/>
      <c r="CC354" s="539"/>
      <c r="CD354" s="539"/>
      <c r="CE354" s="539"/>
      <c r="CF354" s="539"/>
      <c r="CG354" s="539"/>
      <c r="CH354" s="539"/>
      <c r="CI354" s="539"/>
      <c r="CJ354" s="539"/>
      <c r="CK354" s="539"/>
      <c r="CL354" s="539"/>
      <c r="CM354" s="539"/>
      <c r="CN354" s="539"/>
      <c r="CO354" s="539"/>
      <c r="CP354" s="539"/>
      <c r="CQ354" s="539"/>
      <c r="CR354" s="539"/>
      <c r="CS354" s="539"/>
      <c r="CT354" s="539"/>
      <c r="CU354" s="539"/>
      <c r="CV354" s="539"/>
      <c r="CW354" s="539"/>
      <c r="CX354" s="539"/>
      <c r="CY354" s="539"/>
      <c r="CZ354" s="539"/>
      <c r="DA354" s="539"/>
      <c r="DB354" s="539"/>
      <c r="DC354" s="539"/>
      <c r="DD354" s="539"/>
      <c r="DE354" s="539"/>
      <c r="DF354" s="539"/>
      <c r="DG354" s="539"/>
      <c r="DH354" s="539"/>
      <c r="DI354" s="539"/>
      <c r="DJ354" s="539"/>
      <c r="DK354" s="539"/>
      <c r="DL354" s="539"/>
      <c r="DM354" s="539"/>
      <c r="DN354" s="539"/>
      <c r="DO354" s="539"/>
      <c r="DP354" s="539"/>
      <c r="DQ354" s="539"/>
      <c r="DR354" s="539"/>
      <c r="DS354" s="539"/>
      <c r="DT354" s="539"/>
      <c r="DU354" s="539"/>
      <c r="DV354" s="539"/>
      <c r="DW354" s="539"/>
      <c r="DX354" s="539"/>
      <c r="DY354" s="539"/>
      <c r="DZ354" s="539"/>
      <c r="EA354" s="539"/>
      <c r="EB354" s="539"/>
      <c r="EC354" s="539"/>
      <c r="ED354" s="539"/>
    </row>
    <row r="355" spans="1:134" ht="12.75" hidden="1" customHeight="1">
      <c r="A355" s="549"/>
      <c r="B355" s="11" t="e">
        <f>+#REF!</f>
        <v>#REF!</v>
      </c>
      <c r="C355" s="12">
        <f>IF(ISNUMBER(Historical!E61),Historical!E61, )</f>
        <v>4600</v>
      </c>
      <c r="D355" s="12">
        <f>IF(ISNUMBER(Historical!G61),Historical!G61, )</f>
        <v>4601</v>
      </c>
      <c r="E355" s="12">
        <f>IF(ISNUMBER(Historical!I61),Historical!I61, )</f>
        <v>4602</v>
      </c>
      <c r="F355" s="12">
        <f>IF(ISNUMBER(Projection!H7),IF(MONTH(Projection!H7)&lt;&gt;12,IF(ISNUMBER(Projection!L54),Projection!L54, ),IF(ISNUMBER(Historical!K61),Historical!K61, )), )</f>
        <v>4603</v>
      </c>
      <c r="G355" s="12">
        <f>IF(ISNUMBER(Projection!H7),IF(MONTH(Projection!$H$7)&lt;&gt;12,IF(ISNUMBER(Projection!N54),Projection!N54, ),IF(ISNUMBER(Projection!L54),Projection!L54, )), )</f>
        <v>4603</v>
      </c>
      <c r="H355" s="12">
        <f>IF(ISNUMBER(Projection!H7),IF(MONTH(Projection!$H$7)&lt;&gt;12,IF(ISNUMBER(Projection!P54),Projection!P54, ),IF(ISNUMBER(Projection!N54),Projection!N54, )), )</f>
        <v>4603</v>
      </c>
      <c r="I355" s="12">
        <f>IF(ISNUMBER(Projection!H7),IF(MONTH(Projection!$H$7)&lt;&gt;12,IF(ISNUMBER(Projection!R54),Projection!R54, ),IF(ISNUMBER(Projection!P54),Projection!P54, )), )</f>
        <v>4603</v>
      </c>
      <c r="J355" s="12">
        <f>IF(ISNUMBER(Projection!H7),IF(MONTH(Projection!$H$7)&lt;&gt;12,IF(ISNUMBER(Projection!T54),Projection!T54, ),IF(ISNUMBER(Projection!R54),Projection!R54, )), )</f>
        <v>4603</v>
      </c>
      <c r="K355" s="12">
        <f>IF(ISNUMBER(Projection!H7),IF(MONTH(Projection!$H$7)&lt;&gt;12,IF(ISNUMBER(Projection!Z54),Projection!Z54, ),IF(ISNUMBER(Projection!T54),Projection!T54, )), )</f>
        <v>4603</v>
      </c>
      <c r="L355" s="12">
        <f>IF(ISNUMBER(Projection!H7),IF(MONTH(Projection!$H$7)&lt;&gt;12,IF(ISNUMBER(Projection!AB54),Projection!AB54, ),IF(ISNUMBER(Projection!Z54),Projection!Z54, )), )</f>
        <v>4603</v>
      </c>
      <c r="M355" s="12">
        <f>IF(ISNUMBER(Projection!$H$7),IF(MONTH(Projection!$H$7)&lt;&gt;12,IF(ISNUMBER(Projection!AD54),Projection!AD54, ),IF(ISNUMBER(Projection!AB54),Projection!AB54, )), )</f>
        <v>4603</v>
      </c>
      <c r="N355" s="12">
        <f>IF(ISNUMBER(Projection!$H$7),IF(MONTH(Projection!$H$7)&lt;&gt;12,IF(ISNUMBER(Projection!AF54),Projection!AF54, ),IF(ISNUMBER(Projection!AD54),Projection!AD54, )), )</f>
        <v>4603</v>
      </c>
      <c r="O355" s="12">
        <f>IF(ISNUMBER(Projection!$H$7),IF(MONTH(Projection!$H$7)&lt;&gt;12,IF(ISNUMBER(Projection!AH54),Projection!AH54, ),IF(ISNUMBER(Projection!AF54),Projection!AF54, )), )</f>
        <v>4603</v>
      </c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539"/>
      <c r="AR355" s="539"/>
      <c r="AS355" s="539"/>
      <c r="AT355" s="539"/>
      <c r="AU355" s="539"/>
      <c r="AV355" s="539"/>
      <c r="AW355" s="539"/>
      <c r="AX355" s="539"/>
      <c r="AY355" s="539"/>
      <c r="AZ355" s="539"/>
      <c r="BA355" s="539"/>
      <c r="BB355" s="539"/>
      <c r="BC355" s="539"/>
      <c r="BD355" s="539"/>
      <c r="BE355" s="539"/>
      <c r="BF355" s="539"/>
      <c r="BG355" s="539"/>
      <c r="BH355" s="539"/>
      <c r="BI355" s="539"/>
      <c r="BJ355" s="539"/>
      <c r="BK355" s="539"/>
      <c r="BL355" s="539"/>
      <c r="BM355" s="539"/>
      <c r="BN355" s="539"/>
      <c r="BO355" s="539"/>
      <c r="BP355" s="539"/>
      <c r="BQ355" s="539"/>
      <c r="BR355" s="539"/>
      <c r="BS355" s="539"/>
      <c r="BT355" s="539"/>
      <c r="BU355" s="539"/>
      <c r="BV355" s="539"/>
      <c r="BW355" s="539"/>
      <c r="BX355" s="539"/>
      <c r="BY355" s="539"/>
      <c r="BZ355" s="539"/>
      <c r="CA355" s="539"/>
      <c r="CB355" s="539"/>
      <c r="CC355" s="539"/>
      <c r="CD355" s="539"/>
      <c r="CE355" s="539"/>
      <c r="CF355" s="539"/>
      <c r="CG355" s="539"/>
      <c r="CH355" s="539"/>
      <c r="CI355" s="539"/>
      <c r="CJ355" s="539"/>
      <c r="CK355" s="539"/>
      <c r="CL355" s="539"/>
      <c r="CM355" s="539"/>
      <c r="CN355" s="539"/>
      <c r="CO355" s="539"/>
      <c r="CP355" s="539"/>
      <c r="CQ355" s="539"/>
      <c r="CR355" s="539"/>
      <c r="CS355" s="539"/>
      <c r="CT355" s="539"/>
      <c r="CU355" s="539"/>
      <c r="CV355" s="539"/>
      <c r="CW355" s="539"/>
      <c r="CX355" s="539"/>
      <c r="CY355" s="539"/>
      <c r="CZ355" s="539"/>
      <c r="DA355" s="539"/>
      <c r="DB355" s="539"/>
      <c r="DC355" s="539"/>
      <c r="DD355" s="539"/>
      <c r="DE355" s="539"/>
      <c r="DF355" s="539"/>
      <c r="DG355" s="539"/>
      <c r="DH355" s="539"/>
      <c r="DI355" s="539"/>
      <c r="DJ355" s="539"/>
      <c r="DK355" s="539"/>
      <c r="DL355" s="539"/>
      <c r="DM355" s="539"/>
      <c r="DN355" s="539"/>
      <c r="DO355" s="539"/>
      <c r="DP355" s="539"/>
      <c r="DQ355" s="539"/>
      <c r="DR355" s="539"/>
      <c r="DS355" s="539"/>
      <c r="DT355" s="539"/>
      <c r="DU355" s="539"/>
      <c r="DV355" s="539"/>
      <c r="DW355" s="539"/>
      <c r="DX355" s="539"/>
      <c r="DY355" s="539"/>
      <c r="DZ355" s="539"/>
      <c r="EA355" s="539"/>
      <c r="EB355" s="539"/>
      <c r="EC355" s="539"/>
      <c r="ED355" s="539"/>
    </row>
    <row r="356" spans="1:134" ht="13.5" hidden="1" customHeight="1">
      <c r="A356" s="549"/>
      <c r="B356" s="11" t="e">
        <f>+#REF!</f>
        <v>#REF!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539"/>
      <c r="AR356" s="539"/>
      <c r="AS356" s="539"/>
      <c r="AT356" s="539"/>
      <c r="AU356" s="539"/>
      <c r="AV356" s="539"/>
      <c r="AW356" s="539"/>
      <c r="AX356" s="539"/>
      <c r="AY356" s="539"/>
      <c r="AZ356" s="539"/>
      <c r="BA356" s="539"/>
      <c r="BB356" s="539"/>
      <c r="BC356" s="539"/>
      <c r="BD356" s="539"/>
      <c r="BE356" s="539"/>
      <c r="BF356" s="539"/>
      <c r="BG356" s="539"/>
      <c r="BH356" s="539"/>
      <c r="BI356" s="539"/>
      <c r="BJ356" s="539"/>
      <c r="BK356" s="539"/>
      <c r="BL356" s="539"/>
      <c r="BM356" s="539"/>
      <c r="BN356" s="539"/>
      <c r="BO356" s="539"/>
      <c r="BP356" s="539"/>
      <c r="BQ356" s="539"/>
      <c r="BR356" s="539"/>
      <c r="BS356" s="539"/>
      <c r="BT356" s="539"/>
      <c r="BU356" s="539"/>
      <c r="BV356" s="539"/>
      <c r="BW356" s="539"/>
      <c r="BX356" s="539"/>
      <c r="BY356" s="539"/>
      <c r="BZ356" s="539"/>
      <c r="CA356" s="539"/>
      <c r="CB356" s="539"/>
      <c r="CC356" s="539"/>
      <c r="CD356" s="539"/>
      <c r="CE356" s="539"/>
      <c r="CF356" s="539"/>
      <c r="CG356" s="539"/>
      <c r="CH356" s="539"/>
      <c r="CI356" s="539"/>
      <c r="CJ356" s="539"/>
      <c r="CK356" s="539"/>
      <c r="CL356" s="539"/>
      <c r="CM356" s="539"/>
      <c r="CN356" s="539"/>
      <c r="CO356" s="539"/>
      <c r="CP356" s="539"/>
      <c r="CQ356" s="539"/>
      <c r="CR356" s="539"/>
      <c r="CS356" s="539"/>
      <c r="CT356" s="539"/>
      <c r="CU356" s="539"/>
      <c r="CV356" s="539"/>
      <c r="CW356" s="539"/>
      <c r="CX356" s="539"/>
      <c r="CY356" s="539"/>
      <c r="CZ356" s="539"/>
      <c r="DA356" s="539"/>
      <c r="DB356" s="539"/>
      <c r="DC356" s="539"/>
      <c r="DD356" s="539"/>
      <c r="DE356" s="539"/>
      <c r="DF356" s="539"/>
      <c r="DG356" s="539"/>
      <c r="DH356" s="539"/>
      <c r="DI356" s="539"/>
      <c r="DJ356" s="539"/>
      <c r="DK356" s="539"/>
      <c r="DL356" s="539"/>
      <c r="DM356" s="539"/>
      <c r="DN356" s="539"/>
      <c r="DO356" s="539"/>
      <c r="DP356" s="539"/>
      <c r="DQ356" s="539"/>
      <c r="DR356" s="539"/>
      <c r="DS356" s="539"/>
      <c r="DT356" s="539"/>
      <c r="DU356" s="539"/>
      <c r="DV356" s="539"/>
      <c r="DW356" s="539"/>
      <c r="DX356" s="539"/>
      <c r="DY356" s="539"/>
      <c r="DZ356" s="539"/>
      <c r="EA356" s="539"/>
      <c r="EB356" s="539"/>
      <c r="EC356" s="539"/>
      <c r="ED356" s="539"/>
    </row>
    <row r="357" spans="1:134" ht="13.5" hidden="1" customHeight="1">
      <c r="A357" s="549"/>
      <c r="B357" s="11" t="e">
        <f>+#REF!</f>
        <v>#REF!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539"/>
      <c r="AR357" s="539"/>
      <c r="AS357" s="539"/>
      <c r="AT357" s="539"/>
      <c r="AU357" s="539"/>
      <c r="AV357" s="539"/>
      <c r="AW357" s="539"/>
      <c r="AX357" s="539"/>
      <c r="AY357" s="539"/>
      <c r="AZ357" s="539"/>
      <c r="BA357" s="539"/>
      <c r="BB357" s="539"/>
      <c r="BC357" s="539"/>
      <c r="BD357" s="539"/>
      <c r="BE357" s="539"/>
      <c r="BF357" s="539"/>
      <c r="BG357" s="539"/>
      <c r="BH357" s="539"/>
      <c r="BI357" s="539"/>
      <c r="BJ357" s="539"/>
      <c r="BK357" s="539"/>
      <c r="BL357" s="539"/>
      <c r="BM357" s="539"/>
      <c r="BN357" s="539"/>
      <c r="BO357" s="539"/>
      <c r="BP357" s="539"/>
      <c r="BQ357" s="539"/>
      <c r="BR357" s="539"/>
      <c r="BS357" s="539"/>
      <c r="BT357" s="539"/>
      <c r="BU357" s="539"/>
      <c r="BV357" s="539"/>
      <c r="BW357" s="539"/>
      <c r="BX357" s="539"/>
      <c r="BY357" s="539"/>
      <c r="BZ357" s="539"/>
      <c r="CA357" s="539"/>
      <c r="CB357" s="539"/>
      <c r="CC357" s="539"/>
      <c r="CD357" s="539"/>
      <c r="CE357" s="539"/>
      <c r="CF357" s="539"/>
      <c r="CG357" s="539"/>
      <c r="CH357" s="539"/>
      <c r="CI357" s="539"/>
      <c r="CJ357" s="539"/>
      <c r="CK357" s="539"/>
      <c r="CL357" s="539"/>
      <c r="CM357" s="539"/>
      <c r="CN357" s="539"/>
      <c r="CO357" s="539"/>
      <c r="CP357" s="539"/>
      <c r="CQ357" s="539"/>
      <c r="CR357" s="539"/>
      <c r="CS357" s="539"/>
      <c r="CT357" s="539"/>
      <c r="CU357" s="539"/>
      <c r="CV357" s="539"/>
      <c r="CW357" s="539"/>
      <c r="CX357" s="539"/>
      <c r="CY357" s="539"/>
      <c r="CZ357" s="539"/>
      <c r="DA357" s="539"/>
      <c r="DB357" s="539"/>
      <c r="DC357" s="539"/>
      <c r="DD357" s="539"/>
      <c r="DE357" s="539"/>
      <c r="DF357" s="539"/>
      <c r="DG357" s="539"/>
      <c r="DH357" s="539"/>
      <c r="DI357" s="539"/>
      <c r="DJ357" s="539"/>
      <c r="DK357" s="539"/>
      <c r="DL357" s="539"/>
      <c r="DM357" s="539"/>
      <c r="DN357" s="539"/>
      <c r="DO357" s="539"/>
      <c r="DP357" s="539"/>
      <c r="DQ357" s="539"/>
      <c r="DR357" s="539"/>
      <c r="DS357" s="539"/>
      <c r="DT357" s="539"/>
      <c r="DU357" s="539"/>
      <c r="DV357" s="539"/>
      <c r="DW357" s="539"/>
      <c r="DX357" s="539"/>
      <c r="DY357" s="539"/>
      <c r="DZ357" s="539"/>
      <c r="EA357" s="539"/>
      <c r="EB357" s="539"/>
      <c r="EC357" s="539"/>
      <c r="ED357" s="539"/>
    </row>
    <row r="358" spans="1:134" ht="13.5" hidden="1" customHeight="1">
      <c r="A358" s="549"/>
      <c r="B358" s="11" t="e">
        <f>+#REF!</f>
        <v>#REF!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539"/>
      <c r="AR358" s="539"/>
      <c r="AS358" s="539"/>
      <c r="AT358" s="539"/>
      <c r="AU358" s="539"/>
      <c r="AV358" s="539"/>
      <c r="AW358" s="539"/>
      <c r="AX358" s="539"/>
      <c r="AY358" s="539"/>
      <c r="AZ358" s="539"/>
      <c r="BA358" s="539"/>
      <c r="BB358" s="539"/>
      <c r="BC358" s="539"/>
      <c r="BD358" s="539"/>
      <c r="BE358" s="539"/>
      <c r="BF358" s="539"/>
      <c r="BG358" s="539"/>
      <c r="BH358" s="539"/>
      <c r="BI358" s="539"/>
      <c r="BJ358" s="539"/>
      <c r="BK358" s="539"/>
      <c r="BL358" s="539"/>
      <c r="BM358" s="539"/>
      <c r="BN358" s="539"/>
      <c r="BO358" s="539"/>
      <c r="BP358" s="539"/>
      <c r="BQ358" s="539"/>
      <c r="BR358" s="539"/>
      <c r="BS358" s="539"/>
      <c r="BT358" s="539"/>
      <c r="BU358" s="539"/>
      <c r="BV358" s="539"/>
      <c r="BW358" s="539"/>
      <c r="BX358" s="539"/>
      <c r="BY358" s="539"/>
      <c r="BZ358" s="539"/>
      <c r="CA358" s="539"/>
      <c r="CB358" s="539"/>
      <c r="CC358" s="539"/>
      <c r="CD358" s="539"/>
      <c r="CE358" s="539"/>
      <c r="CF358" s="539"/>
      <c r="CG358" s="539"/>
      <c r="CH358" s="539"/>
      <c r="CI358" s="539"/>
      <c r="CJ358" s="539"/>
      <c r="CK358" s="539"/>
      <c r="CL358" s="539"/>
      <c r="CM358" s="539"/>
      <c r="CN358" s="539"/>
      <c r="CO358" s="539"/>
      <c r="CP358" s="539"/>
      <c r="CQ358" s="539"/>
      <c r="CR358" s="539"/>
      <c r="CS358" s="539"/>
      <c r="CT358" s="539"/>
      <c r="CU358" s="539"/>
      <c r="CV358" s="539"/>
      <c r="CW358" s="539"/>
      <c r="CX358" s="539"/>
      <c r="CY358" s="539"/>
      <c r="CZ358" s="539"/>
      <c r="DA358" s="539"/>
      <c r="DB358" s="539"/>
      <c r="DC358" s="539"/>
      <c r="DD358" s="539"/>
      <c r="DE358" s="539"/>
      <c r="DF358" s="539"/>
      <c r="DG358" s="539"/>
      <c r="DH358" s="539"/>
      <c r="DI358" s="539"/>
      <c r="DJ358" s="539"/>
      <c r="DK358" s="539"/>
      <c r="DL358" s="539"/>
      <c r="DM358" s="539"/>
      <c r="DN358" s="539"/>
      <c r="DO358" s="539"/>
      <c r="DP358" s="539"/>
      <c r="DQ358" s="539"/>
      <c r="DR358" s="539"/>
      <c r="DS358" s="539"/>
      <c r="DT358" s="539"/>
      <c r="DU358" s="539"/>
      <c r="DV358" s="539"/>
      <c r="DW358" s="539"/>
      <c r="DX358" s="539"/>
      <c r="DY358" s="539"/>
      <c r="DZ358" s="539"/>
      <c r="EA358" s="539"/>
      <c r="EB358" s="539"/>
      <c r="EC358" s="539"/>
      <c r="ED358" s="539"/>
    </row>
    <row r="359" spans="1:134" ht="13.5" hidden="1" customHeight="1">
      <c r="A359" s="549"/>
      <c r="B359" s="11" t="e">
        <f>+#REF!</f>
        <v>#REF!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539"/>
      <c r="AR359" s="539"/>
      <c r="AS359" s="539"/>
      <c r="AT359" s="539"/>
      <c r="AU359" s="539"/>
      <c r="AV359" s="539"/>
      <c r="AW359" s="539"/>
      <c r="AX359" s="539"/>
      <c r="AY359" s="539"/>
      <c r="AZ359" s="539"/>
      <c r="BA359" s="539"/>
      <c r="BB359" s="539"/>
      <c r="BC359" s="539"/>
      <c r="BD359" s="539"/>
      <c r="BE359" s="539"/>
      <c r="BF359" s="539"/>
      <c r="BG359" s="539"/>
      <c r="BH359" s="539"/>
      <c r="BI359" s="539"/>
      <c r="BJ359" s="539"/>
      <c r="BK359" s="539"/>
      <c r="BL359" s="539"/>
      <c r="BM359" s="539"/>
      <c r="BN359" s="539"/>
      <c r="BO359" s="539"/>
      <c r="BP359" s="539"/>
      <c r="BQ359" s="539"/>
      <c r="BR359" s="539"/>
      <c r="BS359" s="539"/>
      <c r="BT359" s="539"/>
      <c r="BU359" s="539"/>
      <c r="BV359" s="539"/>
      <c r="BW359" s="539"/>
      <c r="BX359" s="539"/>
      <c r="BY359" s="539"/>
      <c r="BZ359" s="539"/>
      <c r="CA359" s="539"/>
      <c r="CB359" s="539"/>
      <c r="CC359" s="539"/>
      <c r="CD359" s="539"/>
      <c r="CE359" s="539"/>
      <c r="CF359" s="539"/>
      <c r="CG359" s="539"/>
      <c r="CH359" s="539"/>
      <c r="CI359" s="539"/>
      <c r="CJ359" s="539"/>
      <c r="CK359" s="539"/>
      <c r="CL359" s="539"/>
      <c r="CM359" s="539"/>
      <c r="CN359" s="539"/>
      <c r="CO359" s="539"/>
      <c r="CP359" s="539"/>
      <c r="CQ359" s="539"/>
      <c r="CR359" s="539"/>
      <c r="CS359" s="539"/>
      <c r="CT359" s="539"/>
      <c r="CU359" s="539"/>
      <c r="CV359" s="539"/>
      <c r="CW359" s="539"/>
      <c r="CX359" s="539"/>
      <c r="CY359" s="539"/>
      <c r="CZ359" s="539"/>
      <c r="DA359" s="539"/>
      <c r="DB359" s="539"/>
      <c r="DC359" s="539"/>
      <c r="DD359" s="539"/>
      <c r="DE359" s="539"/>
      <c r="DF359" s="539"/>
      <c r="DG359" s="539"/>
      <c r="DH359" s="539"/>
      <c r="DI359" s="539"/>
      <c r="DJ359" s="539"/>
      <c r="DK359" s="539"/>
      <c r="DL359" s="539"/>
      <c r="DM359" s="539"/>
      <c r="DN359" s="539"/>
      <c r="DO359" s="539"/>
      <c r="DP359" s="539"/>
      <c r="DQ359" s="539"/>
      <c r="DR359" s="539"/>
      <c r="DS359" s="539"/>
      <c r="DT359" s="539"/>
      <c r="DU359" s="539"/>
      <c r="DV359" s="539"/>
      <c r="DW359" s="539"/>
      <c r="DX359" s="539"/>
      <c r="DY359" s="539"/>
      <c r="DZ359" s="539"/>
      <c r="EA359" s="539"/>
      <c r="EB359" s="539"/>
      <c r="EC359" s="539"/>
      <c r="ED359" s="539"/>
    </row>
    <row r="360" spans="1:134" ht="12.75" hidden="1" customHeight="1">
      <c r="A360" s="549"/>
      <c r="B360" s="11" t="e">
        <f>+#REF!</f>
        <v>#REF!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539"/>
      <c r="AR360" s="539"/>
      <c r="AS360" s="539"/>
      <c r="AT360" s="539"/>
      <c r="AU360" s="539"/>
      <c r="AV360" s="539"/>
      <c r="AW360" s="539"/>
      <c r="AX360" s="539"/>
      <c r="AY360" s="539"/>
      <c r="AZ360" s="539"/>
      <c r="BA360" s="539"/>
      <c r="BB360" s="539"/>
      <c r="BC360" s="539"/>
      <c r="BD360" s="539"/>
      <c r="BE360" s="539"/>
      <c r="BF360" s="539"/>
      <c r="BG360" s="539"/>
      <c r="BH360" s="539"/>
      <c r="BI360" s="539"/>
      <c r="BJ360" s="539"/>
      <c r="BK360" s="539"/>
      <c r="BL360" s="539"/>
      <c r="BM360" s="539"/>
      <c r="BN360" s="539"/>
      <c r="BO360" s="539"/>
      <c r="BP360" s="539"/>
      <c r="BQ360" s="539"/>
      <c r="BR360" s="539"/>
      <c r="BS360" s="539"/>
      <c r="BT360" s="539"/>
      <c r="BU360" s="539"/>
      <c r="BV360" s="539"/>
      <c r="BW360" s="539"/>
      <c r="BX360" s="539"/>
      <c r="BY360" s="539"/>
      <c r="BZ360" s="539"/>
      <c r="CA360" s="539"/>
      <c r="CB360" s="539"/>
      <c r="CC360" s="539"/>
      <c r="CD360" s="539"/>
      <c r="CE360" s="539"/>
      <c r="CF360" s="539"/>
      <c r="CG360" s="539"/>
      <c r="CH360" s="539"/>
      <c r="CI360" s="539"/>
      <c r="CJ360" s="539"/>
      <c r="CK360" s="539"/>
      <c r="CL360" s="539"/>
      <c r="CM360" s="539"/>
      <c r="CN360" s="539"/>
      <c r="CO360" s="539"/>
      <c r="CP360" s="539"/>
      <c r="CQ360" s="539"/>
      <c r="CR360" s="539"/>
      <c r="CS360" s="539"/>
      <c r="CT360" s="539"/>
      <c r="CU360" s="539"/>
      <c r="CV360" s="539"/>
      <c r="CW360" s="539"/>
      <c r="CX360" s="539"/>
      <c r="CY360" s="539"/>
      <c r="CZ360" s="539"/>
      <c r="DA360" s="539"/>
      <c r="DB360" s="539"/>
      <c r="DC360" s="539"/>
      <c r="DD360" s="539"/>
      <c r="DE360" s="539"/>
      <c r="DF360" s="539"/>
      <c r="DG360" s="539"/>
      <c r="DH360" s="539"/>
      <c r="DI360" s="539"/>
      <c r="DJ360" s="539"/>
      <c r="DK360" s="539"/>
      <c r="DL360" s="539"/>
      <c r="DM360" s="539"/>
      <c r="DN360" s="539"/>
      <c r="DO360" s="539"/>
      <c r="DP360" s="539"/>
      <c r="DQ360" s="539"/>
      <c r="DR360" s="539"/>
      <c r="DS360" s="539"/>
      <c r="DT360" s="539"/>
      <c r="DU360" s="539"/>
      <c r="DV360" s="539"/>
      <c r="DW360" s="539"/>
      <c r="DX360" s="539"/>
      <c r="DY360" s="539"/>
      <c r="DZ360" s="539"/>
      <c r="EA360" s="539"/>
      <c r="EB360" s="539"/>
      <c r="EC360" s="539"/>
      <c r="ED360" s="539"/>
    </row>
    <row r="361" spans="1:134" ht="13.5" hidden="1" customHeight="1">
      <c r="A361" s="549"/>
      <c r="B361" s="11" t="e">
        <f>+#REF!</f>
        <v>#REF!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539"/>
      <c r="AR361" s="539"/>
      <c r="AS361" s="539"/>
      <c r="AT361" s="539"/>
      <c r="AU361" s="539"/>
      <c r="AV361" s="539"/>
      <c r="AW361" s="539"/>
      <c r="AX361" s="539"/>
      <c r="AY361" s="539"/>
      <c r="AZ361" s="539"/>
      <c r="BA361" s="539"/>
      <c r="BB361" s="539"/>
      <c r="BC361" s="539"/>
      <c r="BD361" s="539"/>
      <c r="BE361" s="539"/>
      <c r="BF361" s="539"/>
      <c r="BG361" s="539"/>
      <c r="BH361" s="539"/>
      <c r="BI361" s="539"/>
      <c r="BJ361" s="539"/>
      <c r="BK361" s="539"/>
      <c r="BL361" s="539"/>
      <c r="BM361" s="539"/>
      <c r="BN361" s="539"/>
      <c r="BO361" s="539"/>
      <c r="BP361" s="539"/>
      <c r="BQ361" s="539"/>
      <c r="BR361" s="539"/>
      <c r="BS361" s="539"/>
      <c r="BT361" s="539"/>
      <c r="BU361" s="539"/>
      <c r="BV361" s="539"/>
      <c r="BW361" s="539"/>
      <c r="BX361" s="539"/>
      <c r="BY361" s="539"/>
      <c r="BZ361" s="539"/>
      <c r="CA361" s="539"/>
      <c r="CB361" s="539"/>
      <c r="CC361" s="539"/>
      <c r="CD361" s="539"/>
      <c r="CE361" s="539"/>
      <c r="CF361" s="539"/>
      <c r="CG361" s="539"/>
      <c r="CH361" s="539"/>
      <c r="CI361" s="539"/>
      <c r="CJ361" s="539"/>
      <c r="CK361" s="539"/>
      <c r="CL361" s="539"/>
      <c r="CM361" s="539"/>
      <c r="CN361" s="539"/>
      <c r="CO361" s="539"/>
      <c r="CP361" s="539"/>
      <c r="CQ361" s="539"/>
      <c r="CR361" s="539"/>
      <c r="CS361" s="539"/>
      <c r="CT361" s="539"/>
      <c r="CU361" s="539"/>
      <c r="CV361" s="539"/>
      <c r="CW361" s="539"/>
      <c r="CX361" s="539"/>
      <c r="CY361" s="539"/>
      <c r="CZ361" s="539"/>
      <c r="DA361" s="539"/>
      <c r="DB361" s="539"/>
      <c r="DC361" s="539"/>
      <c r="DD361" s="539"/>
      <c r="DE361" s="539"/>
      <c r="DF361" s="539"/>
      <c r="DG361" s="539"/>
      <c r="DH361" s="539"/>
      <c r="DI361" s="539"/>
      <c r="DJ361" s="539"/>
      <c r="DK361" s="539"/>
      <c r="DL361" s="539"/>
      <c r="DM361" s="539"/>
      <c r="DN361" s="539"/>
      <c r="DO361" s="539"/>
      <c r="DP361" s="539"/>
      <c r="DQ361" s="539"/>
      <c r="DR361" s="539"/>
      <c r="DS361" s="539"/>
      <c r="DT361" s="539"/>
      <c r="DU361" s="539"/>
      <c r="DV361" s="539"/>
      <c r="DW361" s="539"/>
      <c r="DX361" s="539"/>
      <c r="DY361" s="539"/>
      <c r="DZ361" s="539"/>
      <c r="EA361" s="539"/>
      <c r="EB361" s="539"/>
      <c r="EC361" s="539"/>
      <c r="ED361" s="539"/>
    </row>
    <row r="362" spans="1:134" ht="13.5" hidden="1" customHeight="1">
      <c r="A362" s="549"/>
      <c r="B362" s="11" t="e">
        <f>+#REF!</f>
        <v>#REF!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539"/>
      <c r="AR362" s="539"/>
      <c r="AS362" s="539"/>
      <c r="AT362" s="539"/>
      <c r="AU362" s="539"/>
      <c r="AV362" s="539"/>
      <c r="AW362" s="539"/>
      <c r="AX362" s="539"/>
      <c r="AY362" s="539"/>
      <c r="AZ362" s="539"/>
      <c r="BA362" s="539"/>
      <c r="BB362" s="539"/>
      <c r="BC362" s="539"/>
      <c r="BD362" s="539"/>
      <c r="BE362" s="539"/>
      <c r="BF362" s="539"/>
      <c r="BG362" s="539"/>
      <c r="BH362" s="539"/>
      <c r="BI362" s="539"/>
      <c r="BJ362" s="539"/>
      <c r="BK362" s="539"/>
      <c r="BL362" s="539"/>
      <c r="BM362" s="539"/>
      <c r="BN362" s="539"/>
      <c r="BO362" s="539"/>
      <c r="BP362" s="539"/>
      <c r="BQ362" s="539"/>
      <c r="BR362" s="539"/>
      <c r="BS362" s="539"/>
      <c r="BT362" s="539"/>
      <c r="BU362" s="539"/>
      <c r="BV362" s="539"/>
      <c r="BW362" s="539"/>
      <c r="BX362" s="539"/>
      <c r="BY362" s="539"/>
      <c r="BZ362" s="539"/>
      <c r="CA362" s="539"/>
      <c r="CB362" s="539"/>
      <c r="CC362" s="539"/>
      <c r="CD362" s="539"/>
      <c r="CE362" s="539"/>
      <c r="CF362" s="539"/>
      <c r="CG362" s="539"/>
      <c r="CH362" s="539"/>
      <c r="CI362" s="539"/>
      <c r="CJ362" s="539"/>
      <c r="CK362" s="539"/>
      <c r="CL362" s="539"/>
      <c r="CM362" s="539"/>
      <c r="CN362" s="539"/>
      <c r="CO362" s="539"/>
      <c r="CP362" s="539"/>
      <c r="CQ362" s="539"/>
      <c r="CR362" s="539"/>
      <c r="CS362" s="539"/>
      <c r="CT362" s="539"/>
      <c r="CU362" s="539"/>
      <c r="CV362" s="539"/>
      <c r="CW362" s="539"/>
      <c r="CX362" s="539"/>
      <c r="CY362" s="539"/>
      <c r="CZ362" s="539"/>
      <c r="DA362" s="539"/>
      <c r="DB362" s="539"/>
      <c r="DC362" s="539"/>
      <c r="DD362" s="539"/>
      <c r="DE362" s="539"/>
      <c r="DF362" s="539"/>
      <c r="DG362" s="539"/>
      <c r="DH362" s="539"/>
      <c r="DI362" s="539"/>
      <c r="DJ362" s="539"/>
      <c r="DK362" s="539"/>
      <c r="DL362" s="539"/>
      <c r="DM362" s="539"/>
      <c r="DN362" s="539"/>
      <c r="DO362" s="539"/>
      <c r="DP362" s="539"/>
      <c r="DQ362" s="539"/>
      <c r="DR362" s="539"/>
      <c r="DS362" s="539"/>
      <c r="DT362" s="539"/>
      <c r="DU362" s="539"/>
      <c r="DV362" s="539"/>
      <c r="DW362" s="539"/>
      <c r="DX362" s="539"/>
      <c r="DY362" s="539"/>
      <c r="DZ362" s="539"/>
      <c r="EA362" s="539"/>
      <c r="EB362" s="539"/>
      <c r="EC362" s="539"/>
      <c r="ED362" s="539"/>
    </row>
    <row r="363" spans="1:134" ht="13.5" hidden="1" customHeight="1">
      <c r="A363" s="549"/>
      <c r="B363" s="11" t="e">
        <f>+#REF!</f>
        <v>#REF!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539"/>
      <c r="AR363" s="539"/>
      <c r="AS363" s="539"/>
      <c r="AT363" s="539"/>
      <c r="AU363" s="539"/>
      <c r="AV363" s="539"/>
      <c r="AW363" s="539"/>
      <c r="AX363" s="539"/>
      <c r="AY363" s="539"/>
      <c r="AZ363" s="539"/>
      <c r="BA363" s="539"/>
      <c r="BB363" s="539"/>
      <c r="BC363" s="539"/>
      <c r="BD363" s="539"/>
      <c r="BE363" s="539"/>
      <c r="BF363" s="539"/>
      <c r="BG363" s="539"/>
      <c r="BH363" s="539"/>
      <c r="BI363" s="539"/>
      <c r="BJ363" s="539"/>
      <c r="BK363" s="539"/>
      <c r="BL363" s="539"/>
      <c r="BM363" s="539"/>
      <c r="BN363" s="539"/>
      <c r="BO363" s="539"/>
      <c r="BP363" s="539"/>
      <c r="BQ363" s="539"/>
      <c r="BR363" s="539"/>
      <c r="BS363" s="539"/>
      <c r="BT363" s="539"/>
      <c r="BU363" s="539"/>
      <c r="BV363" s="539"/>
      <c r="BW363" s="539"/>
      <c r="BX363" s="539"/>
      <c r="BY363" s="539"/>
      <c r="BZ363" s="539"/>
      <c r="CA363" s="539"/>
      <c r="CB363" s="539"/>
      <c r="CC363" s="539"/>
      <c r="CD363" s="539"/>
      <c r="CE363" s="539"/>
      <c r="CF363" s="539"/>
      <c r="CG363" s="539"/>
      <c r="CH363" s="539"/>
      <c r="CI363" s="539"/>
      <c r="CJ363" s="539"/>
      <c r="CK363" s="539"/>
      <c r="CL363" s="539"/>
      <c r="CM363" s="539"/>
      <c r="CN363" s="539"/>
      <c r="CO363" s="539"/>
      <c r="CP363" s="539"/>
      <c r="CQ363" s="539"/>
      <c r="CR363" s="539"/>
      <c r="CS363" s="539"/>
      <c r="CT363" s="539"/>
      <c r="CU363" s="539"/>
      <c r="CV363" s="539"/>
      <c r="CW363" s="539"/>
      <c r="CX363" s="539"/>
      <c r="CY363" s="539"/>
      <c r="CZ363" s="539"/>
      <c r="DA363" s="539"/>
      <c r="DB363" s="539"/>
      <c r="DC363" s="539"/>
      <c r="DD363" s="539"/>
      <c r="DE363" s="539"/>
      <c r="DF363" s="539"/>
      <c r="DG363" s="539"/>
      <c r="DH363" s="539"/>
      <c r="DI363" s="539"/>
      <c r="DJ363" s="539"/>
      <c r="DK363" s="539"/>
      <c r="DL363" s="539"/>
      <c r="DM363" s="539"/>
      <c r="DN363" s="539"/>
      <c r="DO363" s="539"/>
      <c r="DP363" s="539"/>
      <c r="DQ363" s="539"/>
      <c r="DR363" s="539"/>
      <c r="DS363" s="539"/>
      <c r="DT363" s="539"/>
      <c r="DU363" s="539"/>
      <c r="DV363" s="539"/>
      <c r="DW363" s="539"/>
      <c r="DX363" s="539"/>
      <c r="DY363" s="539"/>
      <c r="DZ363" s="539"/>
      <c r="EA363" s="539"/>
      <c r="EB363" s="539"/>
      <c r="EC363" s="539"/>
      <c r="ED363" s="539"/>
    </row>
    <row r="364" spans="1:134" ht="13.5" hidden="1" customHeight="1">
      <c r="A364" s="549"/>
      <c r="B364" s="11" t="e">
        <f>+#REF!</f>
        <v>#REF!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539"/>
      <c r="AR364" s="539"/>
      <c r="AS364" s="539"/>
      <c r="AT364" s="539"/>
      <c r="AU364" s="539"/>
      <c r="AV364" s="539"/>
      <c r="AW364" s="539"/>
      <c r="AX364" s="539"/>
      <c r="AY364" s="539"/>
      <c r="AZ364" s="539"/>
      <c r="BA364" s="539"/>
      <c r="BB364" s="539"/>
      <c r="BC364" s="539"/>
      <c r="BD364" s="539"/>
      <c r="BE364" s="539"/>
      <c r="BF364" s="539"/>
      <c r="BG364" s="539"/>
      <c r="BH364" s="539"/>
      <c r="BI364" s="539"/>
      <c r="BJ364" s="539"/>
      <c r="BK364" s="539"/>
      <c r="BL364" s="539"/>
      <c r="BM364" s="539"/>
      <c r="BN364" s="539"/>
      <c r="BO364" s="539"/>
      <c r="BP364" s="539"/>
      <c r="BQ364" s="539"/>
      <c r="BR364" s="539"/>
      <c r="BS364" s="539"/>
      <c r="BT364" s="539"/>
      <c r="BU364" s="539"/>
      <c r="BV364" s="539"/>
      <c r="BW364" s="539"/>
      <c r="BX364" s="539"/>
      <c r="BY364" s="539"/>
      <c r="BZ364" s="539"/>
      <c r="CA364" s="539"/>
      <c r="CB364" s="539"/>
      <c r="CC364" s="539"/>
      <c r="CD364" s="539"/>
      <c r="CE364" s="539"/>
      <c r="CF364" s="539"/>
      <c r="CG364" s="539"/>
      <c r="CH364" s="539"/>
      <c r="CI364" s="539"/>
      <c r="CJ364" s="539"/>
      <c r="CK364" s="539"/>
      <c r="CL364" s="539"/>
      <c r="CM364" s="539"/>
      <c r="CN364" s="539"/>
      <c r="CO364" s="539"/>
      <c r="CP364" s="539"/>
      <c r="CQ364" s="539"/>
      <c r="CR364" s="539"/>
      <c r="CS364" s="539"/>
      <c r="CT364" s="539"/>
      <c r="CU364" s="539"/>
      <c r="CV364" s="539"/>
      <c r="CW364" s="539"/>
      <c r="CX364" s="539"/>
      <c r="CY364" s="539"/>
      <c r="CZ364" s="539"/>
      <c r="DA364" s="539"/>
      <c r="DB364" s="539"/>
      <c r="DC364" s="539"/>
      <c r="DD364" s="539"/>
      <c r="DE364" s="539"/>
      <c r="DF364" s="539"/>
      <c r="DG364" s="539"/>
      <c r="DH364" s="539"/>
      <c r="DI364" s="539"/>
      <c r="DJ364" s="539"/>
      <c r="DK364" s="539"/>
      <c r="DL364" s="539"/>
      <c r="DM364" s="539"/>
      <c r="DN364" s="539"/>
      <c r="DO364" s="539"/>
      <c r="DP364" s="539"/>
      <c r="DQ364" s="539"/>
      <c r="DR364" s="539"/>
      <c r="DS364" s="539"/>
      <c r="DT364" s="539"/>
      <c r="DU364" s="539"/>
      <c r="DV364" s="539"/>
      <c r="DW364" s="539"/>
      <c r="DX364" s="539"/>
      <c r="DY364" s="539"/>
      <c r="DZ364" s="539"/>
      <c r="EA364" s="539"/>
      <c r="EB364" s="539"/>
      <c r="EC364" s="539"/>
      <c r="ED364" s="539"/>
    </row>
    <row r="365" spans="1:134" ht="13.5" hidden="1" customHeight="1">
      <c r="A365" s="549"/>
      <c r="B365" s="11" t="e">
        <f>+#REF!</f>
        <v>#REF!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539"/>
      <c r="AR365" s="539"/>
      <c r="AS365" s="539"/>
      <c r="AT365" s="539"/>
      <c r="AU365" s="539"/>
      <c r="AV365" s="539"/>
      <c r="AW365" s="539"/>
      <c r="AX365" s="539"/>
      <c r="AY365" s="539"/>
      <c r="AZ365" s="539"/>
      <c r="BA365" s="539"/>
      <c r="BB365" s="539"/>
      <c r="BC365" s="539"/>
      <c r="BD365" s="539"/>
      <c r="BE365" s="539"/>
      <c r="BF365" s="539"/>
      <c r="BG365" s="539"/>
      <c r="BH365" s="539"/>
      <c r="BI365" s="539"/>
      <c r="BJ365" s="539"/>
      <c r="BK365" s="539"/>
      <c r="BL365" s="539"/>
      <c r="BM365" s="539"/>
      <c r="BN365" s="539"/>
      <c r="BO365" s="539"/>
      <c r="BP365" s="539"/>
      <c r="BQ365" s="539"/>
      <c r="BR365" s="539"/>
      <c r="BS365" s="539"/>
      <c r="BT365" s="539"/>
      <c r="BU365" s="539"/>
      <c r="BV365" s="539"/>
      <c r="BW365" s="539"/>
      <c r="BX365" s="539"/>
      <c r="BY365" s="539"/>
      <c r="BZ365" s="539"/>
      <c r="CA365" s="539"/>
      <c r="CB365" s="539"/>
      <c r="CC365" s="539"/>
      <c r="CD365" s="539"/>
      <c r="CE365" s="539"/>
      <c r="CF365" s="539"/>
      <c r="CG365" s="539"/>
      <c r="CH365" s="539"/>
      <c r="CI365" s="539"/>
      <c r="CJ365" s="539"/>
      <c r="CK365" s="539"/>
      <c r="CL365" s="539"/>
      <c r="CM365" s="539"/>
      <c r="CN365" s="539"/>
      <c r="CO365" s="539"/>
      <c r="CP365" s="539"/>
      <c r="CQ365" s="539"/>
      <c r="CR365" s="539"/>
      <c r="CS365" s="539"/>
      <c r="CT365" s="539"/>
      <c r="CU365" s="539"/>
      <c r="CV365" s="539"/>
      <c r="CW365" s="539"/>
      <c r="CX365" s="539"/>
      <c r="CY365" s="539"/>
      <c r="CZ365" s="539"/>
      <c r="DA365" s="539"/>
      <c r="DB365" s="539"/>
      <c r="DC365" s="539"/>
      <c r="DD365" s="539"/>
      <c r="DE365" s="539"/>
      <c r="DF365" s="539"/>
      <c r="DG365" s="539"/>
      <c r="DH365" s="539"/>
      <c r="DI365" s="539"/>
      <c r="DJ365" s="539"/>
      <c r="DK365" s="539"/>
      <c r="DL365" s="539"/>
      <c r="DM365" s="539"/>
      <c r="DN365" s="539"/>
      <c r="DO365" s="539"/>
      <c r="DP365" s="539"/>
      <c r="DQ365" s="539"/>
      <c r="DR365" s="539"/>
      <c r="DS365" s="539"/>
      <c r="DT365" s="539"/>
      <c r="DU365" s="539"/>
      <c r="DV365" s="539"/>
      <c r="DW365" s="539"/>
      <c r="DX365" s="539"/>
      <c r="DY365" s="539"/>
      <c r="DZ365" s="539"/>
      <c r="EA365" s="539"/>
      <c r="EB365" s="539"/>
      <c r="EC365" s="539"/>
      <c r="ED365" s="539"/>
    </row>
    <row r="366" spans="1:134" ht="13.5" hidden="1" customHeight="1">
      <c r="A366" s="549"/>
      <c r="B366" s="11" t="e">
        <f>+#REF!</f>
        <v>#REF!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539"/>
      <c r="AR366" s="539"/>
      <c r="AS366" s="539"/>
      <c r="AT366" s="539"/>
      <c r="AU366" s="539"/>
      <c r="AV366" s="539"/>
      <c r="AW366" s="539"/>
      <c r="AX366" s="539"/>
      <c r="AY366" s="539"/>
      <c r="AZ366" s="539"/>
      <c r="BA366" s="539"/>
      <c r="BB366" s="539"/>
      <c r="BC366" s="539"/>
      <c r="BD366" s="539"/>
      <c r="BE366" s="539"/>
      <c r="BF366" s="539"/>
      <c r="BG366" s="539"/>
      <c r="BH366" s="539"/>
      <c r="BI366" s="539"/>
      <c r="BJ366" s="539"/>
      <c r="BK366" s="539"/>
      <c r="BL366" s="539"/>
      <c r="BM366" s="539"/>
      <c r="BN366" s="539"/>
      <c r="BO366" s="539"/>
      <c r="BP366" s="539"/>
      <c r="BQ366" s="539"/>
      <c r="BR366" s="539"/>
      <c r="BS366" s="539"/>
      <c r="BT366" s="539"/>
      <c r="BU366" s="539"/>
      <c r="BV366" s="539"/>
      <c r="BW366" s="539"/>
      <c r="BX366" s="539"/>
      <c r="BY366" s="539"/>
      <c r="BZ366" s="539"/>
      <c r="CA366" s="539"/>
      <c r="CB366" s="539"/>
      <c r="CC366" s="539"/>
      <c r="CD366" s="539"/>
      <c r="CE366" s="539"/>
      <c r="CF366" s="539"/>
      <c r="CG366" s="539"/>
      <c r="CH366" s="539"/>
      <c r="CI366" s="539"/>
      <c r="CJ366" s="539"/>
      <c r="CK366" s="539"/>
      <c r="CL366" s="539"/>
      <c r="CM366" s="539"/>
      <c r="CN366" s="539"/>
      <c r="CO366" s="539"/>
      <c r="CP366" s="539"/>
      <c r="CQ366" s="539"/>
      <c r="CR366" s="539"/>
      <c r="CS366" s="539"/>
      <c r="CT366" s="539"/>
      <c r="CU366" s="539"/>
      <c r="CV366" s="539"/>
      <c r="CW366" s="539"/>
      <c r="CX366" s="539"/>
      <c r="CY366" s="539"/>
      <c r="CZ366" s="539"/>
      <c r="DA366" s="539"/>
      <c r="DB366" s="539"/>
      <c r="DC366" s="539"/>
      <c r="DD366" s="539"/>
      <c r="DE366" s="539"/>
      <c r="DF366" s="539"/>
      <c r="DG366" s="539"/>
      <c r="DH366" s="539"/>
      <c r="DI366" s="539"/>
      <c r="DJ366" s="539"/>
      <c r="DK366" s="539"/>
      <c r="DL366" s="539"/>
      <c r="DM366" s="539"/>
      <c r="DN366" s="539"/>
      <c r="DO366" s="539"/>
      <c r="DP366" s="539"/>
      <c r="DQ366" s="539"/>
      <c r="DR366" s="539"/>
      <c r="DS366" s="539"/>
      <c r="DT366" s="539"/>
      <c r="DU366" s="539"/>
      <c r="DV366" s="539"/>
      <c r="DW366" s="539"/>
      <c r="DX366" s="539"/>
      <c r="DY366" s="539"/>
      <c r="DZ366" s="539"/>
      <c r="EA366" s="539"/>
      <c r="EB366" s="539"/>
      <c r="EC366" s="539"/>
      <c r="ED366" s="539"/>
    </row>
    <row r="367" spans="1:134" ht="13.5" customHeight="1">
      <c r="A367" s="539"/>
      <c r="B367" s="10" t="e">
        <f>+#REF!</f>
        <v>#REF!</v>
      </c>
      <c r="C367" s="10">
        <v>1200</v>
      </c>
      <c r="D367" s="10">
        <v>1200</v>
      </c>
      <c r="E367" s="10">
        <v>1200</v>
      </c>
      <c r="F367" s="10">
        <v>1200</v>
      </c>
      <c r="G367" s="10">
        <v>1200</v>
      </c>
      <c r="H367" s="10">
        <v>1200</v>
      </c>
      <c r="I367" s="10">
        <v>1200</v>
      </c>
      <c r="J367" s="10">
        <v>1200</v>
      </c>
      <c r="K367" s="10">
        <v>1200</v>
      </c>
      <c r="L367" s="10">
        <v>1200</v>
      </c>
      <c r="M367" s="10">
        <v>1200</v>
      </c>
      <c r="N367" s="10">
        <v>1200</v>
      </c>
      <c r="O367" s="10">
        <v>1200</v>
      </c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539"/>
      <c r="AR367" s="539"/>
      <c r="AS367" s="539"/>
      <c r="AT367" s="539"/>
      <c r="AU367" s="539"/>
      <c r="AV367" s="539"/>
      <c r="AW367" s="539"/>
      <c r="AX367" s="539"/>
      <c r="AY367" s="539"/>
      <c r="AZ367" s="539"/>
      <c r="BA367" s="539"/>
      <c r="BB367" s="539"/>
      <c r="BC367" s="539"/>
      <c r="BD367" s="539"/>
      <c r="BE367" s="539"/>
      <c r="BF367" s="539"/>
      <c r="BG367" s="539"/>
      <c r="BH367" s="539"/>
      <c r="BI367" s="539"/>
      <c r="BJ367" s="539"/>
      <c r="BK367" s="539"/>
      <c r="BL367" s="539"/>
      <c r="BM367" s="539"/>
      <c r="BN367" s="539"/>
      <c r="BO367" s="539"/>
      <c r="BP367" s="539"/>
      <c r="BQ367" s="539"/>
      <c r="BR367" s="539"/>
      <c r="BS367" s="539"/>
      <c r="BT367" s="539"/>
      <c r="BU367" s="539"/>
      <c r="BV367" s="539"/>
      <c r="BW367" s="539"/>
      <c r="BX367" s="539"/>
      <c r="BY367" s="539"/>
      <c r="BZ367" s="539"/>
      <c r="CA367" s="539"/>
      <c r="CB367" s="539"/>
      <c r="CC367" s="539"/>
      <c r="CD367" s="539"/>
      <c r="CE367" s="539"/>
      <c r="CF367" s="539"/>
      <c r="CG367" s="539"/>
      <c r="CH367" s="539"/>
      <c r="CI367" s="539"/>
      <c r="CJ367" s="539"/>
      <c r="CK367" s="539"/>
      <c r="CL367" s="539"/>
      <c r="CM367" s="539"/>
      <c r="CN367" s="539"/>
      <c r="CO367" s="539"/>
      <c r="CP367" s="539"/>
      <c r="CQ367" s="539"/>
      <c r="CR367" s="539"/>
      <c r="CS367" s="539"/>
      <c r="CT367" s="539"/>
      <c r="CU367" s="539"/>
      <c r="CV367" s="539"/>
      <c r="CW367" s="539"/>
      <c r="CX367" s="539"/>
      <c r="CY367" s="539"/>
      <c r="CZ367" s="539"/>
      <c r="DA367" s="539"/>
      <c r="DB367" s="539"/>
      <c r="DC367" s="539"/>
      <c r="DD367" s="539"/>
      <c r="DE367" s="539"/>
      <c r="DF367" s="539"/>
      <c r="DG367" s="539"/>
      <c r="DH367" s="539"/>
      <c r="DI367" s="539"/>
      <c r="DJ367" s="539"/>
      <c r="DK367" s="539"/>
      <c r="DL367" s="539"/>
      <c r="DM367" s="539"/>
      <c r="DN367" s="539"/>
      <c r="DO367" s="539"/>
      <c r="DP367" s="539"/>
      <c r="DQ367" s="539"/>
      <c r="DR367" s="539"/>
      <c r="DS367" s="539"/>
      <c r="DT367" s="539"/>
      <c r="DU367" s="539"/>
      <c r="DV367" s="539"/>
      <c r="DW367" s="539"/>
      <c r="DX367" s="539"/>
      <c r="DY367" s="539"/>
      <c r="DZ367" s="539"/>
      <c r="EA367" s="539"/>
      <c r="EB367" s="539"/>
      <c r="EC367" s="539"/>
      <c r="ED367" s="539"/>
    </row>
    <row r="368" spans="1:134" ht="13.5" hidden="1" customHeight="1">
      <c r="A368" s="549"/>
      <c r="B368" s="11" t="e">
        <f>+#REF!</f>
        <v>#REF!</v>
      </c>
      <c r="C368" s="12">
        <f>IF(ISNUMBER(Historical!E68),Historical!E68, )</f>
        <v>5300</v>
      </c>
      <c r="D368" s="12">
        <f>IF(ISNUMBER(Historical!G68),Historical!G68, )</f>
        <v>5301</v>
      </c>
      <c r="E368" s="12">
        <f>IF(ISNUMBER(Historical!I68),Historical!I68, )</f>
        <v>5302</v>
      </c>
      <c r="F368" s="12">
        <f>IF(ISNUMBER(Projection!H7),IF(MONTH(Projection!H7)&lt;&gt;12,IF(ISNUMBER(Projection!L61),Projection!L61, ),IF(ISNUMBER(Historical!K68),Historical!K68, )), )</f>
        <v>5303</v>
      </c>
      <c r="G368" s="12">
        <f>IF(ISNUMBER(Projection!H7),IF(MONTH(Projection!$H$7)&lt;&gt;12,IF(ISNUMBER(Projection!N61),Projection!N61, ),IF(ISNUMBER(Projection!L61),Projection!L61, )), )</f>
        <v>5303</v>
      </c>
      <c r="H368" s="12">
        <f>IF(ISNUMBER(Projection!H7),IF(MONTH(Projection!$H$7)&lt;&gt;12,IF(ISNUMBER(Projection!P61),Projection!P61),IF(ISNUMBER(Projection!N61),Projection!N61, )), )</f>
        <v>5303</v>
      </c>
      <c r="I368" s="12">
        <f>IF(ISNUMBER(Projection!H7),IF(MONTH(Projection!$H$7)&lt;&gt;12,IF(ISNUMBER(Projection!R61),Projection!R61, ),IF(ISNUMBER(Projection!P61),Projection!P61, )), )</f>
        <v>5303</v>
      </c>
      <c r="J368" s="12">
        <f>IF(ISNUMBER(Projection!H7),IF(MONTH(Projection!$H$7)&lt;&gt;12,IF(ISNUMBER(Projection!T61),Projection!T61, ),IF(ISNUMBER(Projection!R61),Projection!R61, )), )</f>
        <v>5303</v>
      </c>
      <c r="K368" s="12">
        <f>IF(ISNUMBER(Projection!H7),IF(MONTH(Projection!$H$7)&lt;&gt;12,IF(ISNUMBER(Projection!Z61),Projection!Z61, ),IF(ISNUMBER(Projection!T61),Projection!T61, )), )</f>
        <v>5303</v>
      </c>
      <c r="L368" s="12">
        <f>IF(ISNUMBER(Projection!H7),IF(MONTH(Projection!$H$7)&lt;&gt;12,IF(ISNUMBER(Projection!AB61),Projection!AB61, ),IF(ISNUMBER(Projection!Z61),Projection!Z61, )), )</f>
        <v>5303</v>
      </c>
      <c r="M368" s="12">
        <f>IF(ISNUMBER(Projection!$H$7),IF(MONTH(Projection!$H$7)&lt;&gt;12,IF(ISNUMBER(Projection!AD61),Projection!AD61, ),IF(ISNUMBER(Projection!AB61),Projection!AB61, )), )</f>
        <v>5303</v>
      </c>
      <c r="N368" s="12">
        <f>IF(ISNUMBER(Projection!$H$7),IF(MONTH(Projection!$H$7)&lt;&gt;12,IF(ISNUMBER(Projection!AF61),Projection!AF61, ),IF(ISNUMBER(Projection!AD61),Projection!AD61, )), )</f>
        <v>5303</v>
      </c>
      <c r="O368" s="12">
        <f>IF(ISNUMBER(Projection!$H$7),IF(MONTH(Projection!$H$7)&lt;&gt;12,IF(ISNUMBER(Projection!AH61),Projection!AH61, ),IF(ISNUMBER(Projection!AF61),Projection!AF61, )), )</f>
        <v>5303</v>
      </c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539"/>
      <c r="AR368" s="539"/>
      <c r="AS368" s="539"/>
      <c r="AT368" s="539"/>
      <c r="AU368" s="539"/>
      <c r="AV368" s="539"/>
      <c r="AW368" s="539"/>
      <c r="AX368" s="539"/>
      <c r="AY368" s="539"/>
      <c r="AZ368" s="539"/>
      <c r="BA368" s="539"/>
      <c r="BB368" s="539"/>
      <c r="BC368" s="539"/>
      <c r="BD368" s="539"/>
      <c r="BE368" s="539"/>
      <c r="BF368" s="539"/>
      <c r="BG368" s="539"/>
      <c r="BH368" s="539"/>
      <c r="BI368" s="539"/>
      <c r="BJ368" s="539"/>
      <c r="BK368" s="539"/>
      <c r="BL368" s="539"/>
      <c r="BM368" s="539"/>
      <c r="BN368" s="539"/>
      <c r="BO368" s="539"/>
      <c r="BP368" s="539"/>
      <c r="BQ368" s="539"/>
      <c r="BR368" s="539"/>
      <c r="BS368" s="539"/>
      <c r="BT368" s="539"/>
      <c r="BU368" s="539"/>
      <c r="BV368" s="539"/>
      <c r="BW368" s="539"/>
      <c r="BX368" s="539"/>
      <c r="BY368" s="539"/>
      <c r="BZ368" s="539"/>
      <c r="CA368" s="539"/>
      <c r="CB368" s="539"/>
      <c r="CC368" s="539"/>
      <c r="CD368" s="539"/>
      <c r="CE368" s="539"/>
      <c r="CF368" s="539"/>
      <c r="CG368" s="539"/>
      <c r="CH368" s="539"/>
      <c r="CI368" s="539"/>
      <c r="CJ368" s="539"/>
      <c r="CK368" s="539"/>
      <c r="CL368" s="539"/>
      <c r="CM368" s="539"/>
      <c r="CN368" s="539"/>
      <c r="CO368" s="539"/>
      <c r="CP368" s="539"/>
      <c r="CQ368" s="539"/>
      <c r="CR368" s="539"/>
      <c r="CS368" s="539"/>
      <c r="CT368" s="539"/>
      <c r="CU368" s="539"/>
      <c r="CV368" s="539"/>
      <c r="CW368" s="539"/>
      <c r="CX368" s="539"/>
      <c r="CY368" s="539"/>
      <c r="CZ368" s="539"/>
      <c r="DA368" s="539"/>
      <c r="DB368" s="539"/>
      <c r="DC368" s="539"/>
      <c r="DD368" s="539"/>
      <c r="DE368" s="539"/>
      <c r="DF368" s="539"/>
      <c r="DG368" s="539"/>
      <c r="DH368" s="539"/>
      <c r="DI368" s="539"/>
      <c r="DJ368" s="539"/>
      <c r="DK368" s="539"/>
      <c r="DL368" s="539"/>
      <c r="DM368" s="539"/>
      <c r="DN368" s="539"/>
      <c r="DO368" s="539"/>
      <c r="DP368" s="539"/>
      <c r="DQ368" s="539"/>
      <c r="DR368" s="539"/>
      <c r="DS368" s="539"/>
      <c r="DT368" s="539"/>
      <c r="DU368" s="539"/>
      <c r="DV368" s="539"/>
      <c r="DW368" s="539"/>
      <c r="DX368" s="539"/>
      <c r="DY368" s="539"/>
      <c r="DZ368" s="539"/>
      <c r="EA368" s="539"/>
      <c r="EB368" s="539"/>
      <c r="EC368" s="539"/>
      <c r="ED368" s="539"/>
    </row>
    <row r="369" spans="1:134" ht="13.5" hidden="1" customHeight="1">
      <c r="A369" s="549"/>
      <c r="B369" s="11" t="e">
        <f>+#REF!</f>
        <v>#REF!</v>
      </c>
      <c r="C369" s="12">
        <f>IF(ISNUMBER(Historical!E64),Historical!E64, )</f>
        <v>4900</v>
      </c>
      <c r="D369" s="12">
        <f>IF(ISNUMBER(Historical!G64),Historical!G64, )</f>
        <v>4901</v>
      </c>
      <c r="E369" s="12">
        <f>IF(ISNUMBER(Historical!I64),Historical!I64, )</f>
        <v>4902</v>
      </c>
      <c r="F369" s="12">
        <f>IF(ISNUMBER(Projection!H7),IF(MONTH(Projection!H7)&lt;&gt;12,IF(ISNUMBER(Projection!L56),Projection!L56, ),IF(ISNUMBER(Historical!K64),Historical!K64, )), )</f>
        <v>4803</v>
      </c>
      <c r="G369" s="12">
        <f>IF(ISNUMBER(Projection!H7),IF(MONTH(Projection!$H$7)&lt;&gt;12,IF(ISNUMBER(Projection!N56),Projection!N56, ),IF(ISNUMBER(Projection!L56),Projection!L56, )), )</f>
        <v>4803</v>
      </c>
      <c r="H369" s="12">
        <f>IF(ISNUMBER(Projection!H7),IF(MONTH(Projection!$H$7)&lt;&gt;12,IF(ISNUMBER(Projection!P56),Projection!P56, ),IF(ISNUMBER(Projection!N56),Projection!N56, )), )</f>
        <v>4803</v>
      </c>
      <c r="I369" s="12">
        <f>IF(ISNUMBER(Projection!H7),IF(MONTH(Projection!$H$7)&lt;&gt;12,IF(ISNUMBER(Projection!R56),Projection!R56, ),IF(ISNUMBER(Projection!P56),Projection!P56, )), )</f>
        <v>4803</v>
      </c>
      <c r="J369" s="12">
        <f>IF(ISNUMBER(Projection!H7),IF(MONTH(Projection!$H$7)&lt;&gt;12,IF(ISNUMBER(Projection!T56),Projection!T56, ),IF(ISNUMBER(Projection!R56),Projection!R56, )), )</f>
        <v>4803</v>
      </c>
      <c r="K369" s="12">
        <f>IF(ISNUMBER(Projection!H7),IF(MONTH(Projection!$H$7)&lt;&gt;12,IF(ISNUMBER(Projection!Z56),Projection!Z56, ),IF(ISNUMBER(Projection!T56),Projection!T56, )), )</f>
        <v>4803</v>
      </c>
      <c r="L369" s="12">
        <f>IF(ISNUMBER(Projection!H7),IF(MONTH(Projection!$H$7)&lt;&gt;12,IF(ISNUMBER(Projection!AB56),Projection!AB56, ),IF(ISNUMBER(Projection!Z56),Projection!Z56, )), )</f>
        <v>4803</v>
      </c>
      <c r="M369" s="12">
        <f>IF(ISNUMBER(Projection!$H$7),IF(MONTH(Projection!$H$7)&lt;&gt;12,IF(ISNUMBER(Projection!AD56),Projection!AD56, ),IF(ISNUMBER(Projection!AB56),Projection!AB56, )), )</f>
        <v>4803</v>
      </c>
      <c r="N369" s="12">
        <f>IF(ISNUMBER(Projection!$H$7),IF(MONTH(Projection!$H$7)&lt;&gt;12,IF(ISNUMBER(Projection!AF56),Projection!AF56, ),IF(ISNUMBER(Projection!AD56),Projection!AD56, )), )</f>
        <v>4803</v>
      </c>
      <c r="O369" s="12">
        <f>IF(ISNUMBER(Projection!$H$7),IF(MONTH(Projection!$H$7)&lt;&gt;12,IF(ISNUMBER(Projection!AH56),Projection!AH56, ),IF(ISNUMBER(Projection!AF56),Projection!AF56, )), )</f>
        <v>4803</v>
      </c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539"/>
      <c r="AR369" s="539"/>
      <c r="AS369" s="539"/>
      <c r="AT369" s="539"/>
      <c r="AU369" s="539"/>
      <c r="AV369" s="539"/>
      <c r="AW369" s="539"/>
      <c r="AX369" s="539"/>
      <c r="AY369" s="539"/>
      <c r="AZ369" s="539"/>
      <c r="BA369" s="539"/>
      <c r="BB369" s="539"/>
      <c r="BC369" s="539"/>
      <c r="BD369" s="539"/>
      <c r="BE369" s="539"/>
      <c r="BF369" s="539"/>
      <c r="BG369" s="539"/>
      <c r="BH369" s="539"/>
      <c r="BI369" s="539"/>
      <c r="BJ369" s="539"/>
      <c r="BK369" s="539"/>
      <c r="BL369" s="539"/>
      <c r="BM369" s="539"/>
      <c r="BN369" s="539"/>
      <c r="BO369" s="539"/>
      <c r="BP369" s="539"/>
      <c r="BQ369" s="539"/>
      <c r="BR369" s="539"/>
      <c r="BS369" s="539"/>
      <c r="BT369" s="539"/>
      <c r="BU369" s="539"/>
      <c r="BV369" s="539"/>
      <c r="BW369" s="539"/>
      <c r="BX369" s="539"/>
      <c r="BY369" s="539"/>
      <c r="BZ369" s="539"/>
      <c r="CA369" s="539"/>
      <c r="CB369" s="539"/>
      <c r="CC369" s="539"/>
      <c r="CD369" s="539"/>
      <c r="CE369" s="539"/>
      <c r="CF369" s="539"/>
      <c r="CG369" s="539"/>
      <c r="CH369" s="539"/>
      <c r="CI369" s="539"/>
      <c r="CJ369" s="539"/>
      <c r="CK369" s="539"/>
      <c r="CL369" s="539"/>
      <c r="CM369" s="539"/>
      <c r="CN369" s="539"/>
      <c r="CO369" s="539"/>
      <c r="CP369" s="539"/>
      <c r="CQ369" s="539"/>
      <c r="CR369" s="539"/>
      <c r="CS369" s="539"/>
      <c r="CT369" s="539"/>
      <c r="CU369" s="539"/>
      <c r="CV369" s="539"/>
      <c r="CW369" s="539"/>
      <c r="CX369" s="539"/>
      <c r="CY369" s="539"/>
      <c r="CZ369" s="539"/>
      <c r="DA369" s="539"/>
      <c r="DB369" s="539"/>
      <c r="DC369" s="539"/>
      <c r="DD369" s="539"/>
      <c r="DE369" s="539"/>
      <c r="DF369" s="539"/>
      <c r="DG369" s="539"/>
      <c r="DH369" s="539"/>
      <c r="DI369" s="539"/>
      <c r="DJ369" s="539"/>
      <c r="DK369" s="539"/>
      <c r="DL369" s="539"/>
      <c r="DM369" s="539"/>
      <c r="DN369" s="539"/>
      <c r="DO369" s="539"/>
      <c r="DP369" s="539"/>
      <c r="DQ369" s="539"/>
      <c r="DR369" s="539"/>
      <c r="DS369" s="539"/>
      <c r="DT369" s="539"/>
      <c r="DU369" s="539"/>
      <c r="DV369" s="539"/>
      <c r="DW369" s="539"/>
      <c r="DX369" s="539"/>
      <c r="DY369" s="539"/>
      <c r="DZ369" s="539"/>
      <c r="EA369" s="539"/>
      <c r="EB369" s="539"/>
      <c r="EC369" s="539"/>
      <c r="ED369" s="539"/>
    </row>
    <row r="370" spans="1:134" ht="13.5" hidden="1" customHeight="1">
      <c r="A370" s="549"/>
      <c r="B370" s="11" t="e">
        <f>+#REF!</f>
        <v>#REF!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539"/>
      <c r="AR370" s="539"/>
      <c r="AS370" s="539"/>
      <c r="AT370" s="539"/>
      <c r="AU370" s="539"/>
      <c r="AV370" s="539"/>
      <c r="AW370" s="539"/>
      <c r="AX370" s="539"/>
      <c r="AY370" s="539"/>
      <c r="AZ370" s="539"/>
      <c r="BA370" s="539"/>
      <c r="BB370" s="539"/>
      <c r="BC370" s="539"/>
      <c r="BD370" s="539"/>
      <c r="BE370" s="539"/>
      <c r="BF370" s="539"/>
      <c r="BG370" s="539"/>
      <c r="BH370" s="539"/>
      <c r="BI370" s="539"/>
      <c r="BJ370" s="539"/>
      <c r="BK370" s="539"/>
      <c r="BL370" s="539"/>
      <c r="BM370" s="539"/>
      <c r="BN370" s="539"/>
      <c r="BO370" s="539"/>
      <c r="BP370" s="539"/>
      <c r="BQ370" s="539"/>
      <c r="BR370" s="539"/>
      <c r="BS370" s="539"/>
      <c r="BT370" s="539"/>
      <c r="BU370" s="539"/>
      <c r="BV370" s="539"/>
      <c r="BW370" s="539"/>
      <c r="BX370" s="539"/>
      <c r="BY370" s="539"/>
      <c r="BZ370" s="539"/>
      <c r="CA370" s="539"/>
      <c r="CB370" s="539"/>
      <c r="CC370" s="539"/>
      <c r="CD370" s="539"/>
      <c r="CE370" s="539"/>
      <c r="CF370" s="539"/>
      <c r="CG370" s="539"/>
      <c r="CH370" s="539"/>
      <c r="CI370" s="539"/>
      <c r="CJ370" s="539"/>
      <c r="CK370" s="539"/>
      <c r="CL370" s="539"/>
      <c r="CM370" s="539"/>
      <c r="CN370" s="539"/>
      <c r="CO370" s="539"/>
      <c r="CP370" s="539"/>
      <c r="CQ370" s="539"/>
      <c r="CR370" s="539"/>
      <c r="CS370" s="539"/>
      <c r="CT370" s="539"/>
      <c r="CU370" s="539"/>
      <c r="CV370" s="539"/>
      <c r="CW370" s="539"/>
      <c r="CX370" s="539"/>
      <c r="CY370" s="539"/>
      <c r="CZ370" s="539"/>
      <c r="DA370" s="539"/>
      <c r="DB370" s="539"/>
      <c r="DC370" s="539"/>
      <c r="DD370" s="539"/>
      <c r="DE370" s="539"/>
      <c r="DF370" s="539"/>
      <c r="DG370" s="539"/>
      <c r="DH370" s="539"/>
      <c r="DI370" s="539"/>
      <c r="DJ370" s="539"/>
      <c r="DK370" s="539"/>
      <c r="DL370" s="539"/>
      <c r="DM370" s="539"/>
      <c r="DN370" s="539"/>
      <c r="DO370" s="539"/>
      <c r="DP370" s="539"/>
      <c r="DQ370" s="539"/>
      <c r="DR370" s="539"/>
      <c r="DS370" s="539"/>
      <c r="DT370" s="539"/>
      <c r="DU370" s="539"/>
      <c r="DV370" s="539"/>
      <c r="DW370" s="539"/>
      <c r="DX370" s="539"/>
      <c r="DY370" s="539"/>
      <c r="DZ370" s="539"/>
      <c r="EA370" s="539"/>
      <c r="EB370" s="539"/>
      <c r="EC370" s="539"/>
      <c r="ED370" s="539"/>
    </row>
    <row r="371" spans="1:134" ht="13.5" hidden="1" customHeight="1">
      <c r="A371" s="549"/>
      <c r="B371" s="11" t="e">
        <f>+#REF!</f>
        <v>#REF!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539"/>
      <c r="AR371" s="539"/>
      <c r="AS371" s="539"/>
      <c r="AT371" s="539"/>
      <c r="AU371" s="539"/>
      <c r="AV371" s="539"/>
      <c r="AW371" s="539"/>
      <c r="AX371" s="539"/>
      <c r="AY371" s="539"/>
      <c r="AZ371" s="539"/>
      <c r="BA371" s="539"/>
      <c r="BB371" s="539"/>
      <c r="BC371" s="539"/>
      <c r="BD371" s="539"/>
      <c r="BE371" s="539"/>
      <c r="BF371" s="539"/>
      <c r="BG371" s="539"/>
      <c r="BH371" s="539"/>
      <c r="BI371" s="539"/>
      <c r="BJ371" s="539"/>
      <c r="BK371" s="539"/>
      <c r="BL371" s="539"/>
      <c r="BM371" s="539"/>
      <c r="BN371" s="539"/>
      <c r="BO371" s="539"/>
      <c r="BP371" s="539"/>
      <c r="BQ371" s="539"/>
      <c r="BR371" s="539"/>
      <c r="BS371" s="539"/>
      <c r="BT371" s="539"/>
      <c r="BU371" s="539"/>
      <c r="BV371" s="539"/>
      <c r="BW371" s="539"/>
      <c r="BX371" s="539"/>
      <c r="BY371" s="539"/>
      <c r="BZ371" s="539"/>
      <c r="CA371" s="539"/>
      <c r="CB371" s="539"/>
      <c r="CC371" s="539"/>
      <c r="CD371" s="539"/>
      <c r="CE371" s="539"/>
      <c r="CF371" s="539"/>
      <c r="CG371" s="539"/>
      <c r="CH371" s="539"/>
      <c r="CI371" s="539"/>
      <c r="CJ371" s="539"/>
      <c r="CK371" s="539"/>
      <c r="CL371" s="539"/>
      <c r="CM371" s="539"/>
      <c r="CN371" s="539"/>
      <c r="CO371" s="539"/>
      <c r="CP371" s="539"/>
      <c r="CQ371" s="539"/>
      <c r="CR371" s="539"/>
      <c r="CS371" s="539"/>
      <c r="CT371" s="539"/>
      <c r="CU371" s="539"/>
      <c r="CV371" s="539"/>
      <c r="CW371" s="539"/>
      <c r="CX371" s="539"/>
      <c r="CY371" s="539"/>
      <c r="CZ371" s="539"/>
      <c r="DA371" s="539"/>
      <c r="DB371" s="539"/>
      <c r="DC371" s="539"/>
      <c r="DD371" s="539"/>
      <c r="DE371" s="539"/>
      <c r="DF371" s="539"/>
      <c r="DG371" s="539"/>
      <c r="DH371" s="539"/>
      <c r="DI371" s="539"/>
      <c r="DJ371" s="539"/>
      <c r="DK371" s="539"/>
      <c r="DL371" s="539"/>
      <c r="DM371" s="539"/>
      <c r="DN371" s="539"/>
      <c r="DO371" s="539"/>
      <c r="DP371" s="539"/>
      <c r="DQ371" s="539"/>
      <c r="DR371" s="539"/>
      <c r="DS371" s="539"/>
      <c r="DT371" s="539"/>
      <c r="DU371" s="539"/>
      <c r="DV371" s="539"/>
      <c r="DW371" s="539"/>
      <c r="DX371" s="539"/>
      <c r="DY371" s="539"/>
      <c r="DZ371" s="539"/>
      <c r="EA371" s="539"/>
      <c r="EB371" s="539"/>
      <c r="EC371" s="539"/>
      <c r="ED371" s="539"/>
    </row>
    <row r="372" spans="1:134" ht="13.5" hidden="1" customHeight="1">
      <c r="A372" s="549"/>
      <c r="B372" s="11" t="e">
        <f>+#REF!</f>
        <v>#REF!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539"/>
      <c r="AR372" s="539"/>
      <c r="AS372" s="539"/>
      <c r="AT372" s="539"/>
      <c r="AU372" s="539"/>
      <c r="AV372" s="539"/>
      <c r="AW372" s="539"/>
      <c r="AX372" s="539"/>
      <c r="AY372" s="539"/>
      <c r="AZ372" s="539"/>
      <c r="BA372" s="539"/>
      <c r="BB372" s="539"/>
      <c r="BC372" s="539"/>
      <c r="BD372" s="539"/>
      <c r="BE372" s="539"/>
      <c r="BF372" s="539"/>
      <c r="BG372" s="539"/>
      <c r="BH372" s="539"/>
      <c r="BI372" s="539"/>
      <c r="BJ372" s="539"/>
      <c r="BK372" s="539"/>
      <c r="BL372" s="539"/>
      <c r="BM372" s="539"/>
      <c r="BN372" s="539"/>
      <c r="BO372" s="539"/>
      <c r="BP372" s="539"/>
      <c r="BQ372" s="539"/>
      <c r="BR372" s="539"/>
      <c r="BS372" s="539"/>
      <c r="BT372" s="539"/>
      <c r="BU372" s="539"/>
      <c r="BV372" s="539"/>
      <c r="BW372" s="539"/>
      <c r="BX372" s="539"/>
      <c r="BY372" s="539"/>
      <c r="BZ372" s="539"/>
      <c r="CA372" s="539"/>
      <c r="CB372" s="539"/>
      <c r="CC372" s="539"/>
      <c r="CD372" s="539"/>
      <c r="CE372" s="539"/>
      <c r="CF372" s="539"/>
      <c r="CG372" s="539"/>
      <c r="CH372" s="539"/>
      <c r="CI372" s="539"/>
      <c r="CJ372" s="539"/>
      <c r="CK372" s="539"/>
      <c r="CL372" s="539"/>
      <c r="CM372" s="539"/>
      <c r="CN372" s="539"/>
      <c r="CO372" s="539"/>
      <c r="CP372" s="539"/>
      <c r="CQ372" s="539"/>
      <c r="CR372" s="539"/>
      <c r="CS372" s="539"/>
      <c r="CT372" s="539"/>
      <c r="CU372" s="539"/>
      <c r="CV372" s="539"/>
      <c r="CW372" s="539"/>
      <c r="CX372" s="539"/>
      <c r="CY372" s="539"/>
      <c r="CZ372" s="539"/>
      <c r="DA372" s="539"/>
      <c r="DB372" s="539"/>
      <c r="DC372" s="539"/>
      <c r="DD372" s="539"/>
      <c r="DE372" s="539"/>
      <c r="DF372" s="539"/>
      <c r="DG372" s="539"/>
      <c r="DH372" s="539"/>
      <c r="DI372" s="539"/>
      <c r="DJ372" s="539"/>
      <c r="DK372" s="539"/>
      <c r="DL372" s="539"/>
      <c r="DM372" s="539"/>
      <c r="DN372" s="539"/>
      <c r="DO372" s="539"/>
      <c r="DP372" s="539"/>
      <c r="DQ372" s="539"/>
      <c r="DR372" s="539"/>
      <c r="DS372" s="539"/>
      <c r="DT372" s="539"/>
      <c r="DU372" s="539"/>
      <c r="DV372" s="539"/>
      <c r="DW372" s="539"/>
      <c r="DX372" s="539"/>
      <c r="DY372" s="539"/>
      <c r="DZ372" s="539"/>
      <c r="EA372" s="539"/>
      <c r="EB372" s="539"/>
      <c r="EC372" s="539"/>
      <c r="ED372" s="539"/>
    </row>
    <row r="373" spans="1:134" ht="13.5" hidden="1" customHeight="1">
      <c r="A373" s="549"/>
      <c r="B373" s="11" t="e">
        <f>+#REF!</f>
        <v>#REF!</v>
      </c>
      <c r="C373" s="12">
        <f>IF(ISNUMBER(Historical!#REF!),Historical!#REF!, )</f>
        <v>0</v>
      </c>
      <c r="D373" s="12">
        <f>IF(ISNUMBER(Historical!#REF!),Historical!#REF!, )</f>
        <v>0</v>
      </c>
      <c r="E373" s="12">
        <f>IF(ISNUMBER(Historical!#REF!),Historical!#REF!, )</f>
        <v>0</v>
      </c>
      <c r="F373" s="12">
        <f>IF(ISNUMBER(Projection!H7),IF(MONTH(Projection!H7)&lt;&gt;12,IF(ISNUMBER(Projection!L60),Projection!L60, ),IF(ISNUMBER(Historical!#REF!),Historical!#REF!, )), )</f>
        <v>5203</v>
      </c>
      <c r="G373" s="12">
        <f>IF(ISNUMBER(Projection!H7),IF(MONTH(Projection!$H$7)&lt;&gt;12,IF(ISNUMBER(Projection!N60),Projection!N60, ),IF(ISNUMBER(Projection!L60),Projection!L60, )), )</f>
        <v>5203</v>
      </c>
      <c r="H373" s="12">
        <f>IF(ISNUMBER(Projection!H7),IF(MONTH(Projection!$H$7)&lt;&gt;12,IF(ISNUMBER(Projection!P60),Projection!P60, ),IF(ISNUMBER(Projection!N60),Projection!N60, )), )</f>
        <v>5203</v>
      </c>
      <c r="I373" s="12">
        <f>IF(ISNUMBER(Projection!H7),IF(MONTH(Projection!$H$7)&lt;&gt;12,IF(ISNUMBER(Projection!R60),Projection!R60, ),IF(ISNUMBER(Projection!P60),Projection!P60, )), )</f>
        <v>5203</v>
      </c>
      <c r="J373" s="12">
        <f>IF(ISNUMBER(Projection!H7),IF(MONTH(Projection!$H$7)&lt;&gt;12,IF(ISNUMBER(Projection!T60),Projection!T60, ),IF(ISNUMBER(Projection!R60),Projection!R60, )), )</f>
        <v>5203</v>
      </c>
      <c r="K373" s="12">
        <f>IF(ISNUMBER(Projection!H7),IF(MONTH(Projection!$H$7)&lt;&gt;12,IF(ISNUMBER(Projection!Z60),Projection!Z60, ),IF(ISNUMBER(Projection!T60),Projection!T60, )), )</f>
        <v>5203</v>
      </c>
      <c r="L373" s="12">
        <f>IF(ISNUMBER(Projection!H7),IF(MONTH(Projection!$H$7)&lt;&gt;12,IF(ISNUMBER(Projection!AB60),Projection!AB60, ),IF(ISNUMBER(Projection!Z60),Projection!Z60, )), )</f>
        <v>5203</v>
      </c>
      <c r="M373" s="12">
        <f>IF(ISNUMBER(Projection!$H$7),IF(MONTH(Projection!$H$7)&lt;&gt;12,IF(ISNUMBER(Projection!AD60),Projection!AD60, ),IF(ISNUMBER(Projection!AB60),Projection!AB60, )), )</f>
        <v>5203</v>
      </c>
      <c r="N373" s="12">
        <f>IF(ISNUMBER(Projection!$H$7),IF(MONTH(Projection!$H$7)&lt;&gt;12,IF(ISNUMBER(Projection!AF60),Projection!AF60, ),IF(ISNUMBER(Projection!AD60),Projection!AD60, )), )</f>
        <v>5203</v>
      </c>
      <c r="O373" s="12">
        <f>IF(ISNUMBER(Projection!$H$7),IF(MONTH(Projection!$H$7)&lt;&gt;12,IF(ISNUMBER(Projection!AH60),Projection!AH60, ),IF(ISNUMBER(Projection!AF60),Projection!AF60, )), )</f>
        <v>5203</v>
      </c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539"/>
      <c r="AR373" s="539"/>
      <c r="AS373" s="539"/>
      <c r="AT373" s="539"/>
      <c r="AU373" s="539"/>
      <c r="AV373" s="539"/>
      <c r="AW373" s="539"/>
      <c r="AX373" s="539"/>
      <c r="AY373" s="539"/>
      <c r="AZ373" s="539"/>
      <c r="BA373" s="539"/>
      <c r="BB373" s="539"/>
      <c r="BC373" s="539"/>
      <c r="BD373" s="539"/>
      <c r="BE373" s="539"/>
      <c r="BF373" s="539"/>
      <c r="BG373" s="539"/>
      <c r="BH373" s="539"/>
      <c r="BI373" s="539"/>
      <c r="BJ373" s="539"/>
      <c r="BK373" s="539"/>
      <c r="BL373" s="539"/>
      <c r="BM373" s="539"/>
      <c r="BN373" s="539"/>
      <c r="BO373" s="539"/>
      <c r="BP373" s="539"/>
      <c r="BQ373" s="539"/>
      <c r="BR373" s="539"/>
      <c r="BS373" s="539"/>
      <c r="BT373" s="539"/>
      <c r="BU373" s="539"/>
      <c r="BV373" s="539"/>
      <c r="BW373" s="539"/>
      <c r="BX373" s="539"/>
      <c r="BY373" s="539"/>
      <c r="BZ373" s="539"/>
      <c r="CA373" s="539"/>
      <c r="CB373" s="539"/>
      <c r="CC373" s="539"/>
      <c r="CD373" s="539"/>
      <c r="CE373" s="539"/>
      <c r="CF373" s="539"/>
      <c r="CG373" s="539"/>
      <c r="CH373" s="539"/>
      <c r="CI373" s="539"/>
      <c r="CJ373" s="539"/>
      <c r="CK373" s="539"/>
      <c r="CL373" s="539"/>
      <c r="CM373" s="539"/>
      <c r="CN373" s="539"/>
      <c r="CO373" s="539"/>
      <c r="CP373" s="539"/>
      <c r="CQ373" s="539"/>
      <c r="CR373" s="539"/>
      <c r="CS373" s="539"/>
      <c r="CT373" s="539"/>
      <c r="CU373" s="539"/>
      <c r="CV373" s="539"/>
      <c r="CW373" s="539"/>
      <c r="CX373" s="539"/>
      <c r="CY373" s="539"/>
      <c r="CZ373" s="539"/>
      <c r="DA373" s="539"/>
      <c r="DB373" s="539"/>
      <c r="DC373" s="539"/>
      <c r="DD373" s="539"/>
      <c r="DE373" s="539"/>
      <c r="DF373" s="539"/>
      <c r="DG373" s="539"/>
      <c r="DH373" s="539"/>
      <c r="DI373" s="539"/>
      <c r="DJ373" s="539"/>
      <c r="DK373" s="539"/>
      <c r="DL373" s="539"/>
      <c r="DM373" s="539"/>
      <c r="DN373" s="539"/>
      <c r="DO373" s="539"/>
      <c r="DP373" s="539"/>
      <c r="DQ373" s="539"/>
      <c r="DR373" s="539"/>
      <c r="DS373" s="539"/>
      <c r="DT373" s="539"/>
      <c r="DU373" s="539"/>
      <c r="DV373" s="539"/>
      <c r="DW373" s="539"/>
      <c r="DX373" s="539"/>
      <c r="DY373" s="539"/>
      <c r="DZ373" s="539"/>
      <c r="EA373" s="539"/>
      <c r="EB373" s="539"/>
      <c r="EC373" s="539"/>
      <c r="ED373" s="539"/>
    </row>
    <row r="374" spans="1:134" ht="13.5" hidden="1" customHeight="1">
      <c r="A374" s="549"/>
      <c r="B374" s="11" t="e">
        <f>+#REF!</f>
        <v>#REF!</v>
      </c>
      <c r="C374" s="12">
        <f>IF(ISNUMBER(Historical!#REF!),Historical!#REF!, )</f>
        <v>0</v>
      </c>
      <c r="D374" s="12">
        <f>IF(ISNUMBER(Historical!#REF!),Historical!#REF!, )</f>
        <v>0</v>
      </c>
      <c r="E374" s="12">
        <f>IF(ISNUMBER(Historical!#REF!),Historical!#REF!, )</f>
        <v>0</v>
      </c>
      <c r="F374" s="12">
        <f>IF(ISNUMBER(Projection!H7),IF(MONTH(Projection!H7)&lt;&gt;12,IF(ISNUMBER(Projection!L59),Projection!L59, ),IF(ISNUMBER(Historical!#REF!),Historical!#REF!, )), )</f>
        <v>15105</v>
      </c>
      <c r="G374" s="12">
        <f>IF(ISNUMBER(Projection!H7),IF(MONTH(Projection!$H$7)&lt;&gt;12,IF(ISNUMBER(Projection!N59),Projection!N59, ),IF(ISNUMBER(Projection!L59),Projection!L59, )), )</f>
        <v>15105</v>
      </c>
      <c r="H374" s="12">
        <f>IF(ISNUMBER(Projection!H7),IF(MONTH(Projection!$H$7)&lt;&gt;12,IF(ISNUMBER(Projection!P59),Projection!P59, ),IF(ISNUMBER(Projection!N59),Projection!N59, )), )</f>
        <v>15105</v>
      </c>
      <c r="I374" s="12">
        <f>IF(ISNUMBER(Projection!H7),IF(MONTH(Projection!$H$7)&lt;&gt;12,IF(ISNUMBER(Projection!R59),Projection!R59, ),IF(ISNUMBER(Projection!P59),Projection!P59, )), )</f>
        <v>15105</v>
      </c>
      <c r="J374" s="12">
        <f>IF(ISNUMBER(Projection!H7),IF(MONTH(Projection!$H$7)&lt;&gt;12,IF(ISNUMBER(Projection!T59),Projection!T59, ),IF(ISNUMBER(Projection!R59),Projection!R59, )), )</f>
        <v>15105</v>
      </c>
      <c r="K374" s="12">
        <f>IF(ISNUMBER(Projection!H7),IF(MONTH(Projection!$H$7)&lt;&gt;12,IF(ISNUMBER(Projection!Z59),Projection!Z59, ),IF(ISNUMBER(Projection!T59),Projection!T59, )), )</f>
        <v>15105</v>
      </c>
      <c r="L374" s="12">
        <f>IF(ISNUMBER(Projection!H7),IF(MONTH(Projection!$H$7)&lt;&gt;12,IF(ISNUMBER(Projection!AB59),Projection!AB59, ),IF(ISNUMBER(Projection!Z59),Projection!Z59, )), )</f>
        <v>15105</v>
      </c>
      <c r="M374" s="12">
        <f>IF(ISNUMBER(Projection!$H$7),IF(MONTH(Projection!$H$7)&lt;&gt;12,IF(ISNUMBER(Projection!AD59),Projection!AD59, ),IF(ISNUMBER(Projection!AB59),Projection!AB59, )), )</f>
        <v>15105</v>
      </c>
      <c r="N374" s="12">
        <f>IF(ISNUMBER(Projection!$H$7),IF(MONTH(Projection!$H$7)&lt;&gt;12,IF(ISNUMBER(Projection!AF59),Projection!AF59, ),IF(ISNUMBER(Projection!AD59),Projection!AD59, )), )</f>
        <v>15105</v>
      </c>
      <c r="O374" s="12">
        <f>IF(ISNUMBER(Projection!$H$7),IF(MONTH(Projection!$H$7)&lt;&gt;12,IF(ISNUMBER(Projection!AH59),Projection!AH59, ),IF(ISNUMBER(Projection!AF59),Projection!AF59, )), )</f>
        <v>15105</v>
      </c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539"/>
      <c r="AR374" s="539"/>
      <c r="AS374" s="539"/>
      <c r="AT374" s="539"/>
      <c r="AU374" s="539"/>
      <c r="AV374" s="539"/>
      <c r="AW374" s="539"/>
      <c r="AX374" s="539"/>
      <c r="AY374" s="539"/>
      <c r="AZ374" s="539"/>
      <c r="BA374" s="539"/>
      <c r="BB374" s="539"/>
      <c r="BC374" s="539"/>
      <c r="BD374" s="539"/>
      <c r="BE374" s="539"/>
      <c r="BF374" s="539"/>
      <c r="BG374" s="539"/>
      <c r="BH374" s="539"/>
      <c r="BI374" s="539"/>
      <c r="BJ374" s="539"/>
      <c r="BK374" s="539"/>
      <c r="BL374" s="539"/>
      <c r="BM374" s="539"/>
      <c r="BN374" s="539"/>
      <c r="BO374" s="539"/>
      <c r="BP374" s="539"/>
      <c r="BQ374" s="539"/>
      <c r="BR374" s="539"/>
      <c r="BS374" s="539"/>
      <c r="BT374" s="539"/>
      <c r="BU374" s="539"/>
      <c r="BV374" s="539"/>
      <c r="BW374" s="539"/>
      <c r="BX374" s="539"/>
      <c r="BY374" s="539"/>
      <c r="BZ374" s="539"/>
      <c r="CA374" s="539"/>
      <c r="CB374" s="539"/>
      <c r="CC374" s="539"/>
      <c r="CD374" s="539"/>
      <c r="CE374" s="539"/>
      <c r="CF374" s="539"/>
      <c r="CG374" s="539"/>
      <c r="CH374" s="539"/>
      <c r="CI374" s="539"/>
      <c r="CJ374" s="539"/>
      <c r="CK374" s="539"/>
      <c r="CL374" s="539"/>
      <c r="CM374" s="539"/>
      <c r="CN374" s="539"/>
      <c r="CO374" s="539"/>
      <c r="CP374" s="539"/>
      <c r="CQ374" s="539"/>
      <c r="CR374" s="539"/>
      <c r="CS374" s="539"/>
      <c r="CT374" s="539"/>
      <c r="CU374" s="539"/>
      <c r="CV374" s="539"/>
      <c r="CW374" s="539"/>
      <c r="CX374" s="539"/>
      <c r="CY374" s="539"/>
      <c r="CZ374" s="539"/>
      <c r="DA374" s="539"/>
      <c r="DB374" s="539"/>
      <c r="DC374" s="539"/>
      <c r="DD374" s="539"/>
      <c r="DE374" s="539"/>
      <c r="DF374" s="539"/>
      <c r="DG374" s="539"/>
      <c r="DH374" s="539"/>
      <c r="DI374" s="539"/>
      <c r="DJ374" s="539"/>
      <c r="DK374" s="539"/>
      <c r="DL374" s="539"/>
      <c r="DM374" s="539"/>
      <c r="DN374" s="539"/>
      <c r="DO374" s="539"/>
      <c r="DP374" s="539"/>
      <c r="DQ374" s="539"/>
      <c r="DR374" s="539"/>
      <c r="DS374" s="539"/>
      <c r="DT374" s="539"/>
      <c r="DU374" s="539"/>
      <c r="DV374" s="539"/>
      <c r="DW374" s="539"/>
      <c r="DX374" s="539"/>
      <c r="DY374" s="539"/>
      <c r="DZ374" s="539"/>
      <c r="EA374" s="539"/>
      <c r="EB374" s="539"/>
      <c r="EC374" s="539"/>
      <c r="ED374" s="539"/>
    </row>
    <row r="375" spans="1:134" ht="13.5" hidden="1" customHeight="1">
      <c r="A375" s="549"/>
      <c r="B375" s="11" t="e">
        <f>+#REF!</f>
        <v>#REF!</v>
      </c>
      <c r="C375" s="12">
        <f>IF(ISNUMBER(Historical!E66),Historical!E66, )</f>
        <v>5100</v>
      </c>
      <c r="D375" s="12">
        <f>IF(ISNUMBER(Historical!G66),Historical!G66, )</f>
        <v>5101</v>
      </c>
      <c r="E375" s="12">
        <f>IF(ISNUMBER(Historical!I66),Historical!I66, )</f>
        <v>5102</v>
      </c>
      <c r="F375" s="12">
        <f>IF(ISNUMBER(Projection!$H$7),IF(MONTH(Projection!$H$7)&lt;&gt;12,IF(ISNUMBER(Projection!L57),Projection!L57, ),IF(ISNUMBER(Historical!K66),Historical!K66, )), )</f>
        <v>4903</v>
      </c>
      <c r="G375" s="12">
        <f>IF(ISNUMBER(Projection!$H$7),IF(MONTH(Projection!$H$7)&lt;&gt;12,IF(ISNUMBER(Projection!N57),Projection!N57, ),IF(ISNUMBER(Projection!L57),Projection!L57, )), )</f>
        <v>4903</v>
      </c>
      <c r="H375" s="12">
        <f>IF(ISNUMBER(Projection!$H$7),IF(MONTH(Projection!$H$7)&lt;&gt;12,IF(ISNUMBER(Projection!P57),Projection!P57, ),IF(ISNUMBER(Projection!N57),Projection!N57, )), )</f>
        <v>4903</v>
      </c>
      <c r="I375" s="12">
        <f>IF(ISNUMBER(Projection!$H$7),IF(MONTH(Projection!$H$7)&lt;&gt;12,IF(ISNUMBER(Projection!R57),Projection!R57, ),IF(ISNUMBER(Projection!P57),Projection!P57, )), )</f>
        <v>4903</v>
      </c>
      <c r="J375" s="12">
        <f>IF(ISNUMBER(Projection!$H$7),IF(MONTH(Projection!$H$7)&lt;&gt;12,IF(ISNUMBER(Projection!T57),Projection!T57, ),IF(ISNUMBER(Projection!R57),Projection!R57, )), )</f>
        <v>4903</v>
      </c>
      <c r="K375" s="12">
        <f>IF(ISNUMBER(Projection!$H$7),IF(MONTH(Projection!$H$7)&lt;&gt;12,IF(ISNUMBER(Projection!Z57),Projection!Z57, ),IF(ISNUMBER(Projection!T57),Projection!T57, )), )</f>
        <v>4903</v>
      </c>
      <c r="L375" s="12">
        <f>IF(ISNUMBER(Projection!$H$7),IF(MONTH(Projection!$H$7)&lt;&gt;12,IF(ISNUMBER(Projection!AB57),Projection!AB57, ),IF(ISNUMBER(Projection!Z57),Projection!Z57, )), )</f>
        <v>4903</v>
      </c>
      <c r="M375" s="12">
        <f>IF(ISNUMBER(Projection!$H$7),IF(MONTH(Projection!$H$7)&lt;&gt;12,IF(ISNUMBER(Projection!AD57),Projection!AD57, ),IF(ISNUMBER(Projection!AB57),Projection!AB57, )), )</f>
        <v>4903</v>
      </c>
      <c r="N375" s="12">
        <f>IF(ISNUMBER(Projection!$H$7),IF(MONTH(Projection!$H$7)&lt;&gt;12,IF(ISNUMBER(Projection!AF57),Projection!AF57, ),IF(ISNUMBER(Projection!AD57),Projection!AD57, )), )</f>
        <v>4903</v>
      </c>
      <c r="O375" s="12">
        <f>IF(ISNUMBER(Projection!$H$7),IF(MONTH(Projection!$H$7)&lt;&gt;12,IF(ISNUMBER(Projection!AH57),Projection!AH57, ),IF(ISNUMBER(Projection!AF57),Projection!AF57, )), )</f>
        <v>4903</v>
      </c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539"/>
      <c r="AR375" s="539"/>
      <c r="AS375" s="539"/>
      <c r="AT375" s="539"/>
      <c r="AU375" s="539"/>
      <c r="AV375" s="539"/>
      <c r="AW375" s="539"/>
      <c r="AX375" s="539"/>
      <c r="AY375" s="539"/>
      <c r="AZ375" s="539"/>
      <c r="BA375" s="539"/>
      <c r="BB375" s="539"/>
      <c r="BC375" s="539"/>
      <c r="BD375" s="539"/>
      <c r="BE375" s="539"/>
      <c r="BF375" s="539"/>
      <c r="BG375" s="539"/>
      <c r="BH375" s="539"/>
      <c r="BI375" s="539"/>
      <c r="BJ375" s="539"/>
      <c r="BK375" s="539"/>
      <c r="BL375" s="539"/>
      <c r="BM375" s="539"/>
      <c r="BN375" s="539"/>
      <c r="BO375" s="539"/>
      <c r="BP375" s="539"/>
      <c r="BQ375" s="539"/>
      <c r="BR375" s="539"/>
      <c r="BS375" s="539"/>
      <c r="BT375" s="539"/>
      <c r="BU375" s="539"/>
      <c r="BV375" s="539"/>
      <c r="BW375" s="539"/>
      <c r="BX375" s="539"/>
      <c r="BY375" s="539"/>
      <c r="BZ375" s="539"/>
      <c r="CA375" s="539"/>
      <c r="CB375" s="539"/>
      <c r="CC375" s="539"/>
      <c r="CD375" s="539"/>
      <c r="CE375" s="539"/>
      <c r="CF375" s="539"/>
      <c r="CG375" s="539"/>
      <c r="CH375" s="539"/>
      <c r="CI375" s="539"/>
      <c r="CJ375" s="539"/>
      <c r="CK375" s="539"/>
      <c r="CL375" s="539"/>
      <c r="CM375" s="539"/>
      <c r="CN375" s="539"/>
      <c r="CO375" s="539"/>
      <c r="CP375" s="539"/>
      <c r="CQ375" s="539"/>
      <c r="CR375" s="539"/>
      <c r="CS375" s="539"/>
      <c r="CT375" s="539"/>
      <c r="CU375" s="539"/>
      <c r="CV375" s="539"/>
      <c r="CW375" s="539"/>
      <c r="CX375" s="539"/>
      <c r="CY375" s="539"/>
      <c r="CZ375" s="539"/>
      <c r="DA375" s="539"/>
      <c r="DB375" s="539"/>
      <c r="DC375" s="539"/>
      <c r="DD375" s="539"/>
      <c r="DE375" s="539"/>
      <c r="DF375" s="539"/>
      <c r="DG375" s="539"/>
      <c r="DH375" s="539"/>
      <c r="DI375" s="539"/>
      <c r="DJ375" s="539"/>
      <c r="DK375" s="539"/>
      <c r="DL375" s="539"/>
      <c r="DM375" s="539"/>
      <c r="DN375" s="539"/>
      <c r="DO375" s="539"/>
      <c r="DP375" s="539"/>
      <c r="DQ375" s="539"/>
      <c r="DR375" s="539"/>
      <c r="DS375" s="539"/>
      <c r="DT375" s="539"/>
      <c r="DU375" s="539"/>
      <c r="DV375" s="539"/>
      <c r="DW375" s="539"/>
      <c r="DX375" s="539"/>
      <c r="DY375" s="539"/>
      <c r="DZ375" s="539"/>
      <c r="EA375" s="539"/>
      <c r="EB375" s="539"/>
      <c r="EC375" s="539"/>
      <c r="ED375" s="539"/>
    </row>
    <row r="376" spans="1:134" ht="13.5" hidden="1" customHeight="1">
      <c r="A376" s="549"/>
      <c r="B376" s="11" t="e">
        <f>+#REF!</f>
        <v>#REF!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539"/>
      <c r="AR376" s="539"/>
      <c r="AS376" s="539"/>
      <c r="AT376" s="539"/>
      <c r="AU376" s="539"/>
      <c r="AV376" s="539"/>
      <c r="AW376" s="539"/>
      <c r="AX376" s="539"/>
      <c r="AY376" s="539"/>
      <c r="AZ376" s="539"/>
      <c r="BA376" s="539"/>
      <c r="BB376" s="539"/>
      <c r="BC376" s="539"/>
      <c r="BD376" s="539"/>
      <c r="BE376" s="539"/>
      <c r="BF376" s="539"/>
      <c r="BG376" s="539"/>
      <c r="BH376" s="539"/>
      <c r="BI376" s="539"/>
      <c r="BJ376" s="539"/>
      <c r="BK376" s="539"/>
      <c r="BL376" s="539"/>
      <c r="BM376" s="539"/>
      <c r="BN376" s="539"/>
      <c r="BO376" s="539"/>
      <c r="BP376" s="539"/>
      <c r="BQ376" s="539"/>
      <c r="BR376" s="539"/>
      <c r="BS376" s="539"/>
      <c r="BT376" s="539"/>
      <c r="BU376" s="539"/>
      <c r="BV376" s="539"/>
      <c r="BW376" s="539"/>
      <c r="BX376" s="539"/>
      <c r="BY376" s="539"/>
      <c r="BZ376" s="539"/>
      <c r="CA376" s="539"/>
      <c r="CB376" s="539"/>
      <c r="CC376" s="539"/>
      <c r="CD376" s="539"/>
      <c r="CE376" s="539"/>
      <c r="CF376" s="539"/>
      <c r="CG376" s="539"/>
      <c r="CH376" s="539"/>
      <c r="CI376" s="539"/>
      <c r="CJ376" s="539"/>
      <c r="CK376" s="539"/>
      <c r="CL376" s="539"/>
      <c r="CM376" s="539"/>
      <c r="CN376" s="539"/>
      <c r="CO376" s="539"/>
      <c r="CP376" s="539"/>
      <c r="CQ376" s="539"/>
      <c r="CR376" s="539"/>
      <c r="CS376" s="539"/>
      <c r="CT376" s="539"/>
      <c r="CU376" s="539"/>
      <c r="CV376" s="539"/>
      <c r="CW376" s="539"/>
      <c r="CX376" s="539"/>
      <c r="CY376" s="539"/>
      <c r="CZ376" s="539"/>
      <c r="DA376" s="539"/>
      <c r="DB376" s="539"/>
      <c r="DC376" s="539"/>
      <c r="DD376" s="539"/>
      <c r="DE376" s="539"/>
      <c r="DF376" s="539"/>
      <c r="DG376" s="539"/>
      <c r="DH376" s="539"/>
      <c r="DI376" s="539"/>
      <c r="DJ376" s="539"/>
      <c r="DK376" s="539"/>
      <c r="DL376" s="539"/>
      <c r="DM376" s="539"/>
      <c r="DN376" s="539"/>
      <c r="DO376" s="539"/>
      <c r="DP376" s="539"/>
      <c r="DQ376" s="539"/>
      <c r="DR376" s="539"/>
      <c r="DS376" s="539"/>
      <c r="DT376" s="539"/>
      <c r="DU376" s="539"/>
      <c r="DV376" s="539"/>
      <c r="DW376" s="539"/>
      <c r="DX376" s="539"/>
      <c r="DY376" s="539"/>
      <c r="DZ376" s="539"/>
      <c r="EA376" s="539"/>
      <c r="EB376" s="539"/>
      <c r="EC376" s="539"/>
      <c r="ED376" s="539"/>
    </row>
    <row r="377" spans="1:134" ht="13.5" hidden="1" customHeight="1">
      <c r="A377" s="549"/>
      <c r="B377" s="11" t="e">
        <f>+#REF!</f>
        <v>#REF!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539"/>
      <c r="AR377" s="539"/>
      <c r="AS377" s="539"/>
      <c r="AT377" s="539"/>
      <c r="AU377" s="539"/>
      <c r="AV377" s="539"/>
      <c r="AW377" s="539"/>
      <c r="AX377" s="539"/>
      <c r="AY377" s="539"/>
      <c r="AZ377" s="539"/>
      <c r="BA377" s="539"/>
      <c r="BB377" s="539"/>
      <c r="BC377" s="539"/>
      <c r="BD377" s="539"/>
      <c r="BE377" s="539"/>
      <c r="BF377" s="539"/>
      <c r="BG377" s="539"/>
      <c r="BH377" s="539"/>
      <c r="BI377" s="539"/>
      <c r="BJ377" s="539"/>
      <c r="BK377" s="539"/>
      <c r="BL377" s="539"/>
      <c r="BM377" s="539"/>
      <c r="BN377" s="539"/>
      <c r="BO377" s="539"/>
      <c r="BP377" s="539"/>
      <c r="BQ377" s="539"/>
      <c r="BR377" s="539"/>
      <c r="BS377" s="539"/>
      <c r="BT377" s="539"/>
      <c r="BU377" s="539"/>
      <c r="BV377" s="539"/>
      <c r="BW377" s="539"/>
      <c r="BX377" s="539"/>
      <c r="BY377" s="539"/>
      <c r="BZ377" s="539"/>
      <c r="CA377" s="539"/>
      <c r="CB377" s="539"/>
      <c r="CC377" s="539"/>
      <c r="CD377" s="539"/>
      <c r="CE377" s="539"/>
      <c r="CF377" s="539"/>
      <c r="CG377" s="539"/>
      <c r="CH377" s="539"/>
      <c r="CI377" s="539"/>
      <c r="CJ377" s="539"/>
      <c r="CK377" s="539"/>
      <c r="CL377" s="539"/>
      <c r="CM377" s="539"/>
      <c r="CN377" s="539"/>
      <c r="CO377" s="539"/>
      <c r="CP377" s="539"/>
      <c r="CQ377" s="539"/>
      <c r="CR377" s="539"/>
      <c r="CS377" s="539"/>
      <c r="CT377" s="539"/>
      <c r="CU377" s="539"/>
      <c r="CV377" s="539"/>
      <c r="CW377" s="539"/>
      <c r="CX377" s="539"/>
      <c r="CY377" s="539"/>
      <c r="CZ377" s="539"/>
      <c r="DA377" s="539"/>
      <c r="DB377" s="539"/>
      <c r="DC377" s="539"/>
      <c r="DD377" s="539"/>
      <c r="DE377" s="539"/>
      <c r="DF377" s="539"/>
      <c r="DG377" s="539"/>
      <c r="DH377" s="539"/>
      <c r="DI377" s="539"/>
      <c r="DJ377" s="539"/>
      <c r="DK377" s="539"/>
      <c r="DL377" s="539"/>
      <c r="DM377" s="539"/>
      <c r="DN377" s="539"/>
      <c r="DO377" s="539"/>
      <c r="DP377" s="539"/>
      <c r="DQ377" s="539"/>
      <c r="DR377" s="539"/>
      <c r="DS377" s="539"/>
      <c r="DT377" s="539"/>
      <c r="DU377" s="539"/>
      <c r="DV377" s="539"/>
      <c r="DW377" s="539"/>
      <c r="DX377" s="539"/>
      <c r="DY377" s="539"/>
      <c r="DZ377" s="539"/>
      <c r="EA377" s="539"/>
      <c r="EB377" s="539"/>
      <c r="EC377" s="539"/>
      <c r="ED377" s="539"/>
    </row>
    <row r="378" spans="1:134" ht="13.5" hidden="1" customHeight="1">
      <c r="A378" s="549"/>
      <c r="B378" s="11" t="e">
        <f>+#REF!</f>
        <v>#REF!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539"/>
      <c r="AR378" s="539"/>
      <c r="AS378" s="539"/>
      <c r="AT378" s="539"/>
      <c r="AU378" s="539"/>
      <c r="AV378" s="539"/>
      <c r="AW378" s="539"/>
      <c r="AX378" s="539"/>
      <c r="AY378" s="539"/>
      <c r="AZ378" s="539"/>
      <c r="BA378" s="539"/>
      <c r="BB378" s="539"/>
      <c r="BC378" s="539"/>
      <c r="BD378" s="539"/>
      <c r="BE378" s="539"/>
      <c r="BF378" s="539"/>
      <c r="BG378" s="539"/>
      <c r="BH378" s="539"/>
      <c r="BI378" s="539"/>
      <c r="BJ378" s="539"/>
      <c r="BK378" s="539"/>
      <c r="BL378" s="539"/>
      <c r="BM378" s="539"/>
      <c r="BN378" s="539"/>
      <c r="BO378" s="539"/>
      <c r="BP378" s="539"/>
      <c r="BQ378" s="539"/>
      <c r="BR378" s="539"/>
      <c r="BS378" s="539"/>
      <c r="BT378" s="539"/>
      <c r="BU378" s="539"/>
      <c r="BV378" s="539"/>
      <c r="BW378" s="539"/>
      <c r="BX378" s="539"/>
      <c r="BY378" s="539"/>
      <c r="BZ378" s="539"/>
      <c r="CA378" s="539"/>
      <c r="CB378" s="539"/>
      <c r="CC378" s="539"/>
      <c r="CD378" s="539"/>
      <c r="CE378" s="539"/>
      <c r="CF378" s="539"/>
      <c r="CG378" s="539"/>
      <c r="CH378" s="539"/>
      <c r="CI378" s="539"/>
      <c r="CJ378" s="539"/>
      <c r="CK378" s="539"/>
      <c r="CL378" s="539"/>
      <c r="CM378" s="539"/>
      <c r="CN378" s="539"/>
      <c r="CO378" s="539"/>
      <c r="CP378" s="539"/>
      <c r="CQ378" s="539"/>
      <c r="CR378" s="539"/>
      <c r="CS378" s="539"/>
      <c r="CT378" s="539"/>
      <c r="CU378" s="539"/>
      <c r="CV378" s="539"/>
      <c r="CW378" s="539"/>
      <c r="CX378" s="539"/>
      <c r="CY378" s="539"/>
      <c r="CZ378" s="539"/>
      <c r="DA378" s="539"/>
      <c r="DB378" s="539"/>
      <c r="DC378" s="539"/>
      <c r="DD378" s="539"/>
      <c r="DE378" s="539"/>
      <c r="DF378" s="539"/>
      <c r="DG378" s="539"/>
      <c r="DH378" s="539"/>
      <c r="DI378" s="539"/>
      <c r="DJ378" s="539"/>
      <c r="DK378" s="539"/>
      <c r="DL378" s="539"/>
      <c r="DM378" s="539"/>
      <c r="DN378" s="539"/>
      <c r="DO378" s="539"/>
      <c r="DP378" s="539"/>
      <c r="DQ378" s="539"/>
      <c r="DR378" s="539"/>
      <c r="DS378" s="539"/>
      <c r="DT378" s="539"/>
      <c r="DU378" s="539"/>
      <c r="DV378" s="539"/>
      <c r="DW378" s="539"/>
      <c r="DX378" s="539"/>
      <c r="DY378" s="539"/>
      <c r="DZ378" s="539"/>
      <c r="EA378" s="539"/>
      <c r="EB378" s="539"/>
      <c r="EC378" s="539"/>
      <c r="ED378" s="539"/>
    </row>
    <row r="379" spans="1:134" ht="13.5" hidden="1" customHeight="1">
      <c r="A379" s="549"/>
      <c r="B379" s="11" t="e">
        <f>+#REF!</f>
        <v>#REF!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539"/>
      <c r="AR379" s="539"/>
      <c r="AS379" s="539"/>
      <c r="AT379" s="539"/>
      <c r="AU379" s="539"/>
      <c r="AV379" s="539"/>
      <c r="AW379" s="539"/>
      <c r="AX379" s="539"/>
      <c r="AY379" s="539"/>
      <c r="AZ379" s="539"/>
      <c r="BA379" s="539"/>
      <c r="BB379" s="539"/>
      <c r="BC379" s="539"/>
      <c r="BD379" s="539"/>
      <c r="BE379" s="539"/>
      <c r="BF379" s="539"/>
      <c r="BG379" s="539"/>
      <c r="BH379" s="539"/>
      <c r="BI379" s="539"/>
      <c r="BJ379" s="539"/>
      <c r="BK379" s="539"/>
      <c r="BL379" s="539"/>
      <c r="BM379" s="539"/>
      <c r="BN379" s="539"/>
      <c r="BO379" s="539"/>
      <c r="BP379" s="539"/>
      <c r="BQ379" s="539"/>
      <c r="BR379" s="539"/>
      <c r="BS379" s="539"/>
      <c r="BT379" s="539"/>
      <c r="BU379" s="539"/>
      <c r="BV379" s="539"/>
      <c r="BW379" s="539"/>
      <c r="BX379" s="539"/>
      <c r="BY379" s="539"/>
      <c r="BZ379" s="539"/>
      <c r="CA379" s="539"/>
      <c r="CB379" s="539"/>
      <c r="CC379" s="539"/>
      <c r="CD379" s="539"/>
      <c r="CE379" s="539"/>
      <c r="CF379" s="539"/>
      <c r="CG379" s="539"/>
      <c r="CH379" s="539"/>
      <c r="CI379" s="539"/>
      <c r="CJ379" s="539"/>
      <c r="CK379" s="539"/>
      <c r="CL379" s="539"/>
      <c r="CM379" s="539"/>
      <c r="CN379" s="539"/>
      <c r="CO379" s="539"/>
      <c r="CP379" s="539"/>
      <c r="CQ379" s="539"/>
      <c r="CR379" s="539"/>
      <c r="CS379" s="539"/>
      <c r="CT379" s="539"/>
      <c r="CU379" s="539"/>
      <c r="CV379" s="539"/>
      <c r="CW379" s="539"/>
      <c r="CX379" s="539"/>
      <c r="CY379" s="539"/>
      <c r="CZ379" s="539"/>
      <c r="DA379" s="539"/>
      <c r="DB379" s="539"/>
      <c r="DC379" s="539"/>
      <c r="DD379" s="539"/>
      <c r="DE379" s="539"/>
      <c r="DF379" s="539"/>
      <c r="DG379" s="539"/>
      <c r="DH379" s="539"/>
      <c r="DI379" s="539"/>
      <c r="DJ379" s="539"/>
      <c r="DK379" s="539"/>
      <c r="DL379" s="539"/>
      <c r="DM379" s="539"/>
      <c r="DN379" s="539"/>
      <c r="DO379" s="539"/>
      <c r="DP379" s="539"/>
      <c r="DQ379" s="539"/>
      <c r="DR379" s="539"/>
      <c r="DS379" s="539"/>
      <c r="DT379" s="539"/>
      <c r="DU379" s="539"/>
      <c r="DV379" s="539"/>
      <c r="DW379" s="539"/>
      <c r="DX379" s="539"/>
      <c r="DY379" s="539"/>
      <c r="DZ379" s="539"/>
      <c r="EA379" s="539"/>
      <c r="EB379" s="539"/>
      <c r="EC379" s="539"/>
      <c r="ED379" s="539"/>
    </row>
    <row r="380" spans="1:134" ht="13.5" hidden="1" customHeight="1">
      <c r="A380" s="549"/>
      <c r="B380" s="11" t="e">
        <f>+#REF!</f>
        <v>#REF!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539"/>
      <c r="AR380" s="539"/>
      <c r="AS380" s="539"/>
      <c r="AT380" s="539"/>
      <c r="AU380" s="539"/>
      <c r="AV380" s="539"/>
      <c r="AW380" s="539"/>
      <c r="AX380" s="539"/>
      <c r="AY380" s="539"/>
      <c r="AZ380" s="539"/>
      <c r="BA380" s="539"/>
      <c r="BB380" s="539"/>
      <c r="BC380" s="539"/>
      <c r="BD380" s="539"/>
      <c r="BE380" s="539"/>
      <c r="BF380" s="539"/>
      <c r="BG380" s="539"/>
      <c r="BH380" s="539"/>
      <c r="BI380" s="539"/>
      <c r="BJ380" s="539"/>
      <c r="BK380" s="539"/>
      <c r="BL380" s="539"/>
      <c r="BM380" s="539"/>
      <c r="BN380" s="539"/>
      <c r="BO380" s="539"/>
      <c r="BP380" s="539"/>
      <c r="BQ380" s="539"/>
      <c r="BR380" s="539"/>
      <c r="BS380" s="539"/>
      <c r="BT380" s="539"/>
      <c r="BU380" s="539"/>
      <c r="BV380" s="539"/>
      <c r="BW380" s="539"/>
      <c r="BX380" s="539"/>
      <c r="BY380" s="539"/>
      <c r="BZ380" s="539"/>
      <c r="CA380" s="539"/>
      <c r="CB380" s="539"/>
      <c r="CC380" s="539"/>
      <c r="CD380" s="539"/>
      <c r="CE380" s="539"/>
      <c r="CF380" s="539"/>
      <c r="CG380" s="539"/>
      <c r="CH380" s="539"/>
      <c r="CI380" s="539"/>
      <c r="CJ380" s="539"/>
      <c r="CK380" s="539"/>
      <c r="CL380" s="539"/>
      <c r="CM380" s="539"/>
      <c r="CN380" s="539"/>
      <c r="CO380" s="539"/>
      <c r="CP380" s="539"/>
      <c r="CQ380" s="539"/>
      <c r="CR380" s="539"/>
      <c r="CS380" s="539"/>
      <c r="CT380" s="539"/>
      <c r="CU380" s="539"/>
      <c r="CV380" s="539"/>
      <c r="CW380" s="539"/>
      <c r="CX380" s="539"/>
      <c r="CY380" s="539"/>
      <c r="CZ380" s="539"/>
      <c r="DA380" s="539"/>
      <c r="DB380" s="539"/>
      <c r="DC380" s="539"/>
      <c r="DD380" s="539"/>
      <c r="DE380" s="539"/>
      <c r="DF380" s="539"/>
      <c r="DG380" s="539"/>
      <c r="DH380" s="539"/>
      <c r="DI380" s="539"/>
      <c r="DJ380" s="539"/>
      <c r="DK380" s="539"/>
      <c r="DL380" s="539"/>
      <c r="DM380" s="539"/>
      <c r="DN380" s="539"/>
      <c r="DO380" s="539"/>
      <c r="DP380" s="539"/>
      <c r="DQ380" s="539"/>
      <c r="DR380" s="539"/>
      <c r="DS380" s="539"/>
      <c r="DT380" s="539"/>
      <c r="DU380" s="539"/>
      <c r="DV380" s="539"/>
      <c r="DW380" s="539"/>
      <c r="DX380" s="539"/>
      <c r="DY380" s="539"/>
      <c r="DZ380" s="539"/>
      <c r="EA380" s="539"/>
      <c r="EB380" s="539"/>
      <c r="EC380" s="539"/>
      <c r="ED380" s="539"/>
    </row>
    <row r="381" spans="1:134" ht="13.5" hidden="1" customHeight="1">
      <c r="A381" s="549"/>
      <c r="B381" s="11" t="e">
        <f>+#REF!</f>
        <v>#REF!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539"/>
      <c r="AR381" s="539"/>
      <c r="AS381" s="539"/>
      <c r="AT381" s="539"/>
      <c r="AU381" s="539"/>
      <c r="AV381" s="539"/>
      <c r="AW381" s="539"/>
      <c r="AX381" s="539"/>
      <c r="AY381" s="539"/>
      <c r="AZ381" s="539"/>
      <c r="BA381" s="539"/>
      <c r="BB381" s="539"/>
      <c r="BC381" s="539"/>
      <c r="BD381" s="539"/>
      <c r="BE381" s="539"/>
      <c r="BF381" s="539"/>
      <c r="BG381" s="539"/>
      <c r="BH381" s="539"/>
      <c r="BI381" s="539"/>
      <c r="BJ381" s="539"/>
      <c r="BK381" s="539"/>
      <c r="BL381" s="539"/>
      <c r="BM381" s="539"/>
      <c r="BN381" s="539"/>
      <c r="BO381" s="539"/>
      <c r="BP381" s="539"/>
      <c r="BQ381" s="539"/>
      <c r="BR381" s="539"/>
      <c r="BS381" s="539"/>
      <c r="BT381" s="539"/>
      <c r="BU381" s="539"/>
      <c r="BV381" s="539"/>
      <c r="BW381" s="539"/>
      <c r="BX381" s="539"/>
      <c r="BY381" s="539"/>
      <c r="BZ381" s="539"/>
      <c r="CA381" s="539"/>
      <c r="CB381" s="539"/>
      <c r="CC381" s="539"/>
      <c r="CD381" s="539"/>
      <c r="CE381" s="539"/>
      <c r="CF381" s="539"/>
      <c r="CG381" s="539"/>
      <c r="CH381" s="539"/>
      <c r="CI381" s="539"/>
      <c r="CJ381" s="539"/>
      <c r="CK381" s="539"/>
      <c r="CL381" s="539"/>
      <c r="CM381" s="539"/>
      <c r="CN381" s="539"/>
      <c r="CO381" s="539"/>
      <c r="CP381" s="539"/>
      <c r="CQ381" s="539"/>
      <c r="CR381" s="539"/>
      <c r="CS381" s="539"/>
      <c r="CT381" s="539"/>
      <c r="CU381" s="539"/>
      <c r="CV381" s="539"/>
      <c r="CW381" s="539"/>
      <c r="CX381" s="539"/>
      <c r="CY381" s="539"/>
      <c r="CZ381" s="539"/>
      <c r="DA381" s="539"/>
      <c r="DB381" s="539"/>
      <c r="DC381" s="539"/>
      <c r="DD381" s="539"/>
      <c r="DE381" s="539"/>
      <c r="DF381" s="539"/>
      <c r="DG381" s="539"/>
      <c r="DH381" s="539"/>
      <c r="DI381" s="539"/>
      <c r="DJ381" s="539"/>
      <c r="DK381" s="539"/>
      <c r="DL381" s="539"/>
      <c r="DM381" s="539"/>
      <c r="DN381" s="539"/>
      <c r="DO381" s="539"/>
      <c r="DP381" s="539"/>
      <c r="DQ381" s="539"/>
      <c r="DR381" s="539"/>
      <c r="DS381" s="539"/>
      <c r="DT381" s="539"/>
      <c r="DU381" s="539"/>
      <c r="DV381" s="539"/>
      <c r="DW381" s="539"/>
      <c r="DX381" s="539"/>
      <c r="DY381" s="539"/>
      <c r="DZ381" s="539"/>
      <c r="EA381" s="539"/>
      <c r="EB381" s="539"/>
      <c r="EC381" s="539"/>
      <c r="ED381" s="539"/>
    </row>
    <row r="382" spans="1:134" ht="13.5" hidden="1" customHeight="1">
      <c r="A382" s="549"/>
      <c r="B382" s="11" t="e">
        <f>+#REF!</f>
        <v>#REF!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539"/>
      <c r="AR382" s="539"/>
      <c r="AS382" s="539"/>
      <c r="AT382" s="539"/>
      <c r="AU382" s="539"/>
      <c r="AV382" s="539"/>
      <c r="AW382" s="539"/>
      <c r="AX382" s="539"/>
      <c r="AY382" s="539"/>
      <c r="AZ382" s="539"/>
      <c r="BA382" s="539"/>
      <c r="BB382" s="539"/>
      <c r="BC382" s="539"/>
      <c r="BD382" s="539"/>
      <c r="BE382" s="539"/>
      <c r="BF382" s="539"/>
      <c r="BG382" s="539"/>
      <c r="BH382" s="539"/>
      <c r="BI382" s="539"/>
      <c r="BJ382" s="539"/>
      <c r="BK382" s="539"/>
      <c r="BL382" s="539"/>
      <c r="BM382" s="539"/>
      <c r="BN382" s="539"/>
      <c r="BO382" s="539"/>
      <c r="BP382" s="539"/>
      <c r="BQ382" s="539"/>
      <c r="BR382" s="539"/>
      <c r="BS382" s="539"/>
      <c r="BT382" s="539"/>
      <c r="BU382" s="539"/>
      <c r="BV382" s="539"/>
      <c r="BW382" s="539"/>
      <c r="BX382" s="539"/>
      <c r="BY382" s="539"/>
      <c r="BZ382" s="539"/>
      <c r="CA382" s="539"/>
      <c r="CB382" s="539"/>
      <c r="CC382" s="539"/>
      <c r="CD382" s="539"/>
      <c r="CE382" s="539"/>
      <c r="CF382" s="539"/>
      <c r="CG382" s="539"/>
      <c r="CH382" s="539"/>
      <c r="CI382" s="539"/>
      <c r="CJ382" s="539"/>
      <c r="CK382" s="539"/>
      <c r="CL382" s="539"/>
      <c r="CM382" s="539"/>
      <c r="CN382" s="539"/>
      <c r="CO382" s="539"/>
      <c r="CP382" s="539"/>
      <c r="CQ382" s="539"/>
      <c r="CR382" s="539"/>
      <c r="CS382" s="539"/>
      <c r="CT382" s="539"/>
      <c r="CU382" s="539"/>
      <c r="CV382" s="539"/>
      <c r="CW382" s="539"/>
      <c r="CX382" s="539"/>
      <c r="CY382" s="539"/>
      <c r="CZ382" s="539"/>
      <c r="DA382" s="539"/>
      <c r="DB382" s="539"/>
      <c r="DC382" s="539"/>
      <c r="DD382" s="539"/>
      <c r="DE382" s="539"/>
      <c r="DF382" s="539"/>
      <c r="DG382" s="539"/>
      <c r="DH382" s="539"/>
      <c r="DI382" s="539"/>
      <c r="DJ382" s="539"/>
      <c r="DK382" s="539"/>
      <c r="DL382" s="539"/>
      <c r="DM382" s="539"/>
      <c r="DN382" s="539"/>
      <c r="DO382" s="539"/>
      <c r="DP382" s="539"/>
      <c r="DQ382" s="539"/>
      <c r="DR382" s="539"/>
      <c r="DS382" s="539"/>
      <c r="DT382" s="539"/>
      <c r="DU382" s="539"/>
      <c r="DV382" s="539"/>
      <c r="DW382" s="539"/>
      <c r="DX382" s="539"/>
      <c r="DY382" s="539"/>
      <c r="DZ382" s="539"/>
      <c r="EA382" s="539"/>
      <c r="EB382" s="539"/>
      <c r="EC382" s="539"/>
      <c r="ED382" s="539"/>
    </row>
    <row r="383" spans="1:134" ht="12.75" customHeight="1">
      <c r="A383" s="552"/>
      <c r="B383" s="10" t="e">
        <f>+#REF!</f>
        <v>#REF!</v>
      </c>
      <c r="C383" s="10">
        <v>-13439.545258999999</v>
      </c>
      <c r="D383" s="10">
        <v>98313.591382999992</v>
      </c>
      <c r="E383" s="10">
        <v>99201.758273999993</v>
      </c>
      <c r="F383" s="10">
        <v>124229.824371</v>
      </c>
      <c r="G383" s="10">
        <v>170336.7594273476</v>
      </c>
      <c r="H383" s="10">
        <v>220550.17772486084</v>
      </c>
      <c r="I383" s="10">
        <v>274869.41793974082</v>
      </c>
      <c r="J383" s="10">
        <v>332806.63170620031</v>
      </c>
      <c r="K383" s="10">
        <v>393845.44708364166</v>
      </c>
      <c r="L383" s="10">
        <v>1185843.7804385596</v>
      </c>
      <c r="M383" s="10">
        <v>1977827.98451168</v>
      </c>
      <c r="N383" s="10">
        <v>2769812.1885848003</v>
      </c>
      <c r="O383" s="10">
        <v>3561796.3926579207</v>
      </c>
      <c r="P383" s="10">
        <v>3561796.3926579207</v>
      </c>
      <c r="Q383" s="10">
        <v>3561796.3926579207</v>
      </c>
      <c r="R383" s="10">
        <v>3561796.3926579207</v>
      </c>
      <c r="S383" s="10">
        <v>3561796.3926579207</v>
      </c>
      <c r="T383" s="10">
        <v>3561796.3926579207</v>
      </c>
      <c r="U383" s="10">
        <v>3561796.3926579207</v>
      </c>
      <c r="V383" s="10">
        <v>3561796.3926579207</v>
      </c>
      <c r="W383" s="10">
        <v>3561796.3926579207</v>
      </c>
      <c r="X383" s="10">
        <v>3561796.3926579207</v>
      </c>
      <c r="Y383" s="10">
        <v>3561796.3926579207</v>
      </c>
      <c r="Z383" s="10">
        <v>3561796.3926579207</v>
      </c>
      <c r="AA383" s="10">
        <v>3561796.3926579207</v>
      </c>
      <c r="AB383" s="10">
        <v>3561796.3926579207</v>
      </c>
      <c r="AC383" s="10">
        <v>3561796.3926579207</v>
      </c>
      <c r="AD383" s="10">
        <v>3561796.3926579207</v>
      </c>
      <c r="AE383" s="10">
        <v>3561796.3926579207</v>
      </c>
      <c r="AF383" s="10">
        <v>3561796.3926579207</v>
      </c>
      <c r="AG383" s="10">
        <v>3561796.3926579207</v>
      </c>
      <c r="AH383" s="10">
        <v>3561796.3926579207</v>
      </c>
      <c r="AI383" s="10">
        <v>3561796.3926579207</v>
      </c>
      <c r="AJ383" s="10">
        <v>3561796.3926579207</v>
      </c>
      <c r="AK383" s="10">
        <v>3561796.3926579207</v>
      </c>
      <c r="AL383" s="10">
        <v>3561796.3926579207</v>
      </c>
      <c r="AM383" s="10">
        <v>3561796.3926579207</v>
      </c>
      <c r="AN383" s="10">
        <v>3561796.3926579207</v>
      </c>
      <c r="AO383" s="10">
        <v>3561796.3926579207</v>
      </c>
      <c r="AP383" s="10">
        <v>3561796.3926579207</v>
      </c>
      <c r="AQ383" s="539"/>
      <c r="AR383" s="539"/>
      <c r="AS383" s="539"/>
      <c r="AT383" s="539"/>
      <c r="AU383" s="539"/>
      <c r="AV383" s="539"/>
      <c r="AW383" s="539"/>
      <c r="AX383" s="539"/>
      <c r="AY383" s="539"/>
      <c r="AZ383" s="539"/>
      <c r="BA383" s="539"/>
      <c r="BB383" s="539"/>
      <c r="BC383" s="539"/>
      <c r="BD383" s="539"/>
      <c r="BE383" s="539"/>
      <c r="BF383" s="539"/>
      <c r="BG383" s="539"/>
      <c r="BH383" s="539"/>
      <c r="BI383" s="539"/>
      <c r="BJ383" s="539"/>
      <c r="BK383" s="539"/>
      <c r="BL383" s="539"/>
      <c r="BM383" s="539"/>
      <c r="BN383" s="539"/>
      <c r="BO383" s="539"/>
      <c r="BP383" s="539"/>
      <c r="BQ383" s="539"/>
      <c r="BR383" s="539"/>
      <c r="BS383" s="539"/>
      <c r="BT383" s="539"/>
      <c r="BU383" s="539"/>
      <c r="BV383" s="539"/>
      <c r="BW383" s="539"/>
      <c r="BX383" s="539"/>
      <c r="BY383" s="539"/>
      <c r="BZ383" s="539"/>
      <c r="CA383" s="539"/>
      <c r="CB383" s="539"/>
      <c r="CC383" s="539"/>
      <c r="CD383" s="539"/>
      <c r="CE383" s="539"/>
      <c r="CF383" s="539"/>
      <c r="CG383" s="539"/>
      <c r="CH383" s="539"/>
      <c r="CI383" s="539"/>
      <c r="CJ383" s="539"/>
      <c r="CK383" s="539"/>
      <c r="CL383" s="539"/>
      <c r="CM383" s="539"/>
      <c r="CN383" s="539"/>
      <c r="CO383" s="539"/>
      <c r="CP383" s="539"/>
      <c r="CQ383" s="539"/>
      <c r="CR383" s="539"/>
      <c r="CS383" s="539"/>
      <c r="CT383" s="539"/>
      <c r="CU383" s="539"/>
      <c r="CV383" s="539"/>
      <c r="CW383" s="539"/>
      <c r="CX383" s="539"/>
      <c r="CY383" s="539"/>
      <c r="CZ383" s="539"/>
      <c r="DA383" s="539"/>
      <c r="DB383" s="539"/>
      <c r="DC383" s="539"/>
      <c r="DD383" s="539"/>
      <c r="DE383" s="539"/>
      <c r="DF383" s="539"/>
      <c r="DG383" s="539"/>
      <c r="DH383" s="539"/>
      <c r="DI383" s="539"/>
      <c r="DJ383" s="539"/>
      <c r="DK383" s="539"/>
      <c r="DL383" s="539"/>
      <c r="DM383" s="539"/>
      <c r="DN383" s="539"/>
      <c r="DO383" s="539"/>
      <c r="DP383" s="539"/>
      <c r="DQ383" s="539"/>
      <c r="DR383" s="539"/>
      <c r="DS383" s="539"/>
      <c r="DT383" s="539"/>
      <c r="DU383" s="539"/>
      <c r="DV383" s="539"/>
      <c r="DW383" s="539"/>
      <c r="DX383" s="539"/>
      <c r="DY383" s="539"/>
      <c r="DZ383" s="539"/>
      <c r="EA383" s="539"/>
      <c r="EB383" s="539"/>
      <c r="EC383" s="539"/>
      <c r="ED383" s="539"/>
    </row>
    <row r="384" spans="1:134" ht="12.75" hidden="1" customHeight="1">
      <c r="A384" s="549"/>
      <c r="B384" s="12" t="e">
        <f>+#REF!</f>
        <v>#REF!</v>
      </c>
      <c r="C384" s="12">
        <v>-47436.369533999998</v>
      </c>
      <c r="D384" s="12">
        <v>111753.136642</v>
      </c>
      <c r="E384" s="12">
        <v>886.16689099999871</v>
      </c>
      <c r="F384" s="12">
        <v>25056.06609700001</v>
      </c>
      <c r="G384" s="12">
        <v>46106.935056347596</v>
      </c>
      <c r="H384" s="12">
        <v>50213.418297513228</v>
      </c>
      <c r="I384" s="12">
        <v>54319.240214880003</v>
      </c>
      <c r="J384" s="12">
        <v>57937.213766459477</v>
      </c>
      <c r="K384" s="12">
        <v>61038.815377441366</v>
      </c>
      <c r="L384" s="12">
        <v>791998.33335491805</v>
      </c>
      <c r="M384" s="12">
        <v>791984.20407312037</v>
      </c>
      <c r="N384" s="12">
        <v>791984.20407312037</v>
      </c>
      <c r="O384" s="12">
        <v>791984.20407312037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0</v>
      </c>
      <c r="AQ384" s="539"/>
      <c r="AR384" s="539"/>
      <c r="AS384" s="539"/>
      <c r="AT384" s="539"/>
      <c r="AU384" s="539"/>
      <c r="AV384" s="539"/>
      <c r="AW384" s="539"/>
      <c r="AX384" s="539"/>
      <c r="AY384" s="539"/>
      <c r="AZ384" s="539"/>
      <c r="BA384" s="539"/>
      <c r="BB384" s="539"/>
      <c r="BC384" s="539"/>
      <c r="BD384" s="539"/>
      <c r="BE384" s="539"/>
      <c r="BF384" s="539"/>
      <c r="BG384" s="539"/>
      <c r="BH384" s="539"/>
      <c r="BI384" s="539"/>
      <c r="BJ384" s="539"/>
      <c r="BK384" s="539"/>
      <c r="BL384" s="539"/>
      <c r="BM384" s="539"/>
      <c r="BN384" s="539"/>
      <c r="BO384" s="539"/>
      <c r="BP384" s="539"/>
      <c r="BQ384" s="539"/>
      <c r="BR384" s="539"/>
      <c r="BS384" s="539"/>
      <c r="BT384" s="539"/>
      <c r="BU384" s="539"/>
      <c r="BV384" s="539"/>
      <c r="BW384" s="539"/>
      <c r="BX384" s="539"/>
      <c r="BY384" s="539"/>
      <c r="BZ384" s="539"/>
      <c r="CA384" s="539"/>
      <c r="CB384" s="539"/>
      <c r="CC384" s="539"/>
      <c r="CD384" s="539"/>
      <c r="CE384" s="539"/>
      <c r="CF384" s="539"/>
      <c r="CG384" s="539"/>
      <c r="CH384" s="539"/>
      <c r="CI384" s="539"/>
      <c r="CJ384" s="539"/>
      <c r="CK384" s="539"/>
      <c r="CL384" s="539"/>
      <c r="CM384" s="539"/>
      <c r="CN384" s="539"/>
      <c r="CO384" s="539"/>
      <c r="CP384" s="539"/>
      <c r="CQ384" s="539"/>
      <c r="CR384" s="539"/>
      <c r="CS384" s="539"/>
      <c r="CT384" s="539"/>
      <c r="CU384" s="539"/>
      <c r="CV384" s="539"/>
      <c r="CW384" s="539"/>
      <c r="CX384" s="539"/>
      <c r="CY384" s="539"/>
      <c r="CZ384" s="539"/>
      <c r="DA384" s="539"/>
      <c r="DB384" s="539"/>
      <c r="DC384" s="539"/>
      <c r="DD384" s="539"/>
      <c r="DE384" s="539"/>
      <c r="DF384" s="539"/>
      <c r="DG384" s="539"/>
      <c r="DH384" s="539"/>
      <c r="DI384" s="539"/>
      <c r="DJ384" s="539"/>
      <c r="DK384" s="539"/>
      <c r="DL384" s="539"/>
      <c r="DM384" s="539"/>
      <c r="DN384" s="539"/>
      <c r="DO384" s="539"/>
      <c r="DP384" s="539"/>
      <c r="DQ384" s="539"/>
      <c r="DR384" s="539"/>
      <c r="DS384" s="539"/>
      <c r="DT384" s="539"/>
      <c r="DU384" s="539"/>
      <c r="DV384" s="539"/>
      <c r="DW384" s="539"/>
      <c r="DX384" s="539"/>
      <c r="DY384" s="539"/>
      <c r="DZ384" s="539"/>
      <c r="EA384" s="539"/>
      <c r="EB384" s="539"/>
      <c r="EC384" s="539"/>
      <c r="ED384" s="539"/>
    </row>
    <row r="385" spans="1:134" ht="13.5" hidden="1" customHeight="1">
      <c r="A385" s="549"/>
      <c r="B385" s="12" t="e">
        <f>+#REF!</f>
        <v>#REF!</v>
      </c>
      <c r="C385" s="12">
        <f>IF(YEAR(Historical!E13)&lt;&gt;1900,Historical!E69,IF(YEAR(Historical!G13)&lt;&gt;1900,Historical!G69,IF(YEAR(Historical!I13)&lt;&gt;1900,Historical!I69,IF(YEAR(Historical!K13),Historical!K69, ))))</f>
        <v>5400</v>
      </c>
      <c r="D385" s="12">
        <v>-13439.545258999999</v>
      </c>
      <c r="E385" s="12">
        <v>98313.591382999992</v>
      </c>
      <c r="F385" s="12">
        <v>99201.758273999993</v>
      </c>
      <c r="G385" s="12">
        <v>124229.824371</v>
      </c>
      <c r="H385" s="12">
        <v>170336.7594273476</v>
      </c>
      <c r="I385" s="12">
        <v>220550.17772486084</v>
      </c>
      <c r="J385" s="12">
        <v>274869.41793974082</v>
      </c>
      <c r="K385" s="12">
        <v>332806.63170620031</v>
      </c>
      <c r="L385" s="12">
        <v>393845.44708364166</v>
      </c>
      <c r="M385" s="12">
        <v>1185843.7804385596</v>
      </c>
      <c r="N385" s="12">
        <v>1977827.98451168</v>
      </c>
      <c r="O385" s="12">
        <v>2769812.1885848003</v>
      </c>
      <c r="P385" s="12">
        <v>3561796.3926579207</v>
      </c>
      <c r="Q385" s="12">
        <v>3561796.3926579207</v>
      </c>
      <c r="R385" s="12">
        <v>3561796.3926579207</v>
      </c>
      <c r="S385" s="12">
        <v>3561796.3926579207</v>
      </c>
      <c r="T385" s="12">
        <v>3561796.3926579207</v>
      </c>
      <c r="U385" s="12">
        <v>3561796.3926579207</v>
      </c>
      <c r="V385" s="12">
        <v>3561796.3926579207</v>
      </c>
      <c r="W385" s="12">
        <v>3561796.3926579207</v>
      </c>
      <c r="X385" s="12">
        <v>3561796.3926579207</v>
      </c>
      <c r="Y385" s="12">
        <v>3561796.3926579207</v>
      </c>
      <c r="Z385" s="12">
        <v>3561796.3926579207</v>
      </c>
      <c r="AA385" s="12">
        <v>3561796.3926579207</v>
      </c>
      <c r="AB385" s="12">
        <v>3561796.3926579207</v>
      </c>
      <c r="AC385" s="12">
        <v>3561796.3926579207</v>
      </c>
      <c r="AD385" s="12">
        <v>3561796.3926579207</v>
      </c>
      <c r="AE385" s="12">
        <v>3561796.3926579207</v>
      </c>
      <c r="AF385" s="12">
        <v>3561796.3926579207</v>
      </c>
      <c r="AG385" s="12">
        <v>3561796.3926579207</v>
      </c>
      <c r="AH385" s="12">
        <v>3561796.3926579207</v>
      </c>
      <c r="AI385" s="12">
        <v>3561796.3926579207</v>
      </c>
      <c r="AJ385" s="12">
        <v>3561796.3926579207</v>
      </c>
      <c r="AK385" s="12">
        <v>3561796.3926579207</v>
      </c>
      <c r="AL385" s="12">
        <v>3561796.3926579207</v>
      </c>
      <c r="AM385" s="12">
        <v>3561796.3926579207</v>
      </c>
      <c r="AN385" s="12">
        <v>3561796.3926579207</v>
      </c>
      <c r="AO385" s="12">
        <v>3561796.3926579207</v>
      </c>
      <c r="AP385" s="12">
        <v>3561796.3926579207</v>
      </c>
      <c r="AQ385" s="539"/>
      <c r="AR385" s="539"/>
      <c r="AS385" s="539"/>
      <c r="AT385" s="539"/>
      <c r="AU385" s="539"/>
      <c r="AV385" s="539"/>
      <c r="AW385" s="539"/>
      <c r="AX385" s="539"/>
      <c r="AY385" s="539"/>
      <c r="AZ385" s="539"/>
      <c r="BA385" s="539"/>
      <c r="BB385" s="539"/>
      <c r="BC385" s="539"/>
      <c r="BD385" s="539"/>
      <c r="BE385" s="539"/>
      <c r="BF385" s="539"/>
      <c r="BG385" s="539"/>
      <c r="BH385" s="539"/>
      <c r="BI385" s="539"/>
      <c r="BJ385" s="539"/>
      <c r="BK385" s="539"/>
      <c r="BL385" s="539"/>
      <c r="BM385" s="539"/>
      <c r="BN385" s="539"/>
      <c r="BO385" s="539"/>
      <c r="BP385" s="539"/>
      <c r="BQ385" s="539"/>
      <c r="BR385" s="539"/>
      <c r="BS385" s="539"/>
      <c r="BT385" s="539"/>
      <c r="BU385" s="539"/>
      <c r="BV385" s="539"/>
      <c r="BW385" s="539"/>
      <c r="BX385" s="539"/>
      <c r="BY385" s="539"/>
      <c r="BZ385" s="539"/>
      <c r="CA385" s="539"/>
      <c r="CB385" s="539"/>
      <c r="CC385" s="539"/>
      <c r="CD385" s="539"/>
      <c r="CE385" s="539"/>
      <c r="CF385" s="539"/>
      <c r="CG385" s="539"/>
      <c r="CH385" s="539"/>
      <c r="CI385" s="539"/>
      <c r="CJ385" s="539"/>
      <c r="CK385" s="539"/>
      <c r="CL385" s="539"/>
      <c r="CM385" s="539"/>
      <c r="CN385" s="539"/>
      <c r="CO385" s="539"/>
      <c r="CP385" s="539"/>
      <c r="CQ385" s="539"/>
      <c r="CR385" s="539"/>
      <c r="CS385" s="539"/>
      <c r="CT385" s="539"/>
      <c r="CU385" s="539"/>
      <c r="CV385" s="539"/>
      <c r="CW385" s="539"/>
      <c r="CX385" s="539"/>
      <c r="CY385" s="539"/>
      <c r="CZ385" s="539"/>
      <c r="DA385" s="539"/>
      <c r="DB385" s="539"/>
      <c r="DC385" s="539"/>
      <c r="DD385" s="539"/>
      <c r="DE385" s="539"/>
      <c r="DF385" s="539"/>
      <c r="DG385" s="539"/>
      <c r="DH385" s="539"/>
      <c r="DI385" s="539"/>
      <c r="DJ385" s="539"/>
      <c r="DK385" s="539"/>
      <c r="DL385" s="539"/>
      <c r="DM385" s="539"/>
      <c r="DN385" s="539"/>
      <c r="DO385" s="539"/>
      <c r="DP385" s="539"/>
      <c r="DQ385" s="539"/>
      <c r="DR385" s="539"/>
      <c r="DS385" s="539"/>
      <c r="DT385" s="539"/>
      <c r="DU385" s="539"/>
      <c r="DV385" s="539"/>
      <c r="DW385" s="539"/>
      <c r="DX385" s="539"/>
      <c r="DY385" s="539"/>
      <c r="DZ385" s="539"/>
      <c r="EA385" s="539"/>
      <c r="EB385" s="539"/>
      <c r="EC385" s="539"/>
      <c r="ED385" s="539"/>
    </row>
    <row r="386" spans="1:134" ht="13.5" hidden="1" customHeight="1">
      <c r="A386" s="549"/>
      <c r="B386" s="12" t="e">
        <f>+#REF!</f>
        <v>#REF!</v>
      </c>
      <c r="C386" s="12">
        <f>IF(ISNUMBER(Historical!E71),Historical!E71, )</f>
        <v>-1550</v>
      </c>
      <c r="D386" s="12">
        <f>IF(ISNUMBER(Historical!G71),Historical!G71, )</f>
        <v>-13851</v>
      </c>
      <c r="E386" s="12">
        <f>IF(ISNUMBER(Historical!I71),Historical!I71, )</f>
        <v>-19316</v>
      </c>
      <c r="F386" s="12">
        <f>IF(ISNUMBER(Projection!H7),IF(MONTH(Projection!$H$7)&lt;&gt;12,IF(ISNUMBER(Projection!L64),Projection!L64, ),IF(ISNUMBER(Projection!H64),Projection!H64, )), )</f>
        <v>-19021</v>
      </c>
      <c r="G386" s="12">
        <f>IF(ISNUMBER(Projection!H7),IF(MONTH(Projection!$H$7)&lt;&gt;12,IF(ISNUMBER(Projection!N64),Projection!N64, ),IF(ISNUMBER(Projection!L64),Projection!L64, )), )</f>
        <v>0</v>
      </c>
      <c r="H386" s="12">
        <f>IF(ISNUMBER(Projection!$H$7),IF(MONTH(Projection!$H$7)&lt;&gt;12,IF(ISNUMBER(Projection!P64),Projection!P64, ),IF(ISNUMBER(Projection!N64),Projection!N64, )), )</f>
        <v>0</v>
      </c>
      <c r="I386" s="12">
        <f>IF(ISNUMBER(Projection!$H$7),IF(MONTH(Projection!$H$7)&lt;&gt;12,IF(ISNUMBER(Projection!R64),Projection!R64, ),IF(ISNUMBER(Projection!P64),Projection!P64, )), )</f>
        <v>0</v>
      </c>
      <c r="J386" s="12">
        <f>IF(ISNUMBER(Projection!$H$7),IF(MONTH(Projection!$H$7)&lt;&gt;12,IF(ISNUMBER(Projection!T64),Projection!T64, ),IF(ISNUMBER(Projection!R64),Projection!R64, )), )</f>
        <v>0</v>
      </c>
      <c r="K386" s="12">
        <f>IF(ISNUMBER(Projection!$H$7),IF(MONTH(Projection!$H$7)&lt;&gt;12,IF(ISNUMBER(Projection!Z64),Projection!Z64, ),IF(ISNUMBER(Projection!T64),Projection!T64, )), )</f>
        <v>0</v>
      </c>
      <c r="L386" s="12">
        <f>IF(ISNUMBER(Projection!$H$7),IF(MONTH(Projection!$H$7)&lt;&gt;12,IF(ISNUMBER(Projection!AB64),Projection!AB64, ),IF(ISNUMBER(Projection!Z64),Projection!Z64, )), )</f>
        <v>0</v>
      </c>
      <c r="M386" s="12">
        <f>IF(ISNUMBER(Projection!$H$7),IF(MONTH(Projection!$H$7)&lt;&gt;12,IF(ISNUMBER(Projection!AD64),Projection!AD64, ),IF(ISNUMBER(Projection!AB64),Projection!AB64, )), )</f>
        <v>0</v>
      </c>
      <c r="N386" s="12">
        <f>IF(ISNUMBER(Projection!$H$7),IF(MONTH(Projection!$H$7)&lt;&gt;12,IF(ISNUMBER(Projection!AF64),Projection!AF64, ),IF(ISNUMBER(Projection!AD64),Projection!AD64, )), )</f>
        <v>0</v>
      </c>
      <c r="O386" s="12">
        <f>IF(ISNUMBER(Projection!$H$7),IF(MONTH(Projection!$H$7)&lt;&gt;12,IF(ISNUMBER(Projection!AH64),Projection!AH64, ),IF(ISNUMBER(Projection!AF64),Projection!AF64, )), )</f>
        <v>0</v>
      </c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539"/>
      <c r="AR386" s="539"/>
      <c r="AS386" s="539"/>
      <c r="AT386" s="539"/>
      <c r="AU386" s="539"/>
      <c r="AV386" s="539"/>
      <c r="AW386" s="539"/>
      <c r="AX386" s="539"/>
      <c r="AY386" s="539"/>
      <c r="AZ386" s="539"/>
      <c r="BA386" s="539"/>
      <c r="BB386" s="539"/>
      <c r="BC386" s="539"/>
      <c r="BD386" s="539"/>
      <c r="BE386" s="539"/>
      <c r="BF386" s="539"/>
      <c r="BG386" s="539"/>
      <c r="BH386" s="539"/>
      <c r="BI386" s="539"/>
      <c r="BJ386" s="539"/>
      <c r="BK386" s="539"/>
      <c r="BL386" s="539"/>
      <c r="BM386" s="539"/>
      <c r="BN386" s="539"/>
      <c r="BO386" s="539"/>
      <c r="BP386" s="539"/>
      <c r="BQ386" s="539"/>
      <c r="BR386" s="539"/>
      <c r="BS386" s="539"/>
      <c r="BT386" s="539"/>
      <c r="BU386" s="539"/>
      <c r="BV386" s="539"/>
      <c r="BW386" s="539"/>
      <c r="BX386" s="539"/>
      <c r="BY386" s="539"/>
      <c r="BZ386" s="539"/>
      <c r="CA386" s="539"/>
      <c r="CB386" s="539"/>
      <c r="CC386" s="539"/>
      <c r="CD386" s="539"/>
      <c r="CE386" s="539"/>
      <c r="CF386" s="539"/>
      <c r="CG386" s="539"/>
      <c r="CH386" s="539"/>
      <c r="CI386" s="539"/>
      <c r="CJ386" s="539"/>
      <c r="CK386" s="539"/>
      <c r="CL386" s="539"/>
      <c r="CM386" s="539"/>
      <c r="CN386" s="539"/>
      <c r="CO386" s="539"/>
      <c r="CP386" s="539"/>
      <c r="CQ386" s="539"/>
      <c r="CR386" s="539"/>
      <c r="CS386" s="539"/>
      <c r="CT386" s="539"/>
      <c r="CU386" s="539"/>
      <c r="CV386" s="539"/>
      <c r="CW386" s="539"/>
      <c r="CX386" s="539"/>
      <c r="CY386" s="539"/>
      <c r="CZ386" s="539"/>
      <c r="DA386" s="539"/>
      <c r="DB386" s="539"/>
      <c r="DC386" s="539"/>
      <c r="DD386" s="539"/>
      <c r="DE386" s="539"/>
      <c r="DF386" s="539"/>
      <c r="DG386" s="539"/>
      <c r="DH386" s="539"/>
      <c r="DI386" s="539"/>
      <c r="DJ386" s="539"/>
      <c r="DK386" s="539"/>
      <c r="DL386" s="539"/>
      <c r="DM386" s="539"/>
      <c r="DN386" s="539"/>
      <c r="DO386" s="539"/>
      <c r="DP386" s="539"/>
      <c r="DQ386" s="539"/>
      <c r="DR386" s="539"/>
      <c r="DS386" s="539"/>
      <c r="DT386" s="539"/>
      <c r="DU386" s="539"/>
      <c r="DV386" s="539"/>
      <c r="DW386" s="539"/>
      <c r="DX386" s="539"/>
      <c r="DY386" s="539"/>
      <c r="DZ386" s="539"/>
      <c r="EA386" s="539"/>
      <c r="EB386" s="539"/>
      <c r="EC386" s="539"/>
      <c r="ED386" s="539"/>
    </row>
    <row r="387" spans="1:134" ht="13.5" customHeight="1">
      <c r="A387" s="545"/>
      <c r="B387" s="6" t="e">
        <f>+#REF!</f>
        <v>#REF!</v>
      </c>
      <c r="C387" s="7">
        <f t="shared" ref="C387:AP387" si="11">SUM(C351,C367,C383)</f>
        <v>-12239.545258999999</v>
      </c>
      <c r="D387" s="7">
        <f t="shared" si="11"/>
        <v>99513.591382999992</v>
      </c>
      <c r="E387" s="7">
        <f t="shared" si="11"/>
        <v>100401.75827399999</v>
      </c>
      <c r="F387" s="7">
        <f t="shared" si="11"/>
        <v>125429.824371</v>
      </c>
      <c r="G387" s="7">
        <f t="shared" si="11"/>
        <v>171536.7594273476</v>
      </c>
      <c r="H387" s="7">
        <f t="shared" si="11"/>
        <v>221750.17772486084</v>
      </c>
      <c r="I387" s="7">
        <f t="shared" si="11"/>
        <v>276069.41793974082</v>
      </c>
      <c r="J387" s="7">
        <f t="shared" si="11"/>
        <v>334006.63170620031</v>
      </c>
      <c r="K387" s="7">
        <f t="shared" si="11"/>
        <v>395045.44708364166</v>
      </c>
      <c r="L387" s="7">
        <f t="shared" si="11"/>
        <v>1187043.7804385596</v>
      </c>
      <c r="M387" s="7">
        <f t="shared" si="11"/>
        <v>1979027.98451168</v>
      </c>
      <c r="N387" s="7">
        <f t="shared" si="11"/>
        <v>2771012.1885848003</v>
      </c>
      <c r="O387" s="7">
        <f t="shared" si="11"/>
        <v>3562996.3926579207</v>
      </c>
      <c r="P387" s="7">
        <f t="shared" si="11"/>
        <v>3561796.3926579207</v>
      </c>
      <c r="Q387" s="7">
        <f t="shared" si="11"/>
        <v>3561796.3926579207</v>
      </c>
      <c r="R387" s="7">
        <f t="shared" si="11"/>
        <v>3561796.3926579207</v>
      </c>
      <c r="S387" s="7">
        <f t="shared" si="11"/>
        <v>3561796.3926579207</v>
      </c>
      <c r="T387" s="7">
        <f t="shared" si="11"/>
        <v>3561796.3926579207</v>
      </c>
      <c r="U387" s="7">
        <f t="shared" si="11"/>
        <v>3561796.3926579207</v>
      </c>
      <c r="V387" s="7">
        <f t="shared" si="11"/>
        <v>3561796.3926579207</v>
      </c>
      <c r="W387" s="7">
        <f t="shared" si="11"/>
        <v>3561796.3926579207</v>
      </c>
      <c r="X387" s="7">
        <f t="shared" si="11"/>
        <v>3561796.3926579207</v>
      </c>
      <c r="Y387" s="7">
        <f t="shared" si="11"/>
        <v>3561796.3926579207</v>
      </c>
      <c r="Z387" s="7">
        <f t="shared" si="11"/>
        <v>3561796.3926579207</v>
      </c>
      <c r="AA387" s="7">
        <f t="shared" si="11"/>
        <v>3561796.3926579207</v>
      </c>
      <c r="AB387" s="7">
        <f t="shared" si="11"/>
        <v>3561796.3926579207</v>
      </c>
      <c r="AC387" s="7">
        <f t="shared" si="11"/>
        <v>3561796.3926579207</v>
      </c>
      <c r="AD387" s="7">
        <f t="shared" si="11"/>
        <v>3561796.3926579207</v>
      </c>
      <c r="AE387" s="7">
        <f t="shared" si="11"/>
        <v>3561796.3926579207</v>
      </c>
      <c r="AF387" s="7">
        <f t="shared" si="11"/>
        <v>3561796.3926579207</v>
      </c>
      <c r="AG387" s="7">
        <f t="shared" si="11"/>
        <v>3561796.3926579207</v>
      </c>
      <c r="AH387" s="7">
        <f t="shared" si="11"/>
        <v>3561796.3926579207</v>
      </c>
      <c r="AI387" s="7">
        <f t="shared" si="11"/>
        <v>3561796.3926579207</v>
      </c>
      <c r="AJ387" s="7">
        <f t="shared" si="11"/>
        <v>3561796.3926579207</v>
      </c>
      <c r="AK387" s="7">
        <f t="shared" si="11"/>
        <v>3561796.3926579207</v>
      </c>
      <c r="AL387" s="7">
        <f t="shared" si="11"/>
        <v>3561796.3926579207</v>
      </c>
      <c r="AM387" s="7">
        <f t="shared" si="11"/>
        <v>3561796.3926579207</v>
      </c>
      <c r="AN387" s="7">
        <f t="shared" si="11"/>
        <v>3561796.3926579207</v>
      </c>
      <c r="AO387" s="7">
        <f t="shared" si="11"/>
        <v>3561796.3926579207</v>
      </c>
      <c r="AP387" s="7">
        <f t="shared" si="11"/>
        <v>3561796.3926579207</v>
      </c>
      <c r="AQ387" s="539"/>
      <c r="AR387" s="539"/>
      <c r="AS387" s="539"/>
      <c r="AT387" s="539"/>
      <c r="AU387" s="539"/>
      <c r="AV387" s="539"/>
      <c r="AW387" s="539"/>
      <c r="AX387" s="539"/>
      <c r="AY387" s="539"/>
      <c r="AZ387" s="539"/>
      <c r="BA387" s="539"/>
      <c r="BB387" s="539"/>
      <c r="BC387" s="539"/>
      <c r="BD387" s="539"/>
      <c r="BE387" s="539"/>
      <c r="BF387" s="539"/>
      <c r="BG387" s="539"/>
      <c r="BH387" s="539"/>
      <c r="BI387" s="539"/>
      <c r="BJ387" s="539"/>
      <c r="BK387" s="539"/>
      <c r="BL387" s="539"/>
      <c r="BM387" s="539"/>
      <c r="BN387" s="539"/>
      <c r="BO387" s="539"/>
      <c r="BP387" s="539"/>
      <c r="BQ387" s="539"/>
      <c r="BR387" s="539"/>
      <c r="BS387" s="539"/>
      <c r="BT387" s="539"/>
      <c r="BU387" s="539"/>
      <c r="BV387" s="539"/>
      <c r="BW387" s="539"/>
      <c r="BX387" s="539"/>
      <c r="BY387" s="539"/>
      <c r="BZ387" s="539"/>
      <c r="CA387" s="539"/>
      <c r="CB387" s="539"/>
      <c r="CC387" s="539"/>
      <c r="CD387" s="539"/>
      <c r="CE387" s="539"/>
      <c r="CF387" s="539"/>
      <c r="CG387" s="539"/>
      <c r="CH387" s="539"/>
      <c r="CI387" s="539"/>
      <c r="CJ387" s="539"/>
      <c r="CK387" s="539"/>
      <c r="CL387" s="539"/>
      <c r="CM387" s="539"/>
      <c r="CN387" s="539"/>
      <c r="CO387" s="539"/>
      <c r="CP387" s="539"/>
      <c r="CQ387" s="539"/>
      <c r="CR387" s="539"/>
      <c r="CS387" s="539"/>
      <c r="CT387" s="539"/>
      <c r="CU387" s="539"/>
      <c r="CV387" s="539"/>
      <c r="CW387" s="539"/>
      <c r="CX387" s="539"/>
      <c r="CY387" s="539"/>
      <c r="CZ387" s="539"/>
      <c r="DA387" s="539"/>
      <c r="DB387" s="539"/>
      <c r="DC387" s="539"/>
      <c r="DD387" s="539"/>
      <c r="DE387" s="539"/>
      <c r="DF387" s="539"/>
      <c r="DG387" s="539"/>
      <c r="DH387" s="539"/>
      <c r="DI387" s="539"/>
      <c r="DJ387" s="539"/>
      <c r="DK387" s="539"/>
      <c r="DL387" s="539"/>
      <c r="DM387" s="539"/>
      <c r="DN387" s="539"/>
      <c r="DO387" s="539"/>
      <c r="DP387" s="539"/>
      <c r="DQ387" s="539"/>
      <c r="DR387" s="539"/>
      <c r="DS387" s="539"/>
      <c r="DT387" s="539"/>
      <c r="DU387" s="539"/>
      <c r="DV387" s="539"/>
      <c r="DW387" s="539"/>
      <c r="DX387" s="539"/>
      <c r="DY387" s="539"/>
      <c r="DZ387" s="539"/>
      <c r="EA387" s="539"/>
      <c r="EB387" s="539"/>
      <c r="EC387" s="539"/>
      <c r="ED387" s="539"/>
    </row>
    <row r="388" spans="1:134" ht="13.5" customHeight="1">
      <c r="A388" s="551"/>
      <c r="B388" s="13" t="e">
        <f>+#REF!</f>
        <v>#REF!</v>
      </c>
      <c r="C388" s="14">
        <f t="shared" ref="C388:AP388" si="12">SUM(C350,C387)</f>
        <v>157881.01489600001</v>
      </c>
      <c r="D388" s="14">
        <f t="shared" si="12"/>
        <v>303529.77145300002</v>
      </c>
      <c r="E388" s="14">
        <f t="shared" si="12"/>
        <v>310346.16549500002</v>
      </c>
      <c r="F388" s="14">
        <f t="shared" si="12"/>
        <v>509784.37025400001</v>
      </c>
      <c r="G388" s="14">
        <f t="shared" si="12"/>
        <v>602041.68741962384</v>
      </c>
      <c r="H388" s="14">
        <f t="shared" si="12"/>
        <v>617578.08088238537</v>
      </c>
      <c r="I388" s="14">
        <f t="shared" si="12"/>
        <v>635586.26186018321</v>
      </c>
      <c r="J388" s="14">
        <f t="shared" si="12"/>
        <v>678888.12197389873</v>
      </c>
      <c r="K388" s="14">
        <f t="shared" si="12"/>
        <v>754263.41710595344</v>
      </c>
      <c r="L388" s="14">
        <f t="shared" si="12"/>
        <v>1463082.9508068766</v>
      </c>
      <c r="M388" s="14">
        <f t="shared" si="12"/>
        <v>2266993.838637555</v>
      </c>
      <c r="N388" s="14">
        <f t="shared" si="12"/>
        <v>3058978.0427106754</v>
      </c>
      <c r="O388" s="14">
        <f t="shared" si="12"/>
        <v>3850962.2467837958</v>
      </c>
      <c r="P388" s="14">
        <f t="shared" si="12"/>
        <v>3561796.3926579207</v>
      </c>
      <c r="Q388" s="14">
        <f t="shared" si="12"/>
        <v>3561796.3926579207</v>
      </c>
      <c r="R388" s="14">
        <f t="shared" si="12"/>
        <v>3561796.3926579207</v>
      </c>
      <c r="S388" s="14">
        <f t="shared" si="12"/>
        <v>3561796.3926579207</v>
      </c>
      <c r="T388" s="14">
        <f t="shared" si="12"/>
        <v>3561796.3926579207</v>
      </c>
      <c r="U388" s="14">
        <f t="shared" si="12"/>
        <v>3561796.3926579207</v>
      </c>
      <c r="V388" s="14">
        <f t="shared" si="12"/>
        <v>3561796.3926579207</v>
      </c>
      <c r="W388" s="14">
        <f t="shared" si="12"/>
        <v>3561796.3926579207</v>
      </c>
      <c r="X388" s="14">
        <f t="shared" si="12"/>
        <v>3561796.3926579207</v>
      </c>
      <c r="Y388" s="14">
        <f t="shared" si="12"/>
        <v>3561796.3926579207</v>
      </c>
      <c r="Z388" s="14">
        <f t="shared" si="12"/>
        <v>3561796.3926579207</v>
      </c>
      <c r="AA388" s="14">
        <f t="shared" si="12"/>
        <v>3561796.3926579207</v>
      </c>
      <c r="AB388" s="14">
        <f t="shared" si="12"/>
        <v>3561796.3926579207</v>
      </c>
      <c r="AC388" s="14">
        <f t="shared" si="12"/>
        <v>3561796.3926579207</v>
      </c>
      <c r="AD388" s="14">
        <f t="shared" si="12"/>
        <v>3561796.3926579207</v>
      </c>
      <c r="AE388" s="14">
        <f t="shared" si="12"/>
        <v>3561796.3926579207</v>
      </c>
      <c r="AF388" s="14">
        <f t="shared" si="12"/>
        <v>3561796.3926579207</v>
      </c>
      <c r="AG388" s="14">
        <f t="shared" si="12"/>
        <v>3561796.3926579207</v>
      </c>
      <c r="AH388" s="14">
        <f t="shared" si="12"/>
        <v>3561796.3926579207</v>
      </c>
      <c r="AI388" s="14">
        <f t="shared" si="12"/>
        <v>3561796.3926579207</v>
      </c>
      <c r="AJ388" s="14">
        <f t="shared" si="12"/>
        <v>3561796.3926579207</v>
      </c>
      <c r="AK388" s="14">
        <f t="shared" si="12"/>
        <v>3561796.3926579207</v>
      </c>
      <c r="AL388" s="14">
        <f t="shared" si="12"/>
        <v>3561796.3926579207</v>
      </c>
      <c r="AM388" s="14">
        <f t="shared" si="12"/>
        <v>3561796.3926579207</v>
      </c>
      <c r="AN388" s="14">
        <f t="shared" si="12"/>
        <v>3561796.3926579207</v>
      </c>
      <c r="AO388" s="14">
        <f t="shared" si="12"/>
        <v>3561796.3926579207</v>
      </c>
      <c r="AP388" s="14">
        <f t="shared" si="12"/>
        <v>3561796.3926579207</v>
      </c>
      <c r="AQ388" s="539"/>
      <c r="AR388" s="539"/>
      <c r="AS388" s="539"/>
      <c r="AT388" s="539"/>
      <c r="AU388" s="539"/>
      <c r="AV388" s="539"/>
      <c r="AW388" s="539"/>
      <c r="AX388" s="539"/>
      <c r="AY388" s="539"/>
      <c r="AZ388" s="539"/>
      <c r="BA388" s="539"/>
      <c r="BB388" s="539"/>
      <c r="BC388" s="539"/>
      <c r="BD388" s="539"/>
      <c r="BE388" s="539"/>
      <c r="BF388" s="539"/>
      <c r="BG388" s="539"/>
      <c r="BH388" s="539"/>
      <c r="BI388" s="539"/>
      <c r="BJ388" s="539"/>
      <c r="BK388" s="539"/>
      <c r="BL388" s="539"/>
      <c r="BM388" s="539"/>
      <c r="BN388" s="539"/>
      <c r="BO388" s="539"/>
      <c r="BP388" s="539"/>
      <c r="BQ388" s="539"/>
      <c r="BR388" s="539"/>
      <c r="BS388" s="539"/>
      <c r="BT388" s="539"/>
      <c r="BU388" s="539"/>
      <c r="BV388" s="539"/>
      <c r="BW388" s="539"/>
      <c r="BX388" s="539"/>
      <c r="BY388" s="539"/>
      <c r="BZ388" s="539"/>
      <c r="CA388" s="539"/>
      <c r="CB388" s="539"/>
      <c r="CC388" s="539"/>
      <c r="CD388" s="539"/>
      <c r="CE388" s="539"/>
      <c r="CF388" s="539"/>
      <c r="CG388" s="539"/>
      <c r="CH388" s="539"/>
      <c r="CI388" s="539"/>
      <c r="CJ388" s="539"/>
      <c r="CK388" s="539"/>
      <c r="CL388" s="539"/>
      <c r="CM388" s="539"/>
      <c r="CN388" s="539"/>
      <c r="CO388" s="539"/>
      <c r="CP388" s="539"/>
      <c r="CQ388" s="539"/>
      <c r="CR388" s="539"/>
      <c r="CS388" s="539"/>
      <c r="CT388" s="539"/>
      <c r="CU388" s="539"/>
      <c r="CV388" s="539"/>
      <c r="CW388" s="539"/>
      <c r="CX388" s="539"/>
      <c r="CY388" s="539"/>
      <c r="CZ388" s="539"/>
      <c r="DA388" s="539"/>
      <c r="DB388" s="539"/>
      <c r="DC388" s="539"/>
      <c r="DD388" s="539"/>
      <c r="DE388" s="539"/>
      <c r="DF388" s="539"/>
      <c r="DG388" s="539"/>
      <c r="DH388" s="539"/>
      <c r="DI388" s="539"/>
      <c r="DJ388" s="539"/>
      <c r="DK388" s="539"/>
      <c r="DL388" s="539"/>
      <c r="DM388" s="539"/>
      <c r="DN388" s="539"/>
      <c r="DO388" s="539"/>
      <c r="DP388" s="539"/>
      <c r="DQ388" s="539"/>
      <c r="DR388" s="539"/>
      <c r="DS388" s="539"/>
      <c r="DT388" s="539"/>
      <c r="DU388" s="539"/>
      <c r="DV388" s="539"/>
      <c r="DW388" s="539"/>
      <c r="DX388" s="539"/>
      <c r="DY388" s="539"/>
      <c r="DZ388" s="539"/>
      <c r="EA388" s="539"/>
      <c r="EB388" s="539"/>
      <c r="EC388" s="539"/>
      <c r="ED388" s="539"/>
    </row>
    <row r="389" spans="1:134" ht="13.5" customHeight="1">
      <c r="A389" s="539"/>
      <c r="B389" s="539"/>
      <c r="C389" s="539"/>
      <c r="D389" s="539"/>
      <c r="E389" s="539"/>
      <c r="F389" s="539"/>
      <c r="G389" s="539"/>
      <c r="H389" s="539"/>
      <c r="I389" s="539"/>
      <c r="J389" s="539"/>
      <c r="K389" s="539"/>
      <c r="L389" s="539"/>
      <c r="M389" s="539"/>
      <c r="N389" s="539"/>
      <c r="O389" s="539"/>
      <c r="P389" s="539"/>
      <c r="Q389" s="539"/>
      <c r="R389" s="539"/>
      <c r="S389" s="539"/>
      <c r="T389" s="539"/>
      <c r="U389" s="539"/>
      <c r="V389" s="539"/>
      <c r="W389" s="539"/>
      <c r="X389" s="539"/>
      <c r="Y389" s="539"/>
      <c r="Z389" s="539"/>
      <c r="AA389" s="539"/>
      <c r="AB389" s="539"/>
      <c r="AC389" s="539"/>
      <c r="AD389" s="539"/>
      <c r="AE389" s="539"/>
      <c r="AF389" s="539"/>
      <c r="AG389" s="539"/>
      <c r="AH389" s="539"/>
      <c r="AI389" s="539"/>
      <c r="AJ389" s="539"/>
      <c r="AK389" s="539"/>
      <c r="AL389" s="539"/>
      <c r="AM389" s="539"/>
      <c r="AN389" s="539"/>
      <c r="AO389" s="539"/>
      <c r="AP389" s="539"/>
      <c r="AQ389" s="539"/>
      <c r="AR389" s="539"/>
      <c r="AS389" s="539"/>
      <c r="AT389" s="539"/>
      <c r="AU389" s="539"/>
      <c r="AV389" s="539"/>
      <c r="AW389" s="539"/>
      <c r="AX389" s="539"/>
      <c r="AY389" s="539"/>
      <c r="AZ389" s="539"/>
      <c r="BA389" s="539"/>
      <c r="BB389" s="539"/>
      <c r="BC389" s="539"/>
      <c r="BD389" s="539"/>
      <c r="BE389" s="539"/>
      <c r="BF389" s="539"/>
      <c r="BG389" s="539"/>
      <c r="BH389" s="539"/>
      <c r="BI389" s="539"/>
      <c r="BJ389" s="539"/>
      <c r="BK389" s="539"/>
      <c r="BL389" s="539"/>
      <c r="BM389" s="539"/>
      <c r="BN389" s="539"/>
      <c r="BO389" s="539"/>
      <c r="BP389" s="539"/>
      <c r="BQ389" s="539"/>
      <c r="BR389" s="539"/>
      <c r="BS389" s="539"/>
      <c r="BT389" s="539"/>
      <c r="BU389" s="539"/>
      <c r="BV389" s="539"/>
      <c r="BW389" s="539"/>
      <c r="BX389" s="539"/>
      <c r="BY389" s="539"/>
      <c r="BZ389" s="539"/>
      <c r="CA389" s="539"/>
      <c r="CB389" s="539"/>
      <c r="CC389" s="539"/>
      <c r="CD389" s="539"/>
      <c r="CE389" s="539"/>
      <c r="CF389" s="539"/>
      <c r="CG389" s="539"/>
      <c r="CH389" s="539"/>
      <c r="CI389" s="539"/>
      <c r="CJ389" s="539"/>
      <c r="CK389" s="539"/>
      <c r="CL389" s="539"/>
      <c r="CM389" s="539"/>
      <c r="CN389" s="539"/>
      <c r="CO389" s="539"/>
      <c r="CP389" s="539"/>
      <c r="CQ389" s="539"/>
      <c r="CR389" s="539"/>
      <c r="CS389" s="539"/>
      <c r="CT389" s="539"/>
      <c r="CU389" s="539"/>
      <c r="CV389" s="539"/>
      <c r="CW389" s="539"/>
      <c r="CX389" s="539"/>
      <c r="CY389" s="539"/>
      <c r="CZ389" s="539"/>
      <c r="DA389" s="539"/>
      <c r="DB389" s="539"/>
      <c r="DC389" s="539"/>
      <c r="DD389" s="539"/>
      <c r="DE389" s="539"/>
      <c r="DF389" s="539"/>
      <c r="DG389" s="539"/>
      <c r="DH389" s="539"/>
      <c r="DI389" s="539"/>
      <c r="DJ389" s="539"/>
      <c r="DK389" s="539"/>
      <c r="DL389" s="539"/>
      <c r="DM389" s="539"/>
      <c r="DN389" s="539"/>
      <c r="DO389" s="539"/>
      <c r="DP389" s="539"/>
      <c r="DQ389" s="539"/>
      <c r="DR389" s="539"/>
      <c r="DS389" s="539"/>
      <c r="DT389" s="539"/>
      <c r="DU389" s="539"/>
      <c r="DV389" s="539"/>
      <c r="DW389" s="539"/>
      <c r="DX389" s="539"/>
      <c r="DY389" s="539"/>
      <c r="DZ389" s="539"/>
      <c r="EA389" s="539"/>
      <c r="EB389" s="539"/>
      <c r="EC389" s="539"/>
      <c r="ED389" s="539"/>
    </row>
    <row r="390" spans="1:134" ht="13.5" customHeight="1">
      <c r="A390" s="539"/>
      <c r="B390" s="539"/>
      <c r="C390" s="539"/>
      <c r="D390" s="539"/>
      <c r="E390" s="539"/>
      <c r="F390" s="539"/>
      <c r="G390" s="539"/>
      <c r="H390" s="539"/>
      <c r="I390" s="539"/>
      <c r="J390" s="539"/>
      <c r="K390" s="539"/>
      <c r="L390" s="539"/>
      <c r="M390" s="539"/>
      <c r="N390" s="539"/>
      <c r="O390" s="539"/>
      <c r="P390" s="539"/>
      <c r="Q390" s="539"/>
      <c r="R390" s="539"/>
      <c r="S390" s="539"/>
      <c r="T390" s="539"/>
      <c r="U390" s="539"/>
      <c r="V390" s="539"/>
      <c r="W390" s="539"/>
      <c r="X390" s="539"/>
      <c r="Y390" s="539"/>
      <c r="Z390" s="539"/>
      <c r="AA390" s="539"/>
      <c r="AB390" s="539"/>
      <c r="AC390" s="539"/>
      <c r="AD390" s="539"/>
      <c r="AE390" s="539"/>
      <c r="AF390" s="539"/>
      <c r="AG390" s="539"/>
      <c r="AH390" s="539"/>
      <c r="AI390" s="539"/>
      <c r="AJ390" s="539"/>
      <c r="AK390" s="539"/>
      <c r="AL390" s="539"/>
      <c r="AM390" s="539"/>
      <c r="AN390" s="539"/>
      <c r="AO390" s="539"/>
      <c r="AP390" s="539"/>
      <c r="AQ390" s="539"/>
      <c r="AR390" s="539"/>
      <c r="AS390" s="539"/>
      <c r="AT390" s="539"/>
      <c r="AU390" s="539"/>
      <c r="AV390" s="539"/>
      <c r="AW390" s="539"/>
      <c r="AX390" s="539"/>
      <c r="AY390" s="539"/>
      <c r="AZ390" s="539"/>
      <c r="BA390" s="539"/>
      <c r="BB390" s="539"/>
      <c r="BC390" s="539"/>
      <c r="BD390" s="539"/>
      <c r="BE390" s="539"/>
      <c r="BF390" s="539"/>
      <c r="BG390" s="539"/>
      <c r="BH390" s="539"/>
      <c r="BI390" s="539"/>
      <c r="BJ390" s="539"/>
      <c r="BK390" s="539"/>
      <c r="BL390" s="539"/>
      <c r="BM390" s="539"/>
      <c r="BN390" s="539"/>
      <c r="BO390" s="539"/>
      <c r="BP390" s="539"/>
      <c r="BQ390" s="539"/>
      <c r="BR390" s="539"/>
      <c r="BS390" s="539"/>
      <c r="BT390" s="539"/>
      <c r="BU390" s="539"/>
      <c r="BV390" s="539"/>
      <c r="BW390" s="539"/>
      <c r="BX390" s="539"/>
      <c r="BY390" s="539"/>
      <c r="BZ390" s="539"/>
      <c r="CA390" s="539"/>
      <c r="CB390" s="539"/>
      <c r="CC390" s="539"/>
      <c r="CD390" s="539"/>
      <c r="CE390" s="539"/>
      <c r="CF390" s="539"/>
      <c r="CG390" s="539"/>
      <c r="CH390" s="539"/>
      <c r="CI390" s="539"/>
      <c r="CJ390" s="539"/>
      <c r="CK390" s="539"/>
      <c r="CL390" s="539"/>
      <c r="CM390" s="539"/>
      <c r="CN390" s="539"/>
      <c r="CO390" s="539"/>
      <c r="CP390" s="539"/>
      <c r="CQ390" s="539"/>
      <c r="CR390" s="539"/>
      <c r="CS390" s="539"/>
      <c r="CT390" s="539"/>
      <c r="CU390" s="539"/>
      <c r="CV390" s="539"/>
      <c r="CW390" s="539"/>
      <c r="CX390" s="539"/>
      <c r="CY390" s="539"/>
      <c r="CZ390" s="539"/>
      <c r="DA390" s="539"/>
      <c r="DB390" s="539"/>
      <c r="DC390" s="539"/>
      <c r="DD390" s="539"/>
      <c r="DE390" s="539"/>
      <c r="DF390" s="539"/>
      <c r="DG390" s="539"/>
      <c r="DH390" s="539"/>
      <c r="DI390" s="539"/>
      <c r="DJ390" s="539"/>
      <c r="DK390" s="539"/>
      <c r="DL390" s="539"/>
      <c r="DM390" s="539"/>
      <c r="DN390" s="539"/>
      <c r="DO390" s="539"/>
      <c r="DP390" s="539"/>
      <c r="DQ390" s="539"/>
      <c r="DR390" s="539"/>
      <c r="DS390" s="539"/>
      <c r="DT390" s="539"/>
      <c r="DU390" s="539"/>
      <c r="DV390" s="539"/>
      <c r="DW390" s="539"/>
      <c r="DX390" s="539"/>
      <c r="DY390" s="539"/>
      <c r="DZ390" s="539"/>
      <c r="EA390" s="539"/>
      <c r="EB390" s="539"/>
      <c r="EC390" s="539"/>
      <c r="ED390" s="539"/>
    </row>
    <row r="391" spans="1:134" ht="13.5" customHeight="1">
      <c r="A391" s="539"/>
      <c r="B391" s="539"/>
      <c r="C391" s="539"/>
      <c r="D391" s="539"/>
      <c r="E391" s="539"/>
      <c r="F391" s="539"/>
      <c r="G391" s="539"/>
      <c r="H391" s="539"/>
      <c r="I391" s="539"/>
      <c r="J391" s="539"/>
      <c r="K391" s="539"/>
      <c r="L391" s="539"/>
      <c r="M391" s="539"/>
      <c r="N391" s="539"/>
      <c r="O391" s="539"/>
      <c r="P391" s="539"/>
      <c r="Q391" s="539"/>
      <c r="R391" s="539"/>
      <c r="S391" s="539"/>
      <c r="T391" s="539"/>
      <c r="U391" s="539"/>
      <c r="V391" s="539"/>
      <c r="W391" s="539"/>
      <c r="X391" s="539"/>
      <c r="Y391" s="539"/>
      <c r="Z391" s="539"/>
      <c r="AA391" s="539"/>
      <c r="AB391" s="539"/>
      <c r="AC391" s="539"/>
      <c r="AD391" s="539"/>
      <c r="AE391" s="539"/>
      <c r="AF391" s="539"/>
      <c r="AG391" s="539"/>
      <c r="AH391" s="539"/>
      <c r="AI391" s="539"/>
      <c r="AJ391" s="539"/>
      <c r="AK391" s="539"/>
      <c r="AL391" s="539"/>
      <c r="AM391" s="539"/>
      <c r="AN391" s="539"/>
      <c r="AO391" s="539"/>
      <c r="AP391" s="539"/>
      <c r="AQ391" s="539"/>
      <c r="AR391" s="539"/>
      <c r="AS391" s="539"/>
      <c r="AT391" s="539"/>
      <c r="AU391" s="539"/>
      <c r="AV391" s="539"/>
      <c r="AW391" s="539"/>
      <c r="AX391" s="539"/>
      <c r="AY391" s="539"/>
      <c r="AZ391" s="539"/>
      <c r="BA391" s="539"/>
      <c r="BB391" s="539"/>
      <c r="BC391" s="539"/>
      <c r="BD391" s="539"/>
      <c r="BE391" s="539"/>
      <c r="BF391" s="539"/>
      <c r="BG391" s="539"/>
      <c r="BH391" s="539"/>
      <c r="BI391" s="539"/>
      <c r="BJ391" s="539"/>
      <c r="BK391" s="539"/>
      <c r="BL391" s="539"/>
      <c r="BM391" s="539"/>
      <c r="BN391" s="539"/>
      <c r="BO391" s="539"/>
      <c r="BP391" s="539"/>
      <c r="BQ391" s="539"/>
      <c r="BR391" s="539"/>
      <c r="BS391" s="539"/>
      <c r="BT391" s="539"/>
      <c r="BU391" s="539"/>
      <c r="BV391" s="539"/>
      <c r="BW391" s="539"/>
      <c r="BX391" s="539"/>
      <c r="BY391" s="539"/>
      <c r="BZ391" s="539"/>
      <c r="CA391" s="539"/>
      <c r="CB391" s="539"/>
      <c r="CC391" s="539"/>
      <c r="CD391" s="539"/>
      <c r="CE391" s="539"/>
      <c r="CF391" s="539"/>
      <c r="CG391" s="539"/>
      <c r="CH391" s="539"/>
      <c r="CI391" s="539"/>
      <c r="CJ391" s="539"/>
      <c r="CK391" s="539"/>
      <c r="CL391" s="539"/>
      <c r="CM391" s="539"/>
      <c r="CN391" s="539"/>
      <c r="CO391" s="539"/>
      <c r="CP391" s="539"/>
      <c r="CQ391" s="539"/>
      <c r="CR391" s="539"/>
      <c r="CS391" s="539"/>
      <c r="CT391" s="539"/>
      <c r="CU391" s="539"/>
      <c r="CV391" s="539"/>
      <c r="CW391" s="539"/>
      <c r="CX391" s="539"/>
      <c r="CY391" s="539"/>
      <c r="CZ391" s="539"/>
      <c r="DA391" s="539"/>
      <c r="DB391" s="539"/>
      <c r="DC391" s="539"/>
      <c r="DD391" s="539"/>
      <c r="DE391" s="539"/>
      <c r="DF391" s="539"/>
      <c r="DG391" s="539"/>
      <c r="DH391" s="539"/>
      <c r="DI391" s="539"/>
      <c r="DJ391" s="539"/>
      <c r="DK391" s="539"/>
      <c r="DL391" s="539"/>
      <c r="DM391" s="539"/>
      <c r="DN391" s="539"/>
      <c r="DO391" s="539"/>
      <c r="DP391" s="539"/>
      <c r="DQ391" s="539"/>
      <c r="DR391" s="539"/>
      <c r="DS391" s="539"/>
      <c r="DT391" s="539"/>
      <c r="DU391" s="539"/>
      <c r="DV391" s="539"/>
      <c r="DW391" s="539"/>
      <c r="DX391" s="539"/>
      <c r="DY391" s="539"/>
      <c r="DZ391" s="539"/>
      <c r="EA391" s="539"/>
      <c r="EB391" s="539"/>
      <c r="EC391" s="539"/>
      <c r="ED391" s="539"/>
    </row>
    <row r="392" spans="1:134" ht="13.5" customHeight="1">
      <c r="A392" s="539"/>
      <c r="B392" s="539"/>
      <c r="C392" s="539"/>
      <c r="D392" s="539"/>
      <c r="E392" s="539"/>
      <c r="F392" s="539"/>
      <c r="G392" s="539"/>
      <c r="H392" s="539"/>
      <c r="I392" s="539"/>
      <c r="J392" s="539"/>
      <c r="K392" s="539"/>
      <c r="L392" s="539"/>
      <c r="M392" s="539"/>
      <c r="N392" s="539"/>
      <c r="O392" s="539"/>
      <c r="P392" s="539"/>
      <c r="Q392" s="539"/>
      <c r="R392" s="539"/>
      <c r="S392" s="539"/>
      <c r="T392" s="539"/>
      <c r="U392" s="539"/>
      <c r="V392" s="539"/>
      <c r="W392" s="539"/>
      <c r="X392" s="539"/>
      <c r="Y392" s="539"/>
      <c r="Z392" s="539"/>
      <c r="AA392" s="539"/>
      <c r="AB392" s="539"/>
      <c r="AC392" s="539"/>
      <c r="AD392" s="539"/>
      <c r="AE392" s="539"/>
      <c r="AF392" s="539"/>
      <c r="AG392" s="539"/>
      <c r="AH392" s="539"/>
      <c r="AI392" s="539"/>
      <c r="AJ392" s="539"/>
      <c r="AK392" s="539"/>
      <c r="AL392" s="539"/>
      <c r="AM392" s="539"/>
      <c r="AN392" s="539"/>
      <c r="AO392" s="539"/>
      <c r="AP392" s="539"/>
      <c r="AQ392" s="539"/>
      <c r="AR392" s="539"/>
      <c r="AS392" s="539"/>
      <c r="AT392" s="539"/>
      <c r="AU392" s="539"/>
      <c r="AV392" s="539"/>
      <c r="AW392" s="539"/>
      <c r="AX392" s="539"/>
      <c r="AY392" s="539"/>
      <c r="AZ392" s="539"/>
      <c r="BA392" s="539"/>
      <c r="BB392" s="539"/>
      <c r="BC392" s="539"/>
      <c r="BD392" s="539"/>
      <c r="BE392" s="539"/>
      <c r="BF392" s="539"/>
      <c r="BG392" s="539"/>
      <c r="BH392" s="539"/>
      <c r="BI392" s="539"/>
      <c r="BJ392" s="539"/>
      <c r="BK392" s="539"/>
      <c r="BL392" s="539"/>
      <c r="BM392" s="539"/>
      <c r="BN392" s="539"/>
      <c r="BO392" s="539"/>
      <c r="BP392" s="539"/>
      <c r="BQ392" s="539"/>
      <c r="BR392" s="539"/>
      <c r="BS392" s="539"/>
      <c r="BT392" s="539"/>
      <c r="BU392" s="539"/>
      <c r="BV392" s="539"/>
      <c r="BW392" s="539"/>
      <c r="BX392" s="539"/>
      <c r="BY392" s="539"/>
      <c r="BZ392" s="539"/>
      <c r="CA392" s="539"/>
      <c r="CB392" s="539"/>
      <c r="CC392" s="539"/>
      <c r="CD392" s="539"/>
      <c r="CE392" s="539"/>
      <c r="CF392" s="539"/>
      <c r="CG392" s="539"/>
      <c r="CH392" s="539"/>
      <c r="CI392" s="539"/>
      <c r="CJ392" s="539"/>
      <c r="CK392" s="539"/>
      <c r="CL392" s="539"/>
      <c r="CM392" s="539"/>
      <c r="CN392" s="539"/>
      <c r="CO392" s="539"/>
      <c r="CP392" s="539"/>
      <c r="CQ392" s="539"/>
      <c r="CR392" s="539"/>
      <c r="CS392" s="539"/>
      <c r="CT392" s="539"/>
      <c r="CU392" s="539"/>
      <c r="CV392" s="539"/>
      <c r="CW392" s="539"/>
      <c r="CX392" s="539"/>
      <c r="CY392" s="539"/>
      <c r="CZ392" s="539"/>
      <c r="DA392" s="539"/>
      <c r="DB392" s="539"/>
      <c r="DC392" s="539"/>
      <c r="DD392" s="539"/>
      <c r="DE392" s="539"/>
      <c r="DF392" s="539"/>
      <c r="DG392" s="539"/>
      <c r="DH392" s="539"/>
      <c r="DI392" s="539"/>
      <c r="DJ392" s="539"/>
      <c r="DK392" s="539"/>
      <c r="DL392" s="539"/>
      <c r="DM392" s="539"/>
      <c r="DN392" s="539"/>
      <c r="DO392" s="539"/>
      <c r="DP392" s="539"/>
      <c r="DQ392" s="539"/>
      <c r="DR392" s="539"/>
      <c r="DS392" s="539"/>
      <c r="DT392" s="539"/>
      <c r="DU392" s="539"/>
      <c r="DV392" s="539"/>
      <c r="DW392" s="539"/>
      <c r="DX392" s="539"/>
      <c r="DY392" s="539"/>
      <c r="DZ392" s="539"/>
      <c r="EA392" s="539"/>
      <c r="EB392" s="539"/>
      <c r="EC392" s="539"/>
      <c r="ED392" s="539"/>
    </row>
    <row r="393" spans="1:134" ht="13.5" customHeight="1">
      <c r="A393" s="539"/>
      <c r="B393" s="539"/>
      <c r="C393" s="539"/>
      <c r="D393" s="539"/>
      <c r="E393" s="539"/>
      <c r="F393" s="553"/>
      <c r="G393" s="539"/>
      <c r="H393" s="539"/>
      <c r="I393" s="539"/>
      <c r="J393" s="539"/>
      <c r="K393" s="539"/>
      <c r="L393" s="539"/>
      <c r="M393" s="539"/>
      <c r="N393" s="539"/>
      <c r="O393" s="539"/>
      <c r="P393" s="539"/>
      <c r="Q393" s="539"/>
      <c r="R393" s="539"/>
      <c r="S393" s="539"/>
      <c r="T393" s="539"/>
      <c r="U393" s="539"/>
      <c r="V393" s="539"/>
      <c r="W393" s="539"/>
      <c r="X393" s="539"/>
      <c r="Y393" s="539"/>
      <c r="Z393" s="539"/>
      <c r="AA393" s="539"/>
      <c r="AB393" s="539"/>
      <c r="AC393" s="539"/>
      <c r="AD393" s="539"/>
      <c r="AE393" s="539"/>
      <c r="AF393" s="539"/>
      <c r="AG393" s="539"/>
      <c r="AH393" s="539"/>
      <c r="AI393" s="539"/>
      <c r="AJ393" s="539"/>
      <c r="AK393" s="539"/>
      <c r="AL393" s="539"/>
      <c r="AM393" s="539"/>
      <c r="AN393" s="539"/>
      <c r="AO393" s="539"/>
      <c r="AP393" s="539"/>
      <c r="AQ393" s="539"/>
      <c r="AR393" s="539"/>
      <c r="AS393" s="539"/>
      <c r="AT393" s="539"/>
      <c r="AU393" s="539"/>
      <c r="AV393" s="539"/>
      <c r="AW393" s="539"/>
      <c r="AX393" s="539"/>
      <c r="AY393" s="539"/>
      <c r="AZ393" s="539"/>
      <c r="BA393" s="539"/>
      <c r="BB393" s="539"/>
      <c r="BC393" s="539"/>
      <c r="BD393" s="539"/>
      <c r="BE393" s="539"/>
      <c r="BF393" s="539"/>
      <c r="BG393" s="539"/>
      <c r="BH393" s="539"/>
      <c r="BI393" s="539"/>
      <c r="BJ393" s="539"/>
      <c r="BK393" s="539"/>
      <c r="BL393" s="539"/>
      <c r="BM393" s="539"/>
      <c r="BN393" s="539"/>
      <c r="BO393" s="539"/>
      <c r="BP393" s="539"/>
      <c r="BQ393" s="539"/>
      <c r="BR393" s="539"/>
      <c r="BS393" s="539"/>
      <c r="BT393" s="539"/>
      <c r="BU393" s="539"/>
      <c r="BV393" s="539"/>
      <c r="BW393" s="539"/>
      <c r="BX393" s="539"/>
      <c r="BY393" s="539"/>
      <c r="BZ393" s="539"/>
      <c r="CA393" s="539"/>
      <c r="CB393" s="539"/>
      <c r="CC393" s="539"/>
      <c r="CD393" s="539"/>
      <c r="CE393" s="539"/>
      <c r="CF393" s="539"/>
      <c r="CG393" s="539"/>
      <c r="CH393" s="539"/>
      <c r="CI393" s="539"/>
      <c r="CJ393" s="539"/>
      <c r="CK393" s="539"/>
      <c r="CL393" s="539"/>
      <c r="CM393" s="539"/>
      <c r="CN393" s="539"/>
      <c r="CO393" s="539"/>
      <c r="CP393" s="539"/>
      <c r="CQ393" s="539"/>
      <c r="CR393" s="539"/>
      <c r="CS393" s="539"/>
      <c r="CT393" s="539"/>
      <c r="CU393" s="539"/>
      <c r="CV393" s="539"/>
      <c r="CW393" s="539"/>
      <c r="CX393" s="539"/>
      <c r="CY393" s="539"/>
      <c r="CZ393" s="539"/>
      <c r="DA393" s="539"/>
      <c r="DB393" s="539"/>
      <c r="DC393" s="539"/>
      <c r="DD393" s="539"/>
      <c r="DE393" s="539"/>
      <c r="DF393" s="539"/>
      <c r="DG393" s="539"/>
      <c r="DH393" s="539"/>
      <c r="DI393" s="539"/>
      <c r="DJ393" s="539"/>
      <c r="DK393" s="539"/>
      <c r="DL393" s="539"/>
      <c r="DM393" s="539"/>
      <c r="DN393" s="539"/>
      <c r="DO393" s="539"/>
      <c r="DP393" s="539"/>
      <c r="DQ393" s="539"/>
      <c r="DR393" s="539"/>
      <c r="DS393" s="539"/>
      <c r="DT393" s="539"/>
      <c r="DU393" s="539"/>
      <c r="DV393" s="539"/>
      <c r="DW393" s="539"/>
      <c r="DX393" s="539"/>
      <c r="DY393" s="539"/>
      <c r="DZ393" s="539"/>
      <c r="EA393" s="539"/>
      <c r="EB393" s="539"/>
      <c r="EC393" s="539"/>
      <c r="ED393" s="539"/>
    </row>
    <row r="394" spans="1:134" ht="13.5" customHeight="1">
      <c r="A394" s="539"/>
      <c r="B394" s="539"/>
      <c r="C394" s="539"/>
      <c r="D394" s="539"/>
      <c r="E394" s="539"/>
      <c r="F394" s="539"/>
      <c r="G394" s="539"/>
      <c r="H394" s="539"/>
      <c r="I394" s="539"/>
      <c r="J394" s="539"/>
      <c r="K394" s="539"/>
      <c r="L394" s="539"/>
      <c r="M394" s="539"/>
      <c r="N394" s="539"/>
      <c r="O394" s="539"/>
      <c r="P394" s="539"/>
      <c r="Q394" s="539"/>
      <c r="R394" s="539"/>
      <c r="S394" s="539"/>
      <c r="T394" s="539"/>
      <c r="U394" s="539"/>
      <c r="V394" s="539"/>
      <c r="W394" s="539"/>
      <c r="X394" s="539"/>
      <c r="Y394" s="539"/>
      <c r="Z394" s="539"/>
      <c r="AA394" s="539"/>
      <c r="AB394" s="539"/>
      <c r="AC394" s="539"/>
      <c r="AD394" s="539"/>
      <c r="AE394" s="539"/>
      <c r="AF394" s="539"/>
      <c r="AG394" s="539"/>
      <c r="AH394" s="539"/>
      <c r="AI394" s="539"/>
      <c r="AJ394" s="539"/>
      <c r="AK394" s="539"/>
      <c r="AL394" s="539"/>
      <c r="AM394" s="539"/>
      <c r="AN394" s="539"/>
      <c r="AO394" s="539"/>
      <c r="AP394" s="539"/>
      <c r="AQ394" s="539"/>
      <c r="AR394" s="539"/>
      <c r="AS394" s="539"/>
      <c r="AT394" s="539"/>
      <c r="AU394" s="539"/>
      <c r="AV394" s="539"/>
      <c r="AW394" s="539"/>
      <c r="AX394" s="539"/>
      <c r="AY394" s="539"/>
      <c r="AZ394" s="539"/>
      <c r="BA394" s="539"/>
      <c r="BB394" s="539"/>
      <c r="BC394" s="539"/>
      <c r="BD394" s="539"/>
      <c r="BE394" s="539"/>
      <c r="BF394" s="539"/>
      <c r="BG394" s="539"/>
      <c r="BH394" s="539"/>
      <c r="BI394" s="539"/>
      <c r="BJ394" s="539"/>
      <c r="BK394" s="539"/>
      <c r="BL394" s="539"/>
      <c r="BM394" s="539"/>
      <c r="BN394" s="539"/>
      <c r="BO394" s="539"/>
      <c r="BP394" s="539"/>
      <c r="BQ394" s="539"/>
      <c r="BR394" s="539"/>
      <c r="BS394" s="539"/>
      <c r="BT394" s="539"/>
      <c r="BU394" s="539"/>
      <c r="BV394" s="539"/>
      <c r="BW394" s="539"/>
      <c r="BX394" s="539"/>
      <c r="BY394" s="539"/>
      <c r="BZ394" s="539"/>
      <c r="CA394" s="539"/>
      <c r="CB394" s="539"/>
      <c r="CC394" s="539"/>
      <c r="CD394" s="539"/>
      <c r="CE394" s="539"/>
      <c r="CF394" s="539"/>
      <c r="CG394" s="539"/>
      <c r="CH394" s="539"/>
      <c r="CI394" s="539"/>
      <c r="CJ394" s="539"/>
      <c r="CK394" s="539"/>
      <c r="CL394" s="539"/>
      <c r="CM394" s="539"/>
      <c r="CN394" s="539"/>
      <c r="CO394" s="539"/>
      <c r="CP394" s="539"/>
      <c r="CQ394" s="539"/>
      <c r="CR394" s="539"/>
      <c r="CS394" s="539"/>
      <c r="CT394" s="539"/>
      <c r="CU394" s="539"/>
      <c r="CV394" s="539"/>
      <c r="CW394" s="539"/>
      <c r="CX394" s="539"/>
      <c r="CY394" s="539"/>
      <c r="CZ394" s="539"/>
      <c r="DA394" s="539"/>
      <c r="DB394" s="539"/>
      <c r="DC394" s="539"/>
      <c r="DD394" s="539"/>
      <c r="DE394" s="539"/>
      <c r="DF394" s="539"/>
      <c r="DG394" s="539"/>
      <c r="DH394" s="539"/>
      <c r="DI394" s="539"/>
      <c r="DJ394" s="539"/>
      <c r="DK394" s="539"/>
      <c r="DL394" s="539"/>
      <c r="DM394" s="539"/>
      <c r="DN394" s="539"/>
      <c r="DO394" s="539"/>
      <c r="DP394" s="539"/>
      <c r="DQ394" s="539"/>
      <c r="DR394" s="539"/>
      <c r="DS394" s="539"/>
      <c r="DT394" s="539"/>
      <c r="DU394" s="539"/>
      <c r="DV394" s="539"/>
      <c r="DW394" s="539"/>
      <c r="DX394" s="539"/>
      <c r="DY394" s="539"/>
      <c r="DZ394" s="539"/>
      <c r="EA394" s="539"/>
      <c r="EB394" s="539"/>
      <c r="EC394" s="539"/>
      <c r="ED394" s="539"/>
    </row>
    <row r="395" spans="1:134" ht="13.5" hidden="1" customHeight="1">
      <c r="A395" s="539" t="s">
        <v>43</v>
      </c>
      <c r="B395" s="539">
        <v>365</v>
      </c>
      <c r="C395" s="539">
        <v>365</v>
      </c>
      <c r="D395" s="539">
        <v>365</v>
      </c>
      <c r="E395" s="539">
        <v>365</v>
      </c>
      <c r="F395" s="539">
        <v>365</v>
      </c>
      <c r="G395" s="539">
        <v>365</v>
      </c>
      <c r="H395" s="539">
        <v>365</v>
      </c>
      <c r="I395" s="539">
        <v>365</v>
      </c>
      <c r="J395" s="539">
        <v>365</v>
      </c>
      <c r="K395" s="539">
        <v>365</v>
      </c>
      <c r="L395" s="539">
        <v>365</v>
      </c>
      <c r="M395" s="539">
        <v>365</v>
      </c>
      <c r="N395" s="539">
        <v>365</v>
      </c>
      <c r="O395" s="539">
        <v>365</v>
      </c>
      <c r="P395" s="539">
        <v>365</v>
      </c>
      <c r="Q395" s="539">
        <v>365</v>
      </c>
      <c r="R395" s="539">
        <v>365</v>
      </c>
      <c r="S395" s="539">
        <v>365</v>
      </c>
      <c r="T395" s="539">
        <v>365</v>
      </c>
      <c r="U395" s="539">
        <v>365</v>
      </c>
      <c r="V395" s="539">
        <v>365</v>
      </c>
      <c r="W395" s="539">
        <v>365</v>
      </c>
      <c r="X395" s="539">
        <v>365</v>
      </c>
      <c r="Y395" s="539">
        <v>365</v>
      </c>
      <c r="Z395" s="539">
        <v>365</v>
      </c>
      <c r="AA395" s="539">
        <v>365</v>
      </c>
      <c r="AB395" s="539">
        <v>365</v>
      </c>
      <c r="AC395" s="539">
        <v>365</v>
      </c>
      <c r="AD395" s="539">
        <v>365</v>
      </c>
      <c r="AE395" s="539">
        <v>365</v>
      </c>
      <c r="AF395" s="539">
        <v>365</v>
      </c>
      <c r="AG395" s="539">
        <v>365</v>
      </c>
      <c r="AH395" s="539">
        <v>365</v>
      </c>
      <c r="AI395" s="539">
        <v>365</v>
      </c>
      <c r="AJ395" s="539">
        <v>365</v>
      </c>
      <c r="AK395" s="539">
        <v>365</v>
      </c>
      <c r="AL395" s="539">
        <v>365</v>
      </c>
      <c r="AM395" s="539">
        <v>365</v>
      </c>
      <c r="AN395" s="539">
        <v>365</v>
      </c>
      <c r="AO395" s="539">
        <v>365</v>
      </c>
      <c r="AP395" s="539">
        <v>365</v>
      </c>
      <c r="AQ395" s="539"/>
      <c r="AR395" s="539"/>
      <c r="AS395" s="539"/>
      <c r="AT395" s="539"/>
      <c r="AU395" s="539"/>
      <c r="AV395" s="539"/>
      <c r="AW395" s="539"/>
      <c r="AX395" s="539"/>
      <c r="AY395" s="539"/>
      <c r="AZ395" s="539"/>
      <c r="BA395" s="539"/>
      <c r="BB395" s="539"/>
      <c r="BC395" s="539"/>
      <c r="BD395" s="539"/>
      <c r="BE395" s="539"/>
      <c r="BF395" s="539"/>
      <c r="BG395" s="539"/>
      <c r="BH395" s="539"/>
      <c r="BI395" s="539"/>
      <c r="BJ395" s="539"/>
      <c r="BK395" s="539"/>
      <c r="BL395" s="539"/>
      <c r="BM395" s="539"/>
      <c r="BN395" s="539"/>
      <c r="BO395" s="539"/>
      <c r="BP395" s="539"/>
      <c r="BQ395" s="539"/>
      <c r="BR395" s="539"/>
      <c r="BS395" s="539"/>
      <c r="BT395" s="539"/>
      <c r="BU395" s="539"/>
      <c r="BV395" s="539"/>
      <c r="BW395" s="539"/>
      <c r="BX395" s="539"/>
      <c r="BY395" s="539"/>
      <c r="BZ395" s="539"/>
      <c r="CA395" s="539"/>
      <c r="CB395" s="539"/>
      <c r="CC395" s="539"/>
      <c r="CD395" s="539"/>
      <c r="CE395" s="539"/>
      <c r="CF395" s="539"/>
      <c r="CG395" s="539"/>
      <c r="CH395" s="539"/>
      <c r="CI395" s="539"/>
      <c r="CJ395" s="539"/>
      <c r="CK395" s="539"/>
      <c r="CL395" s="539"/>
      <c r="CM395" s="539"/>
      <c r="CN395" s="539"/>
      <c r="CO395" s="539"/>
      <c r="CP395" s="539"/>
      <c r="CQ395" s="539"/>
      <c r="CR395" s="539"/>
      <c r="CS395" s="539"/>
      <c r="CT395" s="539"/>
      <c r="CU395" s="539"/>
      <c r="CV395" s="539"/>
      <c r="CW395" s="539"/>
      <c r="CX395" s="539"/>
      <c r="CY395" s="539"/>
      <c r="CZ395" s="539"/>
      <c r="DA395" s="539"/>
      <c r="DB395" s="539"/>
      <c r="DC395" s="539"/>
      <c r="DD395" s="539"/>
      <c r="DE395" s="539"/>
      <c r="DF395" s="539"/>
      <c r="DG395" s="539"/>
      <c r="DH395" s="539"/>
      <c r="DI395" s="539"/>
      <c r="DJ395" s="539"/>
      <c r="DK395" s="539"/>
      <c r="DL395" s="539"/>
      <c r="DM395" s="539"/>
      <c r="DN395" s="539"/>
      <c r="DO395" s="539"/>
      <c r="DP395" s="539"/>
      <c r="DQ395" s="539"/>
      <c r="DR395" s="539"/>
      <c r="DS395" s="539"/>
      <c r="DT395" s="539"/>
      <c r="DU395" s="539"/>
      <c r="DV395" s="539"/>
      <c r="DW395" s="539"/>
      <c r="DX395" s="539"/>
      <c r="DY395" s="539"/>
      <c r="DZ395" s="539"/>
      <c r="EA395" s="539"/>
      <c r="EB395" s="539"/>
      <c r="EC395" s="539"/>
      <c r="ED395" s="539"/>
    </row>
    <row r="396" spans="1:134" ht="13.5" hidden="1" customHeight="1">
      <c r="A396" s="539"/>
      <c r="B396" s="539"/>
      <c r="C396" s="539"/>
      <c r="D396" s="539"/>
      <c r="E396" s="539"/>
      <c r="F396" s="539"/>
      <c r="G396" s="539"/>
      <c r="H396" s="539"/>
      <c r="I396" s="539"/>
      <c r="J396" s="539"/>
      <c r="K396" s="539"/>
      <c r="L396" s="539"/>
      <c r="M396" s="539"/>
      <c r="N396" s="539"/>
      <c r="O396" s="539"/>
      <c r="P396" s="539"/>
      <c r="Q396" s="539"/>
      <c r="R396" s="539"/>
      <c r="S396" s="539"/>
      <c r="T396" s="539"/>
      <c r="U396" s="539"/>
      <c r="V396" s="539"/>
      <c r="W396" s="539"/>
      <c r="X396" s="539"/>
      <c r="Y396" s="539"/>
      <c r="Z396" s="539"/>
      <c r="AA396" s="539"/>
      <c r="AB396" s="539"/>
      <c r="AC396" s="539"/>
      <c r="AD396" s="539"/>
      <c r="AE396" s="539"/>
      <c r="AF396" s="539"/>
      <c r="AG396" s="539"/>
      <c r="AH396" s="539"/>
      <c r="AI396" s="539"/>
      <c r="AJ396" s="539"/>
      <c r="AK396" s="539"/>
      <c r="AL396" s="539"/>
      <c r="AM396" s="539"/>
      <c r="AN396" s="539"/>
      <c r="AO396" s="539"/>
      <c r="AP396" s="539"/>
      <c r="AQ396" s="539"/>
      <c r="AR396" s="539"/>
      <c r="AS396" s="539"/>
      <c r="AT396" s="539"/>
      <c r="AU396" s="539"/>
      <c r="AV396" s="539"/>
      <c r="AW396" s="539"/>
      <c r="AX396" s="539"/>
      <c r="AY396" s="539"/>
      <c r="AZ396" s="539"/>
      <c r="BA396" s="539"/>
      <c r="BB396" s="539"/>
      <c r="BC396" s="539"/>
      <c r="BD396" s="539"/>
      <c r="BE396" s="539"/>
      <c r="BF396" s="539"/>
      <c r="BG396" s="539"/>
      <c r="BH396" s="539"/>
      <c r="BI396" s="539"/>
      <c r="BJ396" s="539"/>
      <c r="BK396" s="539"/>
      <c r="BL396" s="539"/>
      <c r="BM396" s="539"/>
      <c r="BN396" s="539"/>
      <c r="BO396" s="539"/>
      <c r="BP396" s="539"/>
      <c r="BQ396" s="539"/>
      <c r="BR396" s="539"/>
      <c r="BS396" s="539"/>
      <c r="BT396" s="539"/>
      <c r="BU396" s="539"/>
      <c r="BV396" s="539"/>
      <c r="BW396" s="539"/>
      <c r="BX396" s="539"/>
      <c r="BY396" s="539"/>
      <c r="BZ396" s="539"/>
      <c r="CA396" s="539"/>
      <c r="CB396" s="539"/>
      <c r="CC396" s="539"/>
      <c r="CD396" s="539"/>
      <c r="CE396" s="539"/>
      <c r="CF396" s="539"/>
      <c r="CG396" s="539"/>
      <c r="CH396" s="539"/>
      <c r="CI396" s="539"/>
      <c r="CJ396" s="539"/>
      <c r="CK396" s="539"/>
      <c r="CL396" s="539"/>
      <c r="CM396" s="539"/>
      <c r="CN396" s="539"/>
      <c r="CO396" s="539"/>
      <c r="CP396" s="539"/>
      <c r="CQ396" s="539"/>
      <c r="CR396" s="539"/>
      <c r="CS396" s="539"/>
      <c r="CT396" s="539"/>
      <c r="CU396" s="539"/>
      <c r="CV396" s="539"/>
      <c r="CW396" s="539"/>
      <c r="CX396" s="539"/>
      <c r="CY396" s="539"/>
      <c r="CZ396" s="539"/>
      <c r="DA396" s="539"/>
      <c r="DB396" s="539"/>
      <c r="DC396" s="539"/>
      <c r="DD396" s="539"/>
      <c r="DE396" s="539"/>
      <c r="DF396" s="539"/>
      <c r="DG396" s="539"/>
      <c r="DH396" s="539"/>
      <c r="DI396" s="539"/>
      <c r="DJ396" s="539"/>
      <c r="DK396" s="539"/>
      <c r="DL396" s="539"/>
      <c r="DM396" s="539"/>
      <c r="DN396" s="539"/>
      <c r="DO396" s="539"/>
      <c r="DP396" s="539"/>
      <c r="DQ396" s="539"/>
      <c r="DR396" s="539"/>
      <c r="DS396" s="539"/>
      <c r="DT396" s="539"/>
      <c r="DU396" s="539"/>
      <c r="DV396" s="539"/>
      <c r="DW396" s="539"/>
      <c r="DX396" s="539"/>
      <c r="DY396" s="539"/>
      <c r="DZ396" s="539"/>
      <c r="EA396" s="539"/>
      <c r="EB396" s="539"/>
      <c r="EC396" s="539"/>
      <c r="ED396" s="539"/>
    </row>
    <row r="397" spans="1:134" ht="13.5" hidden="1" customHeight="1">
      <c r="A397" s="539"/>
      <c r="B397" s="539"/>
      <c r="C397" s="539"/>
      <c r="D397" s="539"/>
      <c r="E397" s="539"/>
      <c r="F397" s="539"/>
      <c r="G397" s="539"/>
      <c r="H397" s="539"/>
      <c r="I397" s="539"/>
      <c r="J397" s="539"/>
      <c r="K397" s="539"/>
      <c r="L397" s="539"/>
      <c r="M397" s="539"/>
      <c r="N397" s="539"/>
      <c r="O397" s="539"/>
      <c r="P397" s="539"/>
      <c r="Q397" s="539"/>
      <c r="R397" s="539"/>
      <c r="S397" s="539"/>
      <c r="T397" s="539"/>
      <c r="U397" s="539"/>
      <c r="V397" s="539"/>
      <c r="W397" s="539"/>
      <c r="X397" s="539"/>
      <c r="Y397" s="539"/>
      <c r="Z397" s="539"/>
      <c r="AA397" s="539"/>
      <c r="AB397" s="539"/>
      <c r="AC397" s="539"/>
      <c r="AD397" s="539"/>
      <c r="AE397" s="539"/>
      <c r="AF397" s="539"/>
      <c r="AG397" s="539"/>
      <c r="AH397" s="539"/>
      <c r="AI397" s="539"/>
      <c r="AJ397" s="539"/>
      <c r="AK397" s="539"/>
      <c r="AL397" s="539"/>
      <c r="AM397" s="539"/>
      <c r="AN397" s="539"/>
      <c r="AO397" s="539"/>
      <c r="AP397" s="539"/>
      <c r="AQ397" s="539"/>
      <c r="AR397" s="539"/>
      <c r="AS397" s="539"/>
      <c r="AT397" s="539"/>
      <c r="AU397" s="539"/>
      <c r="AV397" s="539"/>
      <c r="AW397" s="539"/>
      <c r="AX397" s="539"/>
      <c r="AY397" s="539"/>
      <c r="AZ397" s="539"/>
      <c r="BA397" s="539"/>
      <c r="BB397" s="539"/>
      <c r="BC397" s="539"/>
      <c r="BD397" s="539"/>
      <c r="BE397" s="539"/>
      <c r="BF397" s="539"/>
      <c r="BG397" s="539"/>
      <c r="BH397" s="539"/>
      <c r="BI397" s="539"/>
      <c r="BJ397" s="539"/>
      <c r="BK397" s="539"/>
      <c r="BL397" s="539"/>
      <c r="BM397" s="539"/>
      <c r="BN397" s="539"/>
      <c r="BO397" s="539"/>
      <c r="BP397" s="539"/>
      <c r="BQ397" s="539"/>
      <c r="BR397" s="539"/>
      <c r="BS397" s="539"/>
      <c r="BT397" s="539"/>
      <c r="BU397" s="539"/>
      <c r="BV397" s="539"/>
      <c r="BW397" s="539"/>
      <c r="BX397" s="539"/>
      <c r="BY397" s="539"/>
      <c r="BZ397" s="539"/>
      <c r="CA397" s="539"/>
      <c r="CB397" s="539"/>
      <c r="CC397" s="539"/>
      <c r="CD397" s="539"/>
      <c r="CE397" s="539"/>
      <c r="CF397" s="539"/>
      <c r="CG397" s="539"/>
      <c r="CH397" s="539"/>
      <c r="CI397" s="539"/>
      <c r="CJ397" s="539"/>
      <c r="CK397" s="539"/>
      <c r="CL397" s="539"/>
      <c r="CM397" s="539"/>
      <c r="CN397" s="539"/>
      <c r="CO397" s="539"/>
      <c r="CP397" s="539"/>
      <c r="CQ397" s="539"/>
      <c r="CR397" s="539"/>
      <c r="CS397" s="539"/>
      <c r="CT397" s="539"/>
      <c r="CU397" s="539"/>
      <c r="CV397" s="539"/>
      <c r="CW397" s="539"/>
      <c r="CX397" s="539"/>
      <c r="CY397" s="539"/>
      <c r="CZ397" s="539"/>
      <c r="DA397" s="539"/>
      <c r="DB397" s="539"/>
      <c r="DC397" s="539"/>
      <c r="DD397" s="539"/>
      <c r="DE397" s="539"/>
      <c r="DF397" s="539"/>
      <c r="DG397" s="539"/>
      <c r="DH397" s="539"/>
      <c r="DI397" s="539"/>
      <c r="DJ397" s="539"/>
      <c r="DK397" s="539"/>
      <c r="DL397" s="539"/>
      <c r="DM397" s="539"/>
      <c r="DN397" s="539"/>
      <c r="DO397" s="539"/>
      <c r="DP397" s="539"/>
      <c r="DQ397" s="539"/>
      <c r="DR397" s="539"/>
      <c r="DS397" s="539"/>
      <c r="DT397" s="539"/>
      <c r="DU397" s="539"/>
      <c r="DV397" s="539"/>
      <c r="DW397" s="539"/>
      <c r="DX397" s="539"/>
      <c r="DY397" s="539"/>
      <c r="DZ397" s="539"/>
      <c r="EA397" s="539"/>
      <c r="EB397" s="539"/>
      <c r="EC397" s="539"/>
      <c r="ED397" s="539"/>
    </row>
    <row r="398" spans="1:134" ht="13.5" hidden="1" customHeight="1">
      <c r="A398" s="539"/>
      <c r="B398" s="539"/>
      <c r="C398" s="539"/>
      <c r="D398" s="539"/>
      <c r="E398" s="539"/>
      <c r="F398" s="539"/>
      <c r="G398" s="539"/>
      <c r="H398" s="539"/>
      <c r="I398" s="539"/>
      <c r="J398" s="539"/>
      <c r="K398" s="539"/>
      <c r="L398" s="539"/>
      <c r="M398" s="539"/>
      <c r="N398" s="539"/>
      <c r="O398" s="539"/>
      <c r="P398" s="539"/>
      <c r="Q398" s="539"/>
      <c r="R398" s="539"/>
      <c r="S398" s="539"/>
      <c r="T398" s="539"/>
      <c r="U398" s="539"/>
      <c r="V398" s="539"/>
      <c r="W398" s="539"/>
      <c r="X398" s="539"/>
      <c r="Y398" s="539"/>
      <c r="Z398" s="539"/>
      <c r="AA398" s="539"/>
      <c r="AB398" s="539"/>
      <c r="AC398" s="539"/>
      <c r="AD398" s="539"/>
      <c r="AE398" s="539"/>
      <c r="AF398" s="539"/>
      <c r="AG398" s="539"/>
      <c r="AH398" s="539"/>
      <c r="AI398" s="539"/>
      <c r="AJ398" s="539"/>
      <c r="AK398" s="539"/>
      <c r="AL398" s="539"/>
      <c r="AM398" s="539"/>
      <c r="AN398" s="539"/>
      <c r="AO398" s="539"/>
      <c r="AP398" s="539"/>
      <c r="AQ398" s="539"/>
      <c r="AR398" s="539"/>
      <c r="AS398" s="539"/>
      <c r="AT398" s="539"/>
      <c r="AU398" s="539"/>
      <c r="AV398" s="539"/>
      <c r="AW398" s="539"/>
      <c r="AX398" s="539"/>
      <c r="AY398" s="539"/>
      <c r="AZ398" s="539"/>
      <c r="BA398" s="539"/>
      <c r="BB398" s="539"/>
      <c r="BC398" s="539"/>
      <c r="BD398" s="539"/>
      <c r="BE398" s="539"/>
      <c r="BF398" s="539"/>
      <c r="BG398" s="539"/>
      <c r="BH398" s="539"/>
      <c r="BI398" s="539"/>
      <c r="BJ398" s="539"/>
      <c r="BK398" s="539"/>
      <c r="BL398" s="539"/>
      <c r="BM398" s="539"/>
      <c r="BN398" s="539"/>
      <c r="BO398" s="539"/>
      <c r="BP398" s="539"/>
      <c r="BQ398" s="539"/>
      <c r="BR398" s="539"/>
      <c r="BS398" s="539"/>
      <c r="BT398" s="539"/>
      <c r="BU398" s="539"/>
      <c r="BV398" s="539"/>
      <c r="BW398" s="539"/>
      <c r="BX398" s="539"/>
      <c r="BY398" s="539"/>
      <c r="BZ398" s="539"/>
      <c r="CA398" s="539"/>
      <c r="CB398" s="539"/>
      <c r="CC398" s="539"/>
      <c r="CD398" s="539"/>
      <c r="CE398" s="539"/>
      <c r="CF398" s="539"/>
      <c r="CG398" s="539"/>
      <c r="CH398" s="539"/>
      <c r="CI398" s="539"/>
      <c r="CJ398" s="539"/>
      <c r="CK398" s="539"/>
      <c r="CL398" s="539"/>
      <c r="CM398" s="539"/>
      <c r="CN398" s="539"/>
      <c r="CO398" s="539"/>
      <c r="CP398" s="539"/>
      <c r="CQ398" s="539"/>
      <c r="CR398" s="539"/>
      <c r="CS398" s="539"/>
      <c r="CT398" s="539"/>
      <c r="CU398" s="539"/>
      <c r="CV398" s="539"/>
      <c r="CW398" s="539"/>
      <c r="CX398" s="539"/>
      <c r="CY398" s="539"/>
      <c r="CZ398" s="539"/>
      <c r="DA398" s="539"/>
      <c r="DB398" s="539"/>
      <c r="DC398" s="539"/>
      <c r="DD398" s="539"/>
      <c r="DE398" s="539"/>
      <c r="DF398" s="539"/>
      <c r="DG398" s="539"/>
      <c r="DH398" s="539"/>
      <c r="DI398" s="539"/>
      <c r="DJ398" s="539"/>
      <c r="DK398" s="539"/>
      <c r="DL398" s="539"/>
      <c r="DM398" s="539"/>
      <c r="DN398" s="539"/>
      <c r="DO398" s="539"/>
      <c r="DP398" s="539"/>
      <c r="DQ398" s="539"/>
      <c r="DR398" s="539"/>
      <c r="DS398" s="539"/>
      <c r="DT398" s="539"/>
      <c r="DU398" s="539"/>
      <c r="DV398" s="539"/>
      <c r="DW398" s="539"/>
      <c r="DX398" s="539"/>
      <c r="DY398" s="539"/>
      <c r="DZ398" s="539"/>
      <c r="EA398" s="539"/>
      <c r="EB398" s="539"/>
      <c r="EC398" s="539"/>
      <c r="ED398" s="539"/>
    </row>
    <row r="399" spans="1:134" ht="13.5" hidden="1" customHeight="1">
      <c r="A399" s="539"/>
      <c r="B399" s="539"/>
      <c r="C399" s="539"/>
      <c r="D399" s="539"/>
      <c r="E399" s="539"/>
      <c r="F399" s="539"/>
      <c r="G399" s="539"/>
      <c r="H399" s="539"/>
      <c r="I399" s="539"/>
      <c r="J399" s="539"/>
      <c r="K399" s="539"/>
      <c r="L399" s="539"/>
      <c r="M399" s="539"/>
      <c r="N399" s="539"/>
      <c r="O399" s="539"/>
      <c r="P399" s="539"/>
      <c r="Q399" s="539"/>
      <c r="R399" s="539"/>
      <c r="S399" s="539"/>
      <c r="T399" s="539"/>
      <c r="U399" s="539"/>
      <c r="V399" s="539"/>
      <c r="W399" s="539"/>
      <c r="X399" s="539"/>
      <c r="Y399" s="539"/>
      <c r="Z399" s="539"/>
      <c r="AA399" s="539"/>
      <c r="AB399" s="539"/>
      <c r="AC399" s="539"/>
      <c r="AD399" s="539"/>
      <c r="AE399" s="539"/>
      <c r="AF399" s="539"/>
      <c r="AG399" s="539"/>
      <c r="AH399" s="539"/>
      <c r="AI399" s="539"/>
      <c r="AJ399" s="539"/>
      <c r="AK399" s="539"/>
      <c r="AL399" s="539"/>
      <c r="AM399" s="539"/>
      <c r="AN399" s="539"/>
      <c r="AO399" s="539"/>
      <c r="AP399" s="539"/>
      <c r="AQ399" s="539"/>
      <c r="AR399" s="539"/>
      <c r="AS399" s="539"/>
      <c r="AT399" s="539"/>
      <c r="AU399" s="539"/>
      <c r="AV399" s="539"/>
      <c r="AW399" s="539"/>
      <c r="AX399" s="539"/>
      <c r="AY399" s="539"/>
      <c r="AZ399" s="539"/>
      <c r="BA399" s="539"/>
      <c r="BB399" s="539"/>
      <c r="BC399" s="539"/>
      <c r="BD399" s="539"/>
      <c r="BE399" s="539"/>
      <c r="BF399" s="539"/>
      <c r="BG399" s="539"/>
      <c r="BH399" s="539"/>
      <c r="BI399" s="539"/>
      <c r="BJ399" s="539"/>
      <c r="BK399" s="539"/>
      <c r="BL399" s="539"/>
      <c r="BM399" s="539"/>
      <c r="BN399" s="539"/>
      <c r="BO399" s="539"/>
      <c r="BP399" s="539"/>
      <c r="BQ399" s="539"/>
      <c r="BR399" s="539"/>
      <c r="BS399" s="539"/>
      <c r="BT399" s="539"/>
      <c r="BU399" s="539"/>
      <c r="BV399" s="539"/>
      <c r="BW399" s="539"/>
      <c r="BX399" s="539"/>
      <c r="BY399" s="539"/>
      <c r="BZ399" s="539"/>
      <c r="CA399" s="539"/>
      <c r="CB399" s="539"/>
      <c r="CC399" s="539"/>
      <c r="CD399" s="539"/>
      <c r="CE399" s="539"/>
      <c r="CF399" s="539"/>
      <c r="CG399" s="539"/>
      <c r="CH399" s="539"/>
      <c r="CI399" s="539"/>
      <c r="CJ399" s="539"/>
      <c r="CK399" s="539"/>
      <c r="CL399" s="539"/>
      <c r="CM399" s="539"/>
      <c r="CN399" s="539"/>
      <c r="CO399" s="539"/>
      <c r="CP399" s="539"/>
      <c r="CQ399" s="539"/>
      <c r="CR399" s="539"/>
      <c r="CS399" s="539"/>
      <c r="CT399" s="539"/>
      <c r="CU399" s="539"/>
      <c r="CV399" s="539"/>
      <c r="CW399" s="539"/>
      <c r="CX399" s="539"/>
      <c r="CY399" s="539"/>
      <c r="CZ399" s="539"/>
      <c r="DA399" s="539"/>
      <c r="DB399" s="539"/>
      <c r="DC399" s="539"/>
      <c r="DD399" s="539"/>
      <c r="DE399" s="539"/>
      <c r="DF399" s="539"/>
      <c r="DG399" s="539"/>
      <c r="DH399" s="539"/>
      <c r="DI399" s="539"/>
      <c r="DJ399" s="539"/>
      <c r="DK399" s="539"/>
      <c r="DL399" s="539"/>
      <c r="DM399" s="539"/>
      <c r="DN399" s="539"/>
      <c r="DO399" s="539"/>
      <c r="DP399" s="539"/>
      <c r="DQ399" s="539"/>
      <c r="DR399" s="539"/>
      <c r="DS399" s="539"/>
      <c r="DT399" s="539"/>
      <c r="DU399" s="539"/>
      <c r="DV399" s="539"/>
      <c r="DW399" s="539"/>
      <c r="DX399" s="539"/>
      <c r="DY399" s="539"/>
      <c r="DZ399" s="539"/>
      <c r="EA399" s="539"/>
      <c r="EB399" s="539"/>
      <c r="EC399" s="539"/>
      <c r="ED399" s="539"/>
    </row>
    <row r="400" spans="1:134" ht="13.5" hidden="1" customHeight="1">
      <c r="A400" s="539"/>
      <c r="B400" s="539"/>
      <c r="C400" s="539"/>
      <c r="D400" s="539"/>
      <c r="E400" s="539"/>
      <c r="F400" s="539"/>
      <c r="G400" s="539"/>
      <c r="H400" s="539"/>
      <c r="I400" s="539"/>
      <c r="J400" s="539"/>
      <c r="K400" s="539"/>
      <c r="L400" s="539"/>
      <c r="M400" s="539"/>
      <c r="N400" s="539"/>
      <c r="O400" s="539"/>
      <c r="P400" s="539"/>
      <c r="Q400" s="539"/>
      <c r="R400" s="539"/>
      <c r="S400" s="539"/>
      <c r="T400" s="539"/>
      <c r="U400" s="539"/>
      <c r="V400" s="539"/>
      <c r="W400" s="539"/>
      <c r="X400" s="539"/>
      <c r="Y400" s="539"/>
      <c r="Z400" s="539"/>
      <c r="AA400" s="539"/>
      <c r="AB400" s="539"/>
      <c r="AC400" s="539"/>
      <c r="AD400" s="539"/>
      <c r="AE400" s="539"/>
      <c r="AF400" s="539"/>
      <c r="AG400" s="539"/>
      <c r="AH400" s="539"/>
      <c r="AI400" s="539"/>
      <c r="AJ400" s="539"/>
      <c r="AK400" s="539"/>
      <c r="AL400" s="539"/>
      <c r="AM400" s="539"/>
      <c r="AN400" s="539"/>
      <c r="AO400" s="539"/>
      <c r="AP400" s="539"/>
      <c r="AQ400" s="539"/>
      <c r="AR400" s="539"/>
      <c r="AS400" s="539"/>
      <c r="AT400" s="539"/>
      <c r="AU400" s="539"/>
      <c r="AV400" s="539"/>
      <c r="AW400" s="539"/>
      <c r="AX400" s="539"/>
      <c r="AY400" s="539"/>
      <c r="AZ400" s="539"/>
      <c r="BA400" s="539"/>
      <c r="BB400" s="539"/>
      <c r="BC400" s="539"/>
      <c r="BD400" s="539"/>
      <c r="BE400" s="539"/>
      <c r="BF400" s="539"/>
      <c r="BG400" s="539"/>
      <c r="BH400" s="539"/>
      <c r="BI400" s="539"/>
      <c r="BJ400" s="539"/>
      <c r="BK400" s="539"/>
      <c r="BL400" s="539"/>
      <c r="BM400" s="539"/>
      <c r="BN400" s="539"/>
      <c r="BO400" s="539"/>
      <c r="BP400" s="539"/>
      <c r="BQ400" s="539"/>
      <c r="BR400" s="539"/>
      <c r="BS400" s="539"/>
      <c r="BT400" s="539"/>
      <c r="BU400" s="539"/>
      <c r="BV400" s="539"/>
      <c r="BW400" s="539"/>
      <c r="BX400" s="539"/>
      <c r="BY400" s="539"/>
      <c r="BZ400" s="539"/>
      <c r="CA400" s="539"/>
      <c r="CB400" s="539"/>
      <c r="CC400" s="539"/>
      <c r="CD400" s="539"/>
      <c r="CE400" s="539"/>
      <c r="CF400" s="539"/>
      <c r="CG400" s="539"/>
      <c r="CH400" s="539"/>
      <c r="CI400" s="539"/>
      <c r="CJ400" s="539"/>
      <c r="CK400" s="539"/>
      <c r="CL400" s="539"/>
      <c r="CM400" s="539"/>
      <c r="CN400" s="539"/>
      <c r="CO400" s="539"/>
      <c r="CP400" s="539"/>
      <c r="CQ400" s="539"/>
      <c r="CR400" s="539"/>
      <c r="CS400" s="539"/>
      <c r="CT400" s="539"/>
      <c r="CU400" s="539"/>
      <c r="CV400" s="539"/>
      <c r="CW400" s="539"/>
      <c r="CX400" s="539"/>
      <c r="CY400" s="539"/>
      <c r="CZ400" s="539"/>
      <c r="DA400" s="539"/>
      <c r="DB400" s="539"/>
      <c r="DC400" s="539"/>
      <c r="DD400" s="539"/>
      <c r="DE400" s="539"/>
      <c r="DF400" s="539"/>
      <c r="DG400" s="539"/>
      <c r="DH400" s="539"/>
      <c r="DI400" s="539"/>
      <c r="DJ400" s="539"/>
      <c r="DK400" s="539"/>
      <c r="DL400" s="539"/>
      <c r="DM400" s="539"/>
      <c r="DN400" s="539"/>
      <c r="DO400" s="539"/>
      <c r="DP400" s="539"/>
      <c r="DQ400" s="539"/>
      <c r="DR400" s="539"/>
      <c r="DS400" s="539"/>
      <c r="DT400" s="539"/>
      <c r="DU400" s="539"/>
      <c r="DV400" s="539"/>
      <c r="DW400" s="539"/>
      <c r="DX400" s="539"/>
      <c r="DY400" s="539"/>
      <c r="DZ400" s="539"/>
      <c r="EA400" s="539"/>
      <c r="EB400" s="539"/>
      <c r="EC400" s="539"/>
      <c r="ED400" s="539"/>
    </row>
    <row r="401" spans="1:134" ht="13.5" hidden="1" customHeight="1">
      <c r="A401" s="539"/>
      <c r="B401" s="539"/>
      <c r="C401" s="539"/>
      <c r="D401" s="539"/>
      <c r="E401" s="539"/>
      <c r="F401" s="539"/>
      <c r="G401" s="539"/>
      <c r="H401" s="539"/>
      <c r="I401" s="539"/>
      <c r="J401" s="539"/>
      <c r="K401" s="539"/>
      <c r="L401" s="539"/>
      <c r="M401" s="539"/>
      <c r="N401" s="539"/>
      <c r="O401" s="539"/>
      <c r="P401" s="539"/>
      <c r="Q401" s="539"/>
      <c r="R401" s="539"/>
      <c r="S401" s="539"/>
      <c r="T401" s="539"/>
      <c r="U401" s="539"/>
      <c r="V401" s="539"/>
      <c r="W401" s="539"/>
      <c r="X401" s="539"/>
      <c r="Y401" s="539"/>
      <c r="Z401" s="539"/>
      <c r="AA401" s="539"/>
      <c r="AB401" s="539"/>
      <c r="AC401" s="539"/>
      <c r="AD401" s="539"/>
      <c r="AE401" s="539"/>
      <c r="AF401" s="539"/>
      <c r="AG401" s="539"/>
      <c r="AH401" s="539"/>
      <c r="AI401" s="539"/>
      <c r="AJ401" s="539"/>
      <c r="AK401" s="539"/>
      <c r="AL401" s="539"/>
      <c r="AM401" s="539"/>
      <c r="AN401" s="539"/>
      <c r="AO401" s="539"/>
      <c r="AP401" s="539"/>
      <c r="AQ401" s="539"/>
      <c r="AR401" s="539"/>
      <c r="AS401" s="539"/>
      <c r="AT401" s="539"/>
      <c r="AU401" s="539"/>
      <c r="AV401" s="539"/>
      <c r="AW401" s="539"/>
      <c r="AX401" s="539"/>
      <c r="AY401" s="539"/>
      <c r="AZ401" s="539"/>
      <c r="BA401" s="539"/>
      <c r="BB401" s="539"/>
      <c r="BC401" s="539"/>
      <c r="BD401" s="539"/>
      <c r="BE401" s="539"/>
      <c r="BF401" s="539"/>
      <c r="BG401" s="539"/>
      <c r="BH401" s="539"/>
      <c r="BI401" s="539"/>
      <c r="BJ401" s="539"/>
      <c r="BK401" s="539"/>
      <c r="BL401" s="539"/>
      <c r="BM401" s="539"/>
      <c r="BN401" s="539"/>
      <c r="BO401" s="539"/>
      <c r="BP401" s="539"/>
      <c r="BQ401" s="539"/>
      <c r="BR401" s="539"/>
      <c r="BS401" s="539"/>
      <c r="BT401" s="539"/>
      <c r="BU401" s="539"/>
      <c r="BV401" s="539"/>
      <c r="BW401" s="539"/>
      <c r="BX401" s="539"/>
      <c r="BY401" s="539"/>
      <c r="BZ401" s="539"/>
      <c r="CA401" s="539"/>
      <c r="CB401" s="539"/>
      <c r="CC401" s="539"/>
      <c r="CD401" s="539"/>
      <c r="CE401" s="539"/>
      <c r="CF401" s="539"/>
      <c r="CG401" s="539"/>
      <c r="CH401" s="539"/>
      <c r="CI401" s="539"/>
      <c r="CJ401" s="539"/>
      <c r="CK401" s="539"/>
      <c r="CL401" s="539"/>
      <c r="CM401" s="539"/>
      <c r="CN401" s="539"/>
      <c r="CO401" s="539"/>
      <c r="CP401" s="539"/>
      <c r="CQ401" s="539"/>
      <c r="CR401" s="539"/>
      <c r="CS401" s="539"/>
      <c r="CT401" s="539"/>
      <c r="CU401" s="539"/>
      <c r="CV401" s="539"/>
      <c r="CW401" s="539"/>
      <c r="CX401" s="539"/>
      <c r="CY401" s="539"/>
      <c r="CZ401" s="539"/>
      <c r="DA401" s="539"/>
      <c r="DB401" s="539"/>
      <c r="DC401" s="539"/>
      <c r="DD401" s="539"/>
      <c r="DE401" s="539"/>
      <c r="DF401" s="539"/>
      <c r="DG401" s="539"/>
      <c r="DH401" s="539"/>
      <c r="DI401" s="539"/>
      <c r="DJ401" s="539"/>
      <c r="DK401" s="539"/>
      <c r="DL401" s="539"/>
      <c r="DM401" s="539"/>
      <c r="DN401" s="539"/>
      <c r="DO401" s="539"/>
      <c r="DP401" s="539"/>
      <c r="DQ401" s="539"/>
      <c r="DR401" s="539"/>
      <c r="DS401" s="539"/>
      <c r="DT401" s="539"/>
      <c r="DU401" s="539"/>
      <c r="DV401" s="539"/>
      <c r="DW401" s="539"/>
      <c r="DX401" s="539"/>
      <c r="DY401" s="539"/>
      <c r="DZ401" s="539"/>
      <c r="EA401" s="539"/>
      <c r="EB401" s="539"/>
      <c r="EC401" s="539"/>
      <c r="ED401" s="539"/>
    </row>
    <row r="402" spans="1:134" ht="13.5" hidden="1" customHeight="1">
      <c r="A402" s="539" t="s">
        <v>43</v>
      </c>
      <c r="B402" s="539">
        <v>365</v>
      </c>
      <c r="C402" s="539">
        <v>365</v>
      </c>
      <c r="D402" s="539">
        <v>365</v>
      </c>
      <c r="E402" s="539">
        <v>365</v>
      </c>
      <c r="F402" s="539">
        <v>365</v>
      </c>
      <c r="G402" s="539">
        <v>365</v>
      </c>
      <c r="H402" s="539">
        <v>365</v>
      </c>
      <c r="I402" s="539">
        <v>365</v>
      </c>
      <c r="J402" s="539">
        <v>365</v>
      </c>
      <c r="K402" s="539">
        <v>365</v>
      </c>
      <c r="L402" s="539">
        <v>365</v>
      </c>
      <c r="M402" s="539">
        <v>365</v>
      </c>
      <c r="N402" s="539">
        <v>365</v>
      </c>
      <c r="O402" s="539">
        <v>365</v>
      </c>
      <c r="P402" s="539">
        <v>365</v>
      </c>
      <c r="Q402" s="539">
        <v>365</v>
      </c>
      <c r="R402" s="539">
        <v>365</v>
      </c>
      <c r="S402" s="539">
        <v>365</v>
      </c>
      <c r="T402" s="539">
        <v>365</v>
      </c>
      <c r="U402" s="539">
        <v>365</v>
      </c>
      <c r="V402" s="539">
        <v>365</v>
      </c>
      <c r="W402" s="539">
        <v>365</v>
      </c>
      <c r="X402" s="539">
        <v>365</v>
      </c>
      <c r="Y402" s="539">
        <v>365</v>
      </c>
      <c r="Z402" s="539">
        <v>365</v>
      </c>
      <c r="AA402" s="539">
        <v>365</v>
      </c>
      <c r="AB402" s="539">
        <v>365</v>
      </c>
      <c r="AC402" s="539">
        <v>365</v>
      </c>
      <c r="AD402" s="539">
        <v>365</v>
      </c>
      <c r="AE402" s="539">
        <v>365</v>
      </c>
      <c r="AF402" s="539">
        <v>365</v>
      </c>
      <c r="AG402" s="539">
        <v>365</v>
      </c>
      <c r="AH402" s="539">
        <v>365</v>
      </c>
      <c r="AI402" s="539">
        <v>365</v>
      </c>
      <c r="AJ402" s="539">
        <v>365</v>
      </c>
      <c r="AK402" s="539">
        <v>365</v>
      </c>
      <c r="AL402" s="539">
        <v>365</v>
      </c>
      <c r="AM402" s="539">
        <v>365</v>
      </c>
      <c r="AN402" s="539">
        <v>365</v>
      </c>
      <c r="AO402" s="539">
        <v>365</v>
      </c>
      <c r="AP402" s="539">
        <v>365</v>
      </c>
      <c r="AQ402" s="539"/>
      <c r="AR402" s="539"/>
      <c r="AS402" s="539"/>
      <c r="AT402" s="539"/>
      <c r="AU402" s="539"/>
      <c r="AV402" s="539"/>
      <c r="AW402" s="539"/>
      <c r="AX402" s="539"/>
      <c r="AY402" s="539"/>
      <c r="AZ402" s="539"/>
      <c r="BA402" s="539"/>
      <c r="BB402" s="539"/>
      <c r="BC402" s="539"/>
      <c r="BD402" s="539"/>
      <c r="BE402" s="539"/>
      <c r="BF402" s="539"/>
      <c r="BG402" s="539"/>
      <c r="BH402" s="539"/>
      <c r="BI402" s="539"/>
      <c r="BJ402" s="539"/>
      <c r="BK402" s="539"/>
      <c r="BL402" s="539"/>
      <c r="BM402" s="539"/>
      <c r="BN402" s="539"/>
      <c r="BO402" s="539"/>
      <c r="BP402" s="539"/>
      <c r="BQ402" s="539"/>
      <c r="BR402" s="539"/>
      <c r="BS402" s="539"/>
      <c r="BT402" s="539"/>
      <c r="BU402" s="539"/>
      <c r="BV402" s="539"/>
      <c r="BW402" s="539"/>
      <c r="BX402" s="539"/>
      <c r="BY402" s="539"/>
      <c r="BZ402" s="539"/>
      <c r="CA402" s="539"/>
      <c r="CB402" s="539"/>
      <c r="CC402" s="539"/>
      <c r="CD402" s="539"/>
      <c r="CE402" s="539"/>
      <c r="CF402" s="539"/>
      <c r="CG402" s="539"/>
      <c r="CH402" s="539"/>
      <c r="CI402" s="539"/>
      <c r="CJ402" s="539"/>
      <c r="CK402" s="539"/>
      <c r="CL402" s="539"/>
      <c r="CM402" s="539"/>
      <c r="CN402" s="539"/>
      <c r="CO402" s="539"/>
      <c r="CP402" s="539"/>
      <c r="CQ402" s="539"/>
      <c r="CR402" s="539"/>
      <c r="CS402" s="539"/>
      <c r="CT402" s="539"/>
      <c r="CU402" s="539"/>
      <c r="CV402" s="539"/>
      <c r="CW402" s="539"/>
      <c r="CX402" s="539"/>
      <c r="CY402" s="539"/>
      <c r="CZ402" s="539"/>
      <c r="DA402" s="539"/>
      <c r="DB402" s="539"/>
      <c r="DC402" s="539"/>
      <c r="DD402" s="539"/>
      <c r="DE402" s="539"/>
      <c r="DF402" s="539"/>
      <c r="DG402" s="539"/>
      <c r="DH402" s="539"/>
      <c r="DI402" s="539"/>
      <c r="DJ402" s="539"/>
      <c r="DK402" s="539"/>
      <c r="DL402" s="539"/>
      <c r="DM402" s="539"/>
      <c r="DN402" s="539"/>
      <c r="DO402" s="539"/>
      <c r="DP402" s="539"/>
      <c r="DQ402" s="539"/>
      <c r="DR402" s="539"/>
      <c r="DS402" s="539"/>
      <c r="DT402" s="539"/>
      <c r="DU402" s="539"/>
      <c r="DV402" s="539"/>
      <c r="DW402" s="539"/>
      <c r="DX402" s="539"/>
      <c r="DY402" s="539"/>
      <c r="DZ402" s="539"/>
      <c r="EA402" s="539"/>
      <c r="EB402" s="539"/>
      <c r="EC402" s="539"/>
      <c r="ED402" s="539"/>
    </row>
    <row r="403" spans="1:134" ht="13.5" hidden="1" customHeight="1">
      <c r="A403" s="539"/>
      <c r="B403" s="539"/>
      <c r="C403" s="539"/>
      <c r="D403" s="539"/>
      <c r="E403" s="539"/>
      <c r="F403" s="539"/>
      <c r="G403" s="539"/>
      <c r="H403" s="539"/>
      <c r="I403" s="539"/>
      <c r="J403" s="539"/>
      <c r="K403" s="539"/>
      <c r="L403" s="539"/>
      <c r="M403" s="539"/>
      <c r="N403" s="539"/>
      <c r="O403" s="539"/>
      <c r="P403" s="539"/>
      <c r="Q403" s="539"/>
      <c r="R403" s="539"/>
      <c r="S403" s="539"/>
      <c r="T403" s="539"/>
      <c r="U403" s="539"/>
      <c r="V403" s="539"/>
      <c r="W403" s="539"/>
      <c r="X403" s="539"/>
      <c r="Y403" s="539"/>
      <c r="Z403" s="539"/>
      <c r="AA403" s="539"/>
      <c r="AB403" s="539"/>
      <c r="AC403" s="539"/>
      <c r="AD403" s="539"/>
      <c r="AE403" s="539"/>
      <c r="AF403" s="539"/>
      <c r="AG403" s="539"/>
      <c r="AH403" s="539"/>
      <c r="AI403" s="539"/>
      <c r="AJ403" s="539"/>
      <c r="AK403" s="539"/>
      <c r="AL403" s="539"/>
      <c r="AM403" s="539"/>
      <c r="AN403" s="539"/>
      <c r="AO403" s="539"/>
      <c r="AP403" s="539"/>
      <c r="AQ403" s="539"/>
      <c r="AR403" s="539"/>
      <c r="AS403" s="539"/>
      <c r="AT403" s="539"/>
      <c r="AU403" s="539"/>
      <c r="AV403" s="539"/>
      <c r="AW403" s="539"/>
      <c r="AX403" s="539"/>
      <c r="AY403" s="539"/>
      <c r="AZ403" s="539"/>
      <c r="BA403" s="539"/>
      <c r="BB403" s="539"/>
      <c r="BC403" s="539"/>
      <c r="BD403" s="539"/>
      <c r="BE403" s="539"/>
      <c r="BF403" s="539"/>
      <c r="BG403" s="539"/>
      <c r="BH403" s="539"/>
      <c r="BI403" s="539"/>
      <c r="BJ403" s="539"/>
      <c r="BK403" s="539"/>
      <c r="BL403" s="539"/>
      <c r="BM403" s="539"/>
      <c r="BN403" s="539"/>
      <c r="BO403" s="539"/>
      <c r="BP403" s="539"/>
      <c r="BQ403" s="539"/>
      <c r="BR403" s="539"/>
      <c r="BS403" s="539"/>
      <c r="BT403" s="539"/>
      <c r="BU403" s="539"/>
      <c r="BV403" s="539"/>
      <c r="BW403" s="539"/>
      <c r="BX403" s="539"/>
      <c r="BY403" s="539"/>
      <c r="BZ403" s="539"/>
      <c r="CA403" s="539"/>
      <c r="CB403" s="539"/>
      <c r="CC403" s="539"/>
      <c r="CD403" s="539"/>
      <c r="CE403" s="539"/>
      <c r="CF403" s="539"/>
      <c r="CG403" s="539"/>
      <c r="CH403" s="539"/>
      <c r="CI403" s="539"/>
      <c r="CJ403" s="539"/>
      <c r="CK403" s="539"/>
      <c r="CL403" s="539"/>
      <c r="CM403" s="539"/>
      <c r="CN403" s="539"/>
      <c r="CO403" s="539"/>
      <c r="CP403" s="539"/>
      <c r="CQ403" s="539"/>
      <c r="CR403" s="539"/>
      <c r="CS403" s="539"/>
      <c r="CT403" s="539"/>
      <c r="CU403" s="539"/>
      <c r="CV403" s="539"/>
      <c r="CW403" s="539"/>
      <c r="CX403" s="539"/>
      <c r="CY403" s="539"/>
      <c r="CZ403" s="539"/>
      <c r="DA403" s="539"/>
      <c r="DB403" s="539"/>
      <c r="DC403" s="539"/>
      <c r="DD403" s="539"/>
      <c r="DE403" s="539"/>
      <c r="DF403" s="539"/>
      <c r="DG403" s="539"/>
      <c r="DH403" s="539"/>
      <c r="DI403" s="539"/>
      <c r="DJ403" s="539"/>
      <c r="DK403" s="539"/>
      <c r="DL403" s="539"/>
      <c r="DM403" s="539"/>
      <c r="DN403" s="539"/>
      <c r="DO403" s="539"/>
      <c r="DP403" s="539"/>
      <c r="DQ403" s="539"/>
      <c r="DR403" s="539"/>
      <c r="DS403" s="539"/>
      <c r="DT403" s="539"/>
      <c r="DU403" s="539"/>
      <c r="DV403" s="539"/>
      <c r="DW403" s="539"/>
      <c r="DX403" s="539"/>
      <c r="DY403" s="539"/>
      <c r="DZ403" s="539"/>
      <c r="EA403" s="539"/>
      <c r="EB403" s="539"/>
      <c r="EC403" s="539"/>
      <c r="ED403" s="539"/>
    </row>
    <row r="404" spans="1:134" ht="13.5" hidden="1" customHeight="1">
      <c r="A404" s="539"/>
      <c r="B404" s="539"/>
      <c r="C404" s="539"/>
      <c r="D404" s="539"/>
      <c r="E404" s="539"/>
      <c r="F404" s="539"/>
      <c r="G404" s="539"/>
      <c r="H404" s="539"/>
      <c r="I404" s="539"/>
      <c r="J404" s="539"/>
      <c r="K404" s="539"/>
      <c r="L404" s="539"/>
      <c r="M404" s="539"/>
      <c r="N404" s="539"/>
      <c r="O404" s="539"/>
      <c r="P404" s="539"/>
      <c r="Q404" s="539"/>
      <c r="R404" s="539"/>
      <c r="S404" s="539"/>
      <c r="T404" s="539"/>
      <c r="U404" s="539"/>
      <c r="V404" s="539"/>
      <c r="W404" s="539"/>
      <c r="X404" s="539"/>
      <c r="Y404" s="539"/>
      <c r="Z404" s="539"/>
      <c r="AA404" s="539"/>
      <c r="AB404" s="539"/>
      <c r="AC404" s="539"/>
      <c r="AD404" s="539"/>
      <c r="AE404" s="539"/>
      <c r="AF404" s="539"/>
      <c r="AG404" s="539"/>
      <c r="AH404" s="539"/>
      <c r="AI404" s="539"/>
      <c r="AJ404" s="539"/>
      <c r="AK404" s="539"/>
      <c r="AL404" s="539"/>
      <c r="AM404" s="539"/>
      <c r="AN404" s="539"/>
      <c r="AO404" s="539"/>
      <c r="AP404" s="539"/>
      <c r="AQ404" s="539"/>
      <c r="AR404" s="539"/>
      <c r="AS404" s="539"/>
      <c r="AT404" s="539"/>
      <c r="AU404" s="539"/>
      <c r="AV404" s="539"/>
      <c r="AW404" s="539"/>
      <c r="AX404" s="539"/>
      <c r="AY404" s="539"/>
      <c r="AZ404" s="539"/>
      <c r="BA404" s="539"/>
      <c r="BB404" s="539"/>
      <c r="BC404" s="539"/>
      <c r="BD404" s="539"/>
      <c r="BE404" s="539"/>
      <c r="BF404" s="539"/>
      <c r="BG404" s="539"/>
      <c r="BH404" s="539"/>
      <c r="BI404" s="539"/>
      <c r="BJ404" s="539"/>
      <c r="BK404" s="539"/>
      <c r="BL404" s="539"/>
      <c r="BM404" s="539"/>
      <c r="BN404" s="539"/>
      <c r="BO404" s="539"/>
      <c r="BP404" s="539"/>
      <c r="BQ404" s="539"/>
      <c r="BR404" s="539"/>
      <c r="BS404" s="539"/>
      <c r="BT404" s="539"/>
      <c r="BU404" s="539"/>
      <c r="BV404" s="539"/>
      <c r="BW404" s="539"/>
      <c r="BX404" s="539"/>
      <c r="BY404" s="539"/>
      <c r="BZ404" s="539"/>
      <c r="CA404" s="539"/>
      <c r="CB404" s="539"/>
      <c r="CC404" s="539"/>
      <c r="CD404" s="539"/>
      <c r="CE404" s="539"/>
      <c r="CF404" s="539"/>
      <c r="CG404" s="539"/>
      <c r="CH404" s="539"/>
      <c r="CI404" s="539"/>
      <c r="CJ404" s="539"/>
      <c r="CK404" s="539"/>
      <c r="CL404" s="539"/>
      <c r="CM404" s="539"/>
      <c r="CN404" s="539"/>
      <c r="CO404" s="539"/>
      <c r="CP404" s="539"/>
      <c r="CQ404" s="539"/>
      <c r="CR404" s="539"/>
      <c r="CS404" s="539"/>
      <c r="CT404" s="539"/>
      <c r="CU404" s="539"/>
      <c r="CV404" s="539"/>
      <c r="CW404" s="539"/>
      <c r="CX404" s="539"/>
      <c r="CY404" s="539"/>
      <c r="CZ404" s="539"/>
      <c r="DA404" s="539"/>
      <c r="DB404" s="539"/>
      <c r="DC404" s="539"/>
      <c r="DD404" s="539"/>
      <c r="DE404" s="539"/>
      <c r="DF404" s="539"/>
      <c r="DG404" s="539"/>
      <c r="DH404" s="539"/>
      <c r="DI404" s="539"/>
      <c r="DJ404" s="539"/>
      <c r="DK404" s="539"/>
      <c r="DL404" s="539"/>
      <c r="DM404" s="539"/>
      <c r="DN404" s="539"/>
      <c r="DO404" s="539"/>
      <c r="DP404" s="539"/>
      <c r="DQ404" s="539"/>
      <c r="DR404" s="539"/>
      <c r="DS404" s="539"/>
      <c r="DT404" s="539"/>
      <c r="DU404" s="539"/>
      <c r="DV404" s="539"/>
      <c r="DW404" s="539"/>
      <c r="DX404" s="539"/>
      <c r="DY404" s="539"/>
      <c r="DZ404" s="539"/>
      <c r="EA404" s="539"/>
      <c r="EB404" s="539"/>
      <c r="EC404" s="539"/>
      <c r="ED404" s="539"/>
    </row>
    <row r="405" spans="1:134" ht="13.5" hidden="1" customHeight="1">
      <c r="A405" s="539"/>
      <c r="B405" s="539"/>
      <c r="C405" s="539"/>
      <c r="D405" s="539"/>
      <c r="E405" s="539"/>
      <c r="F405" s="539"/>
      <c r="G405" s="539"/>
      <c r="H405" s="539"/>
      <c r="I405" s="539"/>
      <c r="J405" s="539"/>
      <c r="K405" s="539"/>
      <c r="L405" s="539"/>
      <c r="M405" s="539"/>
      <c r="N405" s="539"/>
      <c r="O405" s="539"/>
      <c r="P405" s="539"/>
      <c r="Q405" s="539"/>
      <c r="R405" s="539"/>
      <c r="S405" s="539"/>
      <c r="T405" s="539"/>
      <c r="U405" s="539"/>
      <c r="V405" s="539"/>
      <c r="W405" s="539"/>
      <c r="X405" s="539"/>
      <c r="Y405" s="539"/>
      <c r="Z405" s="539"/>
      <c r="AA405" s="539"/>
      <c r="AB405" s="539"/>
      <c r="AC405" s="539"/>
      <c r="AD405" s="539"/>
      <c r="AE405" s="539"/>
      <c r="AF405" s="539"/>
      <c r="AG405" s="539"/>
      <c r="AH405" s="539"/>
      <c r="AI405" s="539"/>
      <c r="AJ405" s="539"/>
      <c r="AK405" s="539"/>
      <c r="AL405" s="539"/>
      <c r="AM405" s="539"/>
      <c r="AN405" s="539"/>
      <c r="AO405" s="539"/>
      <c r="AP405" s="539"/>
      <c r="AQ405" s="539"/>
      <c r="AR405" s="539"/>
      <c r="AS405" s="539"/>
      <c r="AT405" s="539"/>
      <c r="AU405" s="539"/>
      <c r="AV405" s="539"/>
      <c r="AW405" s="539"/>
      <c r="AX405" s="539"/>
      <c r="AY405" s="539"/>
      <c r="AZ405" s="539"/>
      <c r="BA405" s="539"/>
      <c r="BB405" s="539"/>
      <c r="BC405" s="539"/>
      <c r="BD405" s="539"/>
      <c r="BE405" s="539"/>
      <c r="BF405" s="539"/>
      <c r="BG405" s="539"/>
      <c r="BH405" s="539"/>
      <c r="BI405" s="539"/>
      <c r="BJ405" s="539"/>
      <c r="BK405" s="539"/>
      <c r="BL405" s="539"/>
      <c r="BM405" s="539"/>
      <c r="BN405" s="539"/>
      <c r="BO405" s="539"/>
      <c r="BP405" s="539"/>
      <c r="BQ405" s="539"/>
      <c r="BR405" s="539"/>
      <c r="BS405" s="539"/>
      <c r="BT405" s="539"/>
      <c r="BU405" s="539"/>
      <c r="BV405" s="539"/>
      <c r="BW405" s="539"/>
      <c r="BX405" s="539"/>
      <c r="BY405" s="539"/>
      <c r="BZ405" s="539"/>
      <c r="CA405" s="539"/>
      <c r="CB405" s="539"/>
      <c r="CC405" s="539"/>
      <c r="CD405" s="539"/>
      <c r="CE405" s="539"/>
      <c r="CF405" s="539"/>
      <c r="CG405" s="539"/>
      <c r="CH405" s="539"/>
      <c r="CI405" s="539"/>
      <c r="CJ405" s="539"/>
      <c r="CK405" s="539"/>
      <c r="CL405" s="539"/>
      <c r="CM405" s="539"/>
      <c r="CN405" s="539"/>
      <c r="CO405" s="539"/>
      <c r="CP405" s="539"/>
      <c r="CQ405" s="539"/>
      <c r="CR405" s="539"/>
      <c r="CS405" s="539"/>
      <c r="CT405" s="539"/>
      <c r="CU405" s="539"/>
      <c r="CV405" s="539"/>
      <c r="CW405" s="539"/>
      <c r="CX405" s="539"/>
      <c r="CY405" s="539"/>
      <c r="CZ405" s="539"/>
      <c r="DA405" s="539"/>
      <c r="DB405" s="539"/>
      <c r="DC405" s="539"/>
      <c r="DD405" s="539"/>
      <c r="DE405" s="539"/>
      <c r="DF405" s="539"/>
      <c r="DG405" s="539"/>
      <c r="DH405" s="539"/>
      <c r="DI405" s="539"/>
      <c r="DJ405" s="539"/>
      <c r="DK405" s="539"/>
      <c r="DL405" s="539"/>
      <c r="DM405" s="539"/>
      <c r="DN405" s="539"/>
      <c r="DO405" s="539"/>
      <c r="DP405" s="539"/>
      <c r="DQ405" s="539"/>
      <c r="DR405" s="539"/>
      <c r="DS405" s="539"/>
      <c r="DT405" s="539"/>
      <c r="DU405" s="539"/>
      <c r="DV405" s="539"/>
      <c r="DW405" s="539"/>
      <c r="DX405" s="539"/>
      <c r="DY405" s="539"/>
      <c r="DZ405" s="539"/>
      <c r="EA405" s="539"/>
      <c r="EB405" s="539"/>
      <c r="EC405" s="539"/>
      <c r="ED405" s="539"/>
    </row>
    <row r="406" spans="1:134" ht="13.5" hidden="1" customHeight="1">
      <c r="A406" s="539"/>
      <c r="B406" s="539"/>
      <c r="C406" s="539"/>
      <c r="D406" s="539"/>
      <c r="E406" s="539"/>
      <c r="F406" s="539"/>
      <c r="G406" s="539"/>
      <c r="H406" s="539"/>
      <c r="I406" s="539"/>
      <c r="J406" s="539"/>
      <c r="K406" s="539"/>
      <c r="L406" s="539"/>
      <c r="M406" s="539"/>
      <c r="N406" s="539"/>
      <c r="O406" s="539"/>
      <c r="P406" s="539"/>
      <c r="Q406" s="539"/>
      <c r="R406" s="539"/>
      <c r="S406" s="539"/>
      <c r="T406" s="539"/>
      <c r="U406" s="539"/>
      <c r="V406" s="539"/>
      <c r="W406" s="539"/>
      <c r="X406" s="539"/>
      <c r="Y406" s="539"/>
      <c r="Z406" s="539"/>
      <c r="AA406" s="539"/>
      <c r="AB406" s="539"/>
      <c r="AC406" s="539"/>
      <c r="AD406" s="539"/>
      <c r="AE406" s="539"/>
      <c r="AF406" s="539"/>
      <c r="AG406" s="539"/>
      <c r="AH406" s="539"/>
      <c r="AI406" s="539"/>
      <c r="AJ406" s="539"/>
      <c r="AK406" s="539"/>
      <c r="AL406" s="539"/>
      <c r="AM406" s="539"/>
      <c r="AN406" s="539"/>
      <c r="AO406" s="539"/>
      <c r="AP406" s="539"/>
      <c r="AQ406" s="539"/>
      <c r="AR406" s="539"/>
      <c r="AS406" s="539"/>
      <c r="AT406" s="539"/>
      <c r="AU406" s="539"/>
      <c r="AV406" s="539"/>
      <c r="AW406" s="539"/>
      <c r="AX406" s="539"/>
      <c r="AY406" s="539"/>
      <c r="AZ406" s="539"/>
      <c r="BA406" s="539"/>
      <c r="BB406" s="539"/>
      <c r="BC406" s="539"/>
      <c r="BD406" s="539"/>
      <c r="BE406" s="539"/>
      <c r="BF406" s="539"/>
      <c r="BG406" s="539"/>
      <c r="BH406" s="539"/>
      <c r="BI406" s="539"/>
      <c r="BJ406" s="539"/>
      <c r="BK406" s="539"/>
      <c r="BL406" s="539"/>
      <c r="BM406" s="539"/>
      <c r="BN406" s="539"/>
      <c r="BO406" s="539"/>
      <c r="BP406" s="539"/>
      <c r="BQ406" s="539"/>
      <c r="BR406" s="539"/>
      <c r="BS406" s="539"/>
      <c r="BT406" s="539"/>
      <c r="BU406" s="539"/>
      <c r="BV406" s="539"/>
      <c r="BW406" s="539"/>
      <c r="BX406" s="539"/>
      <c r="BY406" s="539"/>
      <c r="BZ406" s="539"/>
      <c r="CA406" s="539"/>
      <c r="CB406" s="539"/>
      <c r="CC406" s="539"/>
      <c r="CD406" s="539"/>
      <c r="CE406" s="539"/>
      <c r="CF406" s="539"/>
      <c r="CG406" s="539"/>
      <c r="CH406" s="539"/>
      <c r="CI406" s="539"/>
      <c r="CJ406" s="539"/>
      <c r="CK406" s="539"/>
      <c r="CL406" s="539"/>
      <c r="CM406" s="539"/>
      <c r="CN406" s="539"/>
      <c r="CO406" s="539"/>
      <c r="CP406" s="539"/>
      <c r="CQ406" s="539"/>
      <c r="CR406" s="539"/>
      <c r="CS406" s="539"/>
      <c r="CT406" s="539"/>
      <c r="CU406" s="539"/>
      <c r="CV406" s="539"/>
      <c r="CW406" s="539"/>
      <c r="CX406" s="539"/>
      <c r="CY406" s="539"/>
      <c r="CZ406" s="539"/>
      <c r="DA406" s="539"/>
      <c r="DB406" s="539"/>
      <c r="DC406" s="539"/>
      <c r="DD406" s="539"/>
      <c r="DE406" s="539"/>
      <c r="DF406" s="539"/>
      <c r="DG406" s="539"/>
      <c r="DH406" s="539"/>
      <c r="DI406" s="539"/>
      <c r="DJ406" s="539"/>
      <c r="DK406" s="539"/>
      <c r="DL406" s="539"/>
      <c r="DM406" s="539"/>
      <c r="DN406" s="539"/>
      <c r="DO406" s="539"/>
      <c r="DP406" s="539"/>
      <c r="DQ406" s="539"/>
      <c r="DR406" s="539"/>
      <c r="DS406" s="539"/>
      <c r="DT406" s="539"/>
      <c r="DU406" s="539"/>
      <c r="DV406" s="539"/>
      <c r="DW406" s="539"/>
      <c r="DX406" s="539"/>
      <c r="DY406" s="539"/>
      <c r="DZ406" s="539"/>
      <c r="EA406" s="539"/>
      <c r="EB406" s="539"/>
      <c r="EC406" s="539"/>
      <c r="ED406" s="539"/>
    </row>
    <row r="407" spans="1:134" ht="13.5" hidden="1" customHeight="1">
      <c r="A407" s="539"/>
      <c r="B407" s="539"/>
      <c r="C407" s="539"/>
      <c r="D407" s="539"/>
      <c r="E407" s="539"/>
      <c r="F407" s="539"/>
      <c r="G407" s="539"/>
      <c r="H407" s="539"/>
      <c r="I407" s="539"/>
      <c r="J407" s="539"/>
      <c r="K407" s="539"/>
      <c r="L407" s="539"/>
      <c r="M407" s="539"/>
      <c r="N407" s="539"/>
      <c r="O407" s="539"/>
      <c r="P407" s="539"/>
      <c r="Q407" s="539"/>
      <c r="R407" s="539"/>
      <c r="S407" s="539"/>
      <c r="T407" s="539"/>
      <c r="U407" s="539"/>
      <c r="V407" s="539"/>
      <c r="W407" s="539"/>
      <c r="X407" s="539"/>
      <c r="Y407" s="539"/>
      <c r="Z407" s="539"/>
      <c r="AA407" s="539"/>
      <c r="AB407" s="539"/>
      <c r="AC407" s="539"/>
      <c r="AD407" s="539"/>
      <c r="AE407" s="539"/>
      <c r="AF407" s="539"/>
      <c r="AG407" s="539"/>
      <c r="AH407" s="539"/>
      <c r="AI407" s="539"/>
      <c r="AJ407" s="539"/>
      <c r="AK407" s="539"/>
      <c r="AL407" s="539"/>
      <c r="AM407" s="539"/>
      <c r="AN407" s="539"/>
      <c r="AO407" s="539"/>
      <c r="AP407" s="539"/>
      <c r="AQ407" s="539"/>
      <c r="AR407" s="539"/>
      <c r="AS407" s="539"/>
      <c r="AT407" s="539"/>
      <c r="AU407" s="539"/>
      <c r="AV407" s="539"/>
      <c r="AW407" s="539"/>
      <c r="AX407" s="539"/>
      <c r="AY407" s="539"/>
      <c r="AZ407" s="539"/>
      <c r="BA407" s="539"/>
      <c r="BB407" s="539"/>
      <c r="BC407" s="539"/>
      <c r="BD407" s="539"/>
      <c r="BE407" s="539"/>
      <c r="BF407" s="539"/>
      <c r="BG407" s="539"/>
      <c r="BH407" s="539"/>
      <c r="BI407" s="539"/>
      <c r="BJ407" s="539"/>
      <c r="BK407" s="539"/>
      <c r="BL407" s="539"/>
      <c r="BM407" s="539"/>
      <c r="BN407" s="539"/>
      <c r="BO407" s="539"/>
      <c r="BP407" s="539"/>
      <c r="BQ407" s="539"/>
      <c r="BR407" s="539"/>
      <c r="BS407" s="539"/>
      <c r="BT407" s="539"/>
      <c r="BU407" s="539"/>
      <c r="BV407" s="539"/>
      <c r="BW407" s="539"/>
      <c r="BX407" s="539"/>
      <c r="BY407" s="539"/>
      <c r="BZ407" s="539"/>
      <c r="CA407" s="539"/>
      <c r="CB407" s="539"/>
      <c r="CC407" s="539"/>
      <c r="CD407" s="539"/>
      <c r="CE407" s="539"/>
      <c r="CF407" s="539"/>
      <c r="CG407" s="539"/>
      <c r="CH407" s="539"/>
      <c r="CI407" s="539"/>
      <c r="CJ407" s="539"/>
      <c r="CK407" s="539"/>
      <c r="CL407" s="539"/>
      <c r="CM407" s="539"/>
      <c r="CN407" s="539"/>
      <c r="CO407" s="539"/>
      <c r="CP407" s="539"/>
      <c r="CQ407" s="539"/>
      <c r="CR407" s="539"/>
      <c r="CS407" s="539"/>
      <c r="CT407" s="539"/>
      <c r="CU407" s="539"/>
      <c r="CV407" s="539"/>
      <c r="CW407" s="539"/>
      <c r="CX407" s="539"/>
      <c r="CY407" s="539"/>
      <c r="CZ407" s="539"/>
      <c r="DA407" s="539"/>
      <c r="DB407" s="539"/>
      <c r="DC407" s="539"/>
      <c r="DD407" s="539"/>
      <c r="DE407" s="539"/>
      <c r="DF407" s="539"/>
      <c r="DG407" s="539"/>
      <c r="DH407" s="539"/>
      <c r="DI407" s="539"/>
      <c r="DJ407" s="539"/>
      <c r="DK407" s="539"/>
      <c r="DL407" s="539"/>
      <c r="DM407" s="539"/>
      <c r="DN407" s="539"/>
      <c r="DO407" s="539"/>
      <c r="DP407" s="539"/>
      <c r="DQ407" s="539"/>
      <c r="DR407" s="539"/>
      <c r="DS407" s="539"/>
      <c r="DT407" s="539"/>
      <c r="DU407" s="539"/>
      <c r="DV407" s="539"/>
      <c r="DW407" s="539"/>
      <c r="DX407" s="539"/>
      <c r="DY407" s="539"/>
      <c r="DZ407" s="539"/>
      <c r="EA407" s="539"/>
      <c r="EB407" s="539"/>
      <c r="EC407" s="539"/>
      <c r="ED407" s="539"/>
    </row>
    <row r="408" spans="1:134" ht="13.5" hidden="1" customHeight="1">
      <c r="A408" s="539" t="s">
        <v>44</v>
      </c>
      <c r="B408" s="539"/>
      <c r="C408" s="539"/>
      <c r="D408" s="539"/>
      <c r="E408" s="539"/>
      <c r="F408" s="539"/>
      <c r="G408" s="539"/>
      <c r="H408" s="539"/>
      <c r="I408" s="539"/>
      <c r="J408" s="539"/>
      <c r="K408" s="539"/>
      <c r="L408" s="539"/>
      <c r="M408" s="539"/>
      <c r="N408" s="539"/>
      <c r="O408" s="539"/>
      <c r="P408" s="539"/>
      <c r="Q408" s="539"/>
      <c r="R408" s="539"/>
      <c r="S408" s="539"/>
      <c r="T408" s="539"/>
      <c r="U408" s="539"/>
      <c r="V408" s="539"/>
      <c r="W408" s="539"/>
      <c r="X408" s="539"/>
      <c r="Y408" s="539"/>
      <c r="Z408" s="539"/>
      <c r="AA408" s="539"/>
      <c r="AB408" s="539"/>
      <c r="AC408" s="539"/>
      <c r="AD408" s="539"/>
      <c r="AE408" s="539"/>
      <c r="AF408" s="539"/>
      <c r="AG408" s="539"/>
      <c r="AH408" s="539"/>
      <c r="AI408" s="539"/>
      <c r="AJ408" s="539"/>
      <c r="AK408" s="539"/>
      <c r="AL408" s="539"/>
      <c r="AM408" s="539"/>
      <c r="AN408" s="539"/>
      <c r="AO408" s="539"/>
      <c r="AP408" s="539"/>
      <c r="AQ408" s="539"/>
      <c r="AR408" s="539"/>
      <c r="AS408" s="539"/>
      <c r="AT408" s="539"/>
      <c r="AU408" s="539"/>
      <c r="AV408" s="539"/>
      <c r="AW408" s="539"/>
      <c r="AX408" s="539"/>
      <c r="AY408" s="539"/>
      <c r="AZ408" s="539"/>
      <c r="BA408" s="539"/>
      <c r="BB408" s="539"/>
      <c r="BC408" s="539"/>
      <c r="BD408" s="539"/>
      <c r="BE408" s="539"/>
      <c r="BF408" s="539"/>
      <c r="BG408" s="539"/>
      <c r="BH408" s="539"/>
      <c r="BI408" s="539"/>
      <c r="BJ408" s="539"/>
      <c r="BK408" s="539"/>
      <c r="BL408" s="539"/>
      <c r="BM408" s="539"/>
      <c r="BN408" s="539"/>
      <c r="BO408" s="539"/>
      <c r="BP408" s="539"/>
      <c r="BQ408" s="539"/>
      <c r="BR408" s="539"/>
      <c r="BS408" s="539"/>
      <c r="BT408" s="539"/>
      <c r="BU408" s="539"/>
      <c r="BV408" s="539"/>
      <c r="BW408" s="539"/>
      <c r="BX408" s="539"/>
      <c r="BY408" s="539"/>
      <c r="BZ408" s="539"/>
      <c r="CA408" s="539"/>
      <c r="CB408" s="539"/>
      <c r="CC408" s="539"/>
      <c r="CD408" s="539"/>
      <c r="CE408" s="539"/>
      <c r="CF408" s="539"/>
      <c r="CG408" s="539"/>
      <c r="CH408" s="539"/>
      <c r="CI408" s="539"/>
      <c r="CJ408" s="539"/>
      <c r="CK408" s="539"/>
      <c r="CL408" s="539"/>
      <c r="CM408" s="539"/>
      <c r="CN408" s="539"/>
      <c r="CO408" s="539"/>
      <c r="CP408" s="539"/>
      <c r="CQ408" s="539"/>
      <c r="CR408" s="539"/>
      <c r="CS408" s="539"/>
      <c r="CT408" s="539"/>
      <c r="CU408" s="539"/>
      <c r="CV408" s="539"/>
      <c r="CW408" s="539"/>
      <c r="CX408" s="539"/>
      <c r="CY408" s="539"/>
      <c r="CZ408" s="539"/>
      <c r="DA408" s="539"/>
      <c r="DB408" s="539"/>
      <c r="DC408" s="539"/>
      <c r="DD408" s="539"/>
      <c r="DE408" s="539"/>
      <c r="DF408" s="539"/>
      <c r="DG408" s="539"/>
      <c r="DH408" s="539"/>
      <c r="DI408" s="539"/>
      <c r="DJ408" s="539"/>
      <c r="DK408" s="539"/>
      <c r="DL408" s="539"/>
      <c r="DM408" s="539"/>
      <c r="DN408" s="539"/>
      <c r="DO408" s="539"/>
      <c r="DP408" s="539"/>
      <c r="DQ408" s="539"/>
      <c r="DR408" s="539"/>
      <c r="DS408" s="539"/>
      <c r="DT408" s="539"/>
      <c r="DU408" s="539"/>
      <c r="DV408" s="539"/>
      <c r="DW408" s="539"/>
      <c r="DX408" s="539"/>
      <c r="DY408" s="539"/>
      <c r="DZ408" s="539"/>
      <c r="EA408" s="539"/>
      <c r="EB408" s="539"/>
      <c r="EC408" s="539"/>
      <c r="ED408" s="53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C0C0C0"/>
  </sheetPr>
  <dimension ref="A1:CG477"/>
  <sheetViews>
    <sheetView showGridLines="0" topLeftCell="A59" zoomScale="80" zoomScaleNormal="80" workbookViewId="0">
      <selection activeCell="O21" sqref="O21"/>
    </sheetView>
  </sheetViews>
  <sheetFormatPr defaultColWidth="12.42578125" defaultRowHeight="15" customHeight="1"/>
  <cols>
    <col min="1" max="1" width="18.42578125" style="855" customWidth="1"/>
    <col min="2" max="2" width="5" style="1338" customWidth="1"/>
    <col min="3" max="3" width="43.7109375" style="1338" customWidth="1"/>
    <col min="4" max="4" width="9.140625" style="1338" customWidth="1"/>
    <col min="5" max="5" width="16.42578125" style="1338" customWidth="1"/>
    <col min="6" max="6" width="14.7109375" style="1338" bestFit="1" customWidth="1"/>
    <col min="7" max="7" width="15.7109375" style="1338" customWidth="1"/>
    <col min="8" max="8" width="10.42578125" style="1338" customWidth="1"/>
    <col min="9" max="9" width="16.42578125" style="1338" customWidth="1"/>
    <col min="10" max="10" width="11.140625" style="1338" customWidth="1"/>
    <col min="11" max="11" width="16.42578125" style="1338" customWidth="1"/>
    <col min="12" max="12" width="9.7109375" style="1338" customWidth="1"/>
    <col min="13" max="13" width="10.42578125" style="855" customWidth="1"/>
    <col min="14" max="14" width="10.7109375" style="855" customWidth="1"/>
    <col min="15" max="15" width="14" style="855" customWidth="1"/>
    <col min="16" max="16" width="11.42578125" style="855" customWidth="1"/>
    <col min="17" max="18" width="10.140625" style="855" customWidth="1"/>
    <col min="19" max="27" width="9.140625" style="855" customWidth="1"/>
    <col min="28" max="33" width="8" style="855" customWidth="1"/>
    <col min="34" max="53" width="9.140625" style="855" customWidth="1"/>
    <col min="54" max="54" width="14.7109375" style="855" customWidth="1"/>
    <col min="55" max="85" width="0.140625" style="855" customWidth="1"/>
    <col min="86" max="16384" width="12.42578125" style="855"/>
  </cols>
  <sheetData>
    <row r="1" spans="1:85" ht="16.5" customHeight="1">
      <c r="A1" s="847"/>
      <c r="B1" s="1126"/>
      <c r="C1" s="1126"/>
      <c r="D1" s="1126"/>
      <c r="E1" s="1126"/>
      <c r="F1" s="1126"/>
      <c r="G1" s="1126"/>
      <c r="H1" s="1126"/>
      <c r="I1" s="1126"/>
      <c r="J1" s="1126"/>
      <c r="K1" s="1126"/>
      <c r="L1" s="1126"/>
      <c r="M1" s="848"/>
      <c r="N1" s="849"/>
      <c r="O1" s="850"/>
      <c r="P1" s="850"/>
      <c r="Q1" s="850"/>
      <c r="R1" s="850"/>
      <c r="S1" s="850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2"/>
      <c r="AI1" s="852"/>
      <c r="AJ1" s="852"/>
      <c r="AK1" s="852"/>
      <c r="AL1" s="852"/>
      <c r="AM1" s="852"/>
      <c r="AN1" s="852"/>
      <c r="AO1" s="852"/>
      <c r="AP1" s="852"/>
      <c r="AQ1" s="852"/>
      <c r="AR1" s="852"/>
      <c r="AS1" s="852"/>
      <c r="AT1" s="852"/>
      <c r="AU1" s="852"/>
      <c r="AV1" s="852"/>
      <c r="AW1" s="852"/>
      <c r="AX1" s="849"/>
      <c r="AY1" s="847"/>
      <c r="AZ1" s="847"/>
      <c r="BA1" s="847"/>
      <c r="BB1" s="847"/>
      <c r="BC1" s="853"/>
      <c r="BD1" s="854"/>
      <c r="BE1" s="854"/>
      <c r="BF1" s="854"/>
      <c r="BG1" s="854"/>
      <c r="BH1" s="854"/>
      <c r="BI1" s="854"/>
      <c r="BJ1" s="854"/>
      <c r="BK1" s="854"/>
      <c r="BL1" s="854"/>
      <c r="BM1" s="854"/>
      <c r="BN1" s="854"/>
      <c r="BO1" s="854"/>
      <c r="BP1" s="854"/>
      <c r="BQ1" s="854"/>
      <c r="BR1" s="854"/>
      <c r="BS1" s="854"/>
      <c r="BT1" s="854"/>
      <c r="BU1" s="854"/>
      <c r="BV1" s="854"/>
      <c r="BW1" s="854"/>
      <c r="BX1" s="854"/>
      <c r="BY1" s="854"/>
      <c r="BZ1" s="854"/>
      <c r="CA1" s="854"/>
      <c r="CB1" s="854"/>
      <c r="CC1" s="854"/>
      <c r="CD1" s="854"/>
      <c r="CE1" s="854"/>
      <c r="CF1" s="854"/>
      <c r="CG1" s="854" t="s">
        <v>45</v>
      </c>
    </row>
    <row r="2" spans="1:85" ht="14.25" customHeight="1">
      <c r="A2" s="847"/>
      <c r="B2" s="1535" t="s">
        <v>46</v>
      </c>
      <c r="C2" s="1468"/>
      <c r="D2" s="1519"/>
      <c r="E2" s="1535" t="s">
        <v>47</v>
      </c>
      <c r="F2" s="1468"/>
      <c r="G2" s="1468"/>
      <c r="H2" s="1535" t="s">
        <v>48</v>
      </c>
      <c r="I2" s="1468"/>
      <c r="J2" s="1468"/>
      <c r="K2" s="1468"/>
      <c r="L2" s="1127"/>
      <c r="M2" s="848"/>
      <c r="N2" s="849"/>
      <c r="O2" s="850"/>
      <c r="P2" s="850"/>
      <c r="Q2" s="850"/>
      <c r="R2" s="850"/>
      <c r="S2" s="850"/>
      <c r="T2" s="851"/>
      <c r="U2" s="851"/>
      <c r="V2" s="851"/>
      <c r="W2" s="851"/>
      <c r="X2" s="851"/>
      <c r="Y2" s="851"/>
      <c r="Z2" s="851"/>
      <c r="AA2" s="851"/>
      <c r="AB2" s="851"/>
      <c r="AC2" s="851"/>
      <c r="AD2" s="851"/>
      <c r="AE2" s="851"/>
      <c r="AF2" s="851"/>
      <c r="AG2" s="851"/>
      <c r="AH2" s="852"/>
      <c r="AI2" s="852"/>
      <c r="AJ2" s="852"/>
      <c r="AK2" s="852"/>
      <c r="AL2" s="852"/>
      <c r="AM2" s="852"/>
      <c r="AN2" s="852"/>
      <c r="AO2" s="852"/>
      <c r="AP2" s="852"/>
      <c r="AQ2" s="852"/>
      <c r="AR2" s="852"/>
      <c r="AS2" s="852"/>
      <c r="AT2" s="852"/>
      <c r="AU2" s="852"/>
      <c r="AV2" s="852"/>
      <c r="AW2" s="852"/>
      <c r="AX2" s="849"/>
      <c r="AY2" s="847"/>
      <c r="AZ2" s="847"/>
      <c r="BA2" s="847"/>
      <c r="BB2" s="847"/>
      <c r="BC2" s="853"/>
      <c r="BD2" s="854"/>
      <c r="BE2" s="854"/>
      <c r="BF2" s="854"/>
      <c r="BG2" s="854"/>
      <c r="BH2" s="854"/>
      <c r="BI2" s="854"/>
      <c r="BJ2" s="854"/>
      <c r="BK2" s="854"/>
      <c r="BL2" s="854"/>
      <c r="BM2" s="854"/>
      <c r="BN2" s="854"/>
      <c r="BO2" s="854"/>
      <c r="BP2" s="854"/>
      <c r="BQ2" s="854"/>
      <c r="BR2" s="854"/>
      <c r="BS2" s="854"/>
      <c r="BT2" s="854"/>
      <c r="BU2" s="854"/>
      <c r="BV2" s="854"/>
      <c r="BW2" s="854"/>
      <c r="BX2" s="854"/>
      <c r="BY2" s="854"/>
      <c r="BZ2" s="854"/>
      <c r="CA2" s="854"/>
      <c r="CB2" s="854"/>
      <c r="CC2" s="854"/>
      <c r="CD2" s="854"/>
      <c r="CE2" s="854"/>
      <c r="CF2" s="854"/>
      <c r="CG2" s="854" t="s">
        <v>45</v>
      </c>
    </row>
    <row r="3" spans="1:85" ht="15" customHeight="1">
      <c r="A3" s="847"/>
      <c r="B3" s="1536" t="s">
        <v>49</v>
      </c>
      <c r="C3" s="1471"/>
      <c r="D3" s="1521"/>
      <c r="E3" s="1537">
        <v>45598</v>
      </c>
      <c r="F3" s="1471"/>
      <c r="G3" s="1521"/>
      <c r="H3" s="1128" t="s">
        <v>50</v>
      </c>
      <c r="I3" s="1129"/>
      <c r="J3" s="1129"/>
      <c r="K3" s="1129"/>
      <c r="L3" s="1130"/>
      <c r="M3" s="848"/>
      <c r="N3" s="849"/>
      <c r="O3" s="850"/>
      <c r="P3" s="850"/>
      <c r="Q3" s="850"/>
      <c r="R3" s="850"/>
      <c r="S3" s="850"/>
      <c r="T3" s="851"/>
      <c r="U3" s="851"/>
      <c r="V3" s="851"/>
      <c r="W3" s="851"/>
      <c r="X3" s="851"/>
      <c r="Y3" s="851"/>
      <c r="Z3" s="851"/>
      <c r="AA3" s="851"/>
      <c r="AB3" s="851"/>
      <c r="AC3" s="851"/>
      <c r="AD3" s="851"/>
      <c r="AE3" s="851"/>
      <c r="AF3" s="851"/>
      <c r="AG3" s="851"/>
      <c r="AH3" s="852"/>
      <c r="AI3" s="852"/>
      <c r="AJ3" s="852"/>
      <c r="AK3" s="852"/>
      <c r="AL3" s="852"/>
      <c r="AM3" s="852"/>
      <c r="AN3" s="852"/>
      <c r="AO3" s="852"/>
      <c r="AP3" s="852"/>
      <c r="AQ3" s="852"/>
      <c r="AR3" s="852"/>
      <c r="AS3" s="852"/>
      <c r="AT3" s="852"/>
      <c r="AU3" s="852"/>
      <c r="AV3" s="852"/>
      <c r="AW3" s="852"/>
      <c r="AX3" s="849"/>
      <c r="AY3" s="847"/>
      <c r="AZ3" s="847"/>
      <c r="BA3" s="847"/>
      <c r="BB3" s="847"/>
      <c r="BC3" s="853"/>
      <c r="BD3" s="854"/>
      <c r="BE3" s="854"/>
      <c r="BF3" s="854"/>
      <c r="BG3" s="854"/>
      <c r="BH3" s="854"/>
      <c r="BI3" s="854"/>
      <c r="BJ3" s="854"/>
      <c r="BK3" s="854"/>
      <c r="BL3" s="854"/>
      <c r="BM3" s="854"/>
      <c r="BN3" s="854"/>
      <c r="BO3" s="854"/>
      <c r="BP3" s="854"/>
      <c r="BQ3" s="854"/>
      <c r="BR3" s="854"/>
      <c r="BS3" s="854"/>
      <c r="BT3" s="854"/>
      <c r="BU3" s="854"/>
      <c r="BV3" s="854"/>
      <c r="BW3" s="854"/>
      <c r="BX3" s="854"/>
      <c r="BY3" s="854"/>
      <c r="BZ3" s="854"/>
      <c r="CA3" s="854"/>
      <c r="CB3" s="854"/>
      <c r="CC3" s="854"/>
      <c r="CD3" s="854"/>
      <c r="CE3" s="854"/>
      <c r="CF3" s="854"/>
      <c r="CG3" s="854" t="s">
        <v>45</v>
      </c>
    </row>
    <row r="4" spans="1:85" ht="16.5" customHeight="1">
      <c r="A4" s="847"/>
      <c r="B4" s="1529"/>
      <c r="C4" s="1471"/>
      <c r="D4" s="1521"/>
      <c r="E4" s="1530"/>
      <c r="F4" s="1471"/>
      <c r="G4" s="1471"/>
      <c r="H4" s="1531"/>
      <c r="I4" s="1474"/>
      <c r="J4" s="1474"/>
      <c r="K4" s="1474"/>
      <c r="L4" s="1131"/>
      <c r="M4" s="848"/>
      <c r="N4" s="849"/>
      <c r="O4" s="850"/>
      <c r="P4" s="850"/>
      <c r="Q4" s="850"/>
      <c r="R4" s="850"/>
      <c r="S4" s="850"/>
      <c r="T4" s="851"/>
      <c r="U4" s="851"/>
      <c r="V4" s="851"/>
      <c r="W4" s="851"/>
      <c r="X4" s="851"/>
      <c r="Y4" s="851"/>
      <c r="Z4" s="851"/>
      <c r="AA4" s="851"/>
      <c r="AB4" s="851"/>
      <c r="AC4" s="851"/>
      <c r="AD4" s="851"/>
      <c r="AE4" s="851"/>
      <c r="AF4" s="851"/>
      <c r="AG4" s="851"/>
      <c r="AH4" s="852"/>
      <c r="AI4" s="852"/>
      <c r="AJ4" s="852"/>
      <c r="AK4" s="852"/>
      <c r="AL4" s="852"/>
      <c r="AM4" s="852"/>
      <c r="AN4" s="852"/>
      <c r="AO4" s="852"/>
      <c r="AP4" s="852"/>
      <c r="AQ4" s="852"/>
      <c r="AR4" s="852"/>
      <c r="AS4" s="852"/>
      <c r="AT4" s="852"/>
      <c r="AU4" s="852"/>
      <c r="AV4" s="852"/>
      <c r="AW4" s="852"/>
      <c r="AX4" s="849"/>
      <c r="AY4" s="847"/>
      <c r="AZ4" s="847"/>
      <c r="BA4" s="847"/>
      <c r="BB4" s="847"/>
      <c r="BC4" s="853"/>
      <c r="BD4" s="854"/>
      <c r="BE4" s="854"/>
      <c r="BF4" s="854"/>
      <c r="BG4" s="854"/>
      <c r="BH4" s="854"/>
      <c r="BI4" s="854"/>
      <c r="BJ4" s="854"/>
      <c r="BK4" s="854"/>
      <c r="BL4" s="854"/>
      <c r="BM4" s="854"/>
      <c r="BN4" s="854"/>
      <c r="BO4" s="854"/>
      <c r="BP4" s="854"/>
      <c r="BQ4" s="854"/>
      <c r="BR4" s="854"/>
      <c r="BS4" s="854"/>
      <c r="BT4" s="854"/>
      <c r="BU4" s="854"/>
      <c r="BV4" s="854"/>
      <c r="BW4" s="854"/>
      <c r="BX4" s="854"/>
      <c r="BY4" s="854"/>
      <c r="BZ4" s="854"/>
      <c r="CA4" s="854"/>
      <c r="CB4" s="854"/>
      <c r="CC4" s="854"/>
      <c r="CD4" s="854"/>
      <c r="CE4" s="854"/>
      <c r="CF4" s="854"/>
      <c r="CG4" s="854" t="s">
        <v>45</v>
      </c>
    </row>
    <row r="5" spans="1:85" ht="17.25" customHeight="1">
      <c r="A5" s="847"/>
      <c r="B5" s="1532" t="s">
        <v>51</v>
      </c>
      <c r="C5" s="1465"/>
      <c r="D5" s="1465"/>
      <c r="E5" s="1465"/>
      <c r="F5" s="1465"/>
      <c r="G5" s="1465"/>
      <c r="H5" s="1465"/>
      <c r="I5" s="1465"/>
      <c r="J5" s="1465"/>
      <c r="K5" s="1465"/>
      <c r="L5" s="1466"/>
      <c r="M5" s="848"/>
      <c r="N5" s="856"/>
      <c r="O5" s="850"/>
      <c r="P5" s="850"/>
      <c r="Q5" s="850"/>
      <c r="R5" s="850"/>
      <c r="S5" s="850"/>
      <c r="T5" s="851"/>
      <c r="U5" s="851"/>
      <c r="V5" s="851"/>
      <c r="W5" s="851"/>
      <c r="X5" s="851"/>
      <c r="Y5" s="851"/>
      <c r="Z5" s="851"/>
      <c r="AA5" s="851"/>
      <c r="AB5" s="851"/>
      <c r="AC5" s="851"/>
      <c r="AD5" s="851"/>
      <c r="AE5" s="851"/>
      <c r="AF5" s="851"/>
      <c r="AG5" s="851"/>
      <c r="AH5" s="852"/>
      <c r="AI5" s="852"/>
      <c r="AJ5" s="852"/>
      <c r="AK5" s="852"/>
      <c r="AL5" s="852"/>
      <c r="AM5" s="852"/>
      <c r="AN5" s="852"/>
      <c r="AO5" s="852"/>
      <c r="AP5" s="852"/>
      <c r="AQ5" s="852"/>
      <c r="AR5" s="852"/>
      <c r="AS5" s="852"/>
      <c r="AT5" s="852"/>
      <c r="AU5" s="852"/>
      <c r="AV5" s="852"/>
      <c r="AW5" s="852"/>
      <c r="AX5" s="849"/>
      <c r="AY5" s="847"/>
      <c r="AZ5" s="847"/>
      <c r="BA5" s="847"/>
      <c r="BB5" s="847"/>
      <c r="BC5" s="853"/>
      <c r="BD5" s="854"/>
      <c r="BE5" s="854"/>
      <c r="BF5" s="854"/>
      <c r="BG5" s="854"/>
      <c r="BH5" s="854"/>
      <c r="BI5" s="854"/>
      <c r="BJ5" s="854"/>
      <c r="BK5" s="854"/>
      <c r="BL5" s="854"/>
      <c r="BM5" s="854"/>
      <c r="BN5" s="854"/>
      <c r="BO5" s="854"/>
      <c r="BP5" s="854"/>
      <c r="BQ5" s="854"/>
      <c r="BR5" s="854"/>
      <c r="BS5" s="854"/>
      <c r="BT5" s="854"/>
      <c r="BU5" s="854"/>
      <c r="BV5" s="854"/>
      <c r="BW5" s="854"/>
      <c r="BX5" s="854"/>
      <c r="BY5" s="854"/>
      <c r="BZ5" s="854"/>
      <c r="CA5" s="854"/>
      <c r="CB5" s="854"/>
      <c r="CC5" s="854"/>
      <c r="CD5" s="854"/>
      <c r="CE5" s="854"/>
      <c r="CF5" s="854"/>
      <c r="CG5" s="854" t="s">
        <v>45</v>
      </c>
    </row>
    <row r="6" spans="1:85" ht="15.75" customHeight="1">
      <c r="A6" s="847"/>
      <c r="B6" s="1532" t="s">
        <v>52</v>
      </c>
      <c r="C6" s="1465"/>
      <c r="D6" s="1466"/>
      <c r="E6" s="1533" t="s">
        <v>53</v>
      </c>
      <c r="F6" s="1474"/>
      <c r="G6" s="1534" t="s">
        <v>54</v>
      </c>
      <c r="H6" s="1466"/>
      <c r="I6" s="1534" t="s">
        <v>55</v>
      </c>
      <c r="J6" s="1466"/>
      <c r="K6" s="1534" t="s">
        <v>56</v>
      </c>
      <c r="L6" s="1466"/>
      <c r="M6" s="857"/>
      <c r="N6" s="849"/>
      <c r="O6" s="850" t="s">
        <v>57</v>
      </c>
      <c r="P6" s="850" t="s">
        <v>57</v>
      </c>
      <c r="Q6" s="850" t="s">
        <v>57</v>
      </c>
      <c r="R6" s="850"/>
      <c r="S6" s="850"/>
      <c r="T6" s="851"/>
      <c r="U6" s="851"/>
      <c r="V6" s="851"/>
      <c r="W6" s="851"/>
      <c r="X6" s="851"/>
      <c r="Y6" s="851"/>
      <c r="Z6" s="851"/>
      <c r="AA6" s="851"/>
      <c r="AB6" s="851"/>
      <c r="AC6" s="851"/>
      <c r="AD6" s="851"/>
      <c r="AE6" s="851"/>
      <c r="AF6" s="851"/>
      <c r="AG6" s="851"/>
      <c r="AH6" s="852"/>
      <c r="AI6" s="852"/>
      <c r="AJ6" s="852"/>
      <c r="AK6" s="852"/>
      <c r="AL6" s="852"/>
      <c r="AM6" s="852"/>
      <c r="AN6" s="852"/>
      <c r="AO6" s="852"/>
      <c r="AP6" s="852"/>
      <c r="AQ6" s="852"/>
      <c r="AR6" s="852"/>
      <c r="AS6" s="852"/>
      <c r="AT6" s="852"/>
      <c r="AU6" s="852"/>
      <c r="AV6" s="852"/>
      <c r="AW6" s="852"/>
      <c r="AX6" s="849"/>
      <c r="AY6" s="847"/>
      <c r="AZ6" s="847"/>
      <c r="BA6" s="847"/>
      <c r="BB6" s="847"/>
      <c r="BC6" s="853"/>
      <c r="BD6" s="854"/>
      <c r="BE6" s="854"/>
      <c r="BF6" s="854"/>
      <c r="BG6" s="854" t="s">
        <v>58</v>
      </c>
      <c r="BH6" s="854"/>
      <c r="BI6" s="854" t="s">
        <v>59</v>
      </c>
      <c r="BJ6" s="854"/>
      <c r="BK6" s="854" t="s">
        <v>45</v>
      </c>
      <c r="BL6" s="854"/>
      <c r="BM6" s="854"/>
      <c r="BN6" s="854"/>
      <c r="BO6" s="854"/>
      <c r="BP6" s="854"/>
      <c r="BQ6" s="854"/>
      <c r="BR6" s="854"/>
      <c r="BS6" s="854"/>
      <c r="BT6" s="854"/>
      <c r="BU6" s="854"/>
      <c r="BV6" s="854"/>
      <c r="BW6" s="854"/>
      <c r="BX6" s="854"/>
      <c r="BY6" s="854"/>
      <c r="BZ6" s="854"/>
      <c r="CA6" s="854"/>
      <c r="CB6" s="854"/>
      <c r="CC6" s="854"/>
      <c r="CD6" s="854"/>
      <c r="CE6" s="854"/>
      <c r="CF6" s="854"/>
      <c r="CG6" s="854" t="s">
        <v>45</v>
      </c>
    </row>
    <row r="7" spans="1:85" ht="13.5" customHeight="1">
      <c r="A7" s="847"/>
      <c r="B7" s="1487">
        <f>+E13</f>
        <v>44561</v>
      </c>
      <c r="C7" s="1488"/>
      <c r="D7" s="1488"/>
      <c r="E7" s="1489" t="s">
        <v>60</v>
      </c>
      <c r="F7" s="1490"/>
      <c r="G7" s="1491" t="s">
        <v>61</v>
      </c>
      <c r="H7" s="1490"/>
      <c r="I7" s="1492"/>
      <c r="J7" s="1488"/>
      <c r="K7" s="1489" t="s">
        <v>62</v>
      </c>
      <c r="L7" s="1490"/>
      <c r="M7" s="858"/>
      <c r="N7" s="849"/>
      <c r="O7" s="850" t="s">
        <v>60</v>
      </c>
      <c r="P7" s="850" t="s">
        <v>63</v>
      </c>
      <c r="Q7" s="850" t="s">
        <v>64</v>
      </c>
      <c r="R7" s="850"/>
      <c r="S7" s="850"/>
      <c r="T7" s="851"/>
      <c r="U7" s="851"/>
      <c r="V7" s="851"/>
      <c r="W7" s="851"/>
      <c r="X7" s="851"/>
      <c r="Y7" s="851"/>
      <c r="Z7" s="851"/>
      <c r="AA7" s="851"/>
      <c r="AB7" s="851"/>
      <c r="AC7" s="851"/>
      <c r="AD7" s="851"/>
      <c r="AE7" s="851"/>
      <c r="AF7" s="851"/>
      <c r="AG7" s="851"/>
      <c r="AH7" s="852"/>
      <c r="AI7" s="852"/>
      <c r="AJ7" s="852"/>
      <c r="AK7" s="852"/>
      <c r="AL7" s="852"/>
      <c r="AM7" s="852"/>
      <c r="AN7" s="852"/>
      <c r="AO7" s="852"/>
      <c r="AP7" s="852"/>
      <c r="AQ7" s="852"/>
      <c r="AR7" s="852"/>
      <c r="AS7" s="852"/>
      <c r="AT7" s="852"/>
      <c r="AU7" s="852"/>
      <c r="AV7" s="852"/>
      <c r="AW7" s="852"/>
      <c r="AX7" s="849"/>
      <c r="AY7" s="847"/>
      <c r="AZ7" s="847"/>
      <c r="BA7" s="847"/>
      <c r="BB7" s="847"/>
      <c r="BC7" s="853"/>
      <c r="BD7" s="854"/>
      <c r="BE7" s="854"/>
      <c r="BF7" s="859">
        <f t="shared" ref="BF7:BF10" si="0">B7</f>
        <v>44561</v>
      </c>
      <c r="BG7" s="860" t="s">
        <v>65</v>
      </c>
      <c r="BH7" s="854"/>
      <c r="BI7" s="860" t="s">
        <v>61</v>
      </c>
      <c r="BJ7" s="854"/>
      <c r="BK7" s="854" t="s">
        <v>45</v>
      </c>
      <c r="BL7" s="854"/>
      <c r="BM7" s="854"/>
      <c r="BN7" s="854"/>
      <c r="BO7" s="854"/>
      <c r="BP7" s="854"/>
      <c r="BQ7" s="854"/>
      <c r="BR7" s="854"/>
      <c r="BS7" s="854"/>
      <c r="BT7" s="854"/>
      <c r="BU7" s="854"/>
      <c r="BV7" s="854"/>
      <c r="BW7" s="854"/>
      <c r="BX7" s="854"/>
      <c r="BY7" s="854"/>
      <c r="BZ7" s="854"/>
      <c r="CA7" s="854"/>
      <c r="CB7" s="854"/>
      <c r="CC7" s="854"/>
      <c r="CD7" s="854"/>
      <c r="CE7" s="854"/>
      <c r="CF7" s="854"/>
      <c r="CG7" s="854" t="s">
        <v>45</v>
      </c>
    </row>
    <row r="8" spans="1:85" ht="15" customHeight="1">
      <c r="A8" s="847"/>
      <c r="B8" s="1483">
        <f>+G13</f>
        <v>44926</v>
      </c>
      <c r="C8" s="1484"/>
      <c r="D8" s="1484"/>
      <c r="E8" s="1481" t="s">
        <v>60</v>
      </c>
      <c r="F8" s="1482"/>
      <c r="G8" s="1485" t="s">
        <v>61</v>
      </c>
      <c r="H8" s="1482"/>
      <c r="I8" s="1486"/>
      <c r="J8" s="1484"/>
      <c r="K8" s="1481" t="s">
        <v>62</v>
      </c>
      <c r="L8" s="1482"/>
      <c r="M8" s="858"/>
      <c r="N8" s="849"/>
      <c r="O8" s="850" t="s">
        <v>66</v>
      </c>
      <c r="P8" s="850" t="s">
        <v>67</v>
      </c>
      <c r="Q8" s="850" t="s">
        <v>68</v>
      </c>
      <c r="R8" s="850"/>
      <c r="S8" s="850"/>
      <c r="T8" s="851"/>
      <c r="U8" s="851"/>
      <c r="V8" s="851"/>
      <c r="W8" s="851"/>
      <c r="X8" s="851"/>
      <c r="Y8" s="851"/>
      <c r="Z8" s="851"/>
      <c r="AA8" s="851"/>
      <c r="AB8" s="851"/>
      <c r="AC8" s="851"/>
      <c r="AD8" s="851"/>
      <c r="AE8" s="851"/>
      <c r="AF8" s="851"/>
      <c r="AG8" s="851"/>
      <c r="AH8" s="852"/>
      <c r="AI8" s="852"/>
      <c r="AJ8" s="852"/>
      <c r="AK8" s="852"/>
      <c r="AL8" s="852"/>
      <c r="AM8" s="852"/>
      <c r="AN8" s="852"/>
      <c r="AO8" s="852"/>
      <c r="AP8" s="852"/>
      <c r="AQ8" s="852"/>
      <c r="AR8" s="852"/>
      <c r="AS8" s="852"/>
      <c r="AT8" s="852"/>
      <c r="AU8" s="852"/>
      <c r="AV8" s="852"/>
      <c r="AW8" s="852"/>
      <c r="AX8" s="849"/>
      <c r="AY8" s="847"/>
      <c r="AZ8" s="847"/>
      <c r="BA8" s="847"/>
      <c r="BB8" s="847"/>
      <c r="BC8" s="853"/>
      <c r="BD8" s="854"/>
      <c r="BE8" s="854"/>
      <c r="BF8" s="859">
        <f t="shared" si="0"/>
        <v>44926</v>
      </c>
      <c r="BG8" s="860" t="s">
        <v>65</v>
      </c>
      <c r="BH8" s="854"/>
      <c r="BI8" s="861" t="s">
        <v>61</v>
      </c>
      <c r="BJ8" s="854"/>
      <c r="BK8" s="854" t="s">
        <v>45</v>
      </c>
      <c r="BL8" s="854"/>
      <c r="BM8" s="854"/>
      <c r="BN8" s="854"/>
      <c r="BO8" s="854"/>
      <c r="BP8" s="854"/>
      <c r="BQ8" s="854"/>
      <c r="BR8" s="854"/>
      <c r="BS8" s="854"/>
      <c r="BT8" s="854"/>
      <c r="BU8" s="854"/>
      <c r="BV8" s="854"/>
      <c r="BW8" s="854"/>
      <c r="BX8" s="854"/>
      <c r="BY8" s="854"/>
      <c r="BZ8" s="854"/>
      <c r="CA8" s="854"/>
      <c r="CB8" s="854"/>
      <c r="CC8" s="854"/>
      <c r="CD8" s="854"/>
      <c r="CE8" s="854"/>
      <c r="CF8" s="854"/>
      <c r="CG8" s="854" t="s">
        <v>45</v>
      </c>
    </row>
    <row r="9" spans="1:85" ht="18" customHeight="1">
      <c r="A9" s="847"/>
      <c r="B9" s="1483">
        <f>+I13</f>
        <v>45291</v>
      </c>
      <c r="C9" s="1484"/>
      <c r="D9" s="1484"/>
      <c r="E9" s="1481" t="s">
        <v>60</v>
      </c>
      <c r="F9" s="1482"/>
      <c r="G9" s="1485" t="s">
        <v>61</v>
      </c>
      <c r="H9" s="1482"/>
      <c r="I9" s="1486"/>
      <c r="J9" s="1484"/>
      <c r="K9" s="1481" t="s">
        <v>62</v>
      </c>
      <c r="L9" s="1482"/>
      <c r="M9" s="858"/>
      <c r="N9" s="849"/>
      <c r="O9" s="850"/>
      <c r="P9" s="850" t="s">
        <v>69</v>
      </c>
      <c r="Q9" s="850" t="s">
        <v>70</v>
      </c>
      <c r="R9" s="850"/>
      <c r="S9" s="850"/>
      <c r="T9" s="851"/>
      <c r="U9" s="851"/>
      <c r="V9" s="851"/>
      <c r="W9" s="851"/>
      <c r="X9" s="851"/>
      <c r="Y9" s="851"/>
      <c r="Z9" s="851"/>
      <c r="AA9" s="851"/>
      <c r="AB9" s="851"/>
      <c r="AC9" s="851"/>
      <c r="AD9" s="851"/>
      <c r="AE9" s="851"/>
      <c r="AF9" s="851"/>
      <c r="AG9" s="851"/>
      <c r="AH9" s="852"/>
      <c r="AI9" s="852"/>
      <c r="AJ9" s="852"/>
      <c r="AK9" s="852"/>
      <c r="AL9" s="852"/>
      <c r="AM9" s="852"/>
      <c r="AN9" s="852"/>
      <c r="AO9" s="852"/>
      <c r="AP9" s="852"/>
      <c r="AQ9" s="852"/>
      <c r="AR9" s="852"/>
      <c r="AS9" s="852"/>
      <c r="AT9" s="852"/>
      <c r="AU9" s="852"/>
      <c r="AV9" s="852"/>
      <c r="AW9" s="852"/>
      <c r="AX9" s="849"/>
      <c r="AY9" s="847"/>
      <c r="AZ9" s="847"/>
      <c r="BA9" s="847"/>
      <c r="BB9" s="847"/>
      <c r="BC9" s="853"/>
      <c r="BD9" s="854"/>
      <c r="BE9" s="854"/>
      <c r="BF9" s="859">
        <f t="shared" si="0"/>
        <v>45291</v>
      </c>
      <c r="BG9" s="860" t="s">
        <v>65</v>
      </c>
      <c r="BH9" s="854"/>
      <c r="BI9" s="861" t="s">
        <v>61</v>
      </c>
      <c r="BJ9" s="854"/>
      <c r="BK9" s="854" t="s">
        <v>45</v>
      </c>
      <c r="BL9" s="854"/>
      <c r="BM9" s="854"/>
      <c r="BN9" s="854"/>
      <c r="BO9" s="854"/>
      <c r="BP9" s="854"/>
      <c r="BQ9" s="854"/>
      <c r="BR9" s="854"/>
      <c r="BS9" s="854"/>
      <c r="BT9" s="854"/>
      <c r="BU9" s="854"/>
      <c r="BV9" s="854"/>
      <c r="BW9" s="854"/>
      <c r="BX9" s="854"/>
      <c r="BY9" s="854"/>
      <c r="BZ9" s="854"/>
      <c r="CA9" s="854"/>
      <c r="CB9" s="854"/>
      <c r="CC9" s="854"/>
      <c r="CD9" s="854"/>
      <c r="CE9" s="854"/>
      <c r="CF9" s="854"/>
      <c r="CG9" s="854" t="s">
        <v>45</v>
      </c>
    </row>
    <row r="10" spans="1:85" ht="18" customHeight="1">
      <c r="A10" s="847"/>
      <c r="B10" s="1517">
        <f>+K13</f>
        <v>45473</v>
      </c>
      <c r="C10" s="1518"/>
      <c r="D10" s="1518"/>
      <c r="E10" s="1525" t="s">
        <v>66</v>
      </c>
      <c r="F10" s="1526"/>
      <c r="G10" s="1527" t="s">
        <v>71</v>
      </c>
      <c r="H10" s="1526"/>
      <c r="I10" s="1528"/>
      <c r="J10" s="1518"/>
      <c r="K10" s="1525" t="str">
        <f t="shared" ref="K10" si="1">IF(NOT(ISERROR(FIND("-",BG10))),RIGHT(BG10,LEN(BG10)-FIND("-",BG10)),"")</f>
        <v/>
      </c>
      <c r="L10" s="1526"/>
      <c r="M10" s="858"/>
      <c r="N10" s="849"/>
      <c r="O10" s="850"/>
      <c r="P10" s="850" t="s">
        <v>72</v>
      </c>
      <c r="Q10" s="850" t="s">
        <v>73</v>
      </c>
      <c r="R10" s="850"/>
      <c r="S10" s="850"/>
      <c r="T10" s="851"/>
      <c r="U10" s="851"/>
      <c r="V10" s="851"/>
      <c r="W10" s="851"/>
      <c r="X10" s="851"/>
      <c r="Y10" s="851"/>
      <c r="Z10" s="851"/>
      <c r="AA10" s="851"/>
      <c r="AB10" s="851"/>
      <c r="AC10" s="851"/>
      <c r="AD10" s="851"/>
      <c r="AE10" s="851"/>
      <c r="AF10" s="851"/>
      <c r="AG10" s="851"/>
      <c r="AH10" s="852"/>
      <c r="AI10" s="852"/>
      <c r="AJ10" s="852"/>
      <c r="AK10" s="852"/>
      <c r="AL10" s="852"/>
      <c r="AM10" s="852"/>
      <c r="AN10" s="852"/>
      <c r="AO10" s="852"/>
      <c r="AP10" s="852"/>
      <c r="AQ10" s="852"/>
      <c r="AR10" s="852"/>
      <c r="AS10" s="852"/>
      <c r="AT10" s="852"/>
      <c r="AU10" s="852"/>
      <c r="AV10" s="852"/>
      <c r="AW10" s="852"/>
      <c r="AX10" s="849"/>
      <c r="AY10" s="847"/>
      <c r="AZ10" s="847"/>
      <c r="BA10" s="847"/>
      <c r="BB10" s="847"/>
      <c r="BC10" s="853"/>
      <c r="BD10" s="854"/>
      <c r="BE10" s="854"/>
      <c r="BF10" s="859">
        <f t="shared" si="0"/>
        <v>45473</v>
      </c>
      <c r="BG10" s="860" t="s">
        <v>66</v>
      </c>
      <c r="BH10" s="854"/>
      <c r="BI10" s="860" t="s">
        <v>74</v>
      </c>
      <c r="BJ10" s="854"/>
      <c r="BK10" s="854" t="s">
        <v>45</v>
      </c>
      <c r="BL10" s="854"/>
      <c r="BM10" s="854"/>
      <c r="BN10" s="854"/>
      <c r="BO10" s="854"/>
      <c r="BP10" s="854"/>
      <c r="BQ10" s="854"/>
      <c r="BR10" s="854"/>
      <c r="BS10" s="854"/>
      <c r="BT10" s="854"/>
      <c r="BU10" s="854"/>
      <c r="BV10" s="854"/>
      <c r="BW10" s="854"/>
      <c r="BX10" s="854"/>
      <c r="BY10" s="854"/>
      <c r="BZ10" s="854"/>
      <c r="CA10" s="854"/>
      <c r="CB10" s="854"/>
      <c r="CC10" s="854"/>
      <c r="CD10" s="854"/>
      <c r="CE10" s="854"/>
      <c r="CF10" s="854"/>
      <c r="CG10" s="854" t="s">
        <v>45</v>
      </c>
    </row>
    <row r="11" spans="1:85" ht="21" customHeight="1">
      <c r="A11" s="847"/>
      <c r="B11" s="1513" t="s">
        <v>75</v>
      </c>
      <c r="C11" s="1514"/>
      <c r="D11" s="1514"/>
      <c r="E11" s="1514"/>
      <c r="F11" s="1514"/>
      <c r="G11" s="1514"/>
      <c r="H11" s="1514"/>
      <c r="I11" s="1514"/>
      <c r="J11" s="1514"/>
      <c r="K11" s="1514"/>
      <c r="L11" s="1515"/>
      <c r="M11" s="862"/>
      <c r="N11" s="849"/>
      <c r="O11" s="850"/>
      <c r="P11" s="850" t="s">
        <v>76</v>
      </c>
      <c r="Q11" s="850"/>
      <c r="R11" s="850"/>
      <c r="S11" s="850"/>
      <c r="T11" s="851"/>
      <c r="U11" s="851"/>
      <c r="V11" s="851"/>
      <c r="W11" s="851"/>
      <c r="X11" s="851"/>
      <c r="Y11" s="851"/>
      <c r="Z11" s="851"/>
      <c r="AA11" s="851"/>
      <c r="AB11" s="851"/>
      <c r="AC11" s="851"/>
      <c r="AD11" s="851"/>
      <c r="AE11" s="851"/>
      <c r="AF11" s="851"/>
      <c r="AG11" s="851"/>
      <c r="AH11" s="852"/>
      <c r="AI11" s="852"/>
      <c r="AJ11" s="852"/>
      <c r="AK11" s="852"/>
      <c r="AL11" s="852"/>
      <c r="AM11" s="852"/>
      <c r="AN11" s="852"/>
      <c r="AO11" s="852"/>
      <c r="AP11" s="852"/>
      <c r="AQ11" s="852"/>
      <c r="AR11" s="852"/>
      <c r="AS11" s="852"/>
      <c r="AT11" s="852"/>
      <c r="AU11" s="852"/>
      <c r="AV11" s="852"/>
      <c r="AW11" s="852"/>
      <c r="AX11" s="849"/>
      <c r="AY11" s="847"/>
      <c r="AZ11" s="847"/>
      <c r="BA11" s="847"/>
      <c r="BB11" s="847"/>
      <c r="BC11" s="853"/>
      <c r="BD11" s="854"/>
      <c r="BE11" s="854"/>
      <c r="BF11" s="854"/>
      <c r="BG11" s="1511" t="s">
        <v>77</v>
      </c>
      <c r="BH11" s="1494"/>
      <c r="BI11" s="1494"/>
      <c r="BJ11" s="1494"/>
      <c r="BK11" s="1494"/>
      <c r="BL11" s="1494"/>
      <c r="BM11" s="1494"/>
      <c r="BN11" s="1494"/>
      <c r="BO11" s="1494"/>
      <c r="BP11" s="1494"/>
      <c r="BQ11" s="1494"/>
      <c r="BR11" s="854"/>
      <c r="BS11" s="854"/>
      <c r="BT11" s="854"/>
      <c r="BU11" s="854"/>
      <c r="BV11" s="854"/>
      <c r="BW11" s="854"/>
      <c r="BX11" s="854"/>
      <c r="BY11" s="854"/>
      <c r="BZ11" s="854"/>
      <c r="CA11" s="854"/>
      <c r="CB11" s="854"/>
      <c r="CC11" s="854"/>
      <c r="CD11" s="854"/>
      <c r="CE11" s="854"/>
      <c r="CF11" s="854"/>
      <c r="CG11" s="854" t="s">
        <v>45</v>
      </c>
    </row>
    <row r="12" spans="1:85" ht="13.5" customHeight="1">
      <c r="A12" s="847"/>
      <c r="B12" s="1467" t="s">
        <v>78</v>
      </c>
      <c r="C12" s="1468"/>
      <c r="D12" s="1519"/>
      <c r="E12" s="1524" t="s">
        <v>79</v>
      </c>
      <c r="F12" s="1465"/>
      <c r="G12" s="1465"/>
      <c r="H12" s="1465"/>
      <c r="I12" s="1465"/>
      <c r="J12" s="1465"/>
      <c r="K12" s="1465"/>
      <c r="L12" s="1466"/>
      <c r="M12" s="863"/>
      <c r="N12" s="849"/>
      <c r="O12" s="850"/>
      <c r="P12" s="850"/>
      <c r="Q12" s="850"/>
      <c r="R12" s="850"/>
      <c r="S12" s="850"/>
      <c r="T12" s="851"/>
      <c r="U12" s="851"/>
      <c r="V12" s="851"/>
      <c r="W12" s="851"/>
      <c r="X12" s="851"/>
      <c r="Y12" s="851"/>
      <c r="Z12" s="851"/>
      <c r="AA12" s="851"/>
      <c r="AB12" s="851"/>
      <c r="AC12" s="851"/>
      <c r="AD12" s="851"/>
      <c r="AE12" s="851"/>
      <c r="AF12" s="851"/>
      <c r="AG12" s="851"/>
      <c r="AH12" s="852"/>
      <c r="AI12" s="852"/>
      <c r="AJ12" s="852"/>
      <c r="AK12" s="852"/>
      <c r="AL12" s="852"/>
      <c r="AM12" s="852"/>
      <c r="AN12" s="852"/>
      <c r="AO12" s="852"/>
      <c r="AP12" s="852"/>
      <c r="AQ12" s="852"/>
      <c r="AR12" s="852"/>
      <c r="AS12" s="852"/>
      <c r="AT12" s="852"/>
      <c r="AU12" s="852"/>
      <c r="AV12" s="852"/>
      <c r="AW12" s="852"/>
      <c r="AX12" s="849"/>
      <c r="AY12" s="847"/>
      <c r="AZ12" s="847"/>
      <c r="BA12" s="847"/>
      <c r="BB12" s="847"/>
      <c r="BC12" s="853"/>
      <c r="BD12" s="854"/>
      <c r="BE12" s="854"/>
      <c r="BF12" s="854"/>
      <c r="BG12" s="1493" t="s">
        <v>80</v>
      </c>
      <c r="BH12" s="1494"/>
      <c r="BI12" s="1494"/>
      <c r="BJ12" s="1512" t="s">
        <v>81</v>
      </c>
      <c r="BK12" s="1494"/>
      <c r="BL12" s="1494"/>
      <c r="BM12" s="1494"/>
      <c r="BN12" s="1494"/>
      <c r="BO12" s="1494"/>
      <c r="BP12" s="1494"/>
      <c r="BQ12" s="1494"/>
      <c r="BR12" s="854"/>
      <c r="BS12" s="854"/>
      <c r="BT12" s="854"/>
      <c r="BU12" s="854"/>
      <c r="BV12" s="854"/>
      <c r="BW12" s="854"/>
      <c r="BX12" s="854"/>
      <c r="BY12" s="854"/>
      <c r="BZ12" s="854"/>
      <c r="CA12" s="854"/>
      <c r="CB12" s="854"/>
      <c r="CC12" s="854"/>
      <c r="CD12" s="854"/>
      <c r="CE12" s="854"/>
      <c r="CF12" s="854"/>
      <c r="CG12" s="854" t="s">
        <v>45</v>
      </c>
    </row>
    <row r="13" spans="1:85" ht="12.75" customHeight="1">
      <c r="A13" s="847"/>
      <c r="B13" s="1520" t="str">
        <f>BD13&amp;" "&amp;BE13</f>
        <v>IDR Million</v>
      </c>
      <c r="C13" s="1471"/>
      <c r="D13" s="1521"/>
      <c r="E13" s="1132">
        <v>44561</v>
      </c>
      <c r="F13" s="1133">
        <f>+MONTH(E13)*30</f>
        <v>360</v>
      </c>
      <c r="G13" s="1134">
        <v>44926</v>
      </c>
      <c r="H13" s="1133">
        <f>+MONTH(G13)*30</f>
        <v>360</v>
      </c>
      <c r="I13" s="1134">
        <v>45291</v>
      </c>
      <c r="J13" s="1133">
        <f>+MONTH(I13)*30</f>
        <v>360</v>
      </c>
      <c r="K13" s="1134">
        <v>45473</v>
      </c>
      <c r="L13" s="1135">
        <f>+MONTH(K13)*30</f>
        <v>180</v>
      </c>
      <c r="M13" s="866"/>
      <c r="N13" s="849"/>
      <c r="O13" s="850"/>
      <c r="P13" s="850"/>
      <c r="Q13" s="850"/>
      <c r="R13" s="850"/>
      <c r="S13" s="850"/>
      <c r="T13" s="851"/>
      <c r="U13" s="851"/>
      <c r="V13" s="851"/>
      <c r="W13" s="851"/>
      <c r="X13" s="851"/>
      <c r="Y13" s="851"/>
      <c r="Z13" s="851"/>
      <c r="AA13" s="851"/>
      <c r="AB13" s="851"/>
      <c r="AC13" s="851"/>
      <c r="AD13" s="851"/>
      <c r="AE13" s="851"/>
      <c r="AF13" s="851"/>
      <c r="AG13" s="851"/>
      <c r="AH13" s="852"/>
      <c r="AI13" s="852"/>
      <c r="AJ13" s="852"/>
      <c r="AK13" s="852"/>
      <c r="AL13" s="852"/>
      <c r="AM13" s="852"/>
      <c r="AN13" s="852"/>
      <c r="AO13" s="852"/>
      <c r="AP13" s="852"/>
      <c r="AQ13" s="852"/>
      <c r="AR13" s="852"/>
      <c r="AS13" s="852"/>
      <c r="AT13" s="852"/>
      <c r="AU13" s="852"/>
      <c r="AV13" s="852"/>
      <c r="AW13" s="852"/>
      <c r="AX13" s="849"/>
      <c r="AY13" s="847"/>
      <c r="AZ13" s="847"/>
      <c r="BA13" s="847"/>
      <c r="BB13" s="847"/>
      <c r="BC13" s="853"/>
      <c r="BD13" s="860" t="s">
        <v>82</v>
      </c>
      <c r="BE13" s="860" t="s">
        <v>83</v>
      </c>
      <c r="BF13" s="854"/>
      <c r="BG13" s="1493" t="s">
        <v>84</v>
      </c>
      <c r="BH13" s="1494"/>
      <c r="BI13" s="1494"/>
      <c r="BJ13" s="865" t="e">
        <f>IF(ISNUMBER(VALUE(LEFT(BJ14,1))),DATE(RIGHT(TEXT(BJ14,"a"),4),LEFT(RIGHT(TEXT(BJ14,"a"),7),2),IF(LEN(TEXT(BJ14,"a"))=10,LEFT(TEXT(BJ14,"a"),2),LEFT(TEXT(BJ14,"a"),1))), )</f>
        <v>#VALUE!</v>
      </c>
      <c r="BK13" s="864" t="e">
        <f>+MONTH(BJ13)*30</f>
        <v>#VALUE!</v>
      </c>
      <c r="BL13" s="865" t="e">
        <f>IF(ISNUMBER(VALUE(LEFT(BL14,1))),DATE(RIGHT(TEXT(BL14,"a"),4),LEFT(RIGHT(TEXT(BL14,"a"),7),2),IF(LEN(TEXT(BL14,"a"))=10,LEFT(TEXT(BL14,"a"),2),LEFT(TEXT(BL14,"a"),1))), )</f>
        <v>#VALUE!</v>
      </c>
      <c r="BM13" s="864" t="e">
        <f>+MONTH(BL13)*30</f>
        <v>#VALUE!</v>
      </c>
      <c r="BN13" s="865" t="e">
        <f>IF(ISNUMBER(VALUE(LEFT(BN14,1))),DATE(RIGHT(TEXT(BN14,"a"),4),LEFT(RIGHT(TEXT(BN14,"a"),7),2),IF(LEN(TEXT(BN14,"a"))=10,LEFT(TEXT(BN14,"a"),2),LEFT(TEXT(BN14,"a"),1))), )</f>
        <v>#VALUE!</v>
      </c>
      <c r="BO13" s="864" t="e">
        <f>+MONTH(BN13)*30</f>
        <v>#VALUE!</v>
      </c>
      <c r="BP13" s="865" t="e">
        <f>IF(ISNUMBER(VALUE(LEFT(BP14,1))),DATE(RIGHT(TEXT(BP14,"a"),4),LEFT(RIGHT(TEXT(BP14,"a"),7),2),IF(LEN(TEXT(BP14,"a"))=10,LEFT(TEXT(BP14,"a"),2),LEFT(TEXT(BP14,"a"),1))), )</f>
        <v>#VALUE!</v>
      </c>
      <c r="BQ13" s="864" t="e">
        <f>+MONTH(BP13)*30</f>
        <v>#VALUE!</v>
      </c>
      <c r="BR13" s="854"/>
      <c r="BS13" s="854"/>
      <c r="BT13" s="854"/>
      <c r="BU13" s="854"/>
      <c r="BV13" s="854"/>
      <c r="BW13" s="854"/>
      <c r="BX13" s="854"/>
      <c r="BY13" s="854"/>
      <c r="BZ13" s="854"/>
      <c r="CA13" s="854"/>
      <c r="CB13" s="854"/>
      <c r="CC13" s="854"/>
      <c r="CD13" s="854"/>
      <c r="CE13" s="854"/>
      <c r="CF13" s="854"/>
      <c r="CG13" s="854" t="s">
        <v>45</v>
      </c>
    </row>
    <row r="14" spans="1:85" ht="15" hidden="1" customHeight="1">
      <c r="A14" s="847"/>
      <c r="B14" s="1136"/>
      <c r="C14" s="1137"/>
      <c r="D14" s="1138"/>
      <c r="E14" s="1139">
        <v>42004</v>
      </c>
      <c r="F14" s="1140"/>
      <c r="G14" s="1139">
        <v>42369</v>
      </c>
      <c r="H14" s="1140"/>
      <c r="I14" s="1139">
        <v>42735</v>
      </c>
      <c r="J14" s="1140"/>
      <c r="K14" s="1395">
        <v>45473</v>
      </c>
      <c r="L14" s="1141"/>
      <c r="M14" s="866"/>
      <c r="N14" s="849"/>
      <c r="O14" s="850"/>
      <c r="P14" s="850"/>
      <c r="Q14" s="850"/>
      <c r="R14" s="850"/>
      <c r="S14" s="850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2"/>
      <c r="AI14" s="852"/>
      <c r="AJ14" s="852"/>
      <c r="AK14" s="852"/>
      <c r="AL14" s="852"/>
      <c r="AM14" s="852"/>
      <c r="AN14" s="852"/>
      <c r="AO14" s="852"/>
      <c r="AP14" s="852"/>
      <c r="AQ14" s="852"/>
      <c r="AR14" s="852"/>
      <c r="AS14" s="852"/>
      <c r="AT14" s="852"/>
      <c r="AU14" s="852"/>
      <c r="AV14" s="852"/>
      <c r="AW14" s="852"/>
      <c r="AX14" s="849"/>
      <c r="AY14" s="847"/>
      <c r="AZ14" s="847"/>
      <c r="BA14" s="847"/>
      <c r="BB14" s="847"/>
      <c r="BC14" s="853"/>
      <c r="BD14" s="854"/>
      <c r="BE14" s="854"/>
      <c r="BF14" s="854"/>
      <c r="BG14" s="864"/>
      <c r="BH14" s="864"/>
      <c r="BI14" s="864"/>
      <c r="BJ14" s="859">
        <v>42004</v>
      </c>
      <c r="BK14" s="864"/>
      <c r="BL14" s="859">
        <v>42369</v>
      </c>
      <c r="BM14" s="864"/>
      <c r="BN14" s="859">
        <v>42735</v>
      </c>
      <c r="BO14" s="864"/>
      <c r="BP14" s="859">
        <v>43100</v>
      </c>
      <c r="BQ14" s="864"/>
      <c r="BR14" s="854"/>
      <c r="BS14" s="854"/>
      <c r="BT14" s="854"/>
      <c r="BU14" s="854"/>
      <c r="BV14" s="854"/>
      <c r="BW14" s="854"/>
      <c r="BX14" s="854"/>
      <c r="BY14" s="854"/>
      <c r="BZ14" s="854"/>
      <c r="CA14" s="854"/>
      <c r="CB14" s="854"/>
      <c r="CC14" s="854"/>
      <c r="CD14" s="854"/>
      <c r="CE14" s="854"/>
      <c r="CF14" s="854"/>
      <c r="CG14" s="854" t="s">
        <v>45</v>
      </c>
    </row>
    <row r="15" spans="1:85" ht="15.75" customHeight="1">
      <c r="A15" s="847"/>
      <c r="B15" s="1522"/>
      <c r="C15" s="1474"/>
      <c r="D15" s="1523"/>
      <c r="E15" s="1132" t="s">
        <v>85</v>
      </c>
      <c r="F15" s="1142" t="s">
        <v>86</v>
      </c>
      <c r="G15" s="1132" t="s">
        <v>85</v>
      </c>
      <c r="H15" s="1142" t="s">
        <v>86</v>
      </c>
      <c r="I15" s="1132" t="s">
        <v>85</v>
      </c>
      <c r="J15" s="1142" t="s">
        <v>86</v>
      </c>
      <c r="K15" s="1132" t="s">
        <v>85</v>
      </c>
      <c r="L15" s="1143" t="s">
        <v>86</v>
      </c>
      <c r="M15" s="867"/>
      <c r="N15" s="849"/>
      <c r="O15" s="850"/>
      <c r="P15" s="850"/>
      <c r="Q15" s="850"/>
      <c r="R15" s="850"/>
      <c r="S15" s="850"/>
      <c r="T15" s="851"/>
      <c r="U15" s="851"/>
      <c r="V15" s="851"/>
      <c r="W15" s="851"/>
      <c r="X15" s="851"/>
      <c r="Y15" s="851"/>
      <c r="Z15" s="851"/>
      <c r="AA15" s="851"/>
      <c r="AB15" s="851"/>
      <c r="AC15" s="851"/>
      <c r="AD15" s="851"/>
      <c r="AE15" s="851"/>
      <c r="AF15" s="851"/>
      <c r="AG15" s="851"/>
      <c r="AH15" s="852"/>
      <c r="AI15" s="852"/>
      <c r="AJ15" s="852"/>
      <c r="AK15" s="852"/>
      <c r="AL15" s="852"/>
      <c r="AM15" s="852"/>
      <c r="AN15" s="852"/>
      <c r="AO15" s="852"/>
      <c r="AP15" s="852"/>
      <c r="AQ15" s="852"/>
      <c r="AR15" s="852"/>
      <c r="AS15" s="852"/>
      <c r="AT15" s="852"/>
      <c r="AU15" s="852"/>
      <c r="AV15" s="852"/>
      <c r="AW15" s="852"/>
      <c r="AX15" s="849"/>
      <c r="AY15" s="847"/>
      <c r="AZ15" s="847"/>
      <c r="BA15" s="847"/>
      <c r="BB15" s="847"/>
      <c r="BC15" s="853"/>
      <c r="BD15" s="854"/>
      <c r="BE15" s="854"/>
      <c r="BF15" s="854"/>
      <c r="BG15" s="1493"/>
      <c r="BH15" s="1494"/>
      <c r="BI15" s="1494"/>
      <c r="BJ15" s="864" t="s">
        <v>87</v>
      </c>
      <c r="BK15" s="868" t="s">
        <v>86</v>
      </c>
      <c r="BL15" s="864" t="s">
        <v>87</v>
      </c>
      <c r="BM15" s="868" t="s">
        <v>86</v>
      </c>
      <c r="BN15" s="864" t="s">
        <v>87</v>
      </c>
      <c r="BO15" s="868" t="s">
        <v>86</v>
      </c>
      <c r="BP15" s="864" t="s">
        <v>87</v>
      </c>
      <c r="BQ15" s="868" t="s">
        <v>86</v>
      </c>
      <c r="BR15" s="854"/>
      <c r="BS15" s="854"/>
      <c r="BT15" s="854"/>
      <c r="BU15" s="854"/>
      <c r="BV15" s="854"/>
      <c r="BW15" s="854"/>
      <c r="BX15" s="854"/>
      <c r="BY15" s="854"/>
      <c r="BZ15" s="854"/>
      <c r="CA15" s="854"/>
      <c r="CB15" s="854"/>
      <c r="CC15" s="854"/>
      <c r="CD15" s="854"/>
      <c r="CE15" s="854"/>
      <c r="CF15" s="854"/>
      <c r="CG15" s="854" t="s">
        <v>45</v>
      </c>
    </row>
    <row r="16" spans="1:85" ht="15.75" customHeight="1">
      <c r="A16" s="847"/>
      <c r="B16" s="1144">
        <v>1</v>
      </c>
      <c r="C16" s="1145" t="s">
        <v>88</v>
      </c>
      <c r="D16" s="1146"/>
      <c r="E16" s="1147">
        <v>100</v>
      </c>
      <c r="F16" s="1148">
        <f t="shared" ref="F16:F47" si="2">IF(E$73=0,0,E16/E$73*100)</f>
        <v>8.1168831168831168E-2</v>
      </c>
      <c r="G16" s="1147">
        <v>101</v>
      </c>
      <c r="H16" s="1148">
        <f t="shared" ref="H16:H47" si="3">IF(G$73=0,0,G16/G$73*100)</f>
        <v>8.1904066820743623E-2</v>
      </c>
      <c r="I16" s="1147">
        <v>102</v>
      </c>
      <c r="J16" s="1148">
        <f t="shared" ref="J16:J47" si="4">IF(I$73=0,0,I16/I$73*100)</f>
        <v>8.2637932431337602E-2</v>
      </c>
      <c r="K16" s="1147">
        <v>103</v>
      </c>
      <c r="L16" s="1148">
        <f t="shared" ref="L16:L47" si="5">IF(K$73=0,0,K16/K$73*100)</f>
        <v>8.3370431826459993E-2</v>
      </c>
      <c r="M16" s="869"/>
      <c r="N16" s="849"/>
      <c r="O16" s="850"/>
      <c r="P16" s="850"/>
      <c r="Q16" s="850"/>
      <c r="R16" s="850"/>
      <c r="S16" s="850"/>
      <c r="T16" s="851"/>
      <c r="U16" s="851">
        <v>0</v>
      </c>
      <c r="V16" s="851"/>
      <c r="W16" s="851">
        <v>0</v>
      </c>
      <c r="X16" s="851"/>
      <c r="Y16" s="851">
        <v>0</v>
      </c>
      <c r="Z16" s="851"/>
      <c r="AA16" s="851">
        <v>0</v>
      </c>
      <c r="AB16" s="851"/>
      <c r="AC16" s="851"/>
      <c r="AD16" s="851"/>
      <c r="AE16" s="851"/>
      <c r="AF16" s="851"/>
      <c r="AG16" s="851"/>
      <c r="AH16" s="852"/>
      <c r="AI16" s="852"/>
      <c r="AJ16" s="852"/>
      <c r="AK16" s="852"/>
      <c r="AL16" s="852"/>
      <c r="AM16" s="852"/>
      <c r="AN16" s="852"/>
      <c r="AO16" s="852"/>
      <c r="AP16" s="852"/>
      <c r="AQ16" s="852"/>
      <c r="AR16" s="852"/>
      <c r="AS16" s="852"/>
      <c r="AT16" s="852"/>
      <c r="AU16" s="852"/>
      <c r="AV16" s="852"/>
      <c r="AW16" s="852"/>
      <c r="AX16" s="849"/>
      <c r="AY16" s="847"/>
      <c r="AZ16" s="847"/>
      <c r="BA16" s="847"/>
      <c r="BB16" s="847"/>
      <c r="BC16" s="853"/>
      <c r="BD16" s="854"/>
      <c r="BE16" s="854"/>
      <c r="BF16" s="854"/>
      <c r="BG16" s="870">
        <v>1</v>
      </c>
      <c r="BH16" s="860" t="s">
        <v>89</v>
      </c>
      <c r="BI16" s="854"/>
      <c r="BJ16" s="871">
        <v>1195.4832759999999</v>
      </c>
      <c r="BK16" s="872">
        <f ca="1">IF(BJ$299=0,0,BJ16/BJ$299*100)</f>
        <v>84.091490224278857</v>
      </c>
      <c r="BL16" s="871">
        <v>506.071258</v>
      </c>
      <c r="BM16" s="872">
        <f ca="1">IF(BL$299=0,0,BL16/BL$299*100)</f>
        <v>2.2592023278605775</v>
      </c>
      <c r="BN16" s="871">
        <v>2370.900165</v>
      </c>
      <c r="BO16" s="872">
        <f ca="1">IF(BN$299=0,0,BN16/BN$299*100)</f>
        <v>8.1735056761647744</v>
      </c>
      <c r="BP16" s="871">
        <v>149989.07037199999</v>
      </c>
      <c r="BQ16" s="872">
        <f ca="1">IF(BP$299=0,0,BP16/BP$299*100)</f>
        <v>38.905635665220146</v>
      </c>
      <c r="BR16" s="854"/>
      <c r="BS16" s="854"/>
      <c r="BT16" s="854"/>
      <c r="BU16" s="854"/>
      <c r="BV16" s="854"/>
      <c r="BW16" s="854"/>
      <c r="BX16" s="854"/>
      <c r="BY16" s="854"/>
      <c r="BZ16" s="854"/>
      <c r="CA16" s="854"/>
      <c r="CB16" s="854"/>
      <c r="CC16" s="854"/>
      <c r="CD16" s="854"/>
      <c r="CE16" s="854"/>
      <c r="CF16" s="854"/>
      <c r="CG16" s="854" t="s">
        <v>45</v>
      </c>
    </row>
    <row r="17" spans="1:85" ht="15.75" customHeight="1">
      <c r="A17" s="847"/>
      <c r="B17" s="1149">
        <f>B16+1</f>
        <v>2</v>
      </c>
      <c r="C17" s="1150" t="s">
        <v>90</v>
      </c>
      <c r="D17" s="1151"/>
      <c r="E17" s="1152">
        <v>200</v>
      </c>
      <c r="F17" s="1153">
        <f t="shared" si="2"/>
        <v>0.16233766233766234</v>
      </c>
      <c r="G17" s="1152">
        <v>201</v>
      </c>
      <c r="H17" s="1153">
        <f t="shared" si="3"/>
        <v>0.16299720228682643</v>
      </c>
      <c r="I17" s="1152">
        <v>202</v>
      </c>
      <c r="J17" s="1153">
        <f t="shared" si="4"/>
        <v>0.16365551324637448</v>
      </c>
      <c r="K17" s="1152">
        <v>203</v>
      </c>
      <c r="L17" s="1153">
        <f t="shared" si="5"/>
        <v>0.16431259864826581</v>
      </c>
      <c r="M17" s="869"/>
      <c r="N17" s="849"/>
      <c r="O17" s="850"/>
      <c r="P17" s="850"/>
      <c r="Q17" s="850"/>
      <c r="R17" s="850"/>
      <c r="S17" s="850"/>
      <c r="T17" s="851"/>
      <c r="U17" s="851"/>
      <c r="V17" s="851"/>
      <c r="W17" s="851"/>
      <c r="X17" s="851"/>
      <c r="Y17" s="851"/>
      <c r="Z17" s="851"/>
      <c r="AA17" s="851"/>
      <c r="AB17" s="851"/>
      <c r="AC17" s="851"/>
      <c r="AD17" s="851"/>
      <c r="AE17" s="851"/>
      <c r="AF17" s="851"/>
      <c r="AG17" s="851"/>
      <c r="AH17" s="852"/>
      <c r="AI17" s="852"/>
      <c r="AJ17" s="852"/>
      <c r="AK17" s="852"/>
      <c r="AL17" s="852"/>
      <c r="AM17" s="852"/>
      <c r="AN17" s="852"/>
      <c r="AO17" s="852"/>
      <c r="AP17" s="852"/>
      <c r="AQ17" s="852"/>
      <c r="AR17" s="852"/>
      <c r="AS17" s="852"/>
      <c r="AT17" s="852"/>
      <c r="AU17" s="852"/>
      <c r="AV17" s="852"/>
      <c r="AW17" s="852"/>
      <c r="AX17" s="849"/>
      <c r="AY17" s="847"/>
      <c r="AZ17" s="847"/>
      <c r="BA17" s="847"/>
      <c r="BB17" s="847"/>
      <c r="BC17" s="853"/>
      <c r="BD17" s="854"/>
      <c r="BE17" s="854"/>
      <c r="BF17" s="854"/>
      <c r="BG17" s="870"/>
      <c r="BH17" s="860"/>
      <c r="BI17" s="854"/>
      <c r="BJ17" s="871"/>
      <c r="BK17" s="872"/>
      <c r="BL17" s="871"/>
      <c r="BM17" s="872"/>
      <c r="BN17" s="871"/>
      <c r="BO17" s="872"/>
      <c r="BP17" s="871"/>
      <c r="BQ17" s="872"/>
      <c r="BR17" s="854"/>
      <c r="BS17" s="854"/>
      <c r="BT17" s="854"/>
      <c r="BU17" s="854"/>
      <c r="BV17" s="854"/>
      <c r="BW17" s="854"/>
      <c r="BX17" s="854"/>
      <c r="BY17" s="854"/>
      <c r="BZ17" s="854"/>
      <c r="CA17" s="854"/>
      <c r="CB17" s="854"/>
      <c r="CC17" s="854"/>
      <c r="CD17" s="854"/>
      <c r="CE17" s="854"/>
      <c r="CF17" s="854"/>
      <c r="CG17" s="854"/>
    </row>
    <row r="18" spans="1:85" ht="15.75" customHeight="1">
      <c r="A18" s="847"/>
      <c r="B18" s="1154">
        <f t="shared" ref="B18:B27" si="6">+B17+1</f>
        <v>3</v>
      </c>
      <c r="C18" s="1150" t="s">
        <v>91</v>
      </c>
      <c r="D18" s="1155"/>
      <c r="E18" s="1156">
        <v>300</v>
      </c>
      <c r="F18" s="1153">
        <f t="shared" si="2"/>
        <v>0.2435064935064935</v>
      </c>
      <c r="G18" s="1156">
        <v>301</v>
      </c>
      <c r="H18" s="1153">
        <f t="shared" si="3"/>
        <v>0.2440903377529092</v>
      </c>
      <c r="I18" s="1156">
        <v>302</v>
      </c>
      <c r="J18" s="1153">
        <f t="shared" si="4"/>
        <v>0.24467309406141133</v>
      </c>
      <c r="K18" s="1156">
        <v>303</v>
      </c>
      <c r="L18" s="1153">
        <f t="shared" si="5"/>
        <v>0.24525476547007161</v>
      </c>
      <c r="M18" s="869"/>
      <c r="N18" s="849"/>
      <c r="O18" s="850"/>
      <c r="P18" s="850"/>
      <c r="Q18" s="850"/>
      <c r="R18" s="850"/>
      <c r="S18" s="850"/>
      <c r="T18" s="851"/>
      <c r="U18" s="851"/>
      <c r="V18" s="851"/>
      <c r="W18" s="851"/>
      <c r="X18" s="851"/>
      <c r="Y18" s="851"/>
      <c r="Z18" s="851"/>
      <c r="AA18" s="851"/>
      <c r="AB18" s="851"/>
      <c r="AC18" s="851"/>
      <c r="AD18" s="851"/>
      <c r="AE18" s="851"/>
      <c r="AF18" s="851"/>
      <c r="AG18" s="851"/>
      <c r="AH18" s="852"/>
      <c r="AI18" s="852"/>
      <c r="AJ18" s="852"/>
      <c r="AK18" s="852"/>
      <c r="AL18" s="852"/>
      <c r="AM18" s="852"/>
      <c r="AN18" s="852"/>
      <c r="AO18" s="852"/>
      <c r="AP18" s="852"/>
      <c r="AQ18" s="852"/>
      <c r="AR18" s="852"/>
      <c r="AS18" s="852"/>
      <c r="AT18" s="852"/>
      <c r="AU18" s="852"/>
      <c r="AV18" s="852"/>
      <c r="AW18" s="852"/>
      <c r="AX18" s="849"/>
      <c r="AY18" s="847"/>
      <c r="AZ18" s="847"/>
      <c r="BA18" s="847"/>
      <c r="BB18" s="847"/>
      <c r="BC18" s="853"/>
      <c r="BD18" s="854"/>
      <c r="BE18" s="854"/>
      <c r="BF18" s="854"/>
      <c r="BG18" s="870">
        <v>2</v>
      </c>
      <c r="BH18" s="860" t="s">
        <v>92</v>
      </c>
      <c r="BI18" s="854"/>
      <c r="BJ18" s="871">
        <v>0</v>
      </c>
      <c r="BK18" s="872">
        <f ca="1">IF(BJ$299=0,0,BJ18/BJ$299*100)</f>
        <v>0</v>
      </c>
      <c r="BL18" s="871">
        <v>0</v>
      </c>
      <c r="BM18" s="872">
        <f ca="1">IF(BL$299=0,0,BL18/BL$299*100)</f>
        <v>0</v>
      </c>
      <c r="BN18" s="871">
        <v>0</v>
      </c>
      <c r="BO18" s="872">
        <f ca="1">IF(BN$299=0,0,BN18/BN$299*100)</f>
        <v>0</v>
      </c>
      <c r="BP18" s="871">
        <v>0</v>
      </c>
      <c r="BQ18" s="872">
        <f ca="1">IF(BP$299=0,0,BP18/BP$299*100)</f>
        <v>0</v>
      </c>
      <c r="BR18" s="854"/>
      <c r="BS18" s="854"/>
      <c r="BT18" s="854"/>
      <c r="BU18" s="854"/>
      <c r="BV18" s="854"/>
      <c r="BW18" s="854"/>
      <c r="BX18" s="854"/>
      <c r="BY18" s="854"/>
      <c r="BZ18" s="854"/>
      <c r="CA18" s="854"/>
      <c r="CB18" s="854"/>
      <c r="CC18" s="854"/>
      <c r="CD18" s="854"/>
      <c r="CE18" s="854"/>
      <c r="CF18" s="854"/>
      <c r="CG18" s="854" t="s">
        <v>45</v>
      </c>
    </row>
    <row r="19" spans="1:85" ht="15.75" customHeight="1">
      <c r="A19" s="852"/>
      <c r="B19" s="1154">
        <f t="shared" si="6"/>
        <v>4</v>
      </c>
      <c r="C19" s="1150" t="s">
        <v>93</v>
      </c>
      <c r="D19" s="1155"/>
      <c r="E19" s="1156">
        <v>400</v>
      </c>
      <c r="F19" s="1153">
        <f t="shared" si="2"/>
        <v>0.32467532467532467</v>
      </c>
      <c r="G19" s="1156">
        <v>401</v>
      </c>
      <c r="H19" s="1153">
        <f t="shared" si="3"/>
        <v>0.32518347321899199</v>
      </c>
      <c r="I19" s="1156">
        <v>402</v>
      </c>
      <c r="J19" s="1153">
        <f t="shared" si="4"/>
        <v>0.32569067487644821</v>
      </c>
      <c r="K19" s="1156">
        <v>403</v>
      </c>
      <c r="L19" s="1153">
        <f t="shared" si="5"/>
        <v>0.32619693229187746</v>
      </c>
      <c r="M19" s="869"/>
      <c r="N19" s="849"/>
      <c r="O19" s="850"/>
      <c r="P19" s="850"/>
      <c r="Q19" s="850"/>
      <c r="R19" s="850"/>
      <c r="S19" s="850"/>
      <c r="T19" s="851"/>
      <c r="U19" s="851"/>
      <c r="V19" s="851"/>
      <c r="W19" s="851"/>
      <c r="X19" s="851"/>
      <c r="Y19" s="851"/>
      <c r="Z19" s="851"/>
      <c r="AA19" s="851"/>
      <c r="AB19" s="851"/>
      <c r="AC19" s="851"/>
      <c r="AD19" s="851"/>
      <c r="AE19" s="851"/>
      <c r="AF19" s="851"/>
      <c r="AG19" s="851"/>
      <c r="AH19" s="852"/>
      <c r="AI19" s="852"/>
      <c r="AJ19" s="852"/>
      <c r="AK19" s="852"/>
      <c r="AL19" s="852"/>
      <c r="AM19" s="852"/>
      <c r="AN19" s="852"/>
      <c r="AO19" s="852"/>
      <c r="AP19" s="852"/>
      <c r="AQ19" s="852"/>
      <c r="AR19" s="852"/>
      <c r="AS19" s="852"/>
      <c r="AT19" s="852"/>
      <c r="AU19" s="852"/>
      <c r="AV19" s="852"/>
      <c r="AW19" s="852"/>
      <c r="AX19" s="849"/>
      <c r="AY19" s="847"/>
      <c r="AZ19" s="847"/>
      <c r="BA19" s="847"/>
      <c r="BB19" s="847"/>
      <c r="BC19" s="853"/>
      <c r="BD19" s="854"/>
      <c r="BE19" s="854"/>
      <c r="BF19" s="854"/>
      <c r="BG19" s="854"/>
      <c r="BH19" s="854"/>
      <c r="BI19" s="854"/>
      <c r="BJ19" s="854"/>
      <c r="BK19" s="854"/>
      <c r="BL19" s="854"/>
      <c r="BM19" s="854"/>
      <c r="BN19" s="854"/>
      <c r="BO19" s="854"/>
      <c r="BP19" s="854"/>
      <c r="BQ19" s="854"/>
      <c r="BR19" s="854"/>
      <c r="BS19" s="854"/>
      <c r="BT19" s="854"/>
      <c r="BU19" s="870">
        <v>3</v>
      </c>
      <c r="BV19" s="860" t="s">
        <v>94</v>
      </c>
      <c r="BW19" s="854"/>
      <c r="BX19" s="871">
        <v>0</v>
      </c>
      <c r="BY19" s="872">
        <f ca="1">IF(BJ$299=0,0,BX19/BJ$299*100)</f>
        <v>0</v>
      </c>
      <c r="BZ19" s="871">
        <v>0</v>
      </c>
      <c r="CA19" s="872">
        <f ca="1">IF(BL$299=0,0,BZ19/BL$299*100)</f>
        <v>0</v>
      </c>
      <c r="CB19" s="871">
        <v>0</v>
      </c>
      <c r="CC19" s="872">
        <f ca="1">IF(BN$299=0,0,CB19/BN$299*100)</f>
        <v>0</v>
      </c>
      <c r="CD19" s="871">
        <v>0</v>
      </c>
      <c r="CE19" s="872">
        <f ca="1">IF(BP$299=0,0,CD19/BP$299*100)</f>
        <v>0</v>
      </c>
      <c r="CF19" s="854"/>
      <c r="CG19" s="854" t="s">
        <v>45</v>
      </c>
    </row>
    <row r="20" spans="1:85" ht="15.75" customHeight="1">
      <c r="A20" s="847"/>
      <c r="B20" s="1154">
        <f t="shared" si="6"/>
        <v>5</v>
      </c>
      <c r="C20" s="1150" t="s">
        <v>95</v>
      </c>
      <c r="D20" s="1155"/>
      <c r="E20" s="1156">
        <v>500</v>
      </c>
      <c r="F20" s="1153">
        <f t="shared" si="2"/>
        <v>0.40584415584415579</v>
      </c>
      <c r="G20" s="1156">
        <v>501</v>
      </c>
      <c r="H20" s="1153">
        <f t="shared" si="3"/>
        <v>0.40627660868507476</v>
      </c>
      <c r="I20" s="1156">
        <v>502</v>
      </c>
      <c r="J20" s="1153">
        <f t="shared" si="4"/>
        <v>0.40670825569148505</v>
      </c>
      <c r="K20" s="1156">
        <v>503</v>
      </c>
      <c r="L20" s="1153">
        <f t="shared" si="5"/>
        <v>0.40713909911368323</v>
      </c>
      <c r="M20" s="869"/>
      <c r="N20" s="849"/>
      <c r="O20" s="850"/>
      <c r="P20" s="850"/>
      <c r="Q20" s="850"/>
      <c r="R20" s="850"/>
      <c r="S20" s="850"/>
      <c r="T20" s="851"/>
      <c r="U20" s="851"/>
      <c r="V20" s="851"/>
      <c r="W20" s="851"/>
      <c r="X20" s="851"/>
      <c r="Y20" s="851"/>
      <c r="Z20" s="851"/>
      <c r="AA20" s="851"/>
      <c r="AB20" s="851"/>
      <c r="AC20" s="851"/>
      <c r="AD20" s="851"/>
      <c r="AE20" s="851"/>
      <c r="AF20" s="851"/>
      <c r="AG20" s="851"/>
      <c r="AH20" s="852"/>
      <c r="AI20" s="852"/>
      <c r="AJ20" s="852"/>
      <c r="AK20" s="852"/>
      <c r="AL20" s="852"/>
      <c r="AM20" s="852"/>
      <c r="AN20" s="852"/>
      <c r="AO20" s="852"/>
      <c r="AP20" s="852"/>
      <c r="AQ20" s="852"/>
      <c r="AR20" s="852"/>
      <c r="AS20" s="852"/>
      <c r="AT20" s="852"/>
      <c r="AU20" s="852"/>
      <c r="AV20" s="852"/>
      <c r="AW20" s="852"/>
      <c r="AX20" s="849"/>
      <c r="AY20" s="847"/>
      <c r="AZ20" s="847"/>
      <c r="BA20" s="847"/>
      <c r="BB20" s="847"/>
      <c r="BC20" s="853"/>
      <c r="BD20" s="854"/>
      <c r="BE20" s="854"/>
      <c r="BF20" s="854"/>
      <c r="BG20" s="870">
        <v>4</v>
      </c>
      <c r="BH20" s="860" t="s">
        <v>45</v>
      </c>
      <c r="BI20" s="854"/>
      <c r="BJ20" s="871">
        <v>0</v>
      </c>
      <c r="BK20" s="872">
        <f t="shared" ref="BK20:BK27" ca="1" si="7">IF(BJ$299=0,0,BJ20/BJ$299*100)</f>
        <v>0</v>
      </c>
      <c r="BL20" s="871">
        <v>0</v>
      </c>
      <c r="BM20" s="872">
        <f t="shared" ref="BM20:BM27" ca="1" si="8">IF(BL$299=0,0,BL20/BL$299*100)</f>
        <v>0</v>
      </c>
      <c r="BN20" s="871">
        <v>0</v>
      </c>
      <c r="BO20" s="872">
        <f t="shared" ref="BO20:BO27" ca="1" si="9">IF(BN$299=0,0,BN20/BN$299*100)</f>
        <v>0</v>
      </c>
      <c r="BP20" s="871">
        <v>0</v>
      </c>
      <c r="BQ20" s="872">
        <f t="shared" ref="BQ20:BQ27" ca="1" si="10">IF(BP$299=0,0,BP20/BP$299*100)</f>
        <v>0</v>
      </c>
      <c r="BR20" s="854"/>
      <c r="BS20" s="854"/>
      <c r="BT20" s="854"/>
      <c r="BU20" s="854"/>
      <c r="BV20" s="854"/>
      <c r="BW20" s="854"/>
      <c r="BX20" s="854"/>
      <c r="BY20" s="854"/>
      <c r="BZ20" s="854"/>
      <c r="CA20" s="854"/>
      <c r="CB20" s="854"/>
      <c r="CC20" s="854"/>
      <c r="CD20" s="854"/>
      <c r="CE20" s="854"/>
      <c r="CF20" s="854"/>
      <c r="CG20" s="854" t="s">
        <v>45</v>
      </c>
    </row>
    <row r="21" spans="1:85" ht="15.75" customHeight="1">
      <c r="A21" s="847"/>
      <c r="B21" s="1154">
        <f t="shared" si="6"/>
        <v>6</v>
      </c>
      <c r="C21" s="1150" t="s">
        <v>96</v>
      </c>
      <c r="D21" s="1155"/>
      <c r="E21" s="1156">
        <v>600</v>
      </c>
      <c r="F21" s="1153">
        <f t="shared" si="2"/>
        <v>0.48701298701298701</v>
      </c>
      <c r="G21" s="1156">
        <v>601</v>
      </c>
      <c r="H21" s="1153">
        <f t="shared" si="3"/>
        <v>0.48736974415115764</v>
      </c>
      <c r="I21" s="1156">
        <v>602</v>
      </c>
      <c r="J21" s="1153">
        <f t="shared" si="4"/>
        <v>0.4877258365065219</v>
      </c>
      <c r="K21" s="1156">
        <v>603</v>
      </c>
      <c r="L21" s="1153">
        <f t="shared" si="5"/>
        <v>0.48808126593548912</v>
      </c>
      <c r="M21" s="869"/>
      <c r="N21" s="849"/>
      <c r="O21" s="850"/>
      <c r="P21" s="850"/>
      <c r="Q21" s="850"/>
      <c r="R21" s="850"/>
      <c r="S21" s="850"/>
      <c r="T21" s="851"/>
      <c r="U21" s="851"/>
      <c r="V21" s="851"/>
      <c r="W21" s="851"/>
      <c r="X21" s="851"/>
      <c r="Y21" s="851"/>
      <c r="Z21" s="851"/>
      <c r="AA21" s="851"/>
      <c r="AB21" s="851"/>
      <c r="AC21" s="851"/>
      <c r="AD21" s="851"/>
      <c r="AE21" s="851"/>
      <c r="AF21" s="851"/>
      <c r="AG21" s="851"/>
      <c r="AH21" s="852"/>
      <c r="AI21" s="852"/>
      <c r="AJ21" s="852"/>
      <c r="AK21" s="852"/>
      <c r="AL21" s="852"/>
      <c r="AM21" s="852"/>
      <c r="AN21" s="852"/>
      <c r="AO21" s="852"/>
      <c r="AP21" s="852"/>
      <c r="AQ21" s="852"/>
      <c r="AR21" s="852"/>
      <c r="AS21" s="852"/>
      <c r="AT21" s="852"/>
      <c r="AU21" s="852"/>
      <c r="AV21" s="852"/>
      <c r="AW21" s="852"/>
      <c r="AX21" s="849"/>
      <c r="AY21" s="847"/>
      <c r="AZ21" s="847"/>
      <c r="BA21" s="847"/>
      <c r="BB21" s="847"/>
      <c r="BC21" s="853"/>
      <c r="BD21" s="854"/>
      <c r="BE21" s="854"/>
      <c r="BF21" s="854"/>
      <c r="BG21" s="870">
        <v>5</v>
      </c>
      <c r="BH21" s="860" t="s">
        <v>45</v>
      </c>
      <c r="BI21" s="854"/>
      <c r="BJ21" s="871">
        <v>0</v>
      </c>
      <c r="BK21" s="872">
        <f t="shared" ca="1" si="7"/>
        <v>0</v>
      </c>
      <c r="BL21" s="871">
        <v>0</v>
      </c>
      <c r="BM21" s="872">
        <f t="shared" ca="1" si="8"/>
        <v>0</v>
      </c>
      <c r="BN21" s="871">
        <v>0</v>
      </c>
      <c r="BO21" s="872">
        <f t="shared" ca="1" si="9"/>
        <v>0</v>
      </c>
      <c r="BP21" s="871">
        <v>0</v>
      </c>
      <c r="BQ21" s="872">
        <f t="shared" ca="1" si="10"/>
        <v>0</v>
      </c>
      <c r="BR21" s="854"/>
      <c r="BS21" s="854"/>
      <c r="BT21" s="854"/>
      <c r="BU21" s="854"/>
      <c r="BV21" s="854"/>
      <c r="BW21" s="854"/>
      <c r="BX21" s="854"/>
      <c r="BY21" s="854"/>
      <c r="BZ21" s="854"/>
      <c r="CA21" s="854"/>
      <c r="CB21" s="854"/>
      <c r="CC21" s="854"/>
      <c r="CD21" s="854"/>
      <c r="CE21" s="854"/>
      <c r="CF21" s="854"/>
      <c r="CG21" s="854" t="s">
        <v>45</v>
      </c>
    </row>
    <row r="22" spans="1:85" ht="15.75" customHeight="1">
      <c r="A22" s="847"/>
      <c r="B22" s="1154">
        <f t="shared" si="6"/>
        <v>7</v>
      </c>
      <c r="C22" s="1150" t="s">
        <v>97</v>
      </c>
      <c r="D22" s="1155"/>
      <c r="E22" s="1156">
        <v>700</v>
      </c>
      <c r="F22" s="1153">
        <f t="shared" si="2"/>
        <v>0.56818181818181823</v>
      </c>
      <c r="G22" s="1156">
        <v>701</v>
      </c>
      <c r="H22" s="1153">
        <f t="shared" si="3"/>
        <v>0.5684628796172404</v>
      </c>
      <c r="I22" s="1156">
        <v>702</v>
      </c>
      <c r="J22" s="1153">
        <f t="shared" si="4"/>
        <v>0.56874341732155875</v>
      </c>
      <c r="K22" s="1156">
        <v>703</v>
      </c>
      <c r="L22" s="1153">
        <f t="shared" si="5"/>
        <v>0.56902343275729494</v>
      </c>
      <c r="M22" s="869"/>
      <c r="N22" s="849"/>
      <c r="O22" s="850"/>
      <c r="P22" s="850"/>
      <c r="Q22" s="850"/>
      <c r="R22" s="850"/>
      <c r="S22" s="850"/>
      <c r="T22" s="851"/>
      <c r="U22" s="851"/>
      <c r="V22" s="851"/>
      <c r="W22" s="851"/>
      <c r="X22" s="851"/>
      <c r="Y22" s="851"/>
      <c r="Z22" s="851"/>
      <c r="AA22" s="851"/>
      <c r="AB22" s="851"/>
      <c r="AC22" s="851"/>
      <c r="AD22" s="851"/>
      <c r="AE22" s="851"/>
      <c r="AF22" s="851"/>
      <c r="AG22" s="851"/>
      <c r="AH22" s="852"/>
      <c r="AI22" s="852"/>
      <c r="AJ22" s="852"/>
      <c r="AK22" s="852"/>
      <c r="AL22" s="852"/>
      <c r="AM22" s="852"/>
      <c r="AN22" s="852"/>
      <c r="AO22" s="852"/>
      <c r="AP22" s="852"/>
      <c r="AQ22" s="852"/>
      <c r="AR22" s="852"/>
      <c r="AS22" s="852"/>
      <c r="AT22" s="852"/>
      <c r="AU22" s="852"/>
      <c r="AV22" s="852"/>
      <c r="AW22" s="852"/>
      <c r="AX22" s="849"/>
      <c r="AY22" s="847"/>
      <c r="AZ22" s="847"/>
      <c r="BA22" s="847"/>
      <c r="BB22" s="847"/>
      <c r="BC22" s="853"/>
      <c r="BD22" s="854"/>
      <c r="BE22" s="854"/>
      <c r="BF22" s="854"/>
      <c r="BG22" s="870">
        <v>6</v>
      </c>
      <c r="BH22" s="860" t="s">
        <v>45</v>
      </c>
      <c r="BI22" s="854"/>
      <c r="BJ22" s="871">
        <v>0</v>
      </c>
      <c r="BK22" s="872">
        <f t="shared" ca="1" si="7"/>
        <v>0</v>
      </c>
      <c r="BL22" s="871">
        <v>0</v>
      </c>
      <c r="BM22" s="872">
        <f t="shared" ca="1" si="8"/>
        <v>0</v>
      </c>
      <c r="BN22" s="871">
        <v>0</v>
      </c>
      <c r="BO22" s="872">
        <f t="shared" ca="1" si="9"/>
        <v>0</v>
      </c>
      <c r="BP22" s="871">
        <v>0</v>
      </c>
      <c r="BQ22" s="872">
        <f t="shared" ca="1" si="10"/>
        <v>0</v>
      </c>
      <c r="BR22" s="854"/>
      <c r="BS22" s="854"/>
      <c r="BT22" s="854"/>
      <c r="BU22" s="854"/>
      <c r="BV22" s="854"/>
      <c r="BW22" s="854"/>
      <c r="BX22" s="854"/>
      <c r="BY22" s="854"/>
      <c r="BZ22" s="854"/>
      <c r="CA22" s="854"/>
      <c r="CB22" s="854"/>
      <c r="CC22" s="854"/>
      <c r="CD22" s="854"/>
      <c r="CE22" s="854"/>
      <c r="CF22" s="854"/>
      <c r="CG22" s="854" t="s">
        <v>45</v>
      </c>
    </row>
    <row r="23" spans="1:85" ht="15.75" customHeight="1">
      <c r="A23" s="847"/>
      <c r="B23" s="1154">
        <f t="shared" si="6"/>
        <v>8</v>
      </c>
      <c r="C23" s="1150" t="s">
        <v>98</v>
      </c>
      <c r="D23" s="1155"/>
      <c r="E23" s="1156">
        <v>800</v>
      </c>
      <c r="F23" s="1153">
        <f t="shared" si="2"/>
        <v>0.64935064935064934</v>
      </c>
      <c r="G23" s="1156">
        <v>801</v>
      </c>
      <c r="H23" s="1153">
        <f t="shared" si="3"/>
        <v>0.64955601508332328</v>
      </c>
      <c r="I23" s="1156">
        <v>802</v>
      </c>
      <c r="J23" s="1153">
        <f t="shared" si="4"/>
        <v>0.6497609981365956</v>
      </c>
      <c r="K23" s="1156">
        <v>803</v>
      </c>
      <c r="L23" s="1153">
        <f t="shared" si="5"/>
        <v>0.64996559957910072</v>
      </c>
      <c r="M23" s="869"/>
      <c r="N23" s="849"/>
      <c r="O23" s="850"/>
      <c r="P23" s="850"/>
      <c r="Q23" s="850"/>
      <c r="R23" s="850"/>
      <c r="S23" s="850"/>
      <c r="T23" s="851"/>
      <c r="U23" s="851"/>
      <c r="V23" s="851"/>
      <c r="W23" s="851"/>
      <c r="X23" s="851"/>
      <c r="Y23" s="851"/>
      <c r="Z23" s="851"/>
      <c r="AA23" s="851"/>
      <c r="AB23" s="851"/>
      <c r="AC23" s="851"/>
      <c r="AD23" s="851"/>
      <c r="AE23" s="851"/>
      <c r="AF23" s="851"/>
      <c r="AG23" s="851"/>
      <c r="AH23" s="852"/>
      <c r="AI23" s="852"/>
      <c r="AJ23" s="852"/>
      <c r="AK23" s="852"/>
      <c r="AL23" s="852"/>
      <c r="AM23" s="852"/>
      <c r="AN23" s="852"/>
      <c r="AO23" s="852"/>
      <c r="AP23" s="852"/>
      <c r="AQ23" s="852"/>
      <c r="AR23" s="852"/>
      <c r="AS23" s="852"/>
      <c r="AT23" s="852"/>
      <c r="AU23" s="852"/>
      <c r="AV23" s="852"/>
      <c r="AW23" s="852"/>
      <c r="AX23" s="849"/>
      <c r="AY23" s="847"/>
      <c r="AZ23" s="847"/>
      <c r="BA23" s="847"/>
      <c r="BB23" s="847"/>
      <c r="BC23" s="853"/>
      <c r="BD23" s="854"/>
      <c r="BE23" s="854"/>
      <c r="BF23" s="854"/>
      <c r="BG23" s="870">
        <v>7</v>
      </c>
      <c r="BH23" s="860" t="s">
        <v>45</v>
      </c>
      <c r="BI23" s="854"/>
      <c r="BJ23" s="871">
        <v>0</v>
      </c>
      <c r="BK23" s="872">
        <f t="shared" ca="1" si="7"/>
        <v>0</v>
      </c>
      <c r="BL23" s="871">
        <v>0</v>
      </c>
      <c r="BM23" s="872">
        <f t="shared" ca="1" si="8"/>
        <v>0</v>
      </c>
      <c r="BN23" s="871">
        <v>0</v>
      </c>
      <c r="BO23" s="872">
        <f t="shared" ca="1" si="9"/>
        <v>0</v>
      </c>
      <c r="BP23" s="871">
        <v>0</v>
      </c>
      <c r="BQ23" s="872">
        <f t="shared" ca="1" si="10"/>
        <v>0</v>
      </c>
      <c r="BR23" s="854"/>
      <c r="BS23" s="854"/>
      <c r="BT23" s="854"/>
      <c r="BU23" s="854"/>
      <c r="BV23" s="854"/>
      <c r="BW23" s="854"/>
      <c r="BX23" s="854"/>
      <c r="BY23" s="854"/>
      <c r="BZ23" s="854"/>
      <c r="CA23" s="854"/>
      <c r="CB23" s="854"/>
      <c r="CC23" s="854"/>
      <c r="CD23" s="854"/>
      <c r="CE23" s="854"/>
      <c r="CF23" s="854"/>
      <c r="CG23" s="854" t="s">
        <v>45</v>
      </c>
    </row>
    <row r="24" spans="1:85" ht="16.5" customHeight="1">
      <c r="A24" s="847"/>
      <c r="B24" s="1157">
        <f t="shared" si="6"/>
        <v>9</v>
      </c>
      <c r="C24" s="1158" t="s">
        <v>99</v>
      </c>
      <c r="D24" s="1159"/>
      <c r="E24" s="1156">
        <v>900</v>
      </c>
      <c r="F24" s="1153">
        <f t="shared" si="2"/>
        <v>0.73051948051948046</v>
      </c>
      <c r="G24" s="1156">
        <v>901</v>
      </c>
      <c r="H24" s="1153">
        <f t="shared" si="3"/>
        <v>0.73064915054940593</v>
      </c>
      <c r="I24" s="1156">
        <v>902</v>
      </c>
      <c r="J24" s="1153">
        <f t="shared" si="4"/>
        <v>0.73077857895163256</v>
      </c>
      <c r="K24" s="1156">
        <v>903</v>
      </c>
      <c r="L24" s="1153">
        <f t="shared" si="5"/>
        <v>0.73090776640090649</v>
      </c>
      <c r="M24" s="869"/>
      <c r="N24" s="849"/>
      <c r="O24" s="850"/>
      <c r="P24" s="850"/>
      <c r="Q24" s="850"/>
      <c r="R24" s="850"/>
      <c r="S24" s="850"/>
      <c r="T24" s="851"/>
      <c r="U24" s="851"/>
      <c r="V24" s="851"/>
      <c r="W24" s="851"/>
      <c r="X24" s="851"/>
      <c r="Y24" s="851"/>
      <c r="Z24" s="851"/>
      <c r="AA24" s="851"/>
      <c r="AB24" s="851"/>
      <c r="AC24" s="851"/>
      <c r="AD24" s="851"/>
      <c r="AE24" s="851"/>
      <c r="AF24" s="851"/>
      <c r="AG24" s="851"/>
      <c r="AH24" s="852"/>
      <c r="AI24" s="852"/>
      <c r="AJ24" s="852"/>
      <c r="AK24" s="852"/>
      <c r="AL24" s="852"/>
      <c r="AM24" s="852"/>
      <c r="AN24" s="852"/>
      <c r="AO24" s="852"/>
      <c r="AP24" s="852"/>
      <c r="AQ24" s="852"/>
      <c r="AR24" s="852"/>
      <c r="AS24" s="852"/>
      <c r="AT24" s="852"/>
      <c r="AU24" s="852"/>
      <c r="AV24" s="852"/>
      <c r="AW24" s="852"/>
      <c r="AX24" s="849"/>
      <c r="AY24" s="847"/>
      <c r="AZ24" s="847"/>
      <c r="BA24" s="847"/>
      <c r="BB24" s="847"/>
      <c r="BC24" s="853"/>
      <c r="BD24" s="854"/>
      <c r="BE24" s="854"/>
      <c r="BF24" s="854"/>
      <c r="BG24" s="870">
        <v>8</v>
      </c>
      <c r="BH24" s="860" t="s">
        <v>45</v>
      </c>
      <c r="BI24" s="854"/>
      <c r="BJ24" s="871">
        <v>0</v>
      </c>
      <c r="BK24" s="872">
        <f t="shared" ca="1" si="7"/>
        <v>0</v>
      </c>
      <c r="BL24" s="871">
        <v>0</v>
      </c>
      <c r="BM24" s="872">
        <f t="shared" ca="1" si="8"/>
        <v>0</v>
      </c>
      <c r="BN24" s="871">
        <v>0</v>
      </c>
      <c r="BO24" s="872">
        <f t="shared" ca="1" si="9"/>
        <v>0</v>
      </c>
      <c r="BP24" s="871">
        <v>0</v>
      </c>
      <c r="BQ24" s="872">
        <f t="shared" ca="1" si="10"/>
        <v>0</v>
      </c>
      <c r="BR24" s="854"/>
      <c r="BS24" s="854"/>
      <c r="BT24" s="854"/>
      <c r="BU24" s="854"/>
      <c r="BV24" s="854"/>
      <c r="BW24" s="854"/>
      <c r="BX24" s="854"/>
      <c r="BY24" s="854"/>
      <c r="BZ24" s="854"/>
      <c r="CA24" s="854"/>
      <c r="CB24" s="854"/>
      <c r="CC24" s="854"/>
      <c r="CD24" s="854"/>
      <c r="CE24" s="854"/>
      <c r="CF24" s="854"/>
      <c r="CG24" s="854" t="s">
        <v>45</v>
      </c>
    </row>
    <row r="25" spans="1:85" ht="16.5" customHeight="1">
      <c r="A25" s="847"/>
      <c r="B25" s="1160">
        <f t="shared" si="6"/>
        <v>10</v>
      </c>
      <c r="C25" s="1161" t="s">
        <v>100</v>
      </c>
      <c r="D25" s="1162"/>
      <c r="E25" s="1163">
        <f>SUM(E16:E24)</f>
        <v>4500</v>
      </c>
      <c r="F25" s="1164">
        <f t="shared" si="2"/>
        <v>3.6525974025974026</v>
      </c>
      <c r="G25" s="1163">
        <f>SUM(G16:G24)</f>
        <v>4509</v>
      </c>
      <c r="H25" s="1164">
        <f t="shared" si="3"/>
        <v>3.6564894781656734</v>
      </c>
      <c r="I25" s="1163">
        <f>SUM(I16:I24)</f>
        <v>4518</v>
      </c>
      <c r="J25" s="1164">
        <f t="shared" si="4"/>
        <v>3.6603743012233654</v>
      </c>
      <c r="K25" s="1163">
        <f>SUM(K16:K24)</f>
        <v>4527</v>
      </c>
      <c r="L25" s="1164">
        <f t="shared" si="5"/>
        <v>3.6642518920231493</v>
      </c>
      <c r="M25" s="869"/>
      <c r="N25" s="849"/>
      <c r="O25" s="850"/>
      <c r="P25" s="850"/>
      <c r="Q25" s="850"/>
      <c r="R25" s="850"/>
      <c r="S25" s="850"/>
      <c r="T25" s="851"/>
      <c r="U25" s="851"/>
      <c r="V25" s="851"/>
      <c r="W25" s="851"/>
      <c r="X25" s="851"/>
      <c r="Y25" s="851"/>
      <c r="Z25" s="851"/>
      <c r="AA25" s="851"/>
      <c r="AB25" s="851"/>
      <c r="AC25" s="851"/>
      <c r="AD25" s="851"/>
      <c r="AE25" s="851"/>
      <c r="AF25" s="851"/>
      <c r="AG25" s="851"/>
      <c r="AH25" s="852"/>
      <c r="AI25" s="852"/>
      <c r="AJ25" s="852"/>
      <c r="AK25" s="852"/>
      <c r="AL25" s="852"/>
      <c r="AM25" s="852"/>
      <c r="AN25" s="852"/>
      <c r="AO25" s="852"/>
      <c r="AP25" s="852"/>
      <c r="AQ25" s="852"/>
      <c r="AR25" s="852"/>
      <c r="AS25" s="852"/>
      <c r="AT25" s="852"/>
      <c r="AU25" s="852"/>
      <c r="AV25" s="852"/>
      <c r="AW25" s="852"/>
      <c r="AX25" s="849"/>
      <c r="AY25" s="847"/>
      <c r="AZ25" s="847"/>
      <c r="BA25" s="847"/>
      <c r="BB25" s="847"/>
      <c r="BC25" s="853"/>
      <c r="BD25" s="854"/>
      <c r="BE25" s="854"/>
      <c r="BF25" s="854"/>
      <c r="BG25" s="870">
        <v>9</v>
      </c>
      <c r="BH25" s="860" t="s">
        <v>45</v>
      </c>
      <c r="BI25" s="854"/>
      <c r="BJ25" s="871">
        <v>0</v>
      </c>
      <c r="BK25" s="872">
        <f t="shared" ca="1" si="7"/>
        <v>0</v>
      </c>
      <c r="BL25" s="871">
        <v>0</v>
      </c>
      <c r="BM25" s="872">
        <f t="shared" ca="1" si="8"/>
        <v>0</v>
      </c>
      <c r="BN25" s="871">
        <v>0</v>
      </c>
      <c r="BO25" s="872">
        <f t="shared" ca="1" si="9"/>
        <v>0</v>
      </c>
      <c r="BP25" s="871">
        <v>0</v>
      </c>
      <c r="BQ25" s="872">
        <f t="shared" ca="1" si="10"/>
        <v>0</v>
      </c>
      <c r="BR25" s="854"/>
      <c r="BS25" s="854"/>
      <c r="BT25" s="854"/>
      <c r="BU25" s="854"/>
      <c r="BV25" s="854"/>
      <c r="BW25" s="854"/>
      <c r="BX25" s="854"/>
      <c r="BY25" s="854"/>
      <c r="BZ25" s="854"/>
      <c r="CA25" s="854"/>
      <c r="CB25" s="854"/>
      <c r="CC25" s="854"/>
      <c r="CD25" s="854"/>
      <c r="CE25" s="854"/>
      <c r="CF25" s="854"/>
      <c r="CG25" s="854" t="s">
        <v>45</v>
      </c>
    </row>
    <row r="26" spans="1:85" ht="15.75" customHeight="1">
      <c r="A26" s="847"/>
      <c r="B26" s="1144">
        <f t="shared" si="6"/>
        <v>11</v>
      </c>
      <c r="C26" s="1165" t="s">
        <v>101</v>
      </c>
      <c r="D26" s="1146"/>
      <c r="E26" s="1147">
        <v>110000</v>
      </c>
      <c r="F26" s="1148">
        <f t="shared" si="2"/>
        <v>89.285714285714292</v>
      </c>
      <c r="G26" s="1147">
        <v>110100</v>
      </c>
      <c r="H26" s="1148">
        <f t="shared" si="3"/>
        <v>89.283542148157153</v>
      </c>
      <c r="I26" s="1147">
        <v>110200</v>
      </c>
      <c r="J26" s="1148">
        <f t="shared" si="4"/>
        <v>89.281374058170627</v>
      </c>
      <c r="K26" s="1147">
        <v>110300</v>
      </c>
      <c r="L26" s="1148">
        <f t="shared" si="5"/>
        <v>89.279210004451812</v>
      </c>
      <c r="M26" s="869"/>
      <c r="N26" s="849"/>
      <c r="O26" s="850"/>
      <c r="P26" s="850"/>
      <c r="Q26" s="850"/>
      <c r="R26" s="850"/>
      <c r="S26" s="850"/>
      <c r="T26" s="851"/>
      <c r="U26" s="851"/>
      <c r="V26" s="851"/>
      <c r="W26" s="851"/>
      <c r="X26" s="851"/>
      <c r="Y26" s="851"/>
      <c r="Z26" s="851"/>
      <c r="AA26" s="851"/>
      <c r="AB26" s="851"/>
      <c r="AC26" s="851"/>
      <c r="AD26" s="851"/>
      <c r="AE26" s="851"/>
      <c r="AF26" s="851"/>
      <c r="AG26" s="851"/>
      <c r="AH26" s="852"/>
      <c r="AI26" s="852"/>
      <c r="AJ26" s="852"/>
      <c r="AK26" s="852"/>
      <c r="AL26" s="852"/>
      <c r="AM26" s="852"/>
      <c r="AN26" s="852"/>
      <c r="AO26" s="852"/>
      <c r="AP26" s="852"/>
      <c r="AQ26" s="852"/>
      <c r="AR26" s="852"/>
      <c r="AS26" s="852"/>
      <c r="AT26" s="852"/>
      <c r="AU26" s="852"/>
      <c r="AV26" s="852"/>
      <c r="AW26" s="852"/>
      <c r="AX26" s="849"/>
      <c r="AY26" s="847"/>
      <c r="AZ26" s="847"/>
      <c r="BA26" s="847"/>
      <c r="BB26" s="847"/>
      <c r="BC26" s="853"/>
      <c r="BD26" s="854"/>
      <c r="BE26" s="854"/>
      <c r="BF26" s="854"/>
      <c r="BG26" s="870">
        <v>10</v>
      </c>
      <c r="BH26" s="860" t="s">
        <v>45</v>
      </c>
      <c r="BI26" s="854"/>
      <c r="BJ26" s="871">
        <v>0</v>
      </c>
      <c r="BK26" s="872">
        <f t="shared" ca="1" si="7"/>
        <v>0</v>
      </c>
      <c r="BL26" s="871">
        <v>0</v>
      </c>
      <c r="BM26" s="872">
        <f t="shared" ca="1" si="8"/>
        <v>0</v>
      </c>
      <c r="BN26" s="871">
        <v>0</v>
      </c>
      <c r="BO26" s="872">
        <f t="shared" ca="1" si="9"/>
        <v>0</v>
      </c>
      <c r="BP26" s="871">
        <v>0</v>
      </c>
      <c r="BQ26" s="872">
        <f t="shared" ca="1" si="10"/>
        <v>0</v>
      </c>
      <c r="BR26" s="854"/>
      <c r="BS26" s="854"/>
      <c r="BT26" s="854"/>
      <c r="BU26" s="854"/>
      <c r="BV26" s="854"/>
      <c r="BW26" s="854"/>
      <c r="BX26" s="854"/>
      <c r="BY26" s="854"/>
      <c r="BZ26" s="854"/>
      <c r="CA26" s="854"/>
      <c r="CB26" s="854"/>
      <c r="CC26" s="854"/>
      <c r="CD26" s="854"/>
      <c r="CE26" s="854"/>
      <c r="CF26" s="854"/>
      <c r="CG26" s="854" t="s">
        <v>45</v>
      </c>
    </row>
    <row r="27" spans="1:85" ht="15.75" customHeight="1">
      <c r="A27" s="847"/>
      <c r="B27" s="1154">
        <f t="shared" si="6"/>
        <v>12</v>
      </c>
      <c r="C27" s="1166" t="s">
        <v>102</v>
      </c>
      <c r="D27" s="1155"/>
      <c r="E27" s="1156">
        <v>1200</v>
      </c>
      <c r="F27" s="1153">
        <f t="shared" si="2"/>
        <v>0.97402597402597402</v>
      </c>
      <c r="G27" s="1156">
        <v>1201</v>
      </c>
      <c r="H27" s="1153">
        <f t="shared" si="3"/>
        <v>0.97392855694765446</v>
      </c>
      <c r="I27" s="1156">
        <v>1202</v>
      </c>
      <c r="J27" s="1153">
        <f t="shared" si="4"/>
        <v>0.97383132139674311</v>
      </c>
      <c r="K27" s="1156">
        <v>1203</v>
      </c>
      <c r="L27" s="1153">
        <f t="shared" si="5"/>
        <v>0.97373426686632403</v>
      </c>
      <c r="M27" s="869"/>
      <c r="N27" s="849"/>
      <c r="O27" s="850"/>
      <c r="P27" s="850"/>
      <c r="Q27" s="850"/>
      <c r="R27" s="850"/>
      <c r="S27" s="850"/>
      <c r="T27" s="851"/>
      <c r="U27" s="851"/>
      <c r="V27" s="851"/>
      <c r="W27" s="851"/>
      <c r="X27" s="851"/>
      <c r="Y27" s="851"/>
      <c r="Z27" s="851"/>
      <c r="AA27" s="851"/>
      <c r="AB27" s="851"/>
      <c r="AC27" s="851"/>
      <c r="AD27" s="851"/>
      <c r="AE27" s="851"/>
      <c r="AF27" s="851"/>
      <c r="AG27" s="851"/>
      <c r="AH27" s="852"/>
      <c r="AI27" s="852"/>
      <c r="AJ27" s="852"/>
      <c r="AK27" s="852"/>
      <c r="AL27" s="852"/>
      <c r="AM27" s="852"/>
      <c r="AN27" s="852"/>
      <c r="AO27" s="852"/>
      <c r="AP27" s="852"/>
      <c r="AQ27" s="852"/>
      <c r="AR27" s="852"/>
      <c r="AS27" s="852"/>
      <c r="AT27" s="852"/>
      <c r="AU27" s="852"/>
      <c r="AV27" s="852"/>
      <c r="AW27" s="852"/>
      <c r="AX27" s="849"/>
      <c r="AY27" s="847"/>
      <c r="AZ27" s="847"/>
      <c r="BA27" s="847"/>
      <c r="BB27" s="847"/>
      <c r="BC27" s="853"/>
      <c r="BD27" s="854"/>
      <c r="BE27" s="854"/>
      <c r="BF27" s="854"/>
      <c r="BG27" s="870">
        <v>11</v>
      </c>
      <c r="BH27" s="860" t="s">
        <v>45</v>
      </c>
      <c r="BI27" s="854"/>
      <c r="BJ27" s="871">
        <v>0</v>
      </c>
      <c r="BK27" s="872">
        <f t="shared" ca="1" si="7"/>
        <v>0</v>
      </c>
      <c r="BL27" s="871">
        <v>0</v>
      </c>
      <c r="BM27" s="872">
        <f t="shared" ca="1" si="8"/>
        <v>0</v>
      </c>
      <c r="BN27" s="871">
        <v>0</v>
      </c>
      <c r="BO27" s="872">
        <f t="shared" ca="1" si="9"/>
        <v>0</v>
      </c>
      <c r="BP27" s="871">
        <v>0</v>
      </c>
      <c r="BQ27" s="872">
        <f t="shared" ca="1" si="10"/>
        <v>0</v>
      </c>
      <c r="BR27" s="854"/>
      <c r="BS27" s="854"/>
      <c r="BT27" s="854"/>
      <c r="BU27" s="854"/>
      <c r="BV27" s="854"/>
      <c r="BW27" s="854"/>
      <c r="BX27" s="854"/>
      <c r="BY27" s="854"/>
      <c r="BZ27" s="854"/>
      <c r="CA27" s="854"/>
      <c r="CB27" s="854"/>
      <c r="CC27" s="854"/>
      <c r="CD27" s="854"/>
      <c r="CE27" s="854"/>
      <c r="CF27" s="854"/>
      <c r="CG27" s="854" t="s">
        <v>45</v>
      </c>
    </row>
    <row r="28" spans="1:85" ht="15.75" customHeight="1">
      <c r="A28" s="847"/>
      <c r="B28" s="1154">
        <f t="shared" ref="B28:B29" si="11">B27+1</f>
        <v>13</v>
      </c>
      <c r="C28" s="1166" t="s">
        <v>103</v>
      </c>
      <c r="D28" s="1155"/>
      <c r="E28" s="1156">
        <v>1300</v>
      </c>
      <c r="F28" s="1153">
        <f t="shared" si="2"/>
        <v>1.0551948051948052</v>
      </c>
      <c r="G28" s="1156">
        <v>1301</v>
      </c>
      <c r="H28" s="1153">
        <f t="shared" si="3"/>
        <v>1.0550216924137372</v>
      </c>
      <c r="I28" s="1156">
        <v>1302</v>
      </c>
      <c r="J28" s="1153">
        <f t="shared" si="4"/>
        <v>1.05484890221178</v>
      </c>
      <c r="K28" s="1156">
        <v>1303</v>
      </c>
      <c r="L28" s="1153">
        <f t="shared" si="5"/>
        <v>1.0546764336881298</v>
      </c>
      <c r="M28" s="869"/>
      <c r="N28" s="849"/>
      <c r="O28" s="850"/>
      <c r="P28" s="850"/>
      <c r="Q28" s="850"/>
      <c r="R28" s="850"/>
      <c r="S28" s="850"/>
      <c r="T28" s="851"/>
      <c r="U28" s="851"/>
      <c r="V28" s="851"/>
      <c r="W28" s="851"/>
      <c r="X28" s="851"/>
      <c r="Y28" s="851"/>
      <c r="Z28" s="851"/>
      <c r="AA28" s="851"/>
      <c r="AB28" s="851"/>
      <c r="AC28" s="851"/>
      <c r="AD28" s="851"/>
      <c r="AE28" s="851"/>
      <c r="AF28" s="851"/>
      <c r="AG28" s="851"/>
      <c r="AH28" s="852"/>
      <c r="AI28" s="852"/>
      <c r="AJ28" s="852"/>
      <c r="AK28" s="852"/>
      <c r="AL28" s="852"/>
      <c r="AM28" s="852"/>
      <c r="AN28" s="852"/>
      <c r="AO28" s="852"/>
      <c r="AP28" s="852"/>
      <c r="AQ28" s="852"/>
      <c r="AR28" s="852"/>
      <c r="AS28" s="852"/>
      <c r="AT28" s="852"/>
      <c r="AU28" s="852"/>
      <c r="AV28" s="852"/>
      <c r="AW28" s="852"/>
      <c r="AX28" s="849"/>
      <c r="AY28" s="847"/>
      <c r="AZ28" s="847"/>
      <c r="BA28" s="847"/>
      <c r="BB28" s="847"/>
      <c r="BC28" s="853"/>
      <c r="BD28" s="854"/>
      <c r="BE28" s="854"/>
      <c r="BF28" s="854"/>
      <c r="BG28" s="870"/>
      <c r="BH28" s="860"/>
      <c r="BI28" s="854"/>
      <c r="BJ28" s="871"/>
      <c r="BK28" s="872"/>
      <c r="BL28" s="871"/>
      <c r="BM28" s="872"/>
      <c r="BN28" s="871"/>
      <c r="BO28" s="872"/>
      <c r="BP28" s="871"/>
      <c r="BQ28" s="872"/>
      <c r="BR28" s="854"/>
      <c r="BS28" s="854"/>
      <c r="BT28" s="854"/>
      <c r="BU28" s="854"/>
      <c r="BV28" s="854"/>
      <c r="BW28" s="854"/>
      <c r="BX28" s="854"/>
      <c r="BY28" s="854"/>
      <c r="BZ28" s="854"/>
      <c r="CA28" s="854"/>
      <c r="CB28" s="854"/>
      <c r="CC28" s="854"/>
      <c r="CD28" s="854"/>
      <c r="CE28" s="854"/>
      <c r="CF28" s="854"/>
      <c r="CG28" s="854"/>
    </row>
    <row r="29" spans="1:85" ht="15.75" customHeight="1">
      <c r="A29" s="847"/>
      <c r="B29" s="1154">
        <f t="shared" si="11"/>
        <v>14</v>
      </c>
      <c r="C29" s="1166" t="s">
        <v>104</v>
      </c>
      <c r="D29" s="1155"/>
      <c r="E29" s="1156">
        <v>1400</v>
      </c>
      <c r="F29" s="1153">
        <f t="shared" si="2"/>
        <v>1.1363636363636365</v>
      </c>
      <c r="G29" s="1156">
        <v>1401</v>
      </c>
      <c r="H29" s="1153">
        <f t="shared" si="3"/>
        <v>1.1361148278798199</v>
      </c>
      <c r="I29" s="1156">
        <v>1402</v>
      </c>
      <c r="J29" s="1153">
        <f t="shared" si="4"/>
        <v>1.1358664830268168</v>
      </c>
      <c r="K29" s="1156">
        <v>1403</v>
      </c>
      <c r="L29" s="1153">
        <f t="shared" si="5"/>
        <v>1.1356186005099356</v>
      </c>
      <c r="M29" s="869"/>
      <c r="N29" s="849"/>
      <c r="O29" s="850"/>
      <c r="P29" s="850"/>
      <c r="Q29" s="850"/>
      <c r="R29" s="850"/>
      <c r="S29" s="850"/>
      <c r="T29" s="851"/>
      <c r="U29" s="851"/>
      <c r="V29" s="851"/>
      <c r="W29" s="851"/>
      <c r="X29" s="851"/>
      <c r="Y29" s="851"/>
      <c r="Z29" s="851"/>
      <c r="AA29" s="851"/>
      <c r="AB29" s="851"/>
      <c r="AC29" s="851"/>
      <c r="AD29" s="851"/>
      <c r="AE29" s="851"/>
      <c r="AF29" s="851"/>
      <c r="AG29" s="851"/>
      <c r="AH29" s="852"/>
      <c r="AI29" s="852"/>
      <c r="AJ29" s="852"/>
      <c r="AK29" s="852"/>
      <c r="AL29" s="852"/>
      <c r="AM29" s="852"/>
      <c r="AN29" s="852"/>
      <c r="AO29" s="852"/>
      <c r="AP29" s="852"/>
      <c r="AQ29" s="852"/>
      <c r="AR29" s="852"/>
      <c r="AS29" s="852"/>
      <c r="AT29" s="852"/>
      <c r="AU29" s="852"/>
      <c r="AV29" s="852"/>
      <c r="AW29" s="852"/>
      <c r="AX29" s="849"/>
      <c r="AY29" s="847"/>
      <c r="AZ29" s="847"/>
      <c r="BA29" s="847"/>
      <c r="BB29" s="847"/>
      <c r="BC29" s="853"/>
      <c r="BD29" s="854"/>
      <c r="BE29" s="854"/>
      <c r="BF29" s="854"/>
      <c r="BG29" s="870"/>
      <c r="BH29" s="860"/>
      <c r="BI29" s="854"/>
      <c r="BJ29" s="871"/>
      <c r="BK29" s="872"/>
      <c r="BL29" s="871"/>
      <c r="BM29" s="872"/>
      <c r="BN29" s="871"/>
      <c r="BO29" s="872"/>
      <c r="BP29" s="871"/>
      <c r="BQ29" s="872"/>
      <c r="BR29" s="854"/>
      <c r="BS29" s="854"/>
      <c r="BT29" s="854"/>
      <c r="BU29" s="854"/>
      <c r="BV29" s="854"/>
      <c r="BW29" s="854"/>
      <c r="BX29" s="854"/>
      <c r="BY29" s="854"/>
      <c r="BZ29" s="854"/>
      <c r="CA29" s="854"/>
      <c r="CB29" s="854"/>
      <c r="CC29" s="854"/>
      <c r="CD29" s="854"/>
      <c r="CE29" s="854"/>
      <c r="CF29" s="854"/>
      <c r="CG29" s="854"/>
    </row>
    <row r="30" spans="1:85" ht="15.75" customHeight="1">
      <c r="A30" s="847"/>
      <c r="B30" s="1154">
        <v>15</v>
      </c>
      <c r="C30" s="1166" t="s">
        <v>105</v>
      </c>
      <c r="D30" s="1155"/>
      <c r="E30" s="1156">
        <v>1500</v>
      </c>
      <c r="F30" s="1153">
        <f t="shared" si="2"/>
        <v>1.2175324675324677</v>
      </c>
      <c r="G30" s="1156">
        <v>1501</v>
      </c>
      <c r="H30" s="1153">
        <f t="shared" si="3"/>
        <v>1.2172079633459028</v>
      </c>
      <c r="I30" s="1156">
        <v>1502</v>
      </c>
      <c r="J30" s="1153">
        <f t="shared" si="4"/>
        <v>1.2168840638418537</v>
      </c>
      <c r="K30" s="1156">
        <v>1503</v>
      </c>
      <c r="L30" s="1153">
        <f t="shared" si="5"/>
        <v>1.2165607673317413</v>
      </c>
      <c r="M30" s="869"/>
      <c r="N30" s="849"/>
      <c r="O30" s="850"/>
      <c r="P30" s="850"/>
      <c r="Q30" s="850"/>
      <c r="R30" s="850"/>
      <c r="S30" s="850"/>
      <c r="T30" s="851"/>
      <c r="U30" s="851"/>
      <c r="V30" s="851"/>
      <c r="W30" s="851"/>
      <c r="X30" s="851"/>
      <c r="Y30" s="851"/>
      <c r="Z30" s="851"/>
      <c r="AA30" s="851"/>
      <c r="AB30" s="851"/>
      <c r="AC30" s="851"/>
      <c r="AD30" s="851"/>
      <c r="AE30" s="851"/>
      <c r="AF30" s="851"/>
      <c r="AG30" s="851"/>
      <c r="AH30" s="852"/>
      <c r="AI30" s="852"/>
      <c r="AJ30" s="852"/>
      <c r="AK30" s="852"/>
      <c r="AL30" s="852"/>
      <c r="AM30" s="852"/>
      <c r="AN30" s="852"/>
      <c r="AO30" s="852"/>
      <c r="AP30" s="852"/>
      <c r="AQ30" s="852"/>
      <c r="AR30" s="852"/>
      <c r="AS30" s="852"/>
      <c r="AT30" s="852"/>
      <c r="AU30" s="852"/>
      <c r="AV30" s="852"/>
      <c r="AW30" s="852"/>
      <c r="AX30" s="849"/>
      <c r="AY30" s="847"/>
      <c r="AZ30" s="847"/>
      <c r="BA30" s="847"/>
      <c r="BB30" s="847"/>
      <c r="BC30" s="853"/>
      <c r="BD30" s="854"/>
      <c r="BE30" s="854"/>
      <c r="BF30" s="854"/>
      <c r="BG30" s="870">
        <v>12</v>
      </c>
      <c r="BH30" s="860" t="s">
        <v>45</v>
      </c>
      <c r="BI30" s="854"/>
      <c r="BJ30" s="871">
        <v>0</v>
      </c>
      <c r="BK30" s="872">
        <f ca="1">IF(BJ$299=0,0,BJ30/BJ$299*100)</f>
        <v>0</v>
      </c>
      <c r="BL30" s="871">
        <v>0</v>
      </c>
      <c r="BM30" s="872">
        <f ca="1">IF(BL$299=0,0,BL30/BL$299*100)</f>
        <v>0</v>
      </c>
      <c r="BN30" s="871">
        <v>0</v>
      </c>
      <c r="BO30" s="872">
        <f ca="1">IF(BN$299=0,0,BN30/BN$299*100)</f>
        <v>0</v>
      </c>
      <c r="BP30" s="871">
        <v>0</v>
      </c>
      <c r="BQ30" s="872">
        <f ca="1">IF(BP$299=0,0,BP30/BP$299*100)</f>
        <v>0</v>
      </c>
      <c r="BR30" s="854"/>
      <c r="BS30" s="854"/>
      <c r="BT30" s="854"/>
      <c r="BU30" s="854"/>
      <c r="BV30" s="854"/>
      <c r="BW30" s="854"/>
      <c r="BX30" s="854"/>
      <c r="BY30" s="854"/>
      <c r="BZ30" s="854"/>
      <c r="CA30" s="854"/>
      <c r="CB30" s="854"/>
      <c r="CC30" s="854"/>
      <c r="CD30" s="854"/>
      <c r="CE30" s="854"/>
      <c r="CF30" s="854"/>
      <c r="CG30" s="854" t="s">
        <v>45</v>
      </c>
    </row>
    <row r="31" spans="1:85" ht="15.75" customHeight="1">
      <c r="A31" s="847"/>
      <c r="B31" s="1154">
        <v>16</v>
      </c>
      <c r="C31" s="1166" t="s">
        <v>106</v>
      </c>
      <c r="D31" s="1155"/>
      <c r="E31" s="1156">
        <v>1600</v>
      </c>
      <c r="F31" s="1153">
        <f t="shared" si="2"/>
        <v>1.2987012987012987</v>
      </c>
      <c r="G31" s="1156">
        <v>1601</v>
      </c>
      <c r="H31" s="1153">
        <f t="shared" si="3"/>
        <v>1.2983010988119856</v>
      </c>
      <c r="I31" s="1156">
        <v>1602</v>
      </c>
      <c r="J31" s="1153">
        <f t="shared" si="4"/>
        <v>1.2979016446568905</v>
      </c>
      <c r="K31" s="1156">
        <v>1603</v>
      </c>
      <c r="L31" s="1153">
        <f t="shared" si="5"/>
        <v>1.2975029341535473</v>
      </c>
      <c r="M31" s="869"/>
      <c r="N31" s="849"/>
      <c r="O31" s="850"/>
      <c r="P31" s="850"/>
      <c r="Q31" s="850"/>
      <c r="R31" s="850"/>
      <c r="S31" s="850"/>
      <c r="T31" s="851"/>
      <c r="U31" s="851"/>
      <c r="V31" s="851"/>
      <c r="W31" s="851"/>
      <c r="X31" s="851"/>
      <c r="Y31" s="851"/>
      <c r="Z31" s="851"/>
      <c r="AA31" s="851"/>
      <c r="AB31" s="851"/>
      <c r="AC31" s="851"/>
      <c r="AD31" s="851"/>
      <c r="AE31" s="851"/>
      <c r="AF31" s="851"/>
      <c r="AG31" s="851"/>
      <c r="AH31" s="852"/>
      <c r="AI31" s="852"/>
      <c r="AJ31" s="852"/>
      <c r="AK31" s="852"/>
      <c r="AL31" s="852"/>
      <c r="AM31" s="852"/>
      <c r="AN31" s="852"/>
      <c r="AO31" s="852"/>
      <c r="AP31" s="852"/>
      <c r="AQ31" s="852"/>
      <c r="AR31" s="852"/>
      <c r="AS31" s="852"/>
      <c r="AT31" s="852"/>
      <c r="AU31" s="852"/>
      <c r="AV31" s="852"/>
      <c r="AW31" s="852"/>
      <c r="AX31" s="849"/>
      <c r="AY31" s="847"/>
      <c r="AZ31" s="847"/>
      <c r="BA31" s="847"/>
      <c r="BB31" s="847"/>
      <c r="BC31" s="853"/>
      <c r="BD31" s="854"/>
      <c r="BE31" s="854"/>
      <c r="BF31" s="854"/>
      <c r="BG31" s="870">
        <v>13</v>
      </c>
      <c r="BH31" s="860" t="s">
        <v>45</v>
      </c>
      <c r="BI31" s="854"/>
      <c r="BJ31" s="871">
        <v>0</v>
      </c>
      <c r="BK31" s="872">
        <f ca="1">IF(BJ$299=0,0,BJ31/BJ$299*100)</f>
        <v>0</v>
      </c>
      <c r="BL31" s="871">
        <v>0</v>
      </c>
      <c r="BM31" s="872">
        <f ca="1">IF(BL$299=0,0,BL31/BL$299*100)</f>
        <v>0</v>
      </c>
      <c r="BN31" s="871">
        <v>0</v>
      </c>
      <c r="BO31" s="872">
        <f ca="1">IF(BN$299=0,0,BN31/BN$299*100)</f>
        <v>0</v>
      </c>
      <c r="BP31" s="871">
        <v>0</v>
      </c>
      <c r="BQ31" s="872">
        <f ca="1">IF(BP$299=0,0,BP31/BP$299*100)</f>
        <v>0</v>
      </c>
      <c r="BR31" s="854"/>
      <c r="BS31" s="854"/>
      <c r="BT31" s="854"/>
      <c r="BU31" s="854"/>
      <c r="BV31" s="854"/>
      <c r="BW31" s="854"/>
      <c r="BX31" s="854"/>
      <c r="BY31" s="854"/>
      <c r="BZ31" s="854"/>
      <c r="CA31" s="854"/>
      <c r="CB31" s="854"/>
      <c r="CC31" s="854"/>
      <c r="CD31" s="854"/>
      <c r="CE31" s="854"/>
      <c r="CF31" s="854"/>
      <c r="CG31" s="854" t="s">
        <v>45</v>
      </c>
    </row>
    <row r="32" spans="1:85" ht="16.5" customHeight="1">
      <c r="A32" s="847"/>
      <c r="B32" s="1157">
        <v>17</v>
      </c>
      <c r="C32" s="1167" t="s">
        <v>107</v>
      </c>
      <c r="D32" s="1159"/>
      <c r="E32" s="1156">
        <v>1700</v>
      </c>
      <c r="F32" s="1153">
        <f t="shared" si="2"/>
        <v>1.3798701298701299</v>
      </c>
      <c r="G32" s="1156">
        <v>1701</v>
      </c>
      <c r="H32" s="1153">
        <f t="shared" si="3"/>
        <v>1.3793942342780685</v>
      </c>
      <c r="I32" s="1156">
        <v>1702</v>
      </c>
      <c r="J32" s="1153">
        <f t="shared" si="4"/>
        <v>1.3789192254719274</v>
      </c>
      <c r="K32" s="1156">
        <v>1703</v>
      </c>
      <c r="L32" s="1153">
        <f t="shared" si="5"/>
        <v>1.3784451009753531</v>
      </c>
      <c r="M32" s="873"/>
      <c r="N32" s="849"/>
      <c r="O32" s="850"/>
      <c r="P32" s="850"/>
      <c r="Q32" s="850"/>
      <c r="R32" s="850"/>
      <c r="S32" s="850"/>
      <c r="T32" s="851"/>
      <c r="U32" s="851"/>
      <c r="V32" s="851"/>
      <c r="W32" s="851"/>
      <c r="X32" s="851"/>
      <c r="Y32" s="851"/>
      <c r="Z32" s="851"/>
      <c r="AA32" s="851"/>
      <c r="AB32" s="851"/>
      <c r="AC32" s="851"/>
      <c r="AD32" s="851"/>
      <c r="AE32" s="851"/>
      <c r="AF32" s="851"/>
      <c r="AG32" s="851"/>
      <c r="AH32" s="852"/>
      <c r="AI32" s="852"/>
      <c r="AJ32" s="852"/>
      <c r="AK32" s="852"/>
      <c r="AL32" s="852"/>
      <c r="AM32" s="852"/>
      <c r="AN32" s="852"/>
      <c r="AO32" s="852"/>
      <c r="AP32" s="852"/>
      <c r="AQ32" s="852"/>
      <c r="AR32" s="852"/>
      <c r="AS32" s="852"/>
      <c r="AT32" s="852"/>
      <c r="AU32" s="852"/>
      <c r="AV32" s="852"/>
      <c r="AW32" s="852"/>
      <c r="AX32" s="849"/>
      <c r="AY32" s="847"/>
      <c r="AZ32" s="847"/>
      <c r="BA32" s="847"/>
      <c r="BB32" s="847"/>
      <c r="BC32" s="853"/>
      <c r="BD32" s="854"/>
      <c r="BE32" s="854"/>
      <c r="BF32" s="854"/>
      <c r="BG32" s="870">
        <v>14</v>
      </c>
      <c r="BH32" s="860" t="s">
        <v>45</v>
      </c>
      <c r="BI32" s="854"/>
      <c r="BJ32" s="871">
        <v>0</v>
      </c>
      <c r="BK32" s="872">
        <f ca="1">IF(BJ$299=0,0,BJ32/BJ$299*100)</f>
        <v>0</v>
      </c>
      <c r="BL32" s="871">
        <v>0</v>
      </c>
      <c r="BM32" s="872">
        <f ca="1">IF(BL$299=0,0,BL32/BL$299*100)</f>
        <v>0</v>
      </c>
      <c r="BN32" s="871">
        <v>0</v>
      </c>
      <c r="BO32" s="872">
        <f ca="1">IF(BN$299=0,0,BN32/BN$299*100)</f>
        <v>0</v>
      </c>
      <c r="BP32" s="871">
        <v>0</v>
      </c>
      <c r="BQ32" s="872">
        <f ca="1">IF(BP$299=0,0,BP32/BP$299*100)</f>
        <v>0</v>
      </c>
      <c r="BR32" s="854"/>
      <c r="BS32" s="854"/>
      <c r="BT32" s="854"/>
      <c r="BU32" s="854"/>
      <c r="BV32" s="854"/>
      <c r="BW32" s="854"/>
      <c r="BX32" s="854"/>
      <c r="BY32" s="854"/>
      <c r="BZ32" s="854"/>
      <c r="CA32" s="854"/>
      <c r="CB32" s="854"/>
      <c r="CC32" s="854"/>
      <c r="CD32" s="854"/>
      <c r="CE32" s="854"/>
      <c r="CF32" s="854"/>
      <c r="CG32" s="854" t="s">
        <v>45</v>
      </c>
    </row>
    <row r="33" spans="1:85" ht="16.5" customHeight="1">
      <c r="A33" s="847"/>
      <c r="B33" s="1160">
        <f t="shared" ref="B33:B46" si="12">+B32+1</f>
        <v>18</v>
      </c>
      <c r="C33" s="1161" t="s">
        <v>108</v>
      </c>
      <c r="D33" s="1162"/>
      <c r="E33" s="1163">
        <f>SUM(E26:E32)</f>
        <v>118700</v>
      </c>
      <c r="F33" s="1164">
        <f t="shared" si="2"/>
        <v>96.347402597402592</v>
      </c>
      <c r="G33" s="1163">
        <f>SUM(G26:G32)</f>
        <v>118806</v>
      </c>
      <c r="H33" s="1164">
        <f t="shared" si="3"/>
        <v>96.343510521834332</v>
      </c>
      <c r="I33" s="1163">
        <f>SUM(I26:I32)</f>
        <v>118912</v>
      </c>
      <c r="J33" s="1164">
        <f t="shared" si="4"/>
        <v>96.339625698776629</v>
      </c>
      <c r="K33" s="1163">
        <f>SUM(K26:K32)</f>
        <v>119018</v>
      </c>
      <c r="L33" s="1164">
        <f t="shared" si="5"/>
        <v>96.335748107976855</v>
      </c>
      <c r="M33" s="869"/>
      <c r="N33" s="849"/>
      <c r="O33" s="850"/>
      <c r="P33" s="850"/>
      <c r="Q33" s="850"/>
      <c r="R33" s="850"/>
      <c r="S33" s="850"/>
      <c r="T33" s="851"/>
      <c r="U33" s="851"/>
      <c r="V33" s="851"/>
      <c r="W33" s="851"/>
      <c r="X33" s="851"/>
      <c r="Y33" s="851"/>
      <c r="Z33" s="851"/>
      <c r="AA33" s="851"/>
      <c r="AB33" s="851"/>
      <c r="AC33" s="851"/>
      <c r="AD33" s="851"/>
      <c r="AE33" s="851"/>
      <c r="AF33" s="851"/>
      <c r="AG33" s="851"/>
      <c r="AH33" s="852"/>
      <c r="AI33" s="852"/>
      <c r="AJ33" s="852"/>
      <c r="AK33" s="852"/>
      <c r="AL33" s="852"/>
      <c r="AM33" s="852"/>
      <c r="AN33" s="852"/>
      <c r="AO33" s="852"/>
      <c r="AP33" s="852"/>
      <c r="AQ33" s="852"/>
      <c r="AR33" s="852"/>
      <c r="AS33" s="852"/>
      <c r="AT33" s="852"/>
      <c r="AU33" s="852"/>
      <c r="AV33" s="852"/>
      <c r="AW33" s="852"/>
      <c r="AX33" s="849"/>
      <c r="AY33" s="847"/>
      <c r="AZ33" s="847"/>
      <c r="BA33" s="847"/>
      <c r="BB33" s="847"/>
      <c r="BC33" s="853"/>
      <c r="BD33" s="854"/>
      <c r="BE33" s="854"/>
      <c r="BF33" s="854"/>
      <c r="BG33" s="870">
        <v>15</v>
      </c>
      <c r="BH33" s="860" t="s">
        <v>45</v>
      </c>
      <c r="BI33" s="854"/>
      <c r="BJ33" s="871">
        <v>0</v>
      </c>
      <c r="BK33" s="872">
        <f ca="1">IF(BJ$299=0,0,BJ33/BJ$299*100)</f>
        <v>0</v>
      </c>
      <c r="BL33" s="871">
        <v>0</v>
      </c>
      <c r="BM33" s="872">
        <f ca="1">IF(BL$299=0,0,BL33/BL$299*100)</f>
        <v>0</v>
      </c>
      <c r="BN33" s="871">
        <v>0</v>
      </c>
      <c r="BO33" s="872">
        <f ca="1">IF(BN$299=0,0,BN33/BN$299*100)</f>
        <v>0</v>
      </c>
      <c r="BP33" s="871">
        <v>0</v>
      </c>
      <c r="BQ33" s="872">
        <f ca="1">IF(BP$299=0,0,BP33/BP$299*100)</f>
        <v>0</v>
      </c>
      <c r="BR33" s="854"/>
      <c r="BS33" s="854"/>
      <c r="BT33" s="854"/>
      <c r="BU33" s="854"/>
      <c r="BV33" s="854"/>
      <c r="BW33" s="854"/>
      <c r="BX33" s="854"/>
      <c r="BY33" s="854"/>
      <c r="BZ33" s="854"/>
      <c r="CA33" s="854"/>
      <c r="CB33" s="854"/>
      <c r="CC33" s="854"/>
      <c r="CD33" s="854"/>
      <c r="CE33" s="854"/>
      <c r="CF33" s="854"/>
      <c r="CG33" s="854" t="s">
        <v>45</v>
      </c>
    </row>
    <row r="34" spans="1:85" ht="16.5" customHeight="1">
      <c r="A34" s="847"/>
      <c r="B34" s="1160">
        <f t="shared" si="12"/>
        <v>19</v>
      </c>
      <c r="C34" s="1161" t="s">
        <v>109</v>
      </c>
      <c r="D34" s="1162"/>
      <c r="E34" s="1163">
        <f>E25+E33</f>
        <v>123200</v>
      </c>
      <c r="F34" s="1164">
        <f t="shared" si="2"/>
        <v>100</v>
      </c>
      <c r="G34" s="1163">
        <f>G25+G33</f>
        <v>123315</v>
      </c>
      <c r="H34" s="1164">
        <f t="shared" si="3"/>
        <v>100</v>
      </c>
      <c r="I34" s="1163">
        <f>I25+I33</f>
        <v>123430</v>
      </c>
      <c r="J34" s="1164">
        <f t="shared" si="4"/>
        <v>100</v>
      </c>
      <c r="K34" s="1163">
        <f>K25+K33</f>
        <v>123545</v>
      </c>
      <c r="L34" s="1164">
        <f t="shared" si="5"/>
        <v>100</v>
      </c>
      <c r="M34" s="869"/>
      <c r="N34" s="849"/>
      <c r="O34" s="850"/>
      <c r="P34" s="850"/>
      <c r="Q34" s="850"/>
      <c r="R34" s="850"/>
      <c r="S34" s="850"/>
      <c r="T34" s="851"/>
      <c r="U34" s="874">
        <v>157881.09922100001</v>
      </c>
      <c r="V34" s="851"/>
      <c r="W34" s="874">
        <v>303530.54274599999</v>
      </c>
      <c r="X34" s="851"/>
      <c r="Y34" s="874">
        <v>310346.08172999998</v>
      </c>
      <c r="Z34" s="851"/>
      <c r="AA34" s="874">
        <v>597520.23248600005</v>
      </c>
      <c r="AB34" s="851"/>
      <c r="AC34" s="851"/>
      <c r="AD34" s="851"/>
      <c r="AE34" s="851"/>
      <c r="AF34" s="851"/>
      <c r="AG34" s="851"/>
      <c r="AH34" s="852"/>
      <c r="AI34" s="852"/>
      <c r="AJ34" s="852"/>
      <c r="AK34" s="852"/>
      <c r="AL34" s="852"/>
      <c r="AM34" s="852"/>
      <c r="AN34" s="852"/>
      <c r="AO34" s="852"/>
      <c r="AP34" s="852"/>
      <c r="AQ34" s="852"/>
      <c r="AR34" s="852"/>
      <c r="AS34" s="852"/>
      <c r="AT34" s="852"/>
      <c r="AU34" s="852"/>
      <c r="AV34" s="852"/>
      <c r="AW34" s="852"/>
      <c r="AX34" s="849"/>
      <c r="AY34" s="847"/>
      <c r="AZ34" s="847"/>
      <c r="BA34" s="847"/>
      <c r="BB34" s="847"/>
      <c r="BC34" s="853"/>
      <c r="BD34" s="854"/>
      <c r="BE34" s="854"/>
      <c r="BF34" s="854"/>
      <c r="BG34" s="854"/>
      <c r="BH34" s="854"/>
      <c r="BI34" s="854"/>
      <c r="BJ34" s="854"/>
      <c r="BK34" s="854"/>
      <c r="BL34" s="854"/>
      <c r="BM34" s="854"/>
      <c r="BN34" s="854"/>
      <c r="BO34" s="854"/>
      <c r="BP34" s="854"/>
      <c r="BQ34" s="854"/>
      <c r="BR34" s="854"/>
      <c r="BS34" s="854"/>
      <c r="BT34" s="854"/>
      <c r="BU34" s="854"/>
      <c r="BV34" s="854"/>
      <c r="BW34" s="854"/>
      <c r="BX34" s="854"/>
      <c r="BY34" s="854"/>
      <c r="BZ34" s="854"/>
      <c r="CA34" s="854"/>
      <c r="CB34" s="854"/>
      <c r="CC34" s="854"/>
      <c r="CD34" s="854"/>
      <c r="CE34" s="854"/>
      <c r="CF34" s="854"/>
      <c r="CG34" s="854" t="s">
        <v>45</v>
      </c>
    </row>
    <row r="35" spans="1:85" ht="15.75" customHeight="1">
      <c r="A35" s="847"/>
      <c r="B35" s="1144">
        <f t="shared" si="12"/>
        <v>20</v>
      </c>
      <c r="C35" s="1165" t="s">
        <v>110</v>
      </c>
      <c r="D35" s="1146"/>
      <c r="E35" s="1147">
        <v>2000</v>
      </c>
      <c r="F35" s="1148">
        <f t="shared" si="2"/>
        <v>1.6233766233766231</v>
      </c>
      <c r="G35" s="1147">
        <v>2001</v>
      </c>
      <c r="H35" s="1148">
        <f t="shared" si="3"/>
        <v>1.6226736406763167</v>
      </c>
      <c r="I35" s="1147">
        <v>2002</v>
      </c>
      <c r="J35" s="1148">
        <f t="shared" si="4"/>
        <v>1.6219719679170379</v>
      </c>
      <c r="K35" s="1147">
        <v>2003</v>
      </c>
      <c r="L35" s="1148">
        <f t="shared" si="5"/>
        <v>1.6212716014407706</v>
      </c>
      <c r="M35" s="869"/>
      <c r="N35" s="849"/>
      <c r="O35" s="850"/>
      <c r="P35" s="850"/>
      <c r="Q35" s="850"/>
      <c r="R35" s="850"/>
      <c r="S35" s="850"/>
      <c r="T35" s="851"/>
      <c r="U35" s="851"/>
      <c r="V35" s="851"/>
      <c r="W35" s="851"/>
      <c r="X35" s="851"/>
      <c r="Y35" s="851"/>
      <c r="Z35" s="851"/>
      <c r="AA35" s="851"/>
      <c r="AB35" s="851"/>
      <c r="AC35" s="851"/>
      <c r="AD35" s="851"/>
      <c r="AE35" s="851"/>
      <c r="AF35" s="851"/>
      <c r="AG35" s="851"/>
      <c r="AH35" s="852"/>
      <c r="AI35" s="852"/>
      <c r="AJ35" s="852"/>
      <c r="AK35" s="852"/>
      <c r="AL35" s="852"/>
      <c r="AM35" s="852"/>
      <c r="AN35" s="852"/>
      <c r="AO35" s="852"/>
      <c r="AP35" s="852"/>
      <c r="AQ35" s="852"/>
      <c r="AR35" s="852"/>
      <c r="AS35" s="852"/>
      <c r="AT35" s="852"/>
      <c r="AU35" s="852"/>
      <c r="AV35" s="852"/>
      <c r="AW35" s="852"/>
      <c r="AX35" s="849"/>
      <c r="AY35" s="847"/>
      <c r="AZ35" s="847"/>
      <c r="BA35" s="847"/>
      <c r="BB35" s="847"/>
      <c r="BC35" s="853"/>
      <c r="BD35" s="854"/>
      <c r="BE35" s="854"/>
      <c r="BF35" s="854"/>
      <c r="BG35" s="854"/>
      <c r="BH35" s="854"/>
      <c r="BI35" s="854"/>
      <c r="BJ35" s="854"/>
      <c r="BK35" s="854"/>
      <c r="BL35" s="854"/>
      <c r="BM35" s="854"/>
      <c r="BN35" s="854"/>
      <c r="BO35" s="854"/>
      <c r="BP35" s="854"/>
      <c r="BQ35" s="854"/>
      <c r="BR35" s="854"/>
      <c r="BS35" s="854"/>
      <c r="BT35" s="854"/>
      <c r="BU35" s="870">
        <v>16</v>
      </c>
      <c r="BV35" s="860" t="s">
        <v>111</v>
      </c>
      <c r="BW35" s="854"/>
      <c r="BX35" s="871">
        <v>682.12144000000001</v>
      </c>
      <c r="BY35" s="872">
        <f>IF(L$253=0,0,BX35/L$253*100)</f>
        <v>0</v>
      </c>
      <c r="BZ35" s="871">
        <v>5054.4909939999998</v>
      </c>
      <c r="CA35" s="872">
        <f>IF(N$299=0,0,BZ35/N$299*100)</f>
        <v>0</v>
      </c>
      <c r="CB35" s="871">
        <v>6414.4736460000004</v>
      </c>
      <c r="CC35" s="872">
        <f>IF(P$299=0,0,CB35/P$299*100)</f>
        <v>0</v>
      </c>
      <c r="CD35" s="871">
        <v>136969.556037</v>
      </c>
      <c r="CE35" s="872">
        <f>IF(R$299=0,0,CD35/R$299*100)</f>
        <v>0</v>
      </c>
      <c r="CF35" s="854"/>
      <c r="CG35" s="854" t="s">
        <v>45</v>
      </c>
    </row>
    <row r="36" spans="1:85" ht="15.75" customHeight="1">
      <c r="A36" s="847"/>
      <c r="B36" s="1154">
        <f t="shared" si="12"/>
        <v>21</v>
      </c>
      <c r="C36" s="1166" t="s">
        <v>112</v>
      </c>
      <c r="D36" s="1155"/>
      <c r="E36" s="1156">
        <v>2100</v>
      </c>
      <c r="F36" s="1153">
        <f t="shared" si="2"/>
        <v>1.7045454545454544</v>
      </c>
      <c r="G36" s="1156">
        <v>2101</v>
      </c>
      <c r="H36" s="1153">
        <f t="shared" si="3"/>
        <v>1.7037667761423996</v>
      </c>
      <c r="I36" s="1156">
        <v>2102</v>
      </c>
      <c r="J36" s="1153">
        <f t="shared" si="4"/>
        <v>1.702989548732075</v>
      </c>
      <c r="K36" s="1156">
        <v>2103</v>
      </c>
      <c r="L36" s="1153">
        <f t="shared" si="5"/>
        <v>1.7022137682625764</v>
      </c>
      <c r="M36" s="869"/>
      <c r="N36" s="849"/>
      <c r="O36" s="850"/>
      <c r="P36" s="850"/>
      <c r="Q36" s="850"/>
      <c r="R36" s="850"/>
      <c r="S36" s="850"/>
      <c r="T36" s="851"/>
      <c r="U36" s="851"/>
      <c r="V36" s="851"/>
      <c r="W36" s="851"/>
      <c r="X36" s="851"/>
      <c r="Y36" s="851"/>
      <c r="Z36" s="851"/>
      <c r="AA36" s="851"/>
      <c r="AB36" s="851"/>
      <c r="AC36" s="851"/>
      <c r="AD36" s="851"/>
      <c r="AE36" s="851"/>
      <c r="AF36" s="851"/>
      <c r="AG36" s="851"/>
      <c r="AH36" s="852"/>
      <c r="AI36" s="852"/>
      <c r="AJ36" s="852"/>
      <c r="AK36" s="852"/>
      <c r="AL36" s="852"/>
      <c r="AM36" s="852"/>
      <c r="AN36" s="852"/>
      <c r="AO36" s="852"/>
      <c r="AP36" s="852"/>
      <c r="AQ36" s="852"/>
      <c r="AR36" s="852"/>
      <c r="AS36" s="852"/>
      <c r="AT36" s="852"/>
      <c r="AU36" s="852"/>
      <c r="AV36" s="852"/>
      <c r="AW36" s="852"/>
      <c r="AX36" s="849"/>
      <c r="AY36" s="847"/>
      <c r="AZ36" s="847"/>
      <c r="BA36" s="847"/>
      <c r="BB36" s="847"/>
      <c r="BC36" s="853"/>
      <c r="BD36" s="854"/>
      <c r="BE36" s="854"/>
      <c r="BF36" s="854"/>
      <c r="BG36" s="854"/>
      <c r="BH36" s="854"/>
      <c r="BI36" s="854"/>
      <c r="BJ36" s="854"/>
      <c r="BK36" s="854"/>
      <c r="BL36" s="854"/>
      <c r="BM36" s="854"/>
      <c r="BN36" s="854"/>
      <c r="BO36" s="854"/>
      <c r="BP36" s="854"/>
      <c r="BQ36" s="854"/>
      <c r="BR36" s="854"/>
      <c r="BS36" s="854"/>
      <c r="BT36" s="854"/>
      <c r="BU36" s="870">
        <v>17</v>
      </c>
      <c r="BV36" s="860" t="s">
        <v>113</v>
      </c>
      <c r="BW36" s="854"/>
      <c r="BX36" s="871">
        <v>0</v>
      </c>
      <c r="BY36" s="872">
        <f ca="1">IF(BJ$299=0,0,BX36/BJ$299*100)</f>
        <v>0</v>
      </c>
      <c r="BZ36" s="871">
        <v>48</v>
      </c>
      <c r="CA36" s="872">
        <f ca="1">IF(BL$299=0,0,BZ36/BL$299*100)</f>
        <v>0.214281506849195</v>
      </c>
      <c r="CB36" s="871">
        <v>5557.0367399999996</v>
      </c>
      <c r="CC36" s="872">
        <f ca="1">IF(BN$299=0,0,CB36/BN$299*100)</f>
        <v>19.157479512447626</v>
      </c>
      <c r="CD36" s="871">
        <v>329.51233000000002</v>
      </c>
      <c r="CE36" s="872">
        <f ca="1">IF(BP$299=0,0,CD36/BP$299*100)</f>
        <v>8.5472138912403128E-2</v>
      </c>
      <c r="CF36" s="854"/>
      <c r="CG36" s="854" t="s">
        <v>45</v>
      </c>
    </row>
    <row r="37" spans="1:85" ht="15.75" customHeight="1">
      <c r="A37" s="847"/>
      <c r="B37" s="1154">
        <f t="shared" si="12"/>
        <v>22</v>
      </c>
      <c r="C37" s="1166" t="s">
        <v>114</v>
      </c>
      <c r="D37" s="1155"/>
      <c r="E37" s="1156">
        <v>2200</v>
      </c>
      <c r="F37" s="1153">
        <f t="shared" si="2"/>
        <v>1.7857142857142856</v>
      </c>
      <c r="G37" s="1156">
        <v>2201</v>
      </c>
      <c r="H37" s="1153">
        <f t="shared" si="3"/>
        <v>1.7848599116084822</v>
      </c>
      <c r="I37" s="1156">
        <v>2202</v>
      </c>
      <c r="J37" s="1153">
        <f t="shared" si="4"/>
        <v>1.7840071295471118</v>
      </c>
      <c r="K37" s="1156">
        <v>2203</v>
      </c>
      <c r="L37" s="1153">
        <f t="shared" si="5"/>
        <v>1.7831559350843822</v>
      </c>
      <c r="M37" s="869"/>
      <c r="N37" s="849"/>
      <c r="O37" s="850"/>
      <c r="P37" s="850"/>
      <c r="Q37" s="850"/>
      <c r="R37" s="850"/>
      <c r="S37" s="850"/>
      <c r="T37" s="851"/>
      <c r="U37" s="851"/>
      <c r="V37" s="851"/>
      <c r="W37" s="851"/>
      <c r="X37" s="851"/>
      <c r="Y37" s="851"/>
      <c r="Z37" s="851"/>
      <c r="AA37" s="851"/>
      <c r="AB37" s="851"/>
      <c r="AC37" s="851"/>
      <c r="AD37" s="851"/>
      <c r="AE37" s="851"/>
      <c r="AF37" s="851"/>
      <c r="AG37" s="851"/>
      <c r="AH37" s="852"/>
      <c r="AI37" s="852"/>
      <c r="AJ37" s="852"/>
      <c r="AK37" s="852"/>
      <c r="AL37" s="852"/>
      <c r="AM37" s="852"/>
      <c r="AN37" s="852"/>
      <c r="AO37" s="852"/>
      <c r="AP37" s="852"/>
      <c r="AQ37" s="852"/>
      <c r="AR37" s="852"/>
      <c r="AS37" s="852"/>
      <c r="AT37" s="852"/>
      <c r="AU37" s="852"/>
      <c r="AV37" s="852"/>
      <c r="AW37" s="852"/>
      <c r="AX37" s="849"/>
      <c r="AY37" s="847"/>
      <c r="AZ37" s="847"/>
      <c r="BA37" s="847"/>
      <c r="BB37" s="847"/>
      <c r="BC37" s="853"/>
      <c r="BD37" s="854"/>
      <c r="BE37" s="854"/>
      <c r="BF37" s="854"/>
      <c r="BG37" s="854"/>
      <c r="BH37" s="854"/>
      <c r="BI37" s="854"/>
      <c r="BJ37" s="854"/>
      <c r="BK37" s="854"/>
      <c r="BL37" s="854"/>
      <c r="BM37" s="854"/>
      <c r="BN37" s="854"/>
      <c r="BO37" s="854"/>
      <c r="BP37" s="854"/>
      <c r="BQ37" s="854"/>
      <c r="BR37" s="854"/>
      <c r="BS37" s="854"/>
      <c r="BT37" s="854"/>
      <c r="BU37" s="870">
        <v>18</v>
      </c>
      <c r="BV37" s="860" t="s">
        <v>115</v>
      </c>
      <c r="BW37" s="854"/>
      <c r="BX37" s="871">
        <v>0</v>
      </c>
      <c r="BY37" s="872">
        <f ca="1">IF(BJ$299=0,0,BX37/BJ$299*100)</f>
        <v>0</v>
      </c>
      <c r="BZ37" s="871">
        <v>0</v>
      </c>
      <c r="CA37" s="872">
        <f ca="1">IF(BL$299=0,0,BZ37/BL$299*100)</f>
        <v>0</v>
      </c>
      <c r="CB37" s="871">
        <v>0</v>
      </c>
      <c r="CC37" s="872">
        <f ca="1">IF(BN$299=0,0,CB37/BN$299*100)</f>
        <v>0</v>
      </c>
      <c r="CD37" s="871">
        <v>0</v>
      </c>
      <c r="CE37" s="872">
        <f ca="1">IF(BP$299=0,0,CD37/BP$299*100)</f>
        <v>0</v>
      </c>
      <c r="CF37" s="854"/>
      <c r="CG37" s="854" t="s">
        <v>45</v>
      </c>
    </row>
    <row r="38" spans="1:85" ht="15.75" customHeight="1">
      <c r="A38" s="847"/>
      <c r="B38" s="1154">
        <f t="shared" si="12"/>
        <v>23</v>
      </c>
      <c r="C38" s="1166" t="s">
        <v>116</v>
      </c>
      <c r="D38" s="1155"/>
      <c r="E38" s="1156">
        <v>2300</v>
      </c>
      <c r="F38" s="1153">
        <f t="shared" si="2"/>
        <v>1.8668831168831168</v>
      </c>
      <c r="G38" s="1156">
        <v>2301</v>
      </c>
      <c r="H38" s="1153">
        <f t="shared" si="3"/>
        <v>1.8659530470745651</v>
      </c>
      <c r="I38" s="1156">
        <v>2302</v>
      </c>
      <c r="J38" s="1153">
        <f t="shared" si="4"/>
        <v>1.8650247103621485</v>
      </c>
      <c r="K38" s="1156">
        <v>2303</v>
      </c>
      <c r="L38" s="1153">
        <f t="shared" si="5"/>
        <v>1.8640981019061882</v>
      </c>
      <c r="M38" s="869"/>
      <c r="N38" s="849"/>
      <c r="O38" s="850"/>
      <c r="P38" s="850"/>
      <c r="Q38" s="850"/>
      <c r="R38" s="850"/>
      <c r="S38" s="850"/>
      <c r="T38" s="851"/>
      <c r="U38" s="851"/>
      <c r="V38" s="851"/>
      <c r="W38" s="851"/>
      <c r="X38" s="851"/>
      <c r="Y38" s="851"/>
      <c r="Z38" s="851"/>
      <c r="AA38" s="851"/>
      <c r="AB38" s="851"/>
      <c r="AC38" s="851"/>
      <c r="AD38" s="851"/>
      <c r="AE38" s="851"/>
      <c r="AF38" s="851"/>
      <c r="AG38" s="851"/>
      <c r="AH38" s="852"/>
      <c r="AI38" s="852"/>
      <c r="AJ38" s="852"/>
      <c r="AK38" s="852"/>
      <c r="AL38" s="852"/>
      <c r="AM38" s="852"/>
      <c r="AN38" s="852"/>
      <c r="AO38" s="852"/>
      <c r="AP38" s="852"/>
      <c r="AQ38" s="852"/>
      <c r="AR38" s="852"/>
      <c r="AS38" s="852"/>
      <c r="AT38" s="852"/>
      <c r="AU38" s="852"/>
      <c r="AV38" s="852"/>
      <c r="AW38" s="852"/>
      <c r="AX38" s="849"/>
      <c r="AY38" s="847"/>
      <c r="AZ38" s="847"/>
      <c r="BA38" s="847"/>
      <c r="BB38" s="847"/>
      <c r="BC38" s="853"/>
      <c r="BD38" s="854"/>
      <c r="BE38" s="854"/>
      <c r="BF38" s="854"/>
      <c r="BG38" s="854"/>
      <c r="BH38" s="854"/>
      <c r="BI38" s="854"/>
      <c r="BJ38" s="854"/>
      <c r="BK38" s="854"/>
      <c r="BL38" s="854"/>
      <c r="BM38" s="854"/>
      <c r="BN38" s="854"/>
      <c r="BO38" s="854"/>
      <c r="BP38" s="854"/>
      <c r="BQ38" s="854"/>
      <c r="BR38" s="854"/>
      <c r="BS38" s="854"/>
      <c r="BT38" s="854"/>
      <c r="BU38" s="870">
        <v>19</v>
      </c>
      <c r="BV38" s="860" t="s">
        <v>45</v>
      </c>
      <c r="BW38" s="854"/>
      <c r="BX38" s="871">
        <v>0</v>
      </c>
      <c r="BY38" s="872">
        <f>IF(L$253=0,0,BX38/L$253*100)</f>
        <v>0</v>
      </c>
      <c r="BZ38" s="871">
        <v>0</v>
      </c>
      <c r="CA38" s="872">
        <f>IF(N$299=0,0,BZ38/N$299*100)</f>
        <v>0</v>
      </c>
      <c r="CB38" s="871">
        <v>0</v>
      </c>
      <c r="CC38" s="872">
        <f>IF(P$299=0,0,CB38/P$299*100)</f>
        <v>0</v>
      </c>
      <c r="CD38" s="871">
        <v>0</v>
      </c>
      <c r="CE38" s="872">
        <f>IF(R$299=0,0,CD38/R$299*100)</f>
        <v>0</v>
      </c>
      <c r="CF38" s="854"/>
      <c r="CG38" s="854" t="s">
        <v>45</v>
      </c>
    </row>
    <row r="39" spans="1:85" ht="15.75" customHeight="1">
      <c r="A39" s="847"/>
      <c r="B39" s="1154">
        <f t="shared" si="12"/>
        <v>24</v>
      </c>
      <c r="C39" s="1166" t="s">
        <v>117</v>
      </c>
      <c r="D39" s="1155"/>
      <c r="E39" s="1156">
        <v>2400</v>
      </c>
      <c r="F39" s="1153">
        <f t="shared" si="2"/>
        <v>1.948051948051948</v>
      </c>
      <c r="G39" s="1156">
        <v>2401</v>
      </c>
      <c r="H39" s="1153">
        <f t="shared" si="3"/>
        <v>1.947046182540648</v>
      </c>
      <c r="I39" s="1156">
        <v>2402</v>
      </c>
      <c r="J39" s="1153">
        <f t="shared" si="4"/>
        <v>1.9460422911771853</v>
      </c>
      <c r="K39" s="1156">
        <v>2403</v>
      </c>
      <c r="L39" s="1153">
        <f t="shared" si="5"/>
        <v>1.945040268727994</v>
      </c>
      <c r="M39" s="869"/>
      <c r="N39" s="849"/>
      <c r="O39" s="850"/>
      <c r="P39" s="850"/>
      <c r="Q39" s="850"/>
      <c r="R39" s="850"/>
      <c r="S39" s="850"/>
      <c r="T39" s="851"/>
      <c r="U39" s="851"/>
      <c r="V39" s="851"/>
      <c r="W39" s="851"/>
      <c r="X39" s="851"/>
      <c r="Y39" s="851"/>
      <c r="Z39" s="851"/>
      <c r="AA39" s="851"/>
      <c r="AB39" s="851"/>
      <c r="AC39" s="851"/>
      <c r="AD39" s="851"/>
      <c r="AE39" s="851"/>
      <c r="AF39" s="851"/>
      <c r="AG39" s="851"/>
      <c r="AH39" s="852"/>
      <c r="AI39" s="852"/>
      <c r="AJ39" s="852"/>
      <c r="AK39" s="852"/>
      <c r="AL39" s="852"/>
      <c r="AM39" s="852"/>
      <c r="AN39" s="852"/>
      <c r="AO39" s="852"/>
      <c r="AP39" s="852"/>
      <c r="AQ39" s="852"/>
      <c r="AR39" s="852"/>
      <c r="AS39" s="852"/>
      <c r="AT39" s="852"/>
      <c r="AU39" s="852"/>
      <c r="AV39" s="852"/>
      <c r="AW39" s="852"/>
      <c r="AX39" s="849"/>
      <c r="AY39" s="847"/>
      <c r="AZ39" s="847"/>
      <c r="BA39" s="847"/>
      <c r="BB39" s="847"/>
      <c r="BC39" s="853"/>
      <c r="BD39" s="854"/>
      <c r="BE39" s="854"/>
      <c r="BF39" s="854"/>
      <c r="BG39" s="854"/>
      <c r="BH39" s="854"/>
      <c r="BI39" s="854"/>
      <c r="BJ39" s="854"/>
      <c r="BK39" s="854"/>
      <c r="BL39" s="854"/>
      <c r="BM39" s="854"/>
      <c r="BN39" s="854"/>
      <c r="BO39" s="854"/>
      <c r="BP39" s="854"/>
      <c r="BQ39" s="854"/>
      <c r="BR39" s="854"/>
      <c r="BS39" s="854"/>
      <c r="BT39" s="854"/>
      <c r="BU39" s="870">
        <v>20</v>
      </c>
      <c r="BV39" s="860" t="s">
        <v>45</v>
      </c>
      <c r="BW39" s="854"/>
      <c r="BX39" s="871">
        <v>0</v>
      </c>
      <c r="BY39" s="872">
        <f t="shared" ref="BY39:BY44" ca="1" si="13">IF(BJ$299=0,0,BX39/BJ$299*100)</f>
        <v>0</v>
      </c>
      <c r="BZ39" s="871">
        <v>0</v>
      </c>
      <c r="CA39" s="872">
        <f t="shared" ref="CA39:CA44" ca="1" si="14">IF(BL$299=0,0,BZ39/BL$299*100)</f>
        <v>0</v>
      </c>
      <c r="CB39" s="871">
        <v>0</v>
      </c>
      <c r="CC39" s="872">
        <f t="shared" ref="CC39:CC44" ca="1" si="15">IF(BN$299=0,0,CB39/BN$299*100)</f>
        <v>0</v>
      </c>
      <c r="CD39" s="871">
        <v>0</v>
      </c>
      <c r="CE39" s="872">
        <f t="shared" ref="CE39:CE44" ca="1" si="16">IF(BP$299=0,0,CD39/BP$299*100)</f>
        <v>0</v>
      </c>
      <c r="CF39" s="854"/>
      <c r="CG39" s="854" t="s">
        <v>45</v>
      </c>
    </row>
    <row r="40" spans="1:85" ht="15.75" customHeight="1">
      <c r="A40" s="847"/>
      <c r="B40" s="1154">
        <f t="shared" si="12"/>
        <v>25</v>
      </c>
      <c r="C40" s="1166" t="s">
        <v>118</v>
      </c>
      <c r="D40" s="1155"/>
      <c r="E40" s="1156">
        <v>2500</v>
      </c>
      <c r="F40" s="1153">
        <f t="shared" si="2"/>
        <v>2.029220779220779</v>
      </c>
      <c r="G40" s="1156">
        <v>2501</v>
      </c>
      <c r="H40" s="1153">
        <f t="shared" si="3"/>
        <v>2.0281393180067306</v>
      </c>
      <c r="I40" s="1156">
        <v>2502</v>
      </c>
      <c r="J40" s="1153">
        <f t="shared" si="4"/>
        <v>2.0270598719922224</v>
      </c>
      <c r="K40" s="1156">
        <v>2503</v>
      </c>
      <c r="L40" s="1153">
        <f t="shared" si="5"/>
        <v>2.0259824355497997</v>
      </c>
      <c r="M40" s="869"/>
      <c r="N40" s="849"/>
      <c r="O40" s="850"/>
      <c r="P40" s="850"/>
      <c r="Q40" s="850"/>
      <c r="R40" s="850"/>
      <c r="S40" s="850"/>
      <c r="T40" s="851"/>
      <c r="U40" s="851"/>
      <c r="V40" s="851"/>
      <c r="W40" s="851"/>
      <c r="X40" s="851"/>
      <c r="Y40" s="851"/>
      <c r="Z40" s="851"/>
      <c r="AA40" s="851"/>
      <c r="AB40" s="851"/>
      <c r="AC40" s="851"/>
      <c r="AD40" s="851"/>
      <c r="AE40" s="851"/>
      <c r="AF40" s="851"/>
      <c r="AG40" s="851"/>
      <c r="AH40" s="852"/>
      <c r="AI40" s="852"/>
      <c r="AJ40" s="852"/>
      <c r="AK40" s="852"/>
      <c r="AL40" s="852"/>
      <c r="AM40" s="852"/>
      <c r="AN40" s="852"/>
      <c r="AO40" s="852"/>
      <c r="AP40" s="852"/>
      <c r="AQ40" s="852"/>
      <c r="AR40" s="852"/>
      <c r="AS40" s="852"/>
      <c r="AT40" s="852"/>
      <c r="AU40" s="852"/>
      <c r="AV40" s="852"/>
      <c r="AW40" s="852"/>
      <c r="AX40" s="849"/>
      <c r="AY40" s="847"/>
      <c r="AZ40" s="847"/>
      <c r="BA40" s="847"/>
      <c r="BB40" s="847"/>
      <c r="BC40" s="853"/>
      <c r="BD40" s="854"/>
      <c r="BE40" s="854"/>
      <c r="BF40" s="854"/>
      <c r="BG40" s="854"/>
      <c r="BH40" s="854"/>
      <c r="BI40" s="854"/>
      <c r="BJ40" s="854"/>
      <c r="BK40" s="854"/>
      <c r="BL40" s="854"/>
      <c r="BM40" s="854"/>
      <c r="BN40" s="854"/>
      <c r="BO40" s="854"/>
      <c r="BP40" s="854"/>
      <c r="BQ40" s="854"/>
      <c r="BR40" s="854"/>
      <c r="BS40" s="854"/>
      <c r="BT40" s="854"/>
      <c r="BU40" s="870">
        <v>21</v>
      </c>
      <c r="BV40" s="860" t="s">
        <v>45</v>
      </c>
      <c r="BW40" s="854"/>
      <c r="BX40" s="871">
        <v>0</v>
      </c>
      <c r="BY40" s="872">
        <f t="shared" ca="1" si="13"/>
        <v>0</v>
      </c>
      <c r="BZ40" s="871">
        <v>0</v>
      </c>
      <c r="CA40" s="872">
        <f t="shared" ca="1" si="14"/>
        <v>0</v>
      </c>
      <c r="CB40" s="871">
        <v>0</v>
      </c>
      <c r="CC40" s="872">
        <f t="shared" ca="1" si="15"/>
        <v>0</v>
      </c>
      <c r="CD40" s="871">
        <v>0</v>
      </c>
      <c r="CE40" s="872">
        <f t="shared" ca="1" si="16"/>
        <v>0</v>
      </c>
      <c r="CF40" s="854"/>
      <c r="CG40" s="854" t="s">
        <v>45</v>
      </c>
    </row>
    <row r="41" spans="1:85" ht="15.75" customHeight="1">
      <c r="A41" s="847"/>
      <c r="B41" s="1154">
        <f t="shared" si="12"/>
        <v>26</v>
      </c>
      <c r="C41" s="1166" t="s">
        <v>119</v>
      </c>
      <c r="D41" s="1155"/>
      <c r="E41" s="1156">
        <v>2600</v>
      </c>
      <c r="F41" s="1153">
        <f t="shared" si="2"/>
        <v>2.1103896103896105</v>
      </c>
      <c r="G41" s="1156">
        <v>2601</v>
      </c>
      <c r="H41" s="1153">
        <f t="shared" si="3"/>
        <v>2.1092324534728135</v>
      </c>
      <c r="I41" s="1156">
        <v>2602</v>
      </c>
      <c r="J41" s="1153">
        <f t="shared" si="4"/>
        <v>2.1080774528072594</v>
      </c>
      <c r="K41" s="1156">
        <v>2603</v>
      </c>
      <c r="L41" s="1153">
        <f t="shared" si="5"/>
        <v>2.1069246023716053</v>
      </c>
      <c r="M41" s="869"/>
      <c r="N41" s="849"/>
      <c r="O41" s="850"/>
      <c r="P41" s="850"/>
      <c r="Q41" s="850"/>
      <c r="R41" s="850"/>
      <c r="S41" s="850"/>
      <c r="T41" s="851"/>
      <c r="U41" s="851"/>
      <c r="V41" s="851"/>
      <c r="W41" s="851"/>
      <c r="X41" s="851"/>
      <c r="Y41" s="851"/>
      <c r="Z41" s="851"/>
      <c r="AA41" s="851"/>
      <c r="AB41" s="851"/>
      <c r="AC41" s="851"/>
      <c r="AD41" s="851"/>
      <c r="AE41" s="851"/>
      <c r="AF41" s="851"/>
      <c r="AG41" s="851"/>
      <c r="AH41" s="852"/>
      <c r="AI41" s="852"/>
      <c r="AJ41" s="852"/>
      <c r="AK41" s="852"/>
      <c r="AL41" s="852"/>
      <c r="AM41" s="852"/>
      <c r="AN41" s="852"/>
      <c r="AO41" s="852"/>
      <c r="AP41" s="852"/>
      <c r="AQ41" s="852"/>
      <c r="AR41" s="852"/>
      <c r="AS41" s="852"/>
      <c r="AT41" s="852"/>
      <c r="AU41" s="852"/>
      <c r="AV41" s="852"/>
      <c r="AW41" s="852"/>
      <c r="AX41" s="849"/>
      <c r="AY41" s="847"/>
      <c r="AZ41" s="847"/>
      <c r="BA41" s="847"/>
      <c r="BB41" s="847"/>
      <c r="BC41" s="853"/>
      <c r="BD41" s="854"/>
      <c r="BE41" s="854"/>
      <c r="BF41" s="854"/>
      <c r="BG41" s="854"/>
      <c r="BH41" s="854"/>
      <c r="BI41" s="854"/>
      <c r="BJ41" s="854"/>
      <c r="BK41" s="854"/>
      <c r="BL41" s="854"/>
      <c r="BM41" s="854"/>
      <c r="BN41" s="854"/>
      <c r="BO41" s="854"/>
      <c r="BP41" s="854"/>
      <c r="BQ41" s="854"/>
      <c r="BR41" s="854"/>
      <c r="BS41" s="854"/>
      <c r="BT41" s="854"/>
      <c r="BU41" s="870">
        <v>22</v>
      </c>
      <c r="BV41" s="860" t="s">
        <v>45</v>
      </c>
      <c r="BW41" s="854"/>
      <c r="BX41" s="871">
        <v>0</v>
      </c>
      <c r="BY41" s="872">
        <f t="shared" ca="1" si="13"/>
        <v>0</v>
      </c>
      <c r="BZ41" s="871">
        <v>0</v>
      </c>
      <c r="CA41" s="872">
        <f t="shared" ca="1" si="14"/>
        <v>0</v>
      </c>
      <c r="CB41" s="871">
        <v>0</v>
      </c>
      <c r="CC41" s="872">
        <f t="shared" ca="1" si="15"/>
        <v>0</v>
      </c>
      <c r="CD41" s="871">
        <v>0</v>
      </c>
      <c r="CE41" s="872">
        <f t="shared" ca="1" si="16"/>
        <v>0</v>
      </c>
      <c r="CF41" s="854"/>
      <c r="CG41" s="854" t="s">
        <v>45</v>
      </c>
    </row>
    <row r="42" spans="1:85" ht="15.75" customHeight="1">
      <c r="A42" s="847"/>
      <c r="B42" s="1154">
        <f t="shared" si="12"/>
        <v>27</v>
      </c>
      <c r="C42" s="1166" t="s">
        <v>120</v>
      </c>
      <c r="D42" s="1155"/>
      <c r="E42" s="1156">
        <v>2700</v>
      </c>
      <c r="F42" s="1153">
        <f t="shared" si="2"/>
        <v>2.1915584415584415</v>
      </c>
      <c r="G42" s="1156">
        <v>2701</v>
      </c>
      <c r="H42" s="1153">
        <f t="shared" si="3"/>
        <v>2.1903255889388964</v>
      </c>
      <c r="I42" s="1156">
        <v>2702</v>
      </c>
      <c r="J42" s="1153">
        <f t="shared" si="4"/>
        <v>2.1890950336222961</v>
      </c>
      <c r="K42" s="1156">
        <v>2703</v>
      </c>
      <c r="L42" s="1153">
        <f t="shared" si="5"/>
        <v>2.1878667691934113</v>
      </c>
      <c r="M42" s="869"/>
      <c r="N42" s="849"/>
      <c r="O42" s="850"/>
      <c r="P42" s="850"/>
      <c r="Q42" s="850"/>
      <c r="R42" s="850"/>
      <c r="S42" s="850"/>
      <c r="T42" s="851"/>
      <c r="U42" s="851"/>
      <c r="V42" s="851"/>
      <c r="W42" s="851"/>
      <c r="X42" s="851"/>
      <c r="Y42" s="851"/>
      <c r="Z42" s="851"/>
      <c r="AA42" s="851"/>
      <c r="AB42" s="851"/>
      <c r="AC42" s="851"/>
      <c r="AD42" s="851"/>
      <c r="AE42" s="851"/>
      <c r="AF42" s="851"/>
      <c r="AG42" s="851"/>
      <c r="AH42" s="852"/>
      <c r="AI42" s="852"/>
      <c r="AJ42" s="852"/>
      <c r="AK42" s="852"/>
      <c r="AL42" s="852"/>
      <c r="AM42" s="852"/>
      <c r="AN42" s="852"/>
      <c r="AO42" s="852"/>
      <c r="AP42" s="852"/>
      <c r="AQ42" s="852"/>
      <c r="AR42" s="852"/>
      <c r="AS42" s="852"/>
      <c r="AT42" s="852"/>
      <c r="AU42" s="852"/>
      <c r="AV42" s="852"/>
      <c r="AW42" s="852"/>
      <c r="AX42" s="849"/>
      <c r="AY42" s="847"/>
      <c r="AZ42" s="847"/>
      <c r="BA42" s="847"/>
      <c r="BB42" s="847"/>
      <c r="BC42" s="853"/>
      <c r="BD42" s="854"/>
      <c r="BE42" s="854"/>
      <c r="BF42" s="854"/>
      <c r="BG42" s="854"/>
      <c r="BH42" s="854"/>
      <c r="BI42" s="854"/>
      <c r="BJ42" s="854"/>
      <c r="BK42" s="854"/>
      <c r="BL42" s="854"/>
      <c r="BM42" s="854"/>
      <c r="BN42" s="854"/>
      <c r="BO42" s="854"/>
      <c r="BP42" s="854"/>
      <c r="BQ42" s="854"/>
      <c r="BR42" s="854"/>
      <c r="BS42" s="854"/>
      <c r="BT42" s="854"/>
      <c r="BU42" s="870">
        <v>23</v>
      </c>
      <c r="BV42" s="860" t="s">
        <v>45</v>
      </c>
      <c r="BW42" s="854"/>
      <c r="BX42" s="871">
        <v>0</v>
      </c>
      <c r="BY42" s="872">
        <f t="shared" ca="1" si="13"/>
        <v>0</v>
      </c>
      <c r="BZ42" s="871">
        <v>0</v>
      </c>
      <c r="CA42" s="872">
        <f t="shared" ca="1" si="14"/>
        <v>0</v>
      </c>
      <c r="CB42" s="871">
        <v>0</v>
      </c>
      <c r="CC42" s="872">
        <f t="shared" ca="1" si="15"/>
        <v>0</v>
      </c>
      <c r="CD42" s="871">
        <v>0</v>
      </c>
      <c r="CE42" s="872">
        <f t="shared" ca="1" si="16"/>
        <v>0</v>
      </c>
      <c r="CF42" s="854"/>
      <c r="CG42" s="854" t="s">
        <v>45</v>
      </c>
    </row>
    <row r="43" spans="1:85" ht="15.75" customHeight="1">
      <c r="A43" s="847"/>
      <c r="B43" s="1154">
        <f t="shared" si="12"/>
        <v>28</v>
      </c>
      <c r="C43" s="1166" t="s">
        <v>121</v>
      </c>
      <c r="D43" s="1155"/>
      <c r="E43" s="1156">
        <v>2800</v>
      </c>
      <c r="F43" s="1153">
        <f t="shared" si="2"/>
        <v>2.2727272727272729</v>
      </c>
      <c r="G43" s="1156">
        <v>2801</v>
      </c>
      <c r="H43" s="1153">
        <f t="shared" si="3"/>
        <v>2.2714187244049793</v>
      </c>
      <c r="I43" s="1156">
        <v>2802</v>
      </c>
      <c r="J43" s="1153">
        <f t="shared" si="4"/>
        <v>2.2701126144373327</v>
      </c>
      <c r="K43" s="1156">
        <v>2803</v>
      </c>
      <c r="L43" s="1153">
        <f t="shared" si="5"/>
        <v>2.2688089360152168</v>
      </c>
      <c r="M43" s="873"/>
      <c r="N43" s="849"/>
      <c r="O43" s="850"/>
      <c r="P43" s="850"/>
      <c r="Q43" s="850"/>
      <c r="R43" s="850"/>
      <c r="S43" s="850"/>
      <c r="T43" s="851"/>
      <c r="U43" s="851"/>
      <c r="V43" s="851"/>
      <c r="W43" s="851"/>
      <c r="X43" s="851"/>
      <c r="Y43" s="851"/>
      <c r="Z43" s="851"/>
      <c r="AA43" s="851"/>
      <c r="AB43" s="851"/>
      <c r="AC43" s="851"/>
      <c r="AD43" s="851"/>
      <c r="AE43" s="851"/>
      <c r="AF43" s="851"/>
      <c r="AG43" s="851"/>
      <c r="AH43" s="852"/>
      <c r="AI43" s="852"/>
      <c r="AJ43" s="852"/>
      <c r="AK43" s="852"/>
      <c r="AL43" s="852"/>
      <c r="AM43" s="852"/>
      <c r="AN43" s="852"/>
      <c r="AO43" s="852"/>
      <c r="AP43" s="852"/>
      <c r="AQ43" s="852"/>
      <c r="AR43" s="852"/>
      <c r="AS43" s="852"/>
      <c r="AT43" s="852"/>
      <c r="AU43" s="852"/>
      <c r="AV43" s="852"/>
      <c r="AW43" s="852"/>
      <c r="AX43" s="849"/>
      <c r="AY43" s="847"/>
      <c r="AZ43" s="847"/>
      <c r="BA43" s="847"/>
      <c r="BB43" s="847"/>
      <c r="BC43" s="853"/>
      <c r="BD43" s="854"/>
      <c r="BE43" s="854"/>
      <c r="BF43" s="854"/>
      <c r="BG43" s="854"/>
      <c r="BH43" s="854"/>
      <c r="BI43" s="854"/>
      <c r="BJ43" s="854"/>
      <c r="BK43" s="854"/>
      <c r="BL43" s="854"/>
      <c r="BM43" s="854"/>
      <c r="BN43" s="854"/>
      <c r="BO43" s="854"/>
      <c r="BP43" s="854"/>
      <c r="BQ43" s="854"/>
      <c r="BR43" s="854"/>
      <c r="BS43" s="854"/>
      <c r="BT43" s="854"/>
      <c r="BU43" s="870">
        <v>24</v>
      </c>
      <c r="BV43" s="860" t="s">
        <v>45</v>
      </c>
      <c r="BW43" s="854"/>
      <c r="BX43" s="871">
        <v>0</v>
      </c>
      <c r="BY43" s="872">
        <f t="shared" ca="1" si="13"/>
        <v>0</v>
      </c>
      <c r="BZ43" s="871">
        <v>0</v>
      </c>
      <c r="CA43" s="872">
        <f t="shared" ca="1" si="14"/>
        <v>0</v>
      </c>
      <c r="CB43" s="871">
        <v>0</v>
      </c>
      <c r="CC43" s="872">
        <f t="shared" ca="1" si="15"/>
        <v>0</v>
      </c>
      <c r="CD43" s="871">
        <v>0</v>
      </c>
      <c r="CE43" s="872">
        <f t="shared" ca="1" si="16"/>
        <v>0</v>
      </c>
      <c r="CF43" s="854"/>
      <c r="CG43" s="854" t="s">
        <v>45</v>
      </c>
    </row>
    <row r="44" spans="1:85" ht="15.75" customHeight="1">
      <c r="A44" s="847"/>
      <c r="B44" s="1154">
        <f t="shared" si="12"/>
        <v>29</v>
      </c>
      <c r="C44" s="1166" t="s">
        <v>122</v>
      </c>
      <c r="D44" s="1155"/>
      <c r="E44" s="1168">
        <v>2900</v>
      </c>
      <c r="F44" s="1153">
        <f t="shared" si="2"/>
        <v>2.3538961038961039</v>
      </c>
      <c r="G44" s="1168">
        <v>2901</v>
      </c>
      <c r="H44" s="1153">
        <f t="shared" si="3"/>
        <v>2.3525118598710621</v>
      </c>
      <c r="I44" s="1168">
        <v>2902</v>
      </c>
      <c r="J44" s="1153">
        <f t="shared" si="4"/>
        <v>2.3511301952523698</v>
      </c>
      <c r="K44" s="1168">
        <v>2903</v>
      </c>
      <c r="L44" s="1153">
        <f t="shared" si="5"/>
        <v>2.3497511028370228</v>
      </c>
      <c r="M44" s="875"/>
      <c r="N44" s="876"/>
      <c r="O44" s="877"/>
      <c r="P44" s="877"/>
      <c r="Q44" s="877"/>
      <c r="R44" s="877"/>
      <c r="S44" s="877"/>
      <c r="T44" s="851"/>
      <c r="U44" s="851"/>
      <c r="V44" s="851"/>
      <c r="W44" s="851"/>
      <c r="X44" s="851"/>
      <c r="Y44" s="851"/>
      <c r="Z44" s="851"/>
      <c r="AA44" s="851"/>
      <c r="AB44" s="851"/>
      <c r="AC44" s="851"/>
      <c r="AD44" s="851"/>
      <c r="AE44" s="851"/>
      <c r="AF44" s="851"/>
      <c r="AG44" s="851"/>
      <c r="AH44" s="852"/>
      <c r="AI44" s="852"/>
      <c r="AJ44" s="852"/>
      <c r="AK44" s="852"/>
      <c r="AL44" s="852"/>
      <c r="AM44" s="852"/>
      <c r="AN44" s="852"/>
      <c r="AO44" s="852"/>
      <c r="AP44" s="852"/>
      <c r="AQ44" s="852"/>
      <c r="AR44" s="852"/>
      <c r="AS44" s="852"/>
      <c r="AT44" s="852"/>
      <c r="AU44" s="852"/>
      <c r="AV44" s="852"/>
      <c r="AW44" s="852"/>
      <c r="AX44" s="876"/>
      <c r="AY44" s="847"/>
      <c r="AZ44" s="847"/>
      <c r="BA44" s="847"/>
      <c r="BB44" s="847"/>
      <c r="BC44" s="853"/>
      <c r="BD44" s="854"/>
      <c r="BE44" s="854"/>
      <c r="BF44" s="854"/>
      <c r="BG44" s="854"/>
      <c r="BH44" s="854"/>
      <c r="BI44" s="854"/>
      <c r="BJ44" s="854"/>
      <c r="BK44" s="854"/>
      <c r="BL44" s="854"/>
      <c r="BM44" s="854"/>
      <c r="BN44" s="854"/>
      <c r="BO44" s="854"/>
      <c r="BP44" s="854"/>
      <c r="BQ44" s="854"/>
      <c r="BR44" s="854"/>
      <c r="BS44" s="854"/>
      <c r="BT44" s="854"/>
      <c r="BU44" s="870">
        <v>25</v>
      </c>
      <c r="BV44" s="860" t="s">
        <v>45</v>
      </c>
      <c r="BW44" s="854"/>
      <c r="BX44" s="871">
        <v>0</v>
      </c>
      <c r="BY44" s="872">
        <f t="shared" ca="1" si="13"/>
        <v>0</v>
      </c>
      <c r="BZ44" s="871">
        <v>0</v>
      </c>
      <c r="CA44" s="872">
        <f t="shared" ca="1" si="14"/>
        <v>0</v>
      </c>
      <c r="CB44" s="871">
        <v>0</v>
      </c>
      <c r="CC44" s="872">
        <f t="shared" ca="1" si="15"/>
        <v>0</v>
      </c>
      <c r="CD44" s="871">
        <v>0</v>
      </c>
      <c r="CE44" s="872">
        <f t="shared" ca="1" si="16"/>
        <v>0</v>
      </c>
      <c r="CF44" s="854"/>
      <c r="CG44" s="854" t="s">
        <v>45</v>
      </c>
    </row>
    <row r="45" spans="1:85" ht="15.75" customHeight="1">
      <c r="A45" s="847"/>
      <c r="B45" s="1154">
        <f t="shared" si="12"/>
        <v>30</v>
      </c>
      <c r="C45" s="1169" t="s">
        <v>123</v>
      </c>
      <c r="D45" s="1155"/>
      <c r="E45" s="1170">
        <v>3000</v>
      </c>
      <c r="F45" s="1153">
        <f t="shared" si="2"/>
        <v>2.4350649350649354</v>
      </c>
      <c r="G45" s="1170">
        <v>3001</v>
      </c>
      <c r="H45" s="1153">
        <f t="shared" si="3"/>
        <v>2.4336049953371446</v>
      </c>
      <c r="I45" s="1170">
        <v>3002</v>
      </c>
      <c r="J45" s="1153">
        <f t="shared" si="4"/>
        <v>2.4321477760674068</v>
      </c>
      <c r="K45" s="1170">
        <v>3003</v>
      </c>
      <c r="L45" s="1153">
        <f t="shared" si="5"/>
        <v>2.4306932696588288</v>
      </c>
      <c r="M45" s="873"/>
      <c r="N45" s="849"/>
      <c r="O45" s="850"/>
      <c r="P45" s="850"/>
      <c r="Q45" s="850"/>
      <c r="R45" s="850"/>
      <c r="S45" s="850"/>
      <c r="T45" s="851"/>
      <c r="U45" s="851"/>
      <c r="V45" s="851"/>
      <c r="W45" s="851"/>
      <c r="X45" s="851"/>
      <c r="Y45" s="851"/>
      <c r="Z45" s="851"/>
      <c r="AA45" s="851"/>
      <c r="AB45" s="851"/>
      <c r="AC45" s="851"/>
      <c r="AD45" s="851"/>
      <c r="AE45" s="851"/>
      <c r="AF45" s="851"/>
      <c r="AG45" s="851"/>
      <c r="AH45" s="852"/>
      <c r="AI45" s="852"/>
      <c r="AJ45" s="852"/>
      <c r="AK45" s="852"/>
      <c r="AL45" s="852"/>
      <c r="AM45" s="852"/>
      <c r="AN45" s="852"/>
      <c r="AO45" s="852"/>
      <c r="AP45" s="852"/>
      <c r="AQ45" s="852"/>
      <c r="AR45" s="852"/>
      <c r="AS45" s="852"/>
      <c r="AT45" s="852"/>
      <c r="AU45" s="852"/>
      <c r="AV45" s="852"/>
      <c r="AW45" s="852"/>
      <c r="AX45" s="849"/>
      <c r="AY45" s="847"/>
      <c r="AZ45" s="847"/>
      <c r="BA45" s="847"/>
      <c r="BB45" s="847"/>
      <c r="BC45" s="853"/>
      <c r="BD45" s="854"/>
      <c r="BE45" s="854"/>
      <c r="BF45" s="854"/>
      <c r="BG45" s="854"/>
      <c r="BH45" s="854"/>
      <c r="BI45" s="854"/>
      <c r="BJ45" s="854"/>
      <c r="BK45" s="854"/>
      <c r="BL45" s="854"/>
      <c r="BM45" s="854"/>
      <c r="BN45" s="854"/>
      <c r="BO45" s="854"/>
      <c r="BP45" s="854"/>
      <c r="BQ45" s="854"/>
      <c r="BR45" s="854"/>
      <c r="BS45" s="854"/>
      <c r="BT45" s="854"/>
      <c r="BU45" s="870"/>
      <c r="BV45" s="861"/>
      <c r="BW45" s="854"/>
      <c r="BX45" s="878"/>
      <c r="BY45" s="872"/>
      <c r="BZ45" s="878"/>
      <c r="CA45" s="872"/>
      <c r="CB45" s="878"/>
      <c r="CC45" s="872"/>
      <c r="CD45" s="878"/>
      <c r="CE45" s="872"/>
      <c r="CF45" s="854"/>
      <c r="CG45" s="854"/>
    </row>
    <row r="46" spans="1:85" ht="15.75" customHeight="1">
      <c r="A46" s="847"/>
      <c r="B46" s="1154">
        <f t="shared" si="12"/>
        <v>31</v>
      </c>
      <c r="C46" s="1166" t="s">
        <v>124</v>
      </c>
      <c r="D46" s="1155"/>
      <c r="E46" s="1156">
        <v>3100</v>
      </c>
      <c r="F46" s="1153">
        <f t="shared" si="2"/>
        <v>2.5162337662337664</v>
      </c>
      <c r="G46" s="1156">
        <v>3101</v>
      </c>
      <c r="H46" s="1153">
        <f t="shared" si="3"/>
        <v>2.5146981308032275</v>
      </c>
      <c r="I46" s="1156">
        <v>3102</v>
      </c>
      <c r="J46" s="1153">
        <f t="shared" si="4"/>
        <v>2.5131653568824435</v>
      </c>
      <c r="K46" s="1156">
        <v>3103</v>
      </c>
      <c r="L46" s="1153">
        <f t="shared" si="5"/>
        <v>2.5116354364806344</v>
      </c>
      <c r="M46" s="873"/>
      <c r="N46" s="849"/>
      <c r="O46" s="850"/>
      <c r="P46" s="850"/>
      <c r="Q46" s="850"/>
      <c r="R46" s="850"/>
      <c r="S46" s="850"/>
      <c r="T46" s="851"/>
      <c r="U46" s="851"/>
      <c r="V46" s="851"/>
      <c r="W46" s="851"/>
      <c r="X46" s="851"/>
      <c r="Y46" s="851"/>
      <c r="Z46" s="851"/>
      <c r="AA46" s="851"/>
      <c r="AB46" s="851"/>
      <c r="AC46" s="851"/>
      <c r="AD46" s="851"/>
      <c r="AE46" s="851"/>
      <c r="AF46" s="851"/>
      <c r="AG46" s="851"/>
      <c r="AH46" s="852"/>
      <c r="AI46" s="852"/>
      <c r="AJ46" s="852"/>
      <c r="AK46" s="852"/>
      <c r="AL46" s="852"/>
      <c r="AM46" s="852"/>
      <c r="AN46" s="852"/>
      <c r="AO46" s="852"/>
      <c r="AP46" s="852"/>
      <c r="AQ46" s="852"/>
      <c r="AR46" s="852"/>
      <c r="AS46" s="852"/>
      <c r="AT46" s="852"/>
      <c r="AU46" s="852"/>
      <c r="AV46" s="852"/>
      <c r="AW46" s="852"/>
      <c r="AX46" s="849"/>
      <c r="AY46" s="847"/>
      <c r="AZ46" s="847"/>
      <c r="BA46" s="847"/>
      <c r="BB46" s="847"/>
      <c r="BC46" s="853"/>
      <c r="BD46" s="854"/>
      <c r="BE46" s="854"/>
      <c r="BF46" s="854"/>
      <c r="BG46" s="854"/>
      <c r="BH46" s="854"/>
      <c r="BI46" s="854"/>
      <c r="BJ46" s="854"/>
      <c r="BK46" s="854"/>
      <c r="BL46" s="854"/>
      <c r="BM46" s="854"/>
      <c r="BN46" s="854"/>
      <c r="BO46" s="854"/>
      <c r="BP46" s="854"/>
      <c r="BQ46" s="854"/>
      <c r="BR46" s="854"/>
      <c r="BS46" s="854"/>
      <c r="BT46" s="854"/>
      <c r="BU46" s="870">
        <v>26</v>
      </c>
      <c r="BV46" s="860" t="s">
        <v>45</v>
      </c>
      <c r="BW46" s="854"/>
      <c r="BX46" s="871">
        <v>0</v>
      </c>
      <c r="BY46" s="872">
        <f ca="1">IF(BJ$299=0,0,BX46/BJ$299*100)</f>
        <v>0</v>
      </c>
      <c r="BZ46" s="871">
        <v>0</v>
      </c>
      <c r="CA46" s="872">
        <f ca="1">IF(BL$299=0,0,BZ46/BL$299*100)</f>
        <v>0</v>
      </c>
      <c r="CB46" s="871">
        <v>0</v>
      </c>
      <c r="CC46" s="872">
        <f ca="1">IF(BN$299=0,0,CB46/BN$299*100)</f>
        <v>0</v>
      </c>
      <c r="CD46" s="871">
        <v>0</v>
      </c>
      <c r="CE46" s="872">
        <f ca="1">IF(BP$299=0,0,CD46/BP$299*100)</f>
        <v>0</v>
      </c>
      <c r="CF46" s="854"/>
      <c r="CG46" s="854" t="s">
        <v>45</v>
      </c>
    </row>
    <row r="47" spans="1:85" ht="15.75" customHeight="1">
      <c r="A47" s="847"/>
      <c r="B47" s="1171">
        <f t="shared" ref="B47:B49" si="17">B46+1</f>
        <v>32</v>
      </c>
      <c r="C47" s="1172" t="s">
        <v>125</v>
      </c>
      <c r="D47" s="1173"/>
      <c r="E47" s="1156">
        <v>3200</v>
      </c>
      <c r="F47" s="1153">
        <f t="shared" si="2"/>
        <v>2.5974025974025974</v>
      </c>
      <c r="G47" s="1156">
        <v>3201</v>
      </c>
      <c r="H47" s="1153">
        <f t="shared" si="3"/>
        <v>2.5957912662693103</v>
      </c>
      <c r="I47" s="1156">
        <v>3202</v>
      </c>
      <c r="J47" s="1153">
        <f t="shared" si="4"/>
        <v>2.5941829376974805</v>
      </c>
      <c r="K47" s="1156">
        <v>3203</v>
      </c>
      <c r="L47" s="1153">
        <f t="shared" si="5"/>
        <v>2.5925776033024404</v>
      </c>
      <c r="M47" s="873"/>
      <c r="N47" s="849"/>
      <c r="O47" s="850"/>
      <c r="P47" s="850"/>
      <c r="Q47" s="850"/>
      <c r="R47" s="850"/>
      <c r="S47" s="850"/>
      <c r="T47" s="851"/>
      <c r="U47" s="851"/>
      <c r="V47" s="851"/>
      <c r="W47" s="851"/>
      <c r="X47" s="851"/>
      <c r="Y47" s="851"/>
      <c r="Z47" s="851"/>
      <c r="AA47" s="851"/>
      <c r="AB47" s="851"/>
      <c r="AC47" s="851"/>
      <c r="AD47" s="851"/>
      <c r="AE47" s="851"/>
      <c r="AF47" s="851"/>
      <c r="AG47" s="851"/>
      <c r="AH47" s="852"/>
      <c r="AI47" s="852"/>
      <c r="AJ47" s="852"/>
      <c r="AK47" s="852"/>
      <c r="AL47" s="852"/>
      <c r="AM47" s="852"/>
      <c r="AN47" s="852"/>
      <c r="AO47" s="852"/>
      <c r="AP47" s="852"/>
      <c r="AQ47" s="852"/>
      <c r="AR47" s="852"/>
      <c r="AS47" s="852"/>
      <c r="AT47" s="852"/>
      <c r="AU47" s="852"/>
      <c r="AV47" s="852"/>
      <c r="AW47" s="852"/>
      <c r="AX47" s="849"/>
      <c r="AY47" s="847"/>
      <c r="AZ47" s="847"/>
      <c r="BA47" s="847"/>
      <c r="BB47" s="847"/>
      <c r="BC47" s="853"/>
      <c r="BD47" s="854"/>
      <c r="BE47" s="854"/>
      <c r="BF47" s="854"/>
      <c r="BG47" s="854"/>
      <c r="BH47" s="854"/>
      <c r="BI47" s="854"/>
      <c r="BJ47" s="854"/>
      <c r="BK47" s="854"/>
      <c r="BL47" s="854"/>
      <c r="BM47" s="854"/>
      <c r="BN47" s="854"/>
      <c r="BO47" s="854"/>
      <c r="BP47" s="854"/>
      <c r="BQ47" s="854"/>
      <c r="BR47" s="854"/>
      <c r="BS47" s="854"/>
      <c r="BT47" s="854"/>
      <c r="BU47" s="870"/>
      <c r="BV47" s="860"/>
      <c r="BW47" s="854"/>
      <c r="BX47" s="871"/>
      <c r="BY47" s="872"/>
      <c r="BZ47" s="871"/>
      <c r="CA47" s="872"/>
      <c r="CB47" s="871"/>
      <c r="CC47" s="872"/>
      <c r="CD47" s="871"/>
      <c r="CE47" s="872"/>
      <c r="CF47" s="854"/>
      <c r="CG47" s="854"/>
    </row>
    <row r="48" spans="1:85" ht="15.75" customHeight="1">
      <c r="A48" s="847"/>
      <c r="B48" s="1171">
        <f t="shared" si="17"/>
        <v>33</v>
      </c>
      <c r="C48" s="1172" t="s">
        <v>126</v>
      </c>
      <c r="D48" s="1173"/>
      <c r="E48" s="1156">
        <v>3300</v>
      </c>
      <c r="F48" s="1153">
        <f t="shared" ref="F48:F73" si="18">IF(E$73=0,0,E48/E$73*100)</f>
        <v>2.6785714285714284</v>
      </c>
      <c r="G48" s="1156">
        <v>3301</v>
      </c>
      <c r="H48" s="1153">
        <f t="shared" ref="H48:H73" si="19">IF(G$73=0,0,G48/G$73*100)</f>
        <v>2.6768844017353932</v>
      </c>
      <c r="I48" s="1156">
        <v>3302</v>
      </c>
      <c r="J48" s="1153">
        <f t="shared" ref="J48:J73" si="20">IF(I$73=0,0,I48/I$73*100)</f>
        <v>2.6752005185125172</v>
      </c>
      <c r="K48" s="1156">
        <v>3303</v>
      </c>
      <c r="L48" s="1153">
        <f t="shared" ref="L48:L73" si="21">IF(K$73=0,0,K48/K$73*100)</f>
        <v>2.6735197701242464</v>
      </c>
      <c r="M48" s="873"/>
      <c r="N48" s="849"/>
      <c r="O48" s="850"/>
      <c r="P48" s="850"/>
      <c r="Q48" s="850"/>
      <c r="R48" s="850"/>
      <c r="S48" s="850"/>
      <c r="T48" s="851"/>
      <c r="U48" s="851"/>
      <c r="V48" s="851"/>
      <c r="W48" s="851"/>
      <c r="X48" s="851"/>
      <c r="Y48" s="851"/>
      <c r="Z48" s="851"/>
      <c r="AA48" s="851"/>
      <c r="AB48" s="851"/>
      <c r="AC48" s="851"/>
      <c r="AD48" s="851"/>
      <c r="AE48" s="851"/>
      <c r="AF48" s="851"/>
      <c r="AG48" s="851"/>
      <c r="AH48" s="852"/>
      <c r="AI48" s="852"/>
      <c r="AJ48" s="852"/>
      <c r="AK48" s="852"/>
      <c r="AL48" s="852"/>
      <c r="AM48" s="852"/>
      <c r="AN48" s="852"/>
      <c r="AO48" s="852"/>
      <c r="AP48" s="852"/>
      <c r="AQ48" s="852"/>
      <c r="AR48" s="852"/>
      <c r="AS48" s="852"/>
      <c r="AT48" s="852"/>
      <c r="AU48" s="852"/>
      <c r="AV48" s="852"/>
      <c r="AW48" s="852"/>
      <c r="AX48" s="849"/>
      <c r="AY48" s="847"/>
      <c r="AZ48" s="847"/>
      <c r="BA48" s="847"/>
      <c r="BB48" s="847"/>
      <c r="BC48" s="853"/>
      <c r="BD48" s="854"/>
      <c r="BE48" s="854"/>
      <c r="BF48" s="854"/>
      <c r="BG48" s="854"/>
      <c r="BH48" s="854"/>
      <c r="BI48" s="854"/>
      <c r="BJ48" s="854"/>
      <c r="BK48" s="854"/>
      <c r="BL48" s="854"/>
      <c r="BM48" s="854"/>
      <c r="BN48" s="854"/>
      <c r="BO48" s="854"/>
      <c r="BP48" s="854"/>
      <c r="BQ48" s="854"/>
      <c r="BR48" s="854"/>
      <c r="BS48" s="854"/>
      <c r="BT48" s="854"/>
      <c r="BU48" s="870"/>
      <c r="BV48" s="860"/>
      <c r="BW48" s="854"/>
      <c r="BX48" s="871"/>
      <c r="BY48" s="872"/>
      <c r="BZ48" s="871"/>
      <c r="CA48" s="872"/>
      <c r="CB48" s="871"/>
      <c r="CC48" s="872"/>
      <c r="CD48" s="871"/>
      <c r="CE48" s="872"/>
      <c r="CF48" s="854"/>
      <c r="CG48" s="854"/>
    </row>
    <row r="49" spans="1:85" ht="16.5" customHeight="1">
      <c r="A49" s="847"/>
      <c r="B49" s="1157">
        <f t="shared" si="17"/>
        <v>34</v>
      </c>
      <c r="C49" s="1167" t="s">
        <v>127</v>
      </c>
      <c r="D49" s="1159"/>
      <c r="E49" s="1156">
        <v>3400</v>
      </c>
      <c r="F49" s="1153">
        <f t="shared" si="18"/>
        <v>2.7597402597402598</v>
      </c>
      <c r="G49" s="1156">
        <v>3401</v>
      </c>
      <c r="H49" s="1153">
        <f t="shared" si="19"/>
        <v>2.7579775372014761</v>
      </c>
      <c r="I49" s="1156">
        <v>3402</v>
      </c>
      <c r="J49" s="1153">
        <f t="shared" si="20"/>
        <v>2.7562180993275542</v>
      </c>
      <c r="K49" s="1156">
        <v>3403</v>
      </c>
      <c r="L49" s="1153">
        <f t="shared" si="21"/>
        <v>2.7544619369460519</v>
      </c>
      <c r="M49" s="869"/>
      <c r="N49" s="849"/>
      <c r="O49" s="850"/>
      <c r="P49" s="850"/>
      <c r="Q49" s="850"/>
      <c r="R49" s="850"/>
      <c r="S49" s="850"/>
      <c r="T49" s="851"/>
      <c r="U49" s="851"/>
      <c r="V49" s="851"/>
      <c r="W49" s="851"/>
      <c r="X49" s="851"/>
      <c r="Y49" s="851"/>
      <c r="Z49" s="851"/>
      <c r="AA49" s="851"/>
      <c r="AB49" s="851"/>
      <c r="AC49" s="851"/>
      <c r="AD49" s="851"/>
      <c r="AE49" s="851"/>
      <c r="AF49" s="851"/>
      <c r="AG49" s="851"/>
      <c r="AH49" s="852"/>
      <c r="AI49" s="852"/>
      <c r="AJ49" s="852"/>
      <c r="AK49" s="852"/>
      <c r="AL49" s="852"/>
      <c r="AM49" s="852"/>
      <c r="AN49" s="852"/>
      <c r="AO49" s="852"/>
      <c r="AP49" s="852"/>
      <c r="AQ49" s="852"/>
      <c r="AR49" s="852"/>
      <c r="AS49" s="852"/>
      <c r="AT49" s="852"/>
      <c r="AU49" s="852"/>
      <c r="AV49" s="852"/>
      <c r="AW49" s="852"/>
      <c r="AX49" s="849"/>
      <c r="AY49" s="847"/>
      <c r="AZ49" s="847"/>
      <c r="BA49" s="847"/>
      <c r="BB49" s="847"/>
      <c r="BC49" s="853"/>
      <c r="BD49" s="854"/>
      <c r="BE49" s="854"/>
      <c r="BF49" s="854"/>
      <c r="BG49" s="854"/>
      <c r="BH49" s="854"/>
      <c r="BI49" s="854"/>
      <c r="BJ49" s="854"/>
      <c r="BK49" s="854"/>
      <c r="BL49" s="854"/>
      <c r="BM49" s="854"/>
      <c r="BN49" s="854"/>
      <c r="BO49" s="854"/>
      <c r="BP49" s="854"/>
      <c r="BQ49" s="854"/>
      <c r="BR49" s="854"/>
      <c r="BS49" s="854"/>
      <c r="BT49" s="854"/>
      <c r="BU49" s="870">
        <v>27</v>
      </c>
      <c r="BV49" s="860" t="s">
        <v>45</v>
      </c>
      <c r="BW49" s="854"/>
      <c r="BX49" s="871">
        <v>0</v>
      </c>
      <c r="BY49" s="872">
        <f ca="1">IF(BJ$299=0,0,BX49/BJ$299*100)</f>
        <v>0</v>
      </c>
      <c r="BZ49" s="871">
        <v>0</v>
      </c>
      <c r="CA49" s="872">
        <f ca="1">IF(BL$299=0,0,BZ49/BL$299*100)</f>
        <v>0</v>
      </c>
      <c r="CB49" s="871">
        <v>0</v>
      </c>
      <c r="CC49" s="872">
        <f ca="1">IF(BN$299=0,0,CB49/BN$299*100)</f>
        <v>0</v>
      </c>
      <c r="CD49" s="871">
        <v>0</v>
      </c>
      <c r="CE49" s="872">
        <f ca="1">IF(BP$299=0,0,CD49/BP$299*100)</f>
        <v>0</v>
      </c>
      <c r="CF49" s="854"/>
      <c r="CG49" s="854" t="s">
        <v>45</v>
      </c>
    </row>
    <row r="50" spans="1:85" ht="16.5" customHeight="1">
      <c r="A50" s="847"/>
      <c r="B50" s="1160">
        <f t="shared" ref="B50:B57" si="22">+B49+1</f>
        <v>35</v>
      </c>
      <c r="C50" s="1161" t="s">
        <v>128</v>
      </c>
      <c r="D50" s="1162"/>
      <c r="E50" s="1163">
        <f>SUM(E35:E49)</f>
        <v>40500</v>
      </c>
      <c r="F50" s="1164">
        <f t="shared" si="18"/>
        <v>32.873376623376622</v>
      </c>
      <c r="G50" s="1163">
        <f>SUM(G35:G49)</f>
        <v>40515</v>
      </c>
      <c r="H50" s="1164">
        <f t="shared" si="19"/>
        <v>32.854883834083445</v>
      </c>
      <c r="I50" s="1163">
        <f>SUM(I35:I49)</f>
        <v>40530</v>
      </c>
      <c r="J50" s="1164">
        <f t="shared" si="20"/>
        <v>32.836425504334443</v>
      </c>
      <c r="K50" s="1163">
        <f>SUM(K35:K49)</f>
        <v>40545</v>
      </c>
      <c r="L50" s="1164">
        <f t="shared" si="21"/>
        <v>32.818001537901168</v>
      </c>
      <c r="M50" s="869"/>
      <c r="N50" s="849"/>
      <c r="O50" s="850"/>
      <c r="P50" s="850"/>
      <c r="Q50" s="850"/>
      <c r="R50" s="850"/>
      <c r="S50" s="850"/>
      <c r="T50" s="851"/>
      <c r="U50" s="851"/>
      <c r="V50" s="851"/>
      <c r="W50" s="851"/>
      <c r="X50" s="851"/>
      <c r="Y50" s="851"/>
      <c r="Z50" s="851"/>
      <c r="AA50" s="851"/>
      <c r="AB50" s="851"/>
      <c r="AC50" s="851"/>
      <c r="AD50" s="851"/>
      <c r="AE50" s="851"/>
      <c r="AF50" s="851"/>
      <c r="AG50" s="851"/>
      <c r="AH50" s="852"/>
      <c r="AI50" s="852"/>
      <c r="AJ50" s="852"/>
      <c r="AK50" s="852"/>
      <c r="AL50" s="852"/>
      <c r="AM50" s="852"/>
      <c r="AN50" s="852"/>
      <c r="AO50" s="852"/>
      <c r="AP50" s="852"/>
      <c r="AQ50" s="852"/>
      <c r="AR50" s="852"/>
      <c r="AS50" s="852"/>
      <c r="AT50" s="852"/>
      <c r="AU50" s="852"/>
      <c r="AV50" s="852"/>
      <c r="AW50" s="852"/>
      <c r="AX50" s="849"/>
      <c r="AY50" s="847"/>
      <c r="AZ50" s="847"/>
      <c r="BA50" s="847"/>
      <c r="BB50" s="847"/>
      <c r="BC50" s="853"/>
      <c r="BD50" s="854"/>
      <c r="BE50" s="854"/>
      <c r="BF50" s="854"/>
      <c r="BG50" s="854"/>
      <c r="BH50" s="854"/>
      <c r="BI50" s="854"/>
      <c r="BJ50" s="854"/>
      <c r="BK50" s="854"/>
      <c r="BL50" s="854"/>
      <c r="BM50" s="854"/>
      <c r="BN50" s="854"/>
      <c r="BO50" s="854"/>
      <c r="BP50" s="854"/>
      <c r="BQ50" s="854"/>
      <c r="BR50" s="854"/>
      <c r="BS50" s="854"/>
      <c r="BT50" s="854"/>
      <c r="BU50" s="870">
        <v>28</v>
      </c>
      <c r="BV50" s="860" t="s">
        <v>45</v>
      </c>
      <c r="BW50" s="854"/>
      <c r="BX50" s="871">
        <v>0</v>
      </c>
      <c r="BY50" s="872">
        <f ca="1">IF(BJ$299=0,0,BX50/BJ$299*100)</f>
        <v>0</v>
      </c>
      <c r="BZ50" s="871">
        <v>0</v>
      </c>
      <c r="CA50" s="872">
        <f ca="1">IF(BL$299=0,0,BZ50/BL$299*100)</f>
        <v>0</v>
      </c>
      <c r="CB50" s="871">
        <v>0</v>
      </c>
      <c r="CC50" s="872">
        <f ca="1">IF(BN$299=0,0,CB50/BN$299*100)</f>
        <v>0</v>
      </c>
      <c r="CD50" s="871">
        <v>0</v>
      </c>
      <c r="CE50" s="872">
        <f ca="1">IF(BP$299=0,0,CD50/BP$299*100)</f>
        <v>0</v>
      </c>
      <c r="CF50" s="854"/>
      <c r="CG50" s="854" t="s">
        <v>45</v>
      </c>
    </row>
    <row r="51" spans="1:85" ht="15.75" customHeight="1">
      <c r="A51" s="847"/>
      <c r="B51" s="1144">
        <f t="shared" si="22"/>
        <v>36</v>
      </c>
      <c r="C51" s="1165" t="s">
        <v>129</v>
      </c>
      <c r="D51" s="1146"/>
      <c r="E51" s="1147">
        <v>3600</v>
      </c>
      <c r="F51" s="1148">
        <f t="shared" si="18"/>
        <v>2.9220779220779218</v>
      </c>
      <c r="G51" s="1147">
        <v>3601</v>
      </c>
      <c r="H51" s="1148">
        <f t="shared" si="19"/>
        <v>2.9201638081336414</v>
      </c>
      <c r="I51" s="1147">
        <v>3602</v>
      </c>
      <c r="J51" s="1148">
        <f t="shared" si="20"/>
        <v>2.9182532609576279</v>
      </c>
      <c r="K51" s="1147">
        <v>3603</v>
      </c>
      <c r="L51" s="1148">
        <f t="shared" si="21"/>
        <v>2.9163462705896639</v>
      </c>
      <c r="M51" s="869"/>
      <c r="N51" s="849"/>
      <c r="O51" s="850"/>
      <c r="P51" s="850"/>
      <c r="Q51" s="850"/>
      <c r="R51" s="850"/>
      <c r="S51" s="850"/>
      <c r="T51" s="851"/>
      <c r="U51" s="851"/>
      <c r="V51" s="851"/>
      <c r="W51" s="851"/>
      <c r="X51" s="851"/>
      <c r="Y51" s="851"/>
      <c r="Z51" s="851"/>
      <c r="AA51" s="851"/>
      <c r="AB51" s="851"/>
      <c r="AC51" s="851"/>
      <c r="AD51" s="851"/>
      <c r="AE51" s="851"/>
      <c r="AF51" s="851"/>
      <c r="AG51" s="851"/>
      <c r="AH51" s="852"/>
      <c r="AI51" s="852"/>
      <c r="AJ51" s="852"/>
      <c r="AK51" s="852"/>
      <c r="AL51" s="852"/>
      <c r="AM51" s="852"/>
      <c r="AN51" s="852"/>
      <c r="AO51" s="852"/>
      <c r="AP51" s="852"/>
      <c r="AQ51" s="852"/>
      <c r="AR51" s="852"/>
      <c r="AS51" s="852"/>
      <c r="AT51" s="852"/>
      <c r="AU51" s="852"/>
      <c r="AV51" s="852"/>
      <c r="AW51" s="852"/>
      <c r="AX51" s="849"/>
      <c r="AY51" s="847"/>
      <c r="AZ51" s="847"/>
      <c r="BA51" s="847"/>
      <c r="BB51" s="847"/>
      <c r="BC51" s="853"/>
      <c r="BD51" s="854"/>
      <c r="BE51" s="854"/>
      <c r="BF51" s="854"/>
      <c r="BG51" s="854"/>
      <c r="BH51" s="854"/>
      <c r="BI51" s="854"/>
      <c r="BJ51" s="854"/>
      <c r="BK51" s="854"/>
      <c r="BL51" s="854"/>
      <c r="BM51" s="854"/>
      <c r="BN51" s="854"/>
      <c r="BO51" s="854"/>
      <c r="BP51" s="854"/>
      <c r="BQ51" s="854"/>
      <c r="BR51" s="854"/>
      <c r="BS51" s="854"/>
      <c r="BT51" s="854"/>
      <c r="BU51" s="870">
        <v>29</v>
      </c>
      <c r="BV51" s="860" t="s">
        <v>45</v>
      </c>
      <c r="BW51" s="854"/>
      <c r="BX51" s="871">
        <v>0</v>
      </c>
      <c r="BY51" s="872">
        <f ca="1">IF(BJ$299=0,0,BX51/BJ$299*100)</f>
        <v>0</v>
      </c>
      <c r="BZ51" s="871">
        <v>0</v>
      </c>
      <c r="CA51" s="872">
        <f ca="1">IF(BL$299=0,0,BZ51/BL$299*100)</f>
        <v>0</v>
      </c>
      <c r="CB51" s="871">
        <v>0</v>
      </c>
      <c r="CC51" s="872">
        <f ca="1">IF(BN$299=0,0,CB51/BN$299*100)</f>
        <v>0</v>
      </c>
      <c r="CD51" s="871">
        <v>0</v>
      </c>
      <c r="CE51" s="872">
        <f ca="1">IF(BP$299=0,0,CD51/BP$299*100)</f>
        <v>0</v>
      </c>
      <c r="CF51" s="854"/>
      <c r="CG51" s="854" t="s">
        <v>45</v>
      </c>
    </row>
    <row r="52" spans="1:85" ht="15.75" customHeight="1">
      <c r="A52" s="847"/>
      <c r="B52" s="1154">
        <f t="shared" si="22"/>
        <v>37</v>
      </c>
      <c r="C52" s="1166" t="s">
        <v>130</v>
      </c>
      <c r="D52" s="1155"/>
      <c r="E52" s="1156">
        <v>3700</v>
      </c>
      <c r="F52" s="1153">
        <f t="shared" si="18"/>
        <v>3.0032467532467533</v>
      </c>
      <c r="G52" s="1156">
        <v>3701</v>
      </c>
      <c r="H52" s="1153">
        <f t="shared" si="19"/>
        <v>3.0012569435997243</v>
      </c>
      <c r="I52" s="1156">
        <v>3702</v>
      </c>
      <c r="J52" s="1153">
        <f t="shared" si="20"/>
        <v>2.999270841772665</v>
      </c>
      <c r="K52" s="1156">
        <v>3703</v>
      </c>
      <c r="L52" s="1153">
        <f t="shared" si="21"/>
        <v>2.9972884374114694</v>
      </c>
      <c r="M52" s="869"/>
      <c r="N52" s="849"/>
      <c r="O52" s="850"/>
      <c r="P52" s="850"/>
      <c r="Q52" s="850"/>
      <c r="R52" s="850"/>
      <c r="S52" s="850"/>
      <c r="T52" s="851"/>
      <c r="U52" s="851"/>
      <c r="V52" s="851"/>
      <c r="W52" s="851"/>
      <c r="X52" s="851"/>
      <c r="Y52" s="851"/>
      <c r="Z52" s="851"/>
      <c r="AA52" s="851"/>
      <c r="AB52" s="851"/>
      <c r="AC52" s="851"/>
      <c r="AD52" s="851"/>
      <c r="AE52" s="851"/>
      <c r="AF52" s="851"/>
      <c r="AG52" s="851"/>
      <c r="AH52" s="852"/>
      <c r="AI52" s="852"/>
      <c r="AJ52" s="852"/>
      <c r="AK52" s="852"/>
      <c r="AL52" s="852"/>
      <c r="AM52" s="852"/>
      <c r="AN52" s="852"/>
      <c r="AO52" s="852"/>
      <c r="AP52" s="852"/>
      <c r="AQ52" s="852"/>
      <c r="AR52" s="852"/>
      <c r="AS52" s="852"/>
      <c r="AT52" s="852"/>
      <c r="AU52" s="852"/>
      <c r="AV52" s="852"/>
      <c r="AW52" s="852"/>
      <c r="AX52" s="849"/>
      <c r="AY52" s="847"/>
      <c r="AZ52" s="847"/>
      <c r="BA52" s="847"/>
      <c r="BB52" s="847"/>
      <c r="BC52" s="853"/>
      <c r="BD52" s="854"/>
      <c r="BE52" s="854"/>
      <c r="BF52" s="854"/>
      <c r="BG52" s="854"/>
      <c r="BH52" s="854"/>
      <c r="BI52" s="854"/>
      <c r="BJ52" s="854"/>
      <c r="BK52" s="854"/>
      <c r="BL52" s="854"/>
      <c r="BM52" s="854"/>
      <c r="BN52" s="854"/>
      <c r="BO52" s="854"/>
      <c r="BP52" s="854"/>
      <c r="BQ52" s="854"/>
      <c r="BR52" s="854"/>
      <c r="BS52" s="854"/>
      <c r="BT52" s="854"/>
      <c r="BU52" s="870">
        <v>30</v>
      </c>
      <c r="BV52" s="860" t="s">
        <v>131</v>
      </c>
      <c r="BW52" s="854"/>
      <c r="BX52" s="871">
        <v>0</v>
      </c>
      <c r="BY52" s="872">
        <f ca="1">IF(BJ$299=0,0,BX52/BJ$299*100)</f>
        <v>0</v>
      </c>
      <c r="BZ52" s="871">
        <v>0</v>
      </c>
      <c r="CA52" s="872">
        <f ca="1">IF(BL$299=0,0,BZ52/BL$299*100)</f>
        <v>0</v>
      </c>
      <c r="CB52" s="871">
        <v>0</v>
      </c>
      <c r="CC52" s="872">
        <f ca="1">IF(BN$299=0,0,CB52/BN$299*100)</f>
        <v>0</v>
      </c>
      <c r="CD52" s="871">
        <v>0</v>
      </c>
      <c r="CE52" s="872">
        <f ca="1">IF(BP$299=0,0,CD52/BP$299*100)</f>
        <v>0</v>
      </c>
      <c r="CF52" s="854"/>
      <c r="CG52" s="854" t="s">
        <v>45</v>
      </c>
    </row>
    <row r="53" spans="1:85" ht="15.75" customHeight="1">
      <c r="A53" s="847"/>
      <c r="B53" s="1154">
        <f t="shared" si="22"/>
        <v>38</v>
      </c>
      <c r="C53" s="1166" t="s">
        <v>132</v>
      </c>
      <c r="D53" s="1155"/>
      <c r="E53" s="1156">
        <v>3800</v>
      </c>
      <c r="F53" s="1153">
        <f t="shared" si="18"/>
        <v>3.0844155844155843</v>
      </c>
      <c r="G53" s="1156">
        <v>3801</v>
      </c>
      <c r="H53" s="1153">
        <f t="shared" si="19"/>
        <v>3.0823500790658072</v>
      </c>
      <c r="I53" s="1156">
        <v>3802</v>
      </c>
      <c r="J53" s="1153">
        <f t="shared" si="20"/>
        <v>3.0802884225877012</v>
      </c>
      <c r="K53" s="1156">
        <v>3803</v>
      </c>
      <c r="L53" s="1153">
        <f t="shared" si="21"/>
        <v>3.0782306042332754</v>
      </c>
      <c r="M53" s="869"/>
      <c r="N53" s="849"/>
      <c r="O53" s="850"/>
      <c r="P53" s="850"/>
      <c r="Q53" s="850"/>
      <c r="R53" s="850"/>
      <c r="S53" s="850"/>
      <c r="T53" s="851"/>
      <c r="U53" s="851"/>
      <c r="V53" s="851"/>
      <c r="W53" s="851"/>
      <c r="X53" s="851"/>
      <c r="Y53" s="851"/>
      <c r="Z53" s="851"/>
      <c r="AA53" s="851"/>
      <c r="AB53" s="851"/>
      <c r="AC53" s="851"/>
      <c r="AD53" s="851"/>
      <c r="AE53" s="851"/>
      <c r="AF53" s="851"/>
      <c r="AG53" s="851"/>
      <c r="AH53" s="852"/>
      <c r="AI53" s="852"/>
      <c r="AJ53" s="852"/>
      <c r="AK53" s="852"/>
      <c r="AL53" s="852"/>
      <c r="AM53" s="852"/>
      <c r="AN53" s="852"/>
      <c r="AO53" s="852"/>
      <c r="AP53" s="852"/>
      <c r="AQ53" s="852"/>
      <c r="AR53" s="852"/>
      <c r="AS53" s="852"/>
      <c r="AT53" s="852"/>
      <c r="AU53" s="852"/>
      <c r="AV53" s="852"/>
      <c r="AW53" s="852"/>
      <c r="AX53" s="849"/>
      <c r="AY53" s="847"/>
      <c r="AZ53" s="847"/>
      <c r="BA53" s="847"/>
      <c r="BB53" s="847"/>
      <c r="BC53" s="853"/>
      <c r="BD53" s="854"/>
      <c r="BE53" s="854"/>
      <c r="BF53" s="854"/>
      <c r="BG53" s="854"/>
      <c r="BH53" s="854"/>
      <c r="BI53" s="854"/>
      <c r="BJ53" s="854"/>
      <c r="BK53" s="854"/>
      <c r="BL53" s="854"/>
      <c r="BM53" s="854"/>
      <c r="BN53" s="854"/>
      <c r="BO53" s="854"/>
      <c r="BP53" s="854"/>
      <c r="BQ53" s="854"/>
      <c r="BR53" s="854"/>
      <c r="BS53" s="854"/>
      <c r="BT53" s="854"/>
      <c r="BU53" s="854"/>
      <c r="BV53" s="854"/>
      <c r="BW53" s="854"/>
      <c r="BX53" s="854"/>
      <c r="BY53" s="854"/>
      <c r="BZ53" s="854"/>
      <c r="CA53" s="854"/>
      <c r="CB53" s="854"/>
      <c r="CC53" s="854"/>
      <c r="CD53" s="854"/>
      <c r="CE53" s="854"/>
      <c r="CF53" s="854"/>
      <c r="CG53" s="854" t="s">
        <v>45</v>
      </c>
    </row>
    <row r="54" spans="1:85" ht="15.75" customHeight="1">
      <c r="A54" s="847"/>
      <c r="B54" s="1154">
        <f t="shared" si="22"/>
        <v>39</v>
      </c>
      <c r="C54" s="1169" t="s">
        <v>133</v>
      </c>
      <c r="D54" s="1155"/>
      <c r="E54" s="1170">
        <v>3900</v>
      </c>
      <c r="F54" s="1153">
        <f t="shared" si="18"/>
        <v>3.1655844155844153</v>
      </c>
      <c r="G54" s="1170">
        <v>3901</v>
      </c>
      <c r="H54" s="1153">
        <f t="shared" si="19"/>
        <v>3.16344321453189</v>
      </c>
      <c r="I54" s="1170">
        <v>3902</v>
      </c>
      <c r="J54" s="1153">
        <f t="shared" si="20"/>
        <v>3.1613060034027383</v>
      </c>
      <c r="K54" s="1170">
        <v>3903</v>
      </c>
      <c r="L54" s="1153">
        <f t="shared" si="21"/>
        <v>3.1591727710550814</v>
      </c>
      <c r="M54" s="869"/>
      <c r="N54" s="849"/>
      <c r="O54" s="850"/>
      <c r="P54" s="850"/>
      <c r="Q54" s="850"/>
      <c r="R54" s="850"/>
      <c r="S54" s="850"/>
      <c r="T54" s="851"/>
      <c r="U54" s="851"/>
      <c r="V54" s="851"/>
      <c r="W54" s="851"/>
      <c r="X54" s="851"/>
      <c r="Y54" s="851"/>
      <c r="Z54" s="851"/>
      <c r="AA54" s="851"/>
      <c r="AB54" s="851"/>
      <c r="AC54" s="851"/>
      <c r="AD54" s="851"/>
      <c r="AE54" s="851"/>
      <c r="AF54" s="851"/>
      <c r="AG54" s="851"/>
      <c r="AH54" s="852"/>
      <c r="AI54" s="852"/>
      <c r="AJ54" s="852"/>
      <c r="AK54" s="852"/>
      <c r="AL54" s="852"/>
      <c r="AM54" s="852"/>
      <c r="AN54" s="852"/>
      <c r="AO54" s="852"/>
      <c r="AP54" s="852"/>
      <c r="AQ54" s="852"/>
      <c r="AR54" s="852"/>
      <c r="AS54" s="852"/>
      <c r="AT54" s="852"/>
      <c r="AU54" s="852"/>
      <c r="AV54" s="852"/>
      <c r="AW54" s="852"/>
      <c r="AX54" s="849"/>
      <c r="AY54" s="847"/>
      <c r="AZ54" s="847"/>
      <c r="BA54" s="847"/>
      <c r="BB54" s="847"/>
      <c r="BC54" s="853"/>
      <c r="BD54" s="854"/>
      <c r="BE54" s="854"/>
      <c r="BF54" s="854"/>
      <c r="BG54" s="854"/>
      <c r="BH54" s="854"/>
      <c r="BI54" s="854"/>
      <c r="BJ54" s="854"/>
      <c r="BK54" s="854"/>
      <c r="BL54" s="854"/>
      <c r="BM54" s="854"/>
      <c r="BN54" s="854"/>
      <c r="BO54" s="854"/>
      <c r="BP54" s="854"/>
      <c r="BQ54" s="854"/>
      <c r="BR54" s="854"/>
      <c r="BS54" s="854"/>
      <c r="BT54" s="854"/>
      <c r="BU54" s="854"/>
      <c r="BV54" s="854"/>
      <c r="BW54" s="854"/>
      <c r="BX54" s="854"/>
      <c r="BY54" s="854"/>
      <c r="BZ54" s="854"/>
      <c r="CA54" s="854"/>
      <c r="CB54" s="854"/>
      <c r="CC54" s="854"/>
      <c r="CD54" s="854"/>
      <c r="CE54" s="854"/>
      <c r="CF54" s="854"/>
      <c r="CG54" s="854"/>
    </row>
    <row r="55" spans="1:85" ht="15.75" customHeight="1">
      <c r="A55" s="847"/>
      <c r="B55" s="1154">
        <f t="shared" si="22"/>
        <v>40</v>
      </c>
      <c r="C55" s="1166" t="s">
        <v>134</v>
      </c>
      <c r="D55" s="1155"/>
      <c r="E55" s="1156">
        <v>4000</v>
      </c>
      <c r="F55" s="1153">
        <f t="shared" si="18"/>
        <v>3.2467532467532463</v>
      </c>
      <c r="G55" s="1156">
        <v>4001</v>
      </c>
      <c r="H55" s="1153">
        <f t="shared" si="19"/>
        <v>3.2445363499979729</v>
      </c>
      <c r="I55" s="1156">
        <v>4002</v>
      </c>
      <c r="J55" s="1153">
        <f t="shared" si="20"/>
        <v>3.2423235842177753</v>
      </c>
      <c r="K55" s="1156">
        <v>4003</v>
      </c>
      <c r="L55" s="1153">
        <f t="shared" si="21"/>
        <v>3.2401149378768865</v>
      </c>
      <c r="M55" s="869"/>
      <c r="N55" s="849"/>
      <c r="O55" s="850"/>
      <c r="P55" s="850"/>
      <c r="Q55" s="850"/>
      <c r="R55" s="850"/>
      <c r="S55" s="850"/>
      <c r="T55" s="851"/>
      <c r="U55" s="851"/>
      <c r="V55" s="851"/>
      <c r="W55" s="851"/>
      <c r="X55" s="851"/>
      <c r="Y55" s="851"/>
      <c r="Z55" s="851"/>
      <c r="AA55" s="851"/>
      <c r="AB55" s="851"/>
      <c r="AC55" s="851"/>
      <c r="AD55" s="851"/>
      <c r="AE55" s="851"/>
      <c r="AF55" s="851"/>
      <c r="AG55" s="851"/>
      <c r="AH55" s="852"/>
      <c r="AI55" s="852"/>
      <c r="AJ55" s="852"/>
      <c r="AK55" s="852"/>
      <c r="AL55" s="852"/>
      <c r="AM55" s="852"/>
      <c r="AN55" s="852"/>
      <c r="AO55" s="852"/>
      <c r="AP55" s="852"/>
      <c r="AQ55" s="852"/>
      <c r="AR55" s="852"/>
      <c r="AS55" s="852"/>
      <c r="AT55" s="852"/>
      <c r="AU55" s="852"/>
      <c r="AV55" s="852"/>
      <c r="AW55" s="852"/>
      <c r="AX55" s="849"/>
      <c r="AY55" s="847"/>
      <c r="AZ55" s="847"/>
      <c r="BA55" s="847"/>
      <c r="BB55" s="847"/>
      <c r="BC55" s="853"/>
      <c r="BD55" s="854"/>
      <c r="BE55" s="854"/>
      <c r="BF55" s="854"/>
      <c r="BG55" s="854"/>
      <c r="BH55" s="854"/>
      <c r="BI55" s="854"/>
      <c r="BJ55" s="854"/>
      <c r="BK55" s="854"/>
      <c r="BL55" s="854"/>
      <c r="BM55" s="854"/>
      <c r="BN55" s="854"/>
      <c r="BO55" s="854"/>
      <c r="BP55" s="854"/>
      <c r="BQ55" s="854"/>
      <c r="BR55" s="854"/>
      <c r="BS55" s="854"/>
      <c r="BT55" s="854"/>
      <c r="BU55" s="870">
        <v>31</v>
      </c>
      <c r="BV55" s="860" t="s">
        <v>135</v>
      </c>
      <c r="BW55" s="854"/>
      <c r="BX55" s="871">
        <v>49.781118999999997</v>
      </c>
      <c r="BY55" s="872">
        <f ca="1">IF(BJ$299=0,0,BX55/BJ$299*100)</f>
        <v>3.5016537376823682</v>
      </c>
      <c r="BZ55" s="871">
        <v>0</v>
      </c>
      <c r="CA55" s="872">
        <f ca="1">IF(BL$299=0,0,BZ55/BL$299*100)</f>
        <v>0</v>
      </c>
      <c r="CB55" s="871">
        <v>4533.5447480000003</v>
      </c>
      <c r="CC55" s="872">
        <f ca="1">IF(BN$299=0,0,CB55/BN$299*100)</f>
        <v>15.629065398004647</v>
      </c>
      <c r="CD55" s="871">
        <v>7184.5593829999998</v>
      </c>
      <c r="CE55" s="872">
        <f ca="1">IF(BP$299=0,0,CD55/BP$299*100)</f>
        <v>1.8636014549385307</v>
      </c>
      <c r="CF55" s="854"/>
      <c r="CG55" s="854" t="s">
        <v>45</v>
      </c>
    </row>
    <row r="56" spans="1:85" ht="15.75" customHeight="1">
      <c r="A56" s="847"/>
      <c r="B56" s="1154">
        <f t="shared" si="22"/>
        <v>41</v>
      </c>
      <c r="C56" s="1166" t="s">
        <v>136</v>
      </c>
      <c r="D56" s="1155"/>
      <c r="E56" s="1156">
        <v>4100</v>
      </c>
      <c r="F56" s="1153">
        <f t="shared" si="18"/>
        <v>3.3279220779220777</v>
      </c>
      <c r="G56" s="1156">
        <v>4101</v>
      </c>
      <c r="H56" s="1153">
        <f t="shared" si="19"/>
        <v>3.3256294854640553</v>
      </c>
      <c r="I56" s="1156">
        <v>4102</v>
      </c>
      <c r="J56" s="1153">
        <f t="shared" si="20"/>
        <v>3.3233411650328124</v>
      </c>
      <c r="K56" s="1156">
        <v>4103</v>
      </c>
      <c r="L56" s="1153">
        <f t="shared" si="21"/>
        <v>3.321057104698693</v>
      </c>
      <c r="M56" s="869"/>
      <c r="N56" s="849"/>
      <c r="O56" s="850"/>
      <c r="P56" s="850"/>
      <c r="Q56" s="850"/>
      <c r="R56" s="850"/>
      <c r="S56" s="850"/>
      <c r="T56" s="851"/>
      <c r="U56" s="851"/>
      <c r="V56" s="851"/>
      <c r="W56" s="851"/>
      <c r="X56" s="851"/>
      <c r="Y56" s="851"/>
      <c r="Z56" s="851"/>
      <c r="AA56" s="851"/>
      <c r="AB56" s="851"/>
      <c r="AC56" s="851"/>
      <c r="AD56" s="851"/>
      <c r="AE56" s="851"/>
      <c r="AF56" s="851"/>
      <c r="AG56" s="851"/>
      <c r="AH56" s="852"/>
      <c r="AI56" s="852"/>
      <c r="AJ56" s="852"/>
      <c r="AK56" s="852"/>
      <c r="AL56" s="852"/>
      <c r="AM56" s="852"/>
      <c r="AN56" s="852"/>
      <c r="AO56" s="852"/>
      <c r="AP56" s="852"/>
      <c r="AQ56" s="852"/>
      <c r="AR56" s="852"/>
      <c r="AS56" s="852"/>
      <c r="AT56" s="852"/>
      <c r="AU56" s="852"/>
      <c r="AV56" s="852"/>
      <c r="AW56" s="852"/>
      <c r="AX56" s="849"/>
      <c r="AY56" s="847"/>
      <c r="AZ56" s="847"/>
      <c r="BA56" s="847"/>
      <c r="BB56" s="847"/>
      <c r="BC56" s="853"/>
      <c r="BD56" s="854"/>
      <c r="BE56" s="854"/>
      <c r="BF56" s="854"/>
      <c r="BG56" s="870">
        <v>32</v>
      </c>
      <c r="BH56" s="860" t="s">
        <v>137</v>
      </c>
      <c r="BI56" s="854"/>
      <c r="BJ56" s="871">
        <v>0</v>
      </c>
      <c r="BK56" s="872">
        <f t="shared" ref="BK56:BK62" ca="1" si="23">IF(BJ$299=0,0,BJ56/BJ$299*100)</f>
        <v>0</v>
      </c>
      <c r="BL56" s="871">
        <v>0</v>
      </c>
      <c r="BM56" s="872">
        <f t="shared" ref="BM56:BM62" ca="1" si="24">IF(BL$299=0,0,BL56/BL$299*100)</f>
        <v>0</v>
      </c>
      <c r="BN56" s="871">
        <v>0</v>
      </c>
      <c r="BO56" s="872">
        <f t="shared" ref="BO56:BO62" ca="1" si="25">IF(BN$299=0,0,BN56/BN$299*100)</f>
        <v>0</v>
      </c>
      <c r="BP56" s="871">
        <v>0</v>
      </c>
      <c r="BQ56" s="872">
        <f t="shared" ref="BQ56:BQ62" ca="1" si="26">IF(BP$299=0,0,BP56/BP$299*100)</f>
        <v>0</v>
      </c>
      <c r="BR56" s="854"/>
      <c r="BS56" s="854"/>
      <c r="BT56" s="854"/>
      <c r="BU56" s="854"/>
      <c r="BV56" s="854"/>
      <c r="BW56" s="854"/>
      <c r="BX56" s="854"/>
      <c r="BY56" s="854"/>
      <c r="BZ56" s="854"/>
      <c r="CA56" s="854"/>
      <c r="CB56" s="854"/>
      <c r="CC56" s="854"/>
      <c r="CD56" s="854"/>
      <c r="CE56" s="854"/>
      <c r="CF56" s="854"/>
      <c r="CG56" s="854" t="s">
        <v>45</v>
      </c>
    </row>
    <row r="57" spans="1:85" ht="15.75" customHeight="1">
      <c r="A57" s="847"/>
      <c r="B57" s="1154">
        <f t="shared" si="22"/>
        <v>42</v>
      </c>
      <c r="C57" s="1166" t="s">
        <v>138</v>
      </c>
      <c r="D57" s="1155"/>
      <c r="E57" s="1156">
        <v>4200</v>
      </c>
      <c r="F57" s="1153">
        <f t="shared" si="18"/>
        <v>3.4090909090909087</v>
      </c>
      <c r="G57" s="1156">
        <v>4201</v>
      </c>
      <c r="H57" s="1153">
        <f t="shared" si="19"/>
        <v>3.4067226209301382</v>
      </c>
      <c r="I57" s="1156">
        <v>4202</v>
      </c>
      <c r="J57" s="1153">
        <f t="shared" si="20"/>
        <v>3.404358745847849</v>
      </c>
      <c r="K57" s="1156">
        <v>4203</v>
      </c>
      <c r="L57" s="1153">
        <f t="shared" si="21"/>
        <v>3.4019992715204985</v>
      </c>
      <c r="M57" s="869"/>
      <c r="N57" s="849"/>
      <c r="O57" s="850"/>
      <c r="P57" s="850"/>
      <c r="Q57" s="850"/>
      <c r="R57" s="850"/>
      <c r="S57" s="850"/>
      <c r="T57" s="851"/>
      <c r="U57" s="851"/>
      <c r="V57" s="851"/>
      <c r="W57" s="851"/>
      <c r="X57" s="851"/>
      <c r="Y57" s="851"/>
      <c r="Z57" s="851"/>
      <c r="AA57" s="851"/>
      <c r="AB57" s="851"/>
      <c r="AC57" s="851"/>
      <c r="AD57" s="851"/>
      <c r="AE57" s="851"/>
      <c r="AF57" s="851"/>
      <c r="AG57" s="851"/>
      <c r="AH57" s="852"/>
      <c r="AI57" s="852"/>
      <c r="AJ57" s="852"/>
      <c r="AK57" s="852"/>
      <c r="AL57" s="852"/>
      <c r="AM57" s="852"/>
      <c r="AN57" s="852"/>
      <c r="AO57" s="852"/>
      <c r="AP57" s="852"/>
      <c r="AQ57" s="852"/>
      <c r="AR57" s="852"/>
      <c r="AS57" s="852"/>
      <c r="AT57" s="852"/>
      <c r="AU57" s="852"/>
      <c r="AV57" s="852"/>
      <c r="AW57" s="852"/>
      <c r="AX57" s="849"/>
      <c r="AY57" s="847"/>
      <c r="AZ57" s="847"/>
      <c r="BA57" s="847"/>
      <c r="BB57" s="847"/>
      <c r="BC57" s="853"/>
      <c r="BD57" s="854"/>
      <c r="BE57" s="854"/>
      <c r="BF57" s="854"/>
      <c r="BG57" s="870">
        <v>33</v>
      </c>
      <c r="BH57" s="860" t="s">
        <v>139</v>
      </c>
      <c r="BI57" s="854"/>
      <c r="BJ57" s="871">
        <v>0</v>
      </c>
      <c r="BK57" s="872">
        <f t="shared" ca="1" si="23"/>
        <v>0</v>
      </c>
      <c r="BL57" s="871">
        <v>0</v>
      </c>
      <c r="BM57" s="872">
        <f t="shared" ca="1" si="24"/>
        <v>0</v>
      </c>
      <c r="BN57" s="871">
        <v>0</v>
      </c>
      <c r="BO57" s="872">
        <f t="shared" ca="1" si="25"/>
        <v>0</v>
      </c>
      <c r="BP57" s="871">
        <v>0</v>
      </c>
      <c r="BQ57" s="872">
        <f t="shared" ca="1" si="26"/>
        <v>0</v>
      </c>
      <c r="BR57" s="854"/>
      <c r="BS57" s="854"/>
      <c r="BT57" s="854"/>
      <c r="BU57" s="854"/>
      <c r="BV57" s="854"/>
      <c r="BW57" s="854"/>
      <c r="BX57" s="854"/>
      <c r="BY57" s="854"/>
      <c r="BZ57" s="854"/>
      <c r="CA57" s="854"/>
      <c r="CB57" s="854"/>
      <c r="CC57" s="854"/>
      <c r="CD57" s="854"/>
      <c r="CE57" s="854"/>
      <c r="CF57" s="854"/>
      <c r="CG57" s="854" t="s">
        <v>45</v>
      </c>
    </row>
    <row r="58" spans="1:85" ht="16.5" customHeight="1">
      <c r="A58" s="847"/>
      <c r="B58" s="1157">
        <f>B57+1</f>
        <v>43</v>
      </c>
      <c r="C58" s="1167" t="s">
        <v>140</v>
      </c>
      <c r="D58" s="1159"/>
      <c r="E58" s="1156">
        <v>4300</v>
      </c>
      <c r="F58" s="1153">
        <f t="shared" si="18"/>
        <v>3.4902597402597402</v>
      </c>
      <c r="G58" s="1156">
        <v>4301</v>
      </c>
      <c r="H58" s="1153">
        <f t="shared" si="19"/>
        <v>3.4878157563962211</v>
      </c>
      <c r="I58" s="1156">
        <v>4302</v>
      </c>
      <c r="J58" s="1153">
        <f t="shared" si="20"/>
        <v>3.4853763266628861</v>
      </c>
      <c r="K58" s="1156">
        <v>4303</v>
      </c>
      <c r="L58" s="1153">
        <f t="shared" si="21"/>
        <v>3.4829414383423045</v>
      </c>
      <c r="M58" s="869"/>
      <c r="N58" s="849"/>
      <c r="O58" s="850"/>
      <c r="P58" s="850"/>
      <c r="Q58" s="850"/>
      <c r="R58" s="850"/>
      <c r="S58" s="850"/>
      <c r="T58" s="851"/>
      <c r="U58" s="851"/>
      <c r="V58" s="851"/>
      <c r="W58" s="851"/>
      <c r="X58" s="851"/>
      <c r="Y58" s="851"/>
      <c r="Z58" s="851"/>
      <c r="AA58" s="851"/>
      <c r="AB58" s="851"/>
      <c r="AC58" s="851"/>
      <c r="AD58" s="851"/>
      <c r="AE58" s="851"/>
      <c r="AF58" s="851"/>
      <c r="AG58" s="851"/>
      <c r="AH58" s="852"/>
      <c r="AI58" s="852"/>
      <c r="AJ58" s="852"/>
      <c r="AK58" s="852"/>
      <c r="AL58" s="852"/>
      <c r="AM58" s="852"/>
      <c r="AN58" s="852"/>
      <c r="AO58" s="852"/>
      <c r="AP58" s="852"/>
      <c r="AQ58" s="852"/>
      <c r="AR58" s="852"/>
      <c r="AS58" s="852"/>
      <c r="AT58" s="852"/>
      <c r="AU58" s="852"/>
      <c r="AV58" s="852"/>
      <c r="AW58" s="852"/>
      <c r="AX58" s="849"/>
      <c r="AY58" s="847"/>
      <c r="AZ58" s="847"/>
      <c r="BA58" s="847"/>
      <c r="BB58" s="847"/>
      <c r="BC58" s="853"/>
      <c r="BD58" s="854"/>
      <c r="BE58" s="854"/>
      <c r="BF58" s="854"/>
      <c r="BG58" s="870">
        <v>34</v>
      </c>
      <c r="BH58" s="860" t="s">
        <v>141</v>
      </c>
      <c r="BI58" s="854"/>
      <c r="BJ58" s="871">
        <v>0</v>
      </c>
      <c r="BK58" s="872">
        <f t="shared" ca="1" si="23"/>
        <v>0</v>
      </c>
      <c r="BL58" s="871">
        <v>0</v>
      </c>
      <c r="BM58" s="872">
        <f t="shared" ca="1" si="24"/>
        <v>0</v>
      </c>
      <c r="BN58" s="871">
        <v>0</v>
      </c>
      <c r="BO58" s="872">
        <f t="shared" ca="1" si="25"/>
        <v>0</v>
      </c>
      <c r="BP58" s="871">
        <v>0</v>
      </c>
      <c r="BQ58" s="872">
        <f t="shared" ca="1" si="26"/>
        <v>0</v>
      </c>
      <c r="BR58" s="854"/>
      <c r="BS58" s="854"/>
      <c r="BT58" s="854"/>
      <c r="BU58" s="854"/>
      <c r="BV58" s="854"/>
      <c r="BW58" s="854"/>
      <c r="BX58" s="854"/>
      <c r="BY58" s="854"/>
      <c r="BZ58" s="854"/>
      <c r="CA58" s="854"/>
      <c r="CB58" s="854"/>
      <c r="CC58" s="854"/>
      <c r="CD58" s="854"/>
      <c r="CE58" s="854"/>
      <c r="CF58" s="854"/>
      <c r="CG58" s="854" t="s">
        <v>45</v>
      </c>
    </row>
    <row r="59" spans="1:85" ht="16.5" customHeight="1">
      <c r="A59" s="847"/>
      <c r="B59" s="1160">
        <f t="shared" ref="B59:B62" si="27">+B58+1</f>
        <v>44</v>
      </c>
      <c r="C59" s="1161" t="s">
        <v>142</v>
      </c>
      <c r="D59" s="1162"/>
      <c r="E59" s="1163">
        <f>SUM(E51:E58)</f>
        <v>31600</v>
      </c>
      <c r="F59" s="1164">
        <f t="shared" si="18"/>
        <v>25.649350649350648</v>
      </c>
      <c r="G59" s="1163">
        <f>SUM(G51:G58)</f>
        <v>31608</v>
      </c>
      <c r="H59" s="1164">
        <f t="shared" si="19"/>
        <v>25.631918258119452</v>
      </c>
      <c r="I59" s="1163">
        <f>SUM(I51:I58)</f>
        <v>31616</v>
      </c>
      <c r="J59" s="1164">
        <f t="shared" si="20"/>
        <v>25.614518350482058</v>
      </c>
      <c r="K59" s="1163">
        <f>SUM(K51:K58)</f>
        <v>31624</v>
      </c>
      <c r="L59" s="1164">
        <f t="shared" si="21"/>
        <v>25.597150835727874</v>
      </c>
      <c r="M59" s="869"/>
      <c r="N59" s="849"/>
      <c r="O59" s="850"/>
      <c r="P59" s="850"/>
      <c r="Q59" s="850"/>
      <c r="R59" s="850"/>
      <c r="S59" s="850"/>
      <c r="T59" s="851"/>
      <c r="U59" s="851"/>
      <c r="V59" s="851"/>
      <c r="W59" s="851"/>
      <c r="X59" s="851"/>
      <c r="Y59" s="851"/>
      <c r="Z59" s="851"/>
      <c r="AA59" s="851"/>
      <c r="AB59" s="851"/>
      <c r="AC59" s="851"/>
      <c r="AD59" s="851"/>
      <c r="AE59" s="851"/>
      <c r="AF59" s="851"/>
      <c r="AG59" s="851"/>
      <c r="AH59" s="852"/>
      <c r="AI59" s="852"/>
      <c r="AJ59" s="852"/>
      <c r="AK59" s="852"/>
      <c r="AL59" s="852"/>
      <c r="AM59" s="852"/>
      <c r="AN59" s="852"/>
      <c r="AO59" s="852"/>
      <c r="AP59" s="852"/>
      <c r="AQ59" s="852"/>
      <c r="AR59" s="852"/>
      <c r="AS59" s="852"/>
      <c r="AT59" s="852"/>
      <c r="AU59" s="852"/>
      <c r="AV59" s="852"/>
      <c r="AW59" s="852"/>
      <c r="AX59" s="849"/>
      <c r="AY59" s="847"/>
      <c r="AZ59" s="847"/>
      <c r="BA59" s="847"/>
      <c r="BB59" s="847"/>
      <c r="BC59" s="853"/>
      <c r="BD59" s="854"/>
      <c r="BE59" s="854"/>
      <c r="BF59" s="854"/>
      <c r="BG59" s="870">
        <v>35</v>
      </c>
      <c r="BH59" s="860" t="s">
        <v>143</v>
      </c>
      <c r="BI59" s="854"/>
      <c r="BJ59" s="871">
        <v>0</v>
      </c>
      <c r="BK59" s="872">
        <f t="shared" ca="1" si="23"/>
        <v>0</v>
      </c>
      <c r="BL59" s="871">
        <v>0</v>
      </c>
      <c r="BM59" s="872">
        <f t="shared" ca="1" si="24"/>
        <v>0</v>
      </c>
      <c r="BN59" s="871">
        <v>0</v>
      </c>
      <c r="BO59" s="872">
        <f t="shared" ca="1" si="25"/>
        <v>0</v>
      </c>
      <c r="BP59" s="871">
        <v>0</v>
      </c>
      <c r="BQ59" s="872">
        <f t="shared" ca="1" si="26"/>
        <v>0</v>
      </c>
      <c r="BR59" s="854"/>
      <c r="BS59" s="854"/>
      <c r="BT59" s="854"/>
      <c r="BU59" s="854"/>
      <c r="BV59" s="854"/>
      <c r="BW59" s="854"/>
      <c r="BX59" s="854"/>
      <c r="BY59" s="854"/>
      <c r="BZ59" s="854"/>
      <c r="CA59" s="854"/>
      <c r="CB59" s="854"/>
      <c r="CC59" s="854"/>
      <c r="CD59" s="854"/>
      <c r="CE59" s="854"/>
      <c r="CF59" s="854"/>
      <c r="CG59" s="854" t="s">
        <v>45</v>
      </c>
    </row>
    <row r="60" spans="1:85" ht="16.5" customHeight="1">
      <c r="A60" s="847"/>
      <c r="B60" s="1160">
        <f t="shared" si="27"/>
        <v>45</v>
      </c>
      <c r="C60" s="1161" t="s">
        <v>144</v>
      </c>
      <c r="D60" s="1162"/>
      <c r="E60" s="1163">
        <f>E50+E59</f>
        <v>72100</v>
      </c>
      <c r="F60" s="1164">
        <f t="shared" si="18"/>
        <v>58.522727272727273</v>
      </c>
      <c r="G60" s="1163">
        <f>G50+G59</f>
        <v>72123</v>
      </c>
      <c r="H60" s="1164">
        <f t="shared" si="19"/>
        <v>58.486802092202893</v>
      </c>
      <c r="I60" s="1163">
        <f>I50+I59</f>
        <v>72146</v>
      </c>
      <c r="J60" s="1164">
        <f t="shared" si="20"/>
        <v>58.450943854816494</v>
      </c>
      <c r="K60" s="1163">
        <f>K50+K59</f>
        <v>72169</v>
      </c>
      <c r="L60" s="1164">
        <f t="shared" si="21"/>
        <v>58.415152373629041</v>
      </c>
      <c r="M60" s="869"/>
      <c r="N60" s="849"/>
      <c r="O60" s="850"/>
      <c r="P60" s="850"/>
      <c r="Q60" s="850"/>
      <c r="R60" s="850"/>
      <c r="S60" s="850"/>
      <c r="T60" s="851"/>
      <c r="U60" s="851"/>
      <c r="V60" s="851"/>
      <c r="W60" s="851"/>
      <c r="X60" s="851"/>
      <c r="Y60" s="851"/>
      <c r="Z60" s="851"/>
      <c r="AA60" s="851"/>
      <c r="AB60" s="851"/>
      <c r="AC60" s="851"/>
      <c r="AD60" s="851"/>
      <c r="AE60" s="851"/>
      <c r="AF60" s="851"/>
      <c r="AG60" s="851"/>
      <c r="AH60" s="852"/>
      <c r="AI60" s="852"/>
      <c r="AJ60" s="852"/>
      <c r="AK60" s="852"/>
      <c r="AL60" s="852"/>
      <c r="AM60" s="852"/>
      <c r="AN60" s="852"/>
      <c r="AO60" s="852"/>
      <c r="AP60" s="852"/>
      <c r="AQ60" s="852"/>
      <c r="AR60" s="852"/>
      <c r="AS60" s="852"/>
      <c r="AT60" s="852"/>
      <c r="AU60" s="852"/>
      <c r="AV60" s="852"/>
      <c r="AW60" s="852"/>
      <c r="AX60" s="849"/>
      <c r="AY60" s="847"/>
      <c r="AZ60" s="847"/>
      <c r="BA60" s="847"/>
      <c r="BB60" s="847"/>
      <c r="BC60" s="853"/>
      <c r="BD60" s="854"/>
      <c r="BE60" s="854"/>
      <c r="BF60" s="854"/>
      <c r="BG60" s="870">
        <v>36</v>
      </c>
      <c r="BH60" s="860" t="s">
        <v>145</v>
      </c>
      <c r="BI60" s="854"/>
      <c r="BJ60" s="871">
        <v>0</v>
      </c>
      <c r="BK60" s="872">
        <f t="shared" ca="1" si="23"/>
        <v>0</v>
      </c>
      <c r="BL60" s="871">
        <v>0</v>
      </c>
      <c r="BM60" s="872">
        <f t="shared" ca="1" si="24"/>
        <v>0</v>
      </c>
      <c r="BN60" s="871">
        <v>0</v>
      </c>
      <c r="BO60" s="872">
        <f t="shared" ca="1" si="25"/>
        <v>0</v>
      </c>
      <c r="BP60" s="871">
        <v>0</v>
      </c>
      <c r="BQ60" s="872">
        <f t="shared" ca="1" si="26"/>
        <v>0</v>
      </c>
      <c r="BR60" s="854"/>
      <c r="BS60" s="854"/>
      <c r="BT60" s="854"/>
      <c r="BU60" s="854"/>
      <c r="BV60" s="854"/>
      <c r="BW60" s="854"/>
      <c r="BX60" s="854"/>
      <c r="BY60" s="854"/>
      <c r="BZ60" s="854"/>
      <c r="CA60" s="854"/>
      <c r="CB60" s="854"/>
      <c r="CC60" s="854"/>
      <c r="CD60" s="854"/>
      <c r="CE60" s="854"/>
      <c r="CF60" s="854"/>
      <c r="CG60" s="854" t="s">
        <v>45</v>
      </c>
    </row>
    <row r="61" spans="1:85" ht="15.75" customHeight="1">
      <c r="A61" s="847"/>
      <c r="B61" s="1144">
        <f t="shared" si="27"/>
        <v>46</v>
      </c>
      <c r="C61" s="1165" t="s">
        <v>146</v>
      </c>
      <c r="D61" s="1146"/>
      <c r="E61" s="1147">
        <v>4600</v>
      </c>
      <c r="F61" s="1148">
        <f t="shared" si="18"/>
        <v>3.7337662337662336</v>
      </c>
      <c r="G61" s="1147">
        <v>4601</v>
      </c>
      <c r="H61" s="1148">
        <f t="shared" si="19"/>
        <v>3.7310951627944693</v>
      </c>
      <c r="I61" s="1147">
        <v>4602</v>
      </c>
      <c r="J61" s="1148">
        <f t="shared" si="20"/>
        <v>3.728429069107996</v>
      </c>
      <c r="K61" s="1147">
        <v>4603</v>
      </c>
      <c r="L61" s="1148">
        <f t="shared" si="21"/>
        <v>3.7257679388077216</v>
      </c>
      <c r="M61" s="869"/>
      <c r="N61" s="849"/>
      <c r="O61" s="850"/>
      <c r="P61" s="850"/>
      <c r="Q61" s="850"/>
      <c r="R61" s="850"/>
      <c r="S61" s="850"/>
      <c r="T61" s="851"/>
      <c r="U61" s="851"/>
      <c r="V61" s="851"/>
      <c r="W61" s="851"/>
      <c r="X61" s="851"/>
      <c r="Y61" s="851"/>
      <c r="Z61" s="851"/>
      <c r="AA61" s="851"/>
      <c r="AB61" s="851"/>
      <c r="AC61" s="851"/>
      <c r="AD61" s="851"/>
      <c r="AE61" s="851"/>
      <c r="AF61" s="851"/>
      <c r="AG61" s="851"/>
      <c r="AH61" s="852"/>
      <c r="AI61" s="852"/>
      <c r="AJ61" s="852"/>
      <c r="AK61" s="852"/>
      <c r="AL61" s="852"/>
      <c r="AM61" s="852"/>
      <c r="AN61" s="852"/>
      <c r="AO61" s="852"/>
      <c r="AP61" s="852"/>
      <c r="AQ61" s="852"/>
      <c r="AR61" s="852"/>
      <c r="AS61" s="852"/>
      <c r="AT61" s="852"/>
      <c r="AU61" s="852"/>
      <c r="AV61" s="852"/>
      <c r="AW61" s="852"/>
      <c r="AX61" s="849"/>
      <c r="AY61" s="847"/>
      <c r="AZ61" s="847"/>
      <c r="BA61" s="847"/>
      <c r="BB61" s="847"/>
      <c r="BC61" s="853"/>
      <c r="BD61" s="854"/>
      <c r="BE61" s="854"/>
      <c r="BF61" s="854"/>
      <c r="BG61" s="870">
        <v>37</v>
      </c>
      <c r="BH61" s="860" t="s">
        <v>45</v>
      </c>
      <c r="BI61" s="854"/>
      <c r="BJ61" s="871">
        <v>0</v>
      </c>
      <c r="BK61" s="872">
        <f t="shared" ca="1" si="23"/>
        <v>0</v>
      </c>
      <c r="BL61" s="871">
        <v>0</v>
      </c>
      <c r="BM61" s="872">
        <f t="shared" ca="1" si="24"/>
        <v>0</v>
      </c>
      <c r="BN61" s="871">
        <v>0</v>
      </c>
      <c r="BO61" s="872">
        <f t="shared" ca="1" si="25"/>
        <v>0</v>
      </c>
      <c r="BP61" s="871">
        <v>0</v>
      </c>
      <c r="BQ61" s="872">
        <f t="shared" ca="1" si="26"/>
        <v>0</v>
      </c>
      <c r="BR61" s="854"/>
      <c r="BS61" s="854"/>
      <c r="BT61" s="854"/>
      <c r="BU61" s="854"/>
      <c r="BV61" s="854"/>
      <c r="BW61" s="854"/>
      <c r="BX61" s="854"/>
      <c r="BY61" s="854"/>
      <c r="BZ61" s="854"/>
      <c r="CA61" s="854"/>
      <c r="CB61" s="854"/>
      <c r="CC61" s="854"/>
      <c r="CD61" s="854"/>
      <c r="CE61" s="854"/>
      <c r="CF61" s="854"/>
      <c r="CG61" s="854" t="s">
        <v>45</v>
      </c>
    </row>
    <row r="62" spans="1:85" ht="15.75" customHeight="1">
      <c r="A62" s="847"/>
      <c r="B62" s="1154">
        <f t="shared" si="27"/>
        <v>47</v>
      </c>
      <c r="C62" s="1166" t="s">
        <v>147</v>
      </c>
      <c r="D62" s="1155"/>
      <c r="E62" s="1156">
        <v>4700</v>
      </c>
      <c r="F62" s="1153">
        <f t="shared" si="18"/>
        <v>3.8149350649350646</v>
      </c>
      <c r="G62" s="1156">
        <v>4701</v>
      </c>
      <c r="H62" s="1153">
        <f t="shared" si="19"/>
        <v>3.8121882982605522</v>
      </c>
      <c r="I62" s="1156">
        <v>4702</v>
      </c>
      <c r="J62" s="1153">
        <f t="shared" si="20"/>
        <v>3.8094466499230331</v>
      </c>
      <c r="K62" s="1156">
        <v>4703</v>
      </c>
      <c r="L62" s="1153">
        <f t="shared" si="21"/>
        <v>3.8067101056295281</v>
      </c>
      <c r="M62" s="869"/>
      <c r="N62" s="849"/>
      <c r="O62" s="850"/>
      <c r="P62" s="850"/>
      <c r="Q62" s="850"/>
      <c r="R62" s="850"/>
      <c r="S62" s="850"/>
      <c r="T62" s="851"/>
      <c r="U62" s="851"/>
      <c r="V62" s="851"/>
      <c r="W62" s="851"/>
      <c r="X62" s="851"/>
      <c r="Y62" s="851"/>
      <c r="Z62" s="851"/>
      <c r="AA62" s="851"/>
      <c r="AB62" s="851"/>
      <c r="AC62" s="851"/>
      <c r="AD62" s="851"/>
      <c r="AE62" s="851"/>
      <c r="AF62" s="851"/>
      <c r="AG62" s="851"/>
      <c r="AH62" s="852"/>
      <c r="AI62" s="852"/>
      <c r="AJ62" s="852"/>
      <c r="AK62" s="852"/>
      <c r="AL62" s="852"/>
      <c r="AM62" s="852"/>
      <c r="AN62" s="852"/>
      <c r="AO62" s="852"/>
      <c r="AP62" s="852"/>
      <c r="AQ62" s="852"/>
      <c r="AR62" s="852"/>
      <c r="AS62" s="852"/>
      <c r="AT62" s="852"/>
      <c r="AU62" s="852"/>
      <c r="AV62" s="852"/>
      <c r="AW62" s="852"/>
      <c r="AX62" s="849"/>
      <c r="AY62" s="847"/>
      <c r="AZ62" s="847"/>
      <c r="BA62" s="847"/>
      <c r="BB62" s="847"/>
      <c r="BC62" s="853"/>
      <c r="BD62" s="854"/>
      <c r="BE62" s="854"/>
      <c r="BF62" s="854"/>
      <c r="BG62" s="870">
        <v>38</v>
      </c>
      <c r="BH62" s="860" t="s">
        <v>45</v>
      </c>
      <c r="BI62" s="854"/>
      <c r="BJ62" s="871">
        <v>0</v>
      </c>
      <c r="BK62" s="872">
        <f t="shared" ca="1" si="23"/>
        <v>0</v>
      </c>
      <c r="BL62" s="871">
        <v>0</v>
      </c>
      <c r="BM62" s="872">
        <f t="shared" ca="1" si="24"/>
        <v>0</v>
      </c>
      <c r="BN62" s="871">
        <v>0</v>
      </c>
      <c r="BO62" s="872">
        <f t="shared" ca="1" si="25"/>
        <v>0</v>
      </c>
      <c r="BP62" s="871">
        <v>0</v>
      </c>
      <c r="BQ62" s="872">
        <f t="shared" ca="1" si="26"/>
        <v>0</v>
      </c>
      <c r="BR62" s="854"/>
      <c r="BS62" s="854"/>
      <c r="BT62" s="854"/>
      <c r="BU62" s="854"/>
      <c r="BV62" s="854"/>
      <c r="BW62" s="854"/>
      <c r="BX62" s="854"/>
      <c r="BY62" s="854"/>
      <c r="BZ62" s="854"/>
      <c r="CA62" s="854"/>
      <c r="CB62" s="854"/>
      <c r="CC62" s="854"/>
      <c r="CD62" s="854"/>
      <c r="CE62" s="854"/>
      <c r="CF62" s="854"/>
      <c r="CG62" s="854" t="s">
        <v>45</v>
      </c>
    </row>
    <row r="63" spans="1:85" ht="15.75" customHeight="1">
      <c r="A63" s="847"/>
      <c r="B63" s="1154">
        <f t="shared" ref="B63:B66" si="28">B62+1</f>
        <v>48</v>
      </c>
      <c r="C63" s="1166" t="s">
        <v>148</v>
      </c>
      <c r="D63" s="1155"/>
      <c r="E63" s="1156">
        <v>4800</v>
      </c>
      <c r="F63" s="1153">
        <f t="shared" si="18"/>
        <v>3.8961038961038961</v>
      </c>
      <c r="G63" s="1156">
        <v>4801</v>
      </c>
      <c r="H63" s="1153">
        <f t="shared" si="19"/>
        <v>3.893281433726635</v>
      </c>
      <c r="I63" s="1156">
        <v>4802</v>
      </c>
      <c r="J63" s="1153">
        <f t="shared" si="20"/>
        <v>3.8904642307380701</v>
      </c>
      <c r="K63" s="1156">
        <v>4803</v>
      </c>
      <c r="L63" s="1153">
        <f t="shared" si="21"/>
        <v>3.8876522724513336</v>
      </c>
      <c r="M63" s="869"/>
      <c r="N63" s="849"/>
      <c r="O63" s="850"/>
      <c r="P63" s="850"/>
      <c r="Q63" s="850"/>
      <c r="R63" s="850"/>
      <c r="S63" s="850"/>
      <c r="T63" s="851"/>
      <c r="U63" s="851"/>
      <c r="V63" s="851"/>
      <c r="W63" s="851"/>
      <c r="X63" s="851"/>
      <c r="Y63" s="851"/>
      <c r="Z63" s="851"/>
      <c r="AA63" s="851"/>
      <c r="AB63" s="851"/>
      <c r="AC63" s="851"/>
      <c r="AD63" s="851"/>
      <c r="AE63" s="851"/>
      <c r="AF63" s="851"/>
      <c r="AG63" s="851"/>
      <c r="AH63" s="852"/>
      <c r="AI63" s="852"/>
      <c r="AJ63" s="852"/>
      <c r="AK63" s="852"/>
      <c r="AL63" s="852"/>
      <c r="AM63" s="852"/>
      <c r="AN63" s="852"/>
      <c r="AO63" s="852"/>
      <c r="AP63" s="852"/>
      <c r="AQ63" s="852"/>
      <c r="AR63" s="852"/>
      <c r="AS63" s="852"/>
      <c r="AT63" s="852"/>
      <c r="AU63" s="852"/>
      <c r="AV63" s="852"/>
      <c r="AW63" s="852"/>
      <c r="AX63" s="849"/>
      <c r="AY63" s="847"/>
      <c r="AZ63" s="847"/>
      <c r="BA63" s="847"/>
      <c r="BB63" s="847"/>
      <c r="BC63" s="853"/>
      <c r="BD63" s="854"/>
      <c r="BE63" s="854"/>
      <c r="BF63" s="854"/>
      <c r="BG63" s="870"/>
      <c r="BH63" s="860"/>
      <c r="BI63" s="854"/>
      <c r="BJ63" s="871"/>
      <c r="BK63" s="872"/>
      <c r="BL63" s="871"/>
      <c r="BM63" s="872"/>
      <c r="BN63" s="871"/>
      <c r="BO63" s="872"/>
      <c r="BP63" s="871"/>
      <c r="BQ63" s="872"/>
      <c r="BR63" s="854"/>
      <c r="BS63" s="854"/>
      <c r="BT63" s="854"/>
      <c r="BU63" s="854"/>
      <c r="BV63" s="854"/>
      <c r="BW63" s="854"/>
      <c r="BX63" s="854"/>
      <c r="BY63" s="854"/>
      <c r="BZ63" s="854"/>
      <c r="CA63" s="854"/>
      <c r="CB63" s="854"/>
      <c r="CC63" s="854"/>
      <c r="CD63" s="854"/>
      <c r="CE63" s="854"/>
      <c r="CF63" s="854"/>
      <c r="CG63" s="854"/>
    </row>
    <row r="64" spans="1:85" ht="15.75" customHeight="1">
      <c r="A64" s="847"/>
      <c r="B64" s="1154">
        <f t="shared" si="28"/>
        <v>49</v>
      </c>
      <c r="C64" s="1166" t="s">
        <v>149</v>
      </c>
      <c r="D64" s="1155"/>
      <c r="E64" s="1156">
        <v>4900</v>
      </c>
      <c r="F64" s="1153">
        <f t="shared" si="18"/>
        <v>3.9772727272727271</v>
      </c>
      <c r="G64" s="1156">
        <v>4901</v>
      </c>
      <c r="H64" s="1153">
        <f t="shared" si="19"/>
        <v>3.9743745691927179</v>
      </c>
      <c r="I64" s="1156">
        <v>4902</v>
      </c>
      <c r="J64" s="1153">
        <f t="shared" si="20"/>
        <v>3.9714818115531072</v>
      </c>
      <c r="K64" s="1156">
        <v>4903</v>
      </c>
      <c r="L64" s="1153">
        <f t="shared" si="21"/>
        <v>3.9685944392731396</v>
      </c>
      <c r="M64" s="869"/>
      <c r="N64" s="849"/>
      <c r="O64" s="850"/>
      <c r="P64" s="850"/>
      <c r="Q64" s="850"/>
      <c r="R64" s="850"/>
      <c r="S64" s="850"/>
      <c r="T64" s="851"/>
      <c r="U64" s="851"/>
      <c r="V64" s="851"/>
      <c r="W64" s="851"/>
      <c r="X64" s="851"/>
      <c r="Y64" s="851"/>
      <c r="Z64" s="851"/>
      <c r="AA64" s="851"/>
      <c r="AB64" s="851"/>
      <c r="AC64" s="851"/>
      <c r="AD64" s="851"/>
      <c r="AE64" s="851"/>
      <c r="AF64" s="851"/>
      <c r="AG64" s="851"/>
      <c r="AH64" s="852"/>
      <c r="AI64" s="852"/>
      <c r="AJ64" s="852"/>
      <c r="AK64" s="852"/>
      <c r="AL64" s="852"/>
      <c r="AM64" s="852"/>
      <c r="AN64" s="852"/>
      <c r="AO64" s="852"/>
      <c r="AP64" s="852"/>
      <c r="AQ64" s="852"/>
      <c r="AR64" s="852"/>
      <c r="AS64" s="852"/>
      <c r="AT64" s="852"/>
      <c r="AU64" s="852"/>
      <c r="AV64" s="852"/>
      <c r="AW64" s="852"/>
      <c r="AX64" s="849"/>
      <c r="AY64" s="847"/>
      <c r="AZ64" s="847"/>
      <c r="BA64" s="847"/>
      <c r="BB64" s="847"/>
      <c r="BC64" s="853"/>
      <c r="BD64" s="854"/>
      <c r="BE64" s="854"/>
      <c r="BF64" s="854"/>
      <c r="BG64" s="870">
        <v>39</v>
      </c>
      <c r="BH64" s="860" t="s">
        <v>45</v>
      </c>
      <c r="BI64" s="854"/>
      <c r="BJ64" s="871">
        <v>0</v>
      </c>
      <c r="BK64" s="872">
        <f ca="1">IF(BJ$299=0,0,BJ64/BJ$299*100)</f>
        <v>0</v>
      </c>
      <c r="BL64" s="871">
        <v>0</v>
      </c>
      <c r="BM64" s="872">
        <f ca="1">IF(BL$299=0,0,BL64/BL$299*100)</f>
        <v>0</v>
      </c>
      <c r="BN64" s="871">
        <v>0</v>
      </c>
      <c r="BO64" s="872">
        <f ca="1">IF(BN$299=0,0,BN64/BN$299*100)</f>
        <v>0</v>
      </c>
      <c r="BP64" s="871">
        <v>0</v>
      </c>
      <c r="BQ64" s="872">
        <f ca="1">IF(BP$299=0,0,BP64/BP$299*100)</f>
        <v>0</v>
      </c>
      <c r="BR64" s="854"/>
      <c r="BS64" s="854"/>
      <c r="BT64" s="854"/>
      <c r="BU64" s="854"/>
      <c r="BV64" s="854"/>
      <c r="BW64" s="854"/>
      <c r="BX64" s="854"/>
      <c r="BY64" s="854"/>
      <c r="BZ64" s="854"/>
      <c r="CA64" s="854"/>
      <c r="CB64" s="854"/>
      <c r="CC64" s="854"/>
      <c r="CD64" s="854"/>
      <c r="CE64" s="854"/>
      <c r="CF64" s="854"/>
      <c r="CG64" s="854" t="s">
        <v>45</v>
      </c>
    </row>
    <row r="65" spans="1:85" ht="15.75" customHeight="1">
      <c r="A65" s="847"/>
      <c r="B65" s="1154">
        <f t="shared" si="28"/>
        <v>50</v>
      </c>
      <c r="C65" s="1166" t="s">
        <v>150</v>
      </c>
      <c r="D65" s="1173"/>
      <c r="E65" s="1156">
        <v>5000</v>
      </c>
      <c r="F65" s="1153">
        <f t="shared" si="18"/>
        <v>4.0584415584415581</v>
      </c>
      <c r="G65" s="1156">
        <v>5001</v>
      </c>
      <c r="H65" s="1153">
        <f t="shared" si="19"/>
        <v>4.0554677046588008</v>
      </c>
      <c r="I65" s="1156">
        <v>5002</v>
      </c>
      <c r="J65" s="1153">
        <f t="shared" si="20"/>
        <v>4.0524993923681443</v>
      </c>
      <c r="K65" s="1156">
        <v>5003</v>
      </c>
      <c r="L65" s="1153">
        <f t="shared" si="21"/>
        <v>4.0495366060949456</v>
      </c>
      <c r="M65" s="880"/>
      <c r="N65" s="876"/>
      <c r="O65" s="877"/>
      <c r="P65" s="877"/>
      <c r="Q65" s="877"/>
      <c r="R65" s="877"/>
      <c r="S65" s="877"/>
      <c r="T65" s="851"/>
      <c r="U65" s="851"/>
      <c r="V65" s="851"/>
      <c r="W65" s="851"/>
      <c r="X65" s="851"/>
      <c r="Y65" s="851"/>
      <c r="Z65" s="851"/>
      <c r="AA65" s="851"/>
      <c r="AB65" s="851"/>
      <c r="AC65" s="851"/>
      <c r="AD65" s="851"/>
      <c r="AE65" s="851"/>
      <c r="AF65" s="851"/>
      <c r="AG65" s="851"/>
      <c r="AH65" s="852"/>
      <c r="AI65" s="852"/>
      <c r="AJ65" s="852"/>
      <c r="AK65" s="852"/>
      <c r="AL65" s="852"/>
      <c r="AM65" s="852"/>
      <c r="AN65" s="852"/>
      <c r="AO65" s="852"/>
      <c r="AP65" s="852"/>
      <c r="AQ65" s="852"/>
      <c r="AR65" s="852"/>
      <c r="AS65" s="852"/>
      <c r="AT65" s="852"/>
      <c r="AU65" s="852"/>
      <c r="AV65" s="852"/>
      <c r="AW65" s="852"/>
      <c r="AX65" s="876"/>
      <c r="AY65" s="847"/>
      <c r="AZ65" s="847"/>
      <c r="BA65" s="847"/>
      <c r="BB65" s="847"/>
      <c r="BC65" s="853"/>
      <c r="BD65" s="854"/>
      <c r="BE65" s="854"/>
      <c r="BF65" s="854"/>
      <c r="BG65" s="870"/>
      <c r="BH65" s="860"/>
      <c r="BI65" s="854"/>
      <c r="BJ65" s="871"/>
      <c r="BK65" s="872"/>
      <c r="BL65" s="871"/>
      <c r="BM65" s="872"/>
      <c r="BN65" s="871"/>
      <c r="BO65" s="872"/>
      <c r="BP65" s="871"/>
      <c r="BQ65" s="872"/>
      <c r="BR65" s="854"/>
      <c r="BS65" s="854"/>
      <c r="BT65" s="854"/>
      <c r="BU65" s="854"/>
      <c r="BV65" s="854"/>
      <c r="BW65" s="854"/>
      <c r="BX65" s="854"/>
      <c r="BY65" s="854"/>
      <c r="BZ65" s="854"/>
      <c r="CA65" s="854"/>
      <c r="CB65" s="854"/>
      <c r="CC65" s="854"/>
      <c r="CD65" s="854"/>
      <c r="CE65" s="854"/>
      <c r="CF65" s="854"/>
      <c r="CG65" s="854"/>
    </row>
    <row r="66" spans="1:85" ht="15.75" customHeight="1">
      <c r="A66" s="847"/>
      <c r="B66" s="1154">
        <f t="shared" si="28"/>
        <v>51</v>
      </c>
      <c r="C66" s="1172" t="s">
        <v>151</v>
      </c>
      <c r="D66" s="1155"/>
      <c r="E66" s="1170">
        <v>5100</v>
      </c>
      <c r="F66" s="1153">
        <f t="shared" si="18"/>
        <v>4.1396103896103895</v>
      </c>
      <c r="G66" s="1170">
        <v>5101</v>
      </c>
      <c r="H66" s="1153">
        <f t="shared" si="19"/>
        <v>4.1365608401248828</v>
      </c>
      <c r="I66" s="1170">
        <v>5102</v>
      </c>
      <c r="J66" s="1153">
        <f t="shared" si="20"/>
        <v>4.1335169731831805</v>
      </c>
      <c r="K66" s="1170">
        <v>5103</v>
      </c>
      <c r="L66" s="1153">
        <f t="shared" si="21"/>
        <v>4.1304787729167503</v>
      </c>
      <c r="M66" s="869"/>
      <c r="N66" s="849"/>
      <c r="O66" s="850"/>
      <c r="P66" s="850"/>
      <c r="Q66" s="850"/>
      <c r="R66" s="850"/>
      <c r="S66" s="850"/>
      <c r="T66" s="851"/>
      <c r="U66" s="851"/>
      <c r="V66" s="851"/>
      <c r="W66" s="851"/>
      <c r="X66" s="851"/>
      <c r="Y66" s="851"/>
      <c r="Z66" s="851"/>
      <c r="AA66" s="851"/>
      <c r="AB66" s="851"/>
      <c r="AC66" s="851"/>
      <c r="AD66" s="851"/>
      <c r="AE66" s="851"/>
      <c r="AF66" s="851"/>
      <c r="AG66" s="851"/>
      <c r="AH66" s="852"/>
      <c r="AI66" s="852"/>
      <c r="AJ66" s="852"/>
      <c r="AK66" s="852"/>
      <c r="AL66" s="852"/>
      <c r="AM66" s="852"/>
      <c r="AN66" s="852"/>
      <c r="AO66" s="852"/>
      <c r="AP66" s="852"/>
      <c r="AQ66" s="852"/>
      <c r="AR66" s="852"/>
      <c r="AS66" s="852"/>
      <c r="AT66" s="852"/>
      <c r="AU66" s="852"/>
      <c r="AV66" s="852"/>
      <c r="AW66" s="852"/>
      <c r="AX66" s="849"/>
      <c r="AY66" s="847"/>
      <c r="AZ66" s="847"/>
      <c r="BA66" s="847"/>
      <c r="BB66" s="847"/>
      <c r="BC66" s="853"/>
      <c r="BD66" s="854"/>
      <c r="BE66" s="854"/>
      <c r="BF66" s="854"/>
      <c r="BG66" s="870">
        <v>40</v>
      </c>
      <c r="BH66" s="860" t="s">
        <v>45</v>
      </c>
      <c r="BI66" s="854"/>
      <c r="BJ66" s="871">
        <v>0</v>
      </c>
      <c r="BK66" s="872">
        <f ca="1">IF(BJ$299=0,0,BJ66/BJ$299*100)</f>
        <v>0</v>
      </c>
      <c r="BL66" s="871">
        <v>0</v>
      </c>
      <c r="BM66" s="872">
        <f ca="1">IF(BL$299=0,0,BL66/BL$299*100)</f>
        <v>0</v>
      </c>
      <c r="BN66" s="871">
        <v>0</v>
      </c>
      <c r="BO66" s="872">
        <f ca="1">IF(BN$299=0,0,BN66/BN$299*100)</f>
        <v>0</v>
      </c>
      <c r="BP66" s="871">
        <v>0</v>
      </c>
      <c r="BQ66" s="872">
        <f ca="1">IF(BP$299=0,0,BP66/BP$299*100)</f>
        <v>0</v>
      </c>
      <c r="BR66" s="854"/>
      <c r="BS66" s="854"/>
      <c r="BT66" s="854"/>
      <c r="BU66" s="854"/>
      <c r="BV66" s="854"/>
      <c r="BW66" s="854"/>
      <c r="BX66" s="854"/>
      <c r="BY66" s="854"/>
      <c r="BZ66" s="854"/>
      <c r="CA66" s="854"/>
      <c r="CB66" s="854"/>
      <c r="CC66" s="854"/>
      <c r="CD66" s="854"/>
      <c r="CE66" s="854"/>
      <c r="CF66" s="854"/>
      <c r="CG66" s="854" t="s">
        <v>45</v>
      </c>
    </row>
    <row r="67" spans="1:85" ht="14.45">
      <c r="A67" s="847"/>
      <c r="B67" s="1154">
        <f t="shared" ref="B67" si="29">+B66+1</f>
        <v>52</v>
      </c>
      <c r="C67" s="1166" t="s">
        <v>152</v>
      </c>
      <c r="D67" s="1155"/>
      <c r="E67" s="1156">
        <v>5200</v>
      </c>
      <c r="F67" s="1153">
        <f t="shared" si="18"/>
        <v>4.220779220779221</v>
      </c>
      <c r="G67" s="1156">
        <v>5201</v>
      </c>
      <c r="H67" s="1153">
        <f t="shared" si="19"/>
        <v>4.2176539755909657</v>
      </c>
      <c r="I67" s="1156">
        <v>5202</v>
      </c>
      <c r="J67" s="1153">
        <f t="shared" si="20"/>
        <v>4.2145345539982175</v>
      </c>
      <c r="K67" s="1156">
        <v>5203</v>
      </c>
      <c r="L67" s="1153">
        <f t="shared" si="21"/>
        <v>4.2114209397385567</v>
      </c>
      <c r="M67" s="869"/>
      <c r="N67" s="849"/>
      <c r="O67" s="850"/>
      <c r="P67" s="850"/>
      <c r="Q67" s="850"/>
      <c r="R67" s="850"/>
      <c r="S67" s="850"/>
      <c r="T67" s="851"/>
      <c r="U67" s="851"/>
      <c r="V67" s="851"/>
      <c r="W67" s="851"/>
      <c r="X67" s="851"/>
      <c r="Y67" s="851"/>
      <c r="Z67" s="851"/>
      <c r="AA67" s="851"/>
      <c r="AB67" s="851"/>
      <c r="AC67" s="851"/>
      <c r="AD67" s="851"/>
      <c r="AE67" s="851"/>
      <c r="AF67" s="851"/>
      <c r="AG67" s="851"/>
      <c r="AH67" s="852"/>
      <c r="AI67" s="852"/>
      <c r="AJ67" s="852"/>
      <c r="AK67" s="852"/>
      <c r="AL67" s="852"/>
      <c r="AM67" s="852"/>
      <c r="AN67" s="852"/>
      <c r="AO67" s="852"/>
      <c r="AP67" s="852"/>
      <c r="AQ67" s="852"/>
      <c r="AR67" s="852"/>
      <c r="AS67" s="852"/>
      <c r="AT67" s="852"/>
      <c r="AU67" s="852"/>
      <c r="AV67" s="852"/>
      <c r="AW67" s="852"/>
      <c r="AX67" s="849"/>
      <c r="AY67" s="847"/>
      <c r="AZ67" s="847"/>
      <c r="BA67" s="847"/>
      <c r="BB67" s="847"/>
      <c r="BC67" s="853"/>
      <c r="BD67" s="854"/>
      <c r="BE67" s="854"/>
      <c r="BF67" s="854"/>
      <c r="BG67" s="870">
        <v>41</v>
      </c>
      <c r="BH67" s="860" t="s">
        <v>45</v>
      </c>
      <c r="BI67" s="854"/>
      <c r="BJ67" s="871">
        <v>0</v>
      </c>
      <c r="BK67" s="872">
        <f ca="1">IF(BJ$299=0,0,BJ67/BJ$299*100)</f>
        <v>0</v>
      </c>
      <c r="BL67" s="871">
        <v>0</v>
      </c>
      <c r="BM67" s="872">
        <f ca="1">IF(BL$299=0,0,BL67/BL$299*100)</f>
        <v>0</v>
      </c>
      <c r="BN67" s="871">
        <v>0</v>
      </c>
      <c r="BO67" s="872">
        <f ca="1">IF(BN$299=0,0,BN67/BN$299*100)</f>
        <v>0</v>
      </c>
      <c r="BP67" s="871">
        <v>0</v>
      </c>
      <c r="BQ67" s="872">
        <f ca="1">IF(BP$299=0,0,BP67/BP$299*100)</f>
        <v>0</v>
      </c>
      <c r="BR67" s="854"/>
      <c r="BS67" s="854"/>
      <c r="BT67" s="854"/>
      <c r="BU67" s="854"/>
      <c r="BV67" s="854"/>
      <c r="BW67" s="854"/>
      <c r="BX67" s="854"/>
      <c r="BY67" s="854"/>
      <c r="BZ67" s="854"/>
      <c r="CA67" s="854"/>
      <c r="CB67" s="854"/>
      <c r="CC67" s="854"/>
      <c r="CD67" s="854"/>
      <c r="CE67" s="854"/>
      <c r="CF67" s="854"/>
      <c r="CG67" s="854" t="s">
        <v>45</v>
      </c>
    </row>
    <row r="68" spans="1:85" ht="15.75" customHeight="1">
      <c r="A68" s="847"/>
      <c r="B68" s="1154">
        <f>B67+1</f>
        <v>53</v>
      </c>
      <c r="C68" s="1166" t="s">
        <v>153</v>
      </c>
      <c r="D68" s="1155"/>
      <c r="E68" s="1156">
        <v>5300</v>
      </c>
      <c r="F68" s="1153">
        <f t="shared" si="18"/>
        <v>4.3019480519480524</v>
      </c>
      <c r="G68" s="1156">
        <v>5301</v>
      </c>
      <c r="H68" s="1153">
        <f t="shared" si="19"/>
        <v>4.2987471110570485</v>
      </c>
      <c r="I68" s="1156">
        <v>5302</v>
      </c>
      <c r="J68" s="1153">
        <f t="shared" si="20"/>
        <v>4.2955521348132546</v>
      </c>
      <c r="K68" s="1156">
        <v>5303</v>
      </c>
      <c r="L68" s="1153">
        <f t="shared" si="21"/>
        <v>4.2923631065603622</v>
      </c>
      <c r="M68" s="869"/>
      <c r="N68" s="849"/>
      <c r="O68" s="850"/>
      <c r="P68" s="850"/>
      <c r="Q68" s="850"/>
      <c r="R68" s="850"/>
      <c r="S68" s="850"/>
      <c r="T68" s="851"/>
      <c r="U68" s="851"/>
      <c r="V68" s="851"/>
      <c r="W68" s="851"/>
      <c r="X68" s="851"/>
      <c r="Y68" s="851"/>
      <c r="Z68" s="851"/>
      <c r="AA68" s="851"/>
      <c r="AB68" s="851"/>
      <c r="AC68" s="851"/>
      <c r="AD68" s="851"/>
      <c r="AE68" s="851"/>
      <c r="AF68" s="851"/>
      <c r="AG68" s="851"/>
      <c r="AH68" s="852"/>
      <c r="AI68" s="852"/>
      <c r="AJ68" s="852"/>
      <c r="AK68" s="852"/>
      <c r="AL68" s="852"/>
      <c r="AM68" s="852"/>
      <c r="AN68" s="852"/>
      <c r="AO68" s="852"/>
      <c r="AP68" s="852"/>
      <c r="AQ68" s="852"/>
      <c r="AR68" s="852"/>
      <c r="AS68" s="852"/>
      <c r="AT68" s="852"/>
      <c r="AU68" s="852"/>
      <c r="AV68" s="852"/>
      <c r="AW68" s="852"/>
      <c r="AX68" s="849"/>
      <c r="AY68" s="847"/>
      <c r="AZ68" s="847"/>
      <c r="BA68" s="847"/>
      <c r="BB68" s="847"/>
      <c r="BC68" s="853"/>
      <c r="BD68" s="854"/>
      <c r="BE68" s="854"/>
      <c r="BF68" s="854"/>
      <c r="BG68" s="870">
        <v>44</v>
      </c>
      <c r="BH68" s="860" t="s">
        <v>45</v>
      </c>
      <c r="BI68" s="854"/>
      <c r="BJ68" s="871">
        <v>0</v>
      </c>
      <c r="BK68" s="872">
        <f ca="1">IF(BJ$299=0,0,BJ68/BJ$299*100)</f>
        <v>0</v>
      </c>
      <c r="BL68" s="871">
        <v>0</v>
      </c>
      <c r="BM68" s="872">
        <f ca="1">IF(BL$299=0,0,BL68/BL$299*100)</f>
        <v>0</v>
      </c>
      <c r="BN68" s="871">
        <v>0</v>
      </c>
      <c r="BO68" s="872">
        <f ca="1">IF(BN$299=0,0,BN68/BN$299*100)</f>
        <v>0</v>
      </c>
      <c r="BP68" s="871">
        <v>0</v>
      </c>
      <c r="BQ68" s="872">
        <f ca="1">IF(BP$299=0,0,BP68/BP$299*100)</f>
        <v>0</v>
      </c>
      <c r="BR68" s="854"/>
      <c r="BS68" s="854"/>
      <c r="BT68" s="854"/>
      <c r="BU68" s="854"/>
      <c r="BV68" s="854"/>
      <c r="BW68" s="854"/>
      <c r="BX68" s="854"/>
      <c r="BY68" s="854"/>
      <c r="BZ68" s="854"/>
      <c r="CA68" s="854"/>
      <c r="CB68" s="854"/>
      <c r="CC68" s="854"/>
      <c r="CD68" s="854"/>
      <c r="CE68" s="854"/>
      <c r="CF68" s="854"/>
      <c r="CG68" s="854" t="s">
        <v>45</v>
      </c>
    </row>
    <row r="69" spans="1:85" ht="15.75" customHeight="1">
      <c r="A69" s="847"/>
      <c r="B69" s="1154">
        <f>B68+1</f>
        <v>54</v>
      </c>
      <c r="C69" s="1166" t="s">
        <v>154</v>
      </c>
      <c r="D69" s="1155"/>
      <c r="E69" s="1156">
        <v>5400</v>
      </c>
      <c r="F69" s="1153">
        <f t="shared" si="18"/>
        <v>4.383116883116883</v>
      </c>
      <c r="G69" s="1156">
        <f>SUM(E69:E71)</f>
        <v>11500</v>
      </c>
      <c r="H69" s="1153">
        <f t="shared" si="19"/>
        <v>9.3257105785995229</v>
      </c>
      <c r="I69" s="1156">
        <f>SUM(G69:G71)</f>
        <v>11584</v>
      </c>
      <c r="J69" s="1153">
        <f t="shared" si="20"/>
        <v>9.3850765616138698</v>
      </c>
      <c r="K69" s="1156">
        <f>SUM(I69:I71)</f>
        <v>11668</v>
      </c>
      <c r="L69" s="1153">
        <f t="shared" si="21"/>
        <v>9.4443320247683022</v>
      </c>
      <c r="M69" s="869"/>
      <c r="N69" s="849"/>
      <c r="O69" s="881">
        <v>-13439.545259</v>
      </c>
      <c r="P69" s="881">
        <v>98313.591383000006</v>
      </c>
      <c r="Q69" s="881">
        <v>99201.758274000007</v>
      </c>
      <c r="R69" s="850"/>
      <c r="S69" s="850"/>
      <c r="T69" s="851"/>
      <c r="U69" s="851"/>
      <c r="V69" s="851"/>
      <c r="W69" s="851"/>
      <c r="X69" s="851"/>
      <c r="Y69" s="851"/>
      <c r="Z69" s="851"/>
      <c r="AA69" s="851"/>
      <c r="AB69" s="851"/>
      <c r="AC69" s="851"/>
      <c r="AD69" s="851"/>
      <c r="AE69" s="851"/>
      <c r="AF69" s="851"/>
      <c r="AG69" s="851"/>
      <c r="AH69" s="852"/>
      <c r="AI69" s="852"/>
      <c r="AJ69" s="852"/>
      <c r="AK69" s="852"/>
      <c r="AL69" s="852"/>
      <c r="AM69" s="852"/>
      <c r="AN69" s="852"/>
      <c r="AO69" s="852"/>
      <c r="AP69" s="852"/>
      <c r="AQ69" s="852"/>
      <c r="AR69" s="852"/>
      <c r="AS69" s="852"/>
      <c r="AT69" s="852"/>
      <c r="AU69" s="852"/>
      <c r="AV69" s="852"/>
      <c r="AW69" s="852"/>
      <c r="AX69" s="849"/>
      <c r="AY69" s="847"/>
      <c r="AZ69" s="847"/>
      <c r="BA69" s="847"/>
      <c r="BB69" s="847"/>
      <c r="BC69" s="853"/>
      <c r="BD69" s="854"/>
      <c r="BE69" s="854"/>
      <c r="BF69" s="854"/>
      <c r="BG69" s="870">
        <v>45</v>
      </c>
      <c r="BH69" s="860" t="s">
        <v>155</v>
      </c>
      <c r="BI69" s="854"/>
      <c r="BJ69" s="871">
        <v>0</v>
      </c>
      <c r="BK69" s="872">
        <f ca="1">IF(BJ$299=0,0,BJ69/BJ$299*100)</f>
        <v>0</v>
      </c>
      <c r="BL69" s="871">
        <v>0</v>
      </c>
      <c r="BM69" s="872">
        <f ca="1">IF(BL$299=0,0,BL69/BL$299*100)</f>
        <v>0</v>
      </c>
      <c r="BN69" s="871">
        <v>0</v>
      </c>
      <c r="BO69" s="872">
        <f ca="1">IF(BN$299=0,0,BN69/BN$299*100)</f>
        <v>0</v>
      </c>
      <c r="BP69" s="871">
        <v>0</v>
      </c>
      <c r="BQ69" s="872">
        <f ca="1">IF(BP$299=0,0,BP69/BP$299*100)</f>
        <v>0</v>
      </c>
      <c r="BR69" s="854"/>
      <c r="BS69" s="854"/>
      <c r="BT69" s="854"/>
      <c r="BU69" s="854"/>
      <c r="BV69" s="854"/>
      <c r="BW69" s="854"/>
      <c r="BX69" s="854"/>
      <c r="BY69" s="854"/>
      <c r="BZ69" s="854"/>
      <c r="CA69" s="854"/>
      <c r="CB69" s="854"/>
      <c r="CC69" s="854"/>
      <c r="CD69" s="854"/>
      <c r="CE69" s="854"/>
      <c r="CF69" s="854"/>
      <c r="CG69" s="854" t="s">
        <v>45</v>
      </c>
    </row>
    <row r="70" spans="1:85" ht="15.75" customHeight="1">
      <c r="A70" s="847"/>
      <c r="B70" s="1154">
        <f>+B69+1</f>
        <v>55</v>
      </c>
      <c r="C70" s="1166" t="s">
        <v>156</v>
      </c>
      <c r="D70" s="1155"/>
      <c r="E70" s="1156">
        <f>E122</f>
        <v>7650</v>
      </c>
      <c r="F70" s="1153">
        <f t="shared" si="18"/>
        <v>6.2094155844155852</v>
      </c>
      <c r="G70" s="1156">
        <f>G122</f>
        <v>13935</v>
      </c>
      <c r="H70" s="1153">
        <f t="shared" si="19"/>
        <v>11.300328427198638</v>
      </c>
      <c r="I70" s="1156">
        <f>I122</f>
        <v>19400</v>
      </c>
      <c r="J70" s="1153">
        <f t="shared" si="20"/>
        <v>15.717410678117153</v>
      </c>
      <c r="K70" s="1156">
        <f>K122</f>
        <v>19105</v>
      </c>
      <c r="L70" s="1153">
        <f t="shared" si="21"/>
        <v>15.464000971306003</v>
      </c>
      <c r="M70" s="869"/>
      <c r="N70" s="849"/>
      <c r="O70" s="850"/>
      <c r="P70" s="850"/>
      <c r="Q70" s="850"/>
      <c r="R70" s="850"/>
      <c r="S70" s="850"/>
      <c r="T70" s="851"/>
      <c r="U70" s="851"/>
      <c r="V70" s="851"/>
      <c r="W70" s="851"/>
      <c r="X70" s="851"/>
      <c r="Y70" s="851"/>
      <c r="Z70" s="851"/>
      <c r="AA70" s="851"/>
      <c r="AB70" s="851"/>
      <c r="AC70" s="851"/>
      <c r="AD70" s="851"/>
      <c r="AE70" s="851"/>
      <c r="AF70" s="851"/>
      <c r="AG70" s="851"/>
      <c r="AH70" s="852"/>
      <c r="AI70" s="852"/>
      <c r="AJ70" s="852"/>
      <c r="AK70" s="852"/>
      <c r="AL70" s="852"/>
      <c r="AM70" s="852"/>
      <c r="AN70" s="852"/>
      <c r="AO70" s="852"/>
      <c r="AP70" s="852"/>
      <c r="AQ70" s="852"/>
      <c r="AR70" s="852"/>
      <c r="AS70" s="852"/>
      <c r="AT70" s="852"/>
      <c r="AU70" s="852"/>
      <c r="AV70" s="852"/>
      <c r="AW70" s="852"/>
      <c r="AX70" s="849"/>
      <c r="AY70" s="847"/>
      <c r="AZ70" s="847"/>
      <c r="BA70" s="847"/>
      <c r="BB70" s="847"/>
      <c r="BC70" s="853"/>
      <c r="BD70" s="854"/>
      <c r="BE70" s="854"/>
      <c r="BF70" s="854"/>
      <c r="BG70" s="870">
        <v>46</v>
      </c>
      <c r="BH70" s="860" t="s">
        <v>157</v>
      </c>
      <c r="BI70" s="854"/>
      <c r="BJ70" s="871">
        <v>0</v>
      </c>
      <c r="BK70" s="872">
        <f ca="1">IF(BJ$299=0,0,BJ70/BJ$299*100)</f>
        <v>0</v>
      </c>
      <c r="BL70" s="871">
        <v>0</v>
      </c>
      <c r="BM70" s="872">
        <f ca="1">IF(BL$299=0,0,BL70/BL$299*100)</f>
        <v>0</v>
      </c>
      <c r="BN70" s="871">
        <v>0</v>
      </c>
      <c r="BO70" s="872">
        <f ca="1">IF(BN$299=0,0,BN70/BN$299*100)</f>
        <v>0</v>
      </c>
      <c r="BP70" s="871">
        <v>1303.08456</v>
      </c>
      <c r="BQ70" s="872">
        <f ca="1">IF(BP$299=0,0,BP70/BP$299*100)</f>
        <v>0.33800684947639958</v>
      </c>
      <c r="BR70" s="854"/>
      <c r="BS70" s="854"/>
      <c r="BT70" s="854"/>
      <c r="BU70" s="854"/>
      <c r="BV70" s="854"/>
      <c r="BW70" s="854"/>
      <c r="BX70" s="854"/>
      <c r="BY70" s="854"/>
      <c r="BZ70" s="854"/>
      <c r="CA70" s="854"/>
      <c r="CB70" s="854"/>
      <c r="CC70" s="854"/>
      <c r="CD70" s="854"/>
      <c r="CE70" s="854"/>
      <c r="CF70" s="854"/>
      <c r="CG70" s="854" t="s">
        <v>45</v>
      </c>
    </row>
    <row r="71" spans="1:85" ht="16.5" customHeight="1">
      <c r="A71" s="847"/>
      <c r="B71" s="1157">
        <f>B70+1</f>
        <v>56</v>
      </c>
      <c r="C71" s="1167" t="s">
        <v>158</v>
      </c>
      <c r="D71" s="1159"/>
      <c r="E71" s="1156">
        <v>-1550</v>
      </c>
      <c r="F71" s="1153">
        <f t="shared" si="18"/>
        <v>-1.2581168831168832</v>
      </c>
      <c r="G71" s="1156">
        <v>-13851</v>
      </c>
      <c r="H71" s="1153">
        <f t="shared" si="19"/>
        <v>-11.232210193407129</v>
      </c>
      <c r="I71" s="1156">
        <v>-19316</v>
      </c>
      <c r="J71" s="1153">
        <f t="shared" si="20"/>
        <v>-15.64935591023252</v>
      </c>
      <c r="K71" s="1156">
        <v>-19021</v>
      </c>
      <c r="L71" s="1153">
        <f t="shared" si="21"/>
        <v>-15.396009551175686</v>
      </c>
      <c r="M71" s="869"/>
      <c r="N71" s="849"/>
      <c r="O71" s="850"/>
      <c r="P71" s="850"/>
      <c r="Q71" s="850"/>
      <c r="R71" s="850"/>
      <c r="S71" s="850"/>
      <c r="T71" s="851"/>
      <c r="U71" s="851"/>
      <c r="V71" s="851"/>
      <c r="W71" s="851"/>
      <c r="X71" s="851"/>
      <c r="Y71" s="851"/>
      <c r="Z71" s="851"/>
      <c r="AA71" s="851"/>
      <c r="AB71" s="851"/>
      <c r="AC71" s="851"/>
      <c r="AD71" s="851"/>
      <c r="AE71" s="851"/>
      <c r="AF71" s="851"/>
      <c r="AG71" s="851"/>
      <c r="AH71" s="852"/>
      <c r="AI71" s="852"/>
      <c r="AJ71" s="852"/>
      <c r="AK71" s="852"/>
      <c r="AL71" s="852"/>
      <c r="AM71" s="852"/>
      <c r="AN71" s="852"/>
      <c r="AO71" s="852"/>
      <c r="AP71" s="852"/>
      <c r="AQ71" s="852"/>
      <c r="AR71" s="852"/>
      <c r="AS71" s="852"/>
      <c r="AT71" s="852"/>
      <c r="AU71" s="852"/>
      <c r="AV71" s="852"/>
      <c r="AW71" s="852"/>
      <c r="AX71" s="849"/>
      <c r="AY71" s="847"/>
      <c r="AZ71" s="847"/>
      <c r="BA71" s="847"/>
      <c r="BB71" s="847"/>
      <c r="BC71" s="853"/>
      <c r="BD71" s="854"/>
      <c r="BE71" s="854"/>
      <c r="BF71" s="854"/>
      <c r="BG71" s="854"/>
      <c r="BH71" s="854"/>
      <c r="BI71" s="854"/>
      <c r="BJ71" s="854"/>
      <c r="BK71" s="854"/>
      <c r="BL71" s="854"/>
      <c r="BM71" s="854"/>
      <c r="BN71" s="854"/>
      <c r="BO71" s="854"/>
      <c r="BP71" s="854"/>
      <c r="BQ71" s="854"/>
      <c r="BR71" s="854"/>
      <c r="BS71" s="854"/>
      <c r="BT71" s="854"/>
      <c r="BU71" s="870">
        <v>47</v>
      </c>
      <c r="BV71" s="860" t="s">
        <v>159</v>
      </c>
      <c r="BW71" s="854"/>
      <c r="BX71" s="871">
        <v>0</v>
      </c>
      <c r="BY71" s="872">
        <f ca="1">IF(BJ$299=0,0,BX71/BJ$299*100)</f>
        <v>0</v>
      </c>
      <c r="BZ71" s="871">
        <v>97.060411999999999</v>
      </c>
      <c r="CA71" s="872">
        <f ca="1">IF(BL$299=0,0,BZ71/BL$299*100)</f>
        <v>0.43329690289091016</v>
      </c>
      <c r="CB71" s="871">
        <v>370.22209199999998</v>
      </c>
      <c r="CC71" s="872">
        <f ca="1">IF(BN$299=0,0,CB71/BN$299*100)</f>
        <v>1.2763137035774754</v>
      </c>
      <c r="CD71" s="871">
        <v>12239.685156</v>
      </c>
      <c r="CE71" s="872">
        <f ca="1">IF(BP$299=0,0,CD71/BP$299*100)</f>
        <v>3.1748495417385758</v>
      </c>
      <c r="CF71" s="854"/>
      <c r="CG71" s="854" t="s">
        <v>45</v>
      </c>
    </row>
    <row r="72" spans="1:85" ht="16.5" customHeight="1">
      <c r="A72" s="847"/>
      <c r="B72" s="1160">
        <f t="shared" ref="B72" si="30">B71+1</f>
        <v>57</v>
      </c>
      <c r="C72" s="1161" t="s">
        <v>160</v>
      </c>
      <c r="D72" s="1162"/>
      <c r="E72" s="1163">
        <f>SUM(E61:E71)</f>
        <v>51100</v>
      </c>
      <c r="F72" s="1164">
        <f t="shared" si="18"/>
        <v>41.477272727272727</v>
      </c>
      <c r="G72" s="1163">
        <f>SUM(G61:G71)</f>
        <v>51192</v>
      </c>
      <c r="H72" s="1164">
        <f t="shared" si="19"/>
        <v>41.513197907797107</v>
      </c>
      <c r="I72" s="1163">
        <f>SUM(I61:I71)</f>
        <v>51284</v>
      </c>
      <c r="J72" s="1164">
        <f t="shared" si="20"/>
        <v>41.549056145183506</v>
      </c>
      <c r="K72" s="1163">
        <f>SUM(K61:K71)</f>
        <v>51376</v>
      </c>
      <c r="L72" s="1164">
        <f t="shared" si="21"/>
        <v>41.584847626370959</v>
      </c>
      <c r="M72" s="869"/>
      <c r="N72" s="849"/>
      <c r="O72" s="850"/>
      <c r="P72" s="850"/>
      <c r="Q72" s="850"/>
      <c r="R72" s="850"/>
      <c r="S72" s="850"/>
      <c r="T72" s="851"/>
      <c r="U72" s="851"/>
      <c r="V72" s="851"/>
      <c r="W72" s="851"/>
      <c r="X72" s="851"/>
      <c r="Y72" s="851"/>
      <c r="Z72" s="851"/>
      <c r="AA72" s="851"/>
      <c r="AB72" s="851"/>
      <c r="AC72" s="851"/>
      <c r="AD72" s="851"/>
      <c r="AE72" s="851"/>
      <c r="AF72" s="851"/>
      <c r="AG72" s="851"/>
      <c r="AH72" s="852"/>
      <c r="AI72" s="852"/>
      <c r="AJ72" s="852"/>
      <c r="AK72" s="852"/>
      <c r="AL72" s="852"/>
      <c r="AM72" s="852"/>
      <c r="AN72" s="852"/>
      <c r="AO72" s="852"/>
      <c r="AP72" s="852"/>
      <c r="AQ72" s="852"/>
      <c r="AR72" s="852"/>
      <c r="AS72" s="852"/>
      <c r="AT72" s="852"/>
      <c r="AU72" s="852"/>
      <c r="AV72" s="852"/>
      <c r="AW72" s="852"/>
      <c r="AX72" s="849"/>
      <c r="AY72" s="847"/>
      <c r="AZ72" s="847"/>
      <c r="BA72" s="847"/>
      <c r="BB72" s="847"/>
      <c r="BC72" s="853"/>
      <c r="BD72" s="854"/>
      <c r="BE72" s="854"/>
      <c r="BF72" s="854"/>
      <c r="BG72" s="870">
        <v>48</v>
      </c>
      <c r="BH72" s="860" t="s">
        <v>161</v>
      </c>
      <c r="BI72" s="854"/>
      <c r="BJ72" s="871">
        <v>374.85685000000001</v>
      </c>
      <c r="BK72" s="872">
        <f ca="1">IF(BJ$299=0,0,BJ72/BJ$299*100)</f>
        <v>26.367806033013018</v>
      </c>
      <c r="BL72" s="871">
        <v>0</v>
      </c>
      <c r="BM72" s="872">
        <f ca="1">IF(BL$299=0,0,BL72/BL$299*100)</f>
        <v>0</v>
      </c>
      <c r="BN72" s="871">
        <v>0</v>
      </c>
      <c r="BO72" s="872">
        <f ca="1">IF(BN$299=0,0,BN72/BN$299*100)</f>
        <v>0</v>
      </c>
      <c r="BP72" s="871">
        <v>0</v>
      </c>
      <c r="BQ72" s="872">
        <f ca="1">IF(BP$299=0,0,BP72/BP$299*100)</f>
        <v>0</v>
      </c>
      <c r="BR72" s="854"/>
      <c r="BS72" s="854"/>
      <c r="BT72" s="854"/>
      <c r="BU72" s="854"/>
      <c r="BV72" s="854"/>
      <c r="BW72" s="854"/>
      <c r="BX72" s="854"/>
      <c r="BY72" s="854"/>
      <c r="BZ72" s="854"/>
      <c r="CA72" s="854"/>
      <c r="CB72" s="854"/>
      <c r="CC72" s="854"/>
      <c r="CD72" s="854"/>
      <c r="CE72" s="854"/>
      <c r="CF72" s="854"/>
      <c r="CG72" s="854" t="s">
        <v>45</v>
      </c>
    </row>
    <row r="73" spans="1:85" ht="16.5" customHeight="1">
      <c r="A73" s="847"/>
      <c r="B73" s="1160">
        <f>+B72+1</f>
        <v>58</v>
      </c>
      <c r="C73" s="1161" t="s">
        <v>162</v>
      </c>
      <c r="D73" s="1162"/>
      <c r="E73" s="1163">
        <f>E60+E72</f>
        <v>123200</v>
      </c>
      <c r="F73" s="1164">
        <f t="shared" si="18"/>
        <v>100</v>
      </c>
      <c r="G73" s="1163">
        <f>G60+G72</f>
        <v>123315</v>
      </c>
      <c r="H73" s="1164">
        <f t="shared" si="19"/>
        <v>100</v>
      </c>
      <c r="I73" s="1163">
        <f>I60+I72</f>
        <v>123430</v>
      </c>
      <c r="J73" s="1164">
        <f t="shared" si="20"/>
        <v>100</v>
      </c>
      <c r="K73" s="1163">
        <f>K60+K72</f>
        <v>123545</v>
      </c>
      <c r="L73" s="1164">
        <f t="shared" si="21"/>
        <v>100</v>
      </c>
      <c r="M73" s="869"/>
      <c r="N73" s="879"/>
      <c r="O73" s="850"/>
      <c r="P73" s="850"/>
      <c r="Q73" s="850"/>
      <c r="R73" s="850"/>
      <c r="S73" s="850"/>
      <c r="T73" s="851"/>
      <c r="U73" s="874">
        <v>157881</v>
      </c>
      <c r="V73" s="851"/>
      <c r="W73" s="874">
        <v>303530</v>
      </c>
      <c r="X73" s="851"/>
      <c r="Y73" s="874">
        <v>310346</v>
      </c>
      <c r="Z73" s="851"/>
      <c r="AA73" s="874">
        <v>597520</v>
      </c>
      <c r="AB73" s="851"/>
      <c r="AC73" s="851"/>
      <c r="AD73" s="851"/>
      <c r="AE73" s="851"/>
      <c r="AF73" s="851"/>
      <c r="AG73" s="851"/>
      <c r="AH73" s="852"/>
      <c r="AI73" s="852"/>
      <c r="AJ73" s="852"/>
      <c r="AK73" s="852"/>
      <c r="AL73" s="852"/>
      <c r="AM73" s="852"/>
      <c r="AN73" s="852"/>
      <c r="AO73" s="852"/>
      <c r="AP73" s="852"/>
      <c r="AQ73" s="852"/>
      <c r="AR73" s="852"/>
      <c r="AS73" s="852"/>
      <c r="AT73" s="852"/>
      <c r="AU73" s="852"/>
      <c r="AV73" s="852"/>
      <c r="AW73" s="852"/>
      <c r="AX73" s="849"/>
      <c r="AY73" s="847"/>
      <c r="AZ73" s="847"/>
      <c r="BA73" s="847"/>
      <c r="BB73" s="847"/>
      <c r="BC73" s="853"/>
      <c r="BD73" s="854"/>
      <c r="BE73" s="854"/>
      <c r="BF73" s="854"/>
      <c r="BG73" s="870">
        <v>49</v>
      </c>
      <c r="BH73" s="860" t="s">
        <v>163</v>
      </c>
      <c r="BI73" s="854"/>
      <c r="BJ73" s="871">
        <v>0</v>
      </c>
      <c r="BK73" s="872">
        <f ca="1">IF(BJ$299=0,0,BJ73/BJ$299*100)</f>
        <v>0</v>
      </c>
      <c r="BL73" s="871">
        <v>0</v>
      </c>
      <c r="BM73" s="872">
        <f ca="1">IF(BL$299=0,0,BL73/BL$299*100)</f>
        <v>0</v>
      </c>
      <c r="BN73" s="871">
        <v>0</v>
      </c>
      <c r="BO73" s="872">
        <f ca="1">IF(BN$299=0,0,BN73/BN$299*100)</f>
        <v>0</v>
      </c>
      <c r="BP73" s="871">
        <v>0</v>
      </c>
      <c r="BQ73" s="872">
        <f ca="1">IF(BP$299=0,0,BP73/BP$299*100)</f>
        <v>0</v>
      </c>
      <c r="BR73" s="854"/>
      <c r="BS73" s="854"/>
      <c r="BT73" s="854"/>
      <c r="BU73" s="854"/>
      <c r="BV73" s="854"/>
      <c r="BW73" s="854"/>
      <c r="BX73" s="854"/>
      <c r="BY73" s="854"/>
      <c r="BZ73" s="854"/>
      <c r="CA73" s="854"/>
      <c r="CB73" s="854"/>
      <c r="CC73" s="854"/>
      <c r="CD73" s="854"/>
      <c r="CE73" s="854"/>
      <c r="CF73" s="854"/>
      <c r="CG73" s="854" t="s">
        <v>45</v>
      </c>
    </row>
    <row r="74" spans="1:85" ht="16.5" customHeight="1">
      <c r="A74" s="847"/>
      <c r="B74" s="1174"/>
      <c r="C74" s="1175" t="s">
        <v>164</v>
      </c>
      <c r="D74" s="1176"/>
      <c r="E74" s="1177"/>
      <c r="F74" s="1178"/>
      <c r="G74" s="1177"/>
      <c r="H74" s="1178"/>
      <c r="I74" s="1177"/>
      <c r="J74" s="1178"/>
      <c r="K74" s="1177"/>
      <c r="L74" s="1179"/>
      <c r="M74" s="869"/>
      <c r="N74" s="849"/>
      <c r="O74" s="850"/>
      <c r="P74" s="850"/>
      <c r="Q74" s="850"/>
      <c r="R74" s="850"/>
      <c r="S74" s="850"/>
      <c r="T74" s="851"/>
      <c r="U74" s="851"/>
      <c r="V74" s="851"/>
      <c r="W74" s="851"/>
      <c r="X74" s="851"/>
      <c r="Y74" s="851"/>
      <c r="Z74" s="851"/>
      <c r="AA74" s="851"/>
      <c r="AB74" s="851"/>
      <c r="AC74" s="851"/>
      <c r="AD74" s="851"/>
      <c r="AE74" s="851"/>
      <c r="AF74" s="851"/>
      <c r="AG74" s="851"/>
      <c r="AH74" s="852"/>
      <c r="AI74" s="852"/>
      <c r="AJ74" s="852"/>
      <c r="AK74" s="852"/>
      <c r="AL74" s="852"/>
      <c r="AM74" s="852"/>
      <c r="AN74" s="852"/>
      <c r="AO74" s="852"/>
      <c r="AP74" s="852"/>
      <c r="AQ74" s="852"/>
      <c r="AR74" s="852"/>
      <c r="AS74" s="852"/>
      <c r="AT74" s="852"/>
      <c r="AU74" s="852"/>
      <c r="AV74" s="852"/>
      <c r="AW74" s="852"/>
      <c r="AX74" s="849"/>
      <c r="AY74" s="847"/>
      <c r="AZ74" s="847"/>
      <c r="BA74" s="847"/>
      <c r="BB74" s="847"/>
      <c r="BC74" s="853"/>
      <c r="BD74" s="854"/>
      <c r="BE74" s="854"/>
      <c r="BF74" s="854"/>
      <c r="BG74" s="854"/>
      <c r="BH74" s="854"/>
      <c r="BI74" s="854"/>
      <c r="BJ74" s="854"/>
      <c r="BK74" s="854"/>
      <c r="BL74" s="854"/>
      <c r="BM74" s="854"/>
      <c r="BN74" s="854"/>
      <c r="BO74" s="854"/>
      <c r="BP74" s="854"/>
      <c r="BQ74" s="854"/>
      <c r="BR74" s="854"/>
      <c r="BS74" s="854"/>
      <c r="BT74" s="854"/>
      <c r="BU74" s="870">
        <v>50</v>
      </c>
      <c r="BV74" s="860" t="s">
        <v>165</v>
      </c>
      <c r="BW74" s="854"/>
      <c r="BX74" s="871">
        <v>0</v>
      </c>
      <c r="BY74" s="872">
        <f ca="1">IF(BJ$299=0,0,BX74/BJ$299*100)</f>
        <v>0</v>
      </c>
      <c r="BZ74" s="871">
        <v>0</v>
      </c>
      <c r="CA74" s="872">
        <f ca="1">IF(BL$299=0,0,BZ74/BL$299*100)</f>
        <v>0</v>
      </c>
      <c r="CB74" s="871">
        <v>0</v>
      </c>
      <c r="CC74" s="872">
        <f ca="1">IF(BN$299=0,0,CB74/BN$299*100)</f>
        <v>0</v>
      </c>
      <c r="CD74" s="871">
        <v>0</v>
      </c>
      <c r="CE74" s="872">
        <f ca="1">IF(BP$299=0,0,CD74/BP$299*100)</f>
        <v>0</v>
      </c>
      <c r="CF74" s="854"/>
      <c r="CG74" s="854" t="s">
        <v>45</v>
      </c>
    </row>
    <row r="75" spans="1:85" ht="16.5" customHeight="1">
      <c r="A75" s="847"/>
      <c r="B75" s="1180"/>
      <c r="C75" s="1181" t="s">
        <v>166</v>
      </c>
      <c r="D75" s="1146"/>
      <c r="E75" s="1182"/>
      <c r="F75" s="1183"/>
      <c r="G75" s="1184"/>
      <c r="H75" s="1183"/>
      <c r="I75" s="1184"/>
      <c r="J75" s="1183"/>
      <c r="K75" s="1184"/>
      <c r="L75" s="1185"/>
      <c r="M75" s="869"/>
      <c r="N75" s="849"/>
      <c r="O75" s="850"/>
      <c r="P75" s="850"/>
      <c r="Q75" s="850"/>
      <c r="R75" s="850"/>
      <c r="S75" s="850"/>
      <c r="T75" s="851"/>
      <c r="U75" s="851"/>
      <c r="V75" s="851"/>
      <c r="W75" s="851"/>
      <c r="X75" s="851"/>
      <c r="Y75" s="851"/>
      <c r="Z75" s="851"/>
      <c r="AA75" s="851"/>
      <c r="AB75" s="851"/>
      <c r="AC75" s="851"/>
      <c r="AD75" s="851"/>
      <c r="AE75" s="851"/>
      <c r="AF75" s="851"/>
      <c r="AG75" s="851"/>
      <c r="AH75" s="852"/>
      <c r="AI75" s="852"/>
      <c r="AJ75" s="852"/>
      <c r="AK75" s="852"/>
      <c r="AL75" s="852"/>
      <c r="AM75" s="852"/>
      <c r="AN75" s="852"/>
      <c r="AO75" s="852"/>
      <c r="AP75" s="852"/>
      <c r="AQ75" s="852"/>
      <c r="AR75" s="852"/>
      <c r="AS75" s="852"/>
      <c r="AT75" s="852"/>
      <c r="AU75" s="852"/>
      <c r="AV75" s="852"/>
      <c r="AW75" s="852"/>
      <c r="AX75" s="849"/>
      <c r="AY75" s="847"/>
      <c r="AZ75" s="847"/>
      <c r="BA75" s="847"/>
      <c r="BB75" s="847"/>
      <c r="BC75" s="853"/>
      <c r="BD75" s="854"/>
      <c r="BE75" s="854"/>
      <c r="BF75" s="854"/>
      <c r="BG75" s="854"/>
      <c r="BH75" s="854"/>
      <c r="BI75" s="854"/>
      <c r="BJ75" s="854"/>
      <c r="BK75" s="854"/>
      <c r="BL75" s="854"/>
      <c r="BM75" s="854"/>
      <c r="BN75" s="854"/>
      <c r="BO75" s="854"/>
      <c r="BP75" s="854"/>
      <c r="BQ75" s="854"/>
      <c r="BR75" s="854"/>
      <c r="BS75" s="854"/>
      <c r="BT75" s="854"/>
      <c r="BU75" s="870">
        <v>51</v>
      </c>
      <c r="BV75" s="860" t="s">
        <v>167</v>
      </c>
      <c r="BW75" s="854"/>
      <c r="BX75" s="871">
        <v>9.85</v>
      </c>
      <c r="BY75" s="872">
        <f ca="1">IF(BJ$299=0,0,BX75/BJ$299*100)</f>
        <v>0.6928588591222975</v>
      </c>
      <c r="BZ75" s="871">
        <v>11847.744473999999</v>
      </c>
      <c r="CA75" s="872">
        <f ca="1">IF(BL$299=0,0,BZ75/BL$299*100)</f>
        <v>52.89067788860298</v>
      </c>
      <c r="CB75" s="871">
        <v>143.75</v>
      </c>
      <c r="CC75" s="872">
        <f ca="1">IF(BN$299=0,0,CB75/BN$299*100)</f>
        <v>0.49556765750559828</v>
      </c>
      <c r="CD75" s="871">
        <v>12.666700000000001</v>
      </c>
      <c r="CE75" s="872">
        <f ca="1">IF(BP$299=0,0,CD75/BP$299*100)</f>
        <v>3.2856128387114881E-3</v>
      </c>
      <c r="CF75" s="854"/>
      <c r="CG75" s="854" t="s">
        <v>45</v>
      </c>
    </row>
    <row r="76" spans="1:85" ht="15.75" customHeight="1">
      <c r="A76" s="847"/>
      <c r="B76" s="1154"/>
      <c r="C76" s="1186" t="s">
        <v>168</v>
      </c>
      <c r="D76" s="1187"/>
      <c r="E76" s="1188"/>
      <c r="F76" s="1189"/>
      <c r="G76" s="1190">
        <f>+E79</f>
        <v>13600</v>
      </c>
      <c r="H76" s="1189"/>
      <c r="I76" s="1190">
        <f>+G79</f>
        <v>13604</v>
      </c>
      <c r="J76" s="1189"/>
      <c r="K76" s="1190">
        <f>+I79</f>
        <v>13608</v>
      </c>
      <c r="L76" s="1191"/>
      <c r="M76" s="869"/>
      <c r="N76" s="849"/>
      <c r="O76" s="850"/>
      <c r="P76" s="850"/>
      <c r="Q76" s="850"/>
      <c r="R76" s="850"/>
      <c r="S76" s="850"/>
      <c r="T76" s="851"/>
      <c r="U76" s="851"/>
      <c r="V76" s="851"/>
      <c r="W76" s="851"/>
      <c r="X76" s="851"/>
      <c r="Y76" s="851"/>
      <c r="Z76" s="851"/>
      <c r="AA76" s="851"/>
      <c r="AB76" s="851"/>
      <c r="AC76" s="851"/>
      <c r="AD76" s="851"/>
      <c r="AE76" s="851"/>
      <c r="AF76" s="851"/>
      <c r="AG76" s="851"/>
      <c r="AH76" s="852"/>
      <c r="AI76" s="852"/>
      <c r="AJ76" s="852"/>
      <c r="AK76" s="852"/>
      <c r="AL76" s="852"/>
      <c r="AM76" s="852"/>
      <c r="AN76" s="852"/>
      <c r="AO76" s="852"/>
      <c r="AP76" s="852"/>
      <c r="AQ76" s="852"/>
      <c r="AR76" s="852"/>
      <c r="AS76" s="852"/>
      <c r="AT76" s="852"/>
      <c r="AU76" s="852"/>
      <c r="AV76" s="852"/>
      <c r="AW76" s="852"/>
      <c r="AX76" s="849"/>
      <c r="AY76" s="847"/>
      <c r="AZ76" s="847"/>
      <c r="BA76" s="847"/>
      <c r="BB76" s="847"/>
      <c r="BC76" s="853"/>
      <c r="BD76" s="854"/>
      <c r="BE76" s="854"/>
      <c r="BF76" s="854"/>
      <c r="BG76" s="870">
        <v>52</v>
      </c>
      <c r="BH76" s="860" t="s">
        <v>169</v>
      </c>
      <c r="BI76" s="854"/>
      <c r="BJ76" s="871">
        <v>0</v>
      </c>
      <c r="BK76" s="872">
        <f ca="1">IF(BJ$299=0,0,BJ76/BJ$299*100)</f>
        <v>0</v>
      </c>
      <c r="BL76" s="871">
        <v>0</v>
      </c>
      <c r="BM76" s="872">
        <f ca="1">IF(BL$299=0,0,BL76/BL$299*100)</f>
        <v>0</v>
      </c>
      <c r="BN76" s="871">
        <v>0</v>
      </c>
      <c r="BO76" s="872">
        <f ca="1">IF(BN$299=0,0,BN76/BN$299*100)</f>
        <v>0</v>
      </c>
      <c r="BP76" s="871">
        <v>0</v>
      </c>
      <c r="BQ76" s="872">
        <f ca="1">IF(BP$299=0,0,BP76/BP$299*100)</f>
        <v>0</v>
      </c>
      <c r="BR76" s="854"/>
      <c r="BS76" s="854"/>
      <c r="BT76" s="854"/>
      <c r="BU76" s="854"/>
      <c r="BV76" s="854"/>
      <c r="BW76" s="854"/>
      <c r="BX76" s="854"/>
      <c r="BY76" s="854"/>
      <c r="BZ76" s="854"/>
      <c r="CA76" s="854"/>
      <c r="CB76" s="854"/>
      <c r="CC76" s="854"/>
      <c r="CD76" s="854"/>
      <c r="CE76" s="854"/>
      <c r="CF76" s="854"/>
      <c r="CG76" s="854" t="s">
        <v>45</v>
      </c>
    </row>
    <row r="77" spans="1:85" ht="15.75" customHeight="1">
      <c r="A77" s="847"/>
      <c r="B77" s="1154"/>
      <c r="C77" s="1186" t="s">
        <v>170</v>
      </c>
      <c r="D77" s="1187"/>
      <c r="E77" s="1192"/>
      <c r="F77" s="1189"/>
      <c r="G77" s="882">
        <f>IF(+G79-G76+E46+E47 &lt; 0, 0, +G79-G76+E46+E47)</f>
        <v>6304</v>
      </c>
      <c r="H77" s="1189"/>
      <c r="I77" s="882">
        <f>IF(+I79-I76+G46+G47 &lt; 0, 0, +I79-I76+G46+G47)</f>
        <v>6306</v>
      </c>
      <c r="J77" s="1189"/>
      <c r="K77" s="882">
        <f>IF(+K79-K76+I46+I47 &lt; 0, 0, +K79-K76+I46+I47)</f>
        <v>6308</v>
      </c>
      <c r="L77" s="1191"/>
      <c r="M77" s="869"/>
      <c r="N77" s="849"/>
      <c r="O77" s="850"/>
      <c r="P77" s="850"/>
      <c r="Q77" s="850"/>
      <c r="R77" s="850"/>
      <c r="S77" s="850"/>
      <c r="T77" s="851"/>
      <c r="U77" s="851"/>
      <c r="V77" s="851"/>
      <c r="W77" s="851"/>
      <c r="X77" s="851"/>
      <c r="Y77" s="851"/>
      <c r="Z77" s="851"/>
      <c r="AA77" s="851"/>
      <c r="AB77" s="851"/>
      <c r="AC77" s="851"/>
      <c r="AD77" s="851"/>
      <c r="AE77" s="851"/>
      <c r="AF77" s="851"/>
      <c r="AG77" s="851"/>
      <c r="AH77" s="852"/>
      <c r="AI77" s="852"/>
      <c r="AJ77" s="852"/>
      <c r="AK77" s="852"/>
      <c r="AL77" s="852"/>
      <c r="AM77" s="852"/>
      <c r="AN77" s="852"/>
      <c r="AO77" s="852"/>
      <c r="AP77" s="852"/>
      <c r="AQ77" s="852"/>
      <c r="AR77" s="852"/>
      <c r="AS77" s="852"/>
      <c r="AT77" s="852"/>
      <c r="AU77" s="852"/>
      <c r="AV77" s="852"/>
      <c r="AW77" s="852"/>
      <c r="AX77" s="849"/>
      <c r="AY77" s="847"/>
      <c r="AZ77" s="847"/>
      <c r="BA77" s="847"/>
      <c r="BB77" s="847"/>
      <c r="BC77" s="853"/>
      <c r="BD77" s="854"/>
      <c r="BE77" s="854"/>
      <c r="BF77" s="854"/>
      <c r="BG77" s="870">
        <v>53</v>
      </c>
      <c r="BH77" s="860" t="s">
        <v>171</v>
      </c>
      <c r="BI77" s="854"/>
      <c r="BJ77" s="871">
        <v>0</v>
      </c>
      <c r="BK77" s="872">
        <f ca="1">IF(BJ$299=0,0,BJ77/BJ$299*100)</f>
        <v>0</v>
      </c>
      <c r="BL77" s="871">
        <v>0</v>
      </c>
      <c r="BM77" s="872">
        <f ca="1">IF(BL$299=0,0,BL77/BL$299*100)</f>
        <v>0</v>
      </c>
      <c r="BN77" s="871">
        <v>0</v>
      </c>
      <c r="BO77" s="872">
        <f ca="1">IF(BN$299=0,0,BN77/BN$299*100)</f>
        <v>0</v>
      </c>
      <c r="BP77" s="871">
        <v>0</v>
      </c>
      <c r="BQ77" s="872">
        <f ca="1">IF(BP$299=0,0,BP77/BP$299*100)</f>
        <v>0</v>
      </c>
      <c r="BR77" s="854"/>
      <c r="BS77" s="854"/>
      <c r="BT77" s="854"/>
      <c r="BU77" s="854"/>
      <c r="BV77" s="854"/>
      <c r="BW77" s="854"/>
      <c r="BX77" s="854"/>
      <c r="BY77" s="854"/>
      <c r="BZ77" s="854"/>
      <c r="CA77" s="854"/>
      <c r="CB77" s="854"/>
      <c r="CC77" s="854"/>
      <c r="CD77" s="854"/>
      <c r="CE77" s="854"/>
      <c r="CF77" s="854"/>
      <c r="CG77" s="854" t="s">
        <v>45</v>
      </c>
    </row>
    <row r="78" spans="1:85" ht="16.5" customHeight="1">
      <c r="A78" s="847"/>
      <c r="B78" s="1154"/>
      <c r="C78" s="1186" t="s">
        <v>172</v>
      </c>
      <c r="D78" s="1187"/>
      <c r="E78" s="1193"/>
      <c r="F78" s="1189"/>
      <c r="G78" s="882">
        <f>IF(+G79-G76+E46+E47 &lt; 0, +E46+E47-(+G79-G76+E46+E47), +E46+E47)</f>
        <v>6300</v>
      </c>
      <c r="H78" s="1189"/>
      <c r="I78" s="882">
        <f>IF(+I79-I76+G46+G47 &lt; 0, +G46+G47-(+I79-I76+G46+G47), +G46+G47)</f>
        <v>6302</v>
      </c>
      <c r="J78" s="1189"/>
      <c r="K78" s="882">
        <f>IF(+K79-K76+I46+I47 &lt; 0, +I46+I47-(+K79-K76+I46+I47), +I46+I47)</f>
        <v>6304</v>
      </c>
      <c r="L78" s="1191"/>
      <c r="M78" s="869"/>
      <c r="N78" s="849"/>
      <c r="O78" s="850"/>
      <c r="P78" s="850"/>
      <c r="Q78" s="850"/>
      <c r="R78" s="850"/>
      <c r="S78" s="850"/>
      <c r="T78" s="851"/>
      <c r="U78" s="851"/>
      <c r="V78" s="851"/>
      <c r="W78" s="851"/>
      <c r="X78" s="851"/>
      <c r="Y78" s="851"/>
      <c r="Z78" s="851"/>
      <c r="AA78" s="851"/>
      <c r="AB78" s="851"/>
      <c r="AC78" s="851"/>
      <c r="AD78" s="851"/>
      <c r="AE78" s="851"/>
      <c r="AF78" s="851"/>
      <c r="AG78" s="851"/>
      <c r="AH78" s="852"/>
      <c r="AI78" s="852"/>
      <c r="AJ78" s="852"/>
      <c r="AK78" s="852"/>
      <c r="AL78" s="852"/>
      <c r="AM78" s="852"/>
      <c r="AN78" s="852"/>
      <c r="AO78" s="852"/>
      <c r="AP78" s="852"/>
      <c r="AQ78" s="852"/>
      <c r="AR78" s="852"/>
      <c r="AS78" s="852"/>
      <c r="AT78" s="852"/>
      <c r="AU78" s="852"/>
      <c r="AV78" s="852"/>
      <c r="AW78" s="852"/>
      <c r="AX78" s="849"/>
      <c r="AY78" s="847"/>
      <c r="AZ78" s="847"/>
      <c r="BA78" s="847"/>
      <c r="BB78" s="847"/>
      <c r="BC78" s="853"/>
      <c r="BD78" s="854"/>
      <c r="BE78" s="854"/>
      <c r="BF78" s="854"/>
      <c r="BG78" s="870">
        <v>54</v>
      </c>
      <c r="BH78" s="860" t="s">
        <v>173</v>
      </c>
      <c r="BI78" s="854"/>
      <c r="BJ78" s="871">
        <v>0</v>
      </c>
      <c r="BK78" s="872">
        <f ca="1">IF(BJ$299=0,0,BJ78/BJ$299*100)</f>
        <v>0</v>
      </c>
      <c r="BL78" s="871">
        <v>0</v>
      </c>
      <c r="BM78" s="872">
        <f ca="1">IF(BL$299=0,0,BL78/BL$299*100)</f>
        <v>0</v>
      </c>
      <c r="BN78" s="871">
        <v>0</v>
      </c>
      <c r="BO78" s="872">
        <f ca="1">IF(BN$299=0,0,BN78/BN$299*100)</f>
        <v>0</v>
      </c>
      <c r="BP78" s="871">
        <v>0</v>
      </c>
      <c r="BQ78" s="872">
        <f ca="1">IF(BP$299=0,0,BP78/BP$299*100)</f>
        <v>0</v>
      </c>
      <c r="BR78" s="854"/>
      <c r="BS78" s="854"/>
      <c r="BT78" s="854"/>
      <c r="BU78" s="854"/>
      <c r="BV78" s="854"/>
      <c r="BW78" s="854"/>
      <c r="BX78" s="854"/>
      <c r="BY78" s="854"/>
      <c r="BZ78" s="854"/>
      <c r="CA78" s="854"/>
      <c r="CB78" s="854"/>
      <c r="CC78" s="854"/>
      <c r="CD78" s="854"/>
      <c r="CE78" s="854"/>
      <c r="CF78" s="854"/>
      <c r="CG78" s="854" t="s">
        <v>45</v>
      </c>
    </row>
    <row r="79" spans="1:85" ht="16.5" customHeight="1">
      <c r="A79" s="847"/>
      <c r="B79" s="1157"/>
      <c r="C79" s="1194" t="s">
        <v>174</v>
      </c>
      <c r="D79" s="1195"/>
      <c r="E79" s="1196">
        <f>E46+E47+E51+E52</f>
        <v>13600</v>
      </c>
      <c r="F79" s="1197"/>
      <c r="G79" s="1196">
        <f>G46+G47+G51+G52</f>
        <v>13604</v>
      </c>
      <c r="H79" s="1197"/>
      <c r="I79" s="1196">
        <f>I46+I47+I51+I52</f>
        <v>13608</v>
      </c>
      <c r="J79" s="1197"/>
      <c r="K79" s="1196">
        <f>K46+K47+K51+K52</f>
        <v>13612</v>
      </c>
      <c r="L79" s="1198"/>
      <c r="M79" s="869"/>
      <c r="N79" s="849"/>
      <c r="O79" s="850"/>
      <c r="P79" s="850"/>
      <c r="Q79" s="850"/>
      <c r="R79" s="850"/>
      <c r="S79" s="850"/>
      <c r="T79" s="851"/>
      <c r="U79" s="851"/>
      <c r="V79" s="851"/>
      <c r="W79" s="851"/>
      <c r="X79" s="851"/>
      <c r="Y79" s="851"/>
      <c r="Z79" s="851"/>
      <c r="AA79" s="851"/>
      <c r="AB79" s="851"/>
      <c r="AC79" s="851"/>
      <c r="AD79" s="851"/>
      <c r="AE79" s="851"/>
      <c r="AF79" s="851"/>
      <c r="AG79" s="851"/>
      <c r="AH79" s="852"/>
      <c r="AI79" s="852"/>
      <c r="AJ79" s="852"/>
      <c r="AK79" s="852"/>
      <c r="AL79" s="852"/>
      <c r="AM79" s="852"/>
      <c r="AN79" s="852"/>
      <c r="AO79" s="852"/>
      <c r="AP79" s="852"/>
      <c r="AQ79" s="852"/>
      <c r="AR79" s="852"/>
      <c r="AS79" s="852"/>
      <c r="AT79" s="852"/>
      <c r="AU79" s="852"/>
      <c r="AV79" s="852"/>
      <c r="AW79" s="852"/>
      <c r="AX79" s="849"/>
      <c r="AY79" s="847"/>
      <c r="AZ79" s="847"/>
      <c r="BA79" s="847"/>
      <c r="BB79" s="847"/>
      <c r="BC79" s="853"/>
      <c r="BD79" s="854"/>
      <c r="BE79" s="854"/>
      <c r="BF79" s="854"/>
      <c r="BG79" s="870">
        <v>55</v>
      </c>
      <c r="BH79" s="860" t="s">
        <v>175</v>
      </c>
      <c r="BI79" s="854"/>
      <c r="BJ79" s="871">
        <v>0</v>
      </c>
      <c r="BK79" s="872">
        <f ca="1">IF(BJ$299=0,0,BJ79/BJ$299*100)</f>
        <v>0</v>
      </c>
      <c r="BL79" s="871">
        <v>0</v>
      </c>
      <c r="BM79" s="872">
        <f ca="1">IF(BL$299=0,0,BL79/BL$299*100)</f>
        <v>0</v>
      </c>
      <c r="BN79" s="871">
        <v>0</v>
      </c>
      <c r="BO79" s="872">
        <f ca="1">IF(BN$299=0,0,BN79/BN$299*100)</f>
        <v>0</v>
      </c>
      <c r="BP79" s="871">
        <v>0</v>
      </c>
      <c r="BQ79" s="872">
        <f ca="1">IF(BP$299=0,0,BP79/BP$299*100)</f>
        <v>0</v>
      </c>
      <c r="BR79" s="854"/>
      <c r="BS79" s="854"/>
      <c r="BT79" s="854"/>
      <c r="BU79" s="854"/>
      <c r="BV79" s="854"/>
      <c r="BW79" s="854"/>
      <c r="BX79" s="854"/>
      <c r="BY79" s="854"/>
      <c r="BZ79" s="854"/>
      <c r="CA79" s="854"/>
      <c r="CB79" s="854"/>
      <c r="CC79" s="854"/>
      <c r="CD79" s="854"/>
      <c r="CE79" s="854"/>
      <c r="CF79" s="854"/>
      <c r="CG79" s="854" t="s">
        <v>45</v>
      </c>
    </row>
    <row r="80" spans="1:85" ht="16.5" customHeight="1">
      <c r="A80" s="847"/>
      <c r="B80" s="1180"/>
      <c r="C80" s="1181" t="s">
        <v>176</v>
      </c>
      <c r="D80" s="1146"/>
      <c r="E80" s="1182"/>
      <c r="F80" s="1183"/>
      <c r="G80" s="1184"/>
      <c r="H80" s="1183"/>
      <c r="I80" s="1184"/>
      <c r="J80" s="1183"/>
      <c r="K80" s="1184"/>
      <c r="L80" s="1185"/>
      <c r="M80" s="869"/>
      <c r="N80" s="849"/>
      <c r="O80" s="850"/>
      <c r="P80" s="850"/>
      <c r="Q80" s="850"/>
      <c r="R80" s="850"/>
      <c r="S80" s="850"/>
      <c r="T80" s="851"/>
      <c r="U80" s="851"/>
      <c r="V80" s="851"/>
      <c r="W80" s="851"/>
      <c r="X80" s="851"/>
      <c r="Y80" s="851"/>
      <c r="Z80" s="851"/>
      <c r="AA80" s="851"/>
      <c r="AB80" s="851"/>
      <c r="AC80" s="851"/>
      <c r="AD80" s="851"/>
      <c r="AE80" s="851"/>
      <c r="AF80" s="851"/>
      <c r="AG80" s="851"/>
      <c r="AH80" s="852"/>
      <c r="AI80" s="852"/>
      <c r="AJ80" s="852"/>
      <c r="AK80" s="852"/>
      <c r="AL80" s="852"/>
      <c r="AM80" s="852"/>
      <c r="AN80" s="852"/>
      <c r="AO80" s="852"/>
      <c r="AP80" s="852"/>
      <c r="AQ80" s="852"/>
      <c r="AR80" s="852"/>
      <c r="AS80" s="852"/>
      <c r="AT80" s="852"/>
      <c r="AU80" s="852"/>
      <c r="AV80" s="852"/>
      <c r="AW80" s="852"/>
      <c r="AX80" s="849"/>
      <c r="AY80" s="847"/>
      <c r="AZ80" s="847"/>
      <c r="BA80" s="847"/>
      <c r="BB80" s="847"/>
      <c r="BC80" s="853"/>
      <c r="BD80" s="854"/>
      <c r="BE80" s="854"/>
      <c r="BF80" s="854"/>
      <c r="BG80" s="854"/>
      <c r="BH80" s="854"/>
      <c r="BI80" s="854"/>
      <c r="BJ80" s="854"/>
      <c r="BK80" s="854"/>
      <c r="BL80" s="854"/>
      <c r="BM80" s="854"/>
      <c r="BN80" s="854"/>
      <c r="BO80" s="854"/>
      <c r="BP80" s="854"/>
      <c r="BQ80" s="854"/>
      <c r="BR80" s="854"/>
      <c r="BS80" s="854"/>
      <c r="BT80" s="854"/>
      <c r="BU80" s="870">
        <v>51</v>
      </c>
      <c r="BV80" s="860" t="s">
        <v>167</v>
      </c>
      <c r="BW80" s="854"/>
      <c r="BX80" s="871">
        <v>9.85</v>
      </c>
      <c r="BY80" s="872">
        <f ca="1">IF(BJ$299=0,0,BX80/BJ$299*100)</f>
        <v>0.6928588591222975</v>
      </c>
      <c r="BZ80" s="871">
        <v>11847.744473999999</v>
      </c>
      <c r="CA80" s="872">
        <f ca="1">IF(BL$299=0,0,BZ80/BL$299*100)</f>
        <v>52.89067788860298</v>
      </c>
      <c r="CB80" s="871">
        <v>143.75</v>
      </c>
      <c r="CC80" s="872">
        <f ca="1">IF(BN$299=0,0,CB80/BN$299*100)</f>
        <v>0.49556765750559828</v>
      </c>
      <c r="CD80" s="871">
        <v>12.666700000000001</v>
      </c>
      <c r="CE80" s="872">
        <f ca="1">IF(BP$299=0,0,CD80/BP$299*100)</f>
        <v>3.2856128387114881E-3</v>
      </c>
      <c r="CF80" s="854"/>
      <c r="CG80" s="854" t="s">
        <v>45</v>
      </c>
    </row>
    <row r="81" spans="1:85" ht="15.75" customHeight="1">
      <c r="A81" s="847"/>
      <c r="B81" s="1154"/>
      <c r="C81" s="1186" t="s">
        <v>177</v>
      </c>
      <c r="D81" s="1187"/>
      <c r="E81" s="1188"/>
      <c r="F81" s="1189"/>
      <c r="G81" s="1190">
        <f>+E84</f>
        <v>7300</v>
      </c>
      <c r="H81" s="1189"/>
      <c r="I81" s="1190">
        <f>+G84</f>
        <v>7302</v>
      </c>
      <c r="J81" s="1189"/>
      <c r="K81" s="1190">
        <f>+I84</f>
        <v>7304</v>
      </c>
      <c r="L81" s="1191"/>
      <c r="M81" s="869"/>
      <c r="N81" s="849"/>
      <c r="O81" s="850"/>
      <c r="P81" s="850"/>
      <c r="Q81" s="850"/>
      <c r="R81" s="850"/>
      <c r="S81" s="850"/>
      <c r="T81" s="851"/>
      <c r="U81" s="851"/>
      <c r="V81" s="851"/>
      <c r="W81" s="851"/>
      <c r="X81" s="851"/>
      <c r="Y81" s="851"/>
      <c r="Z81" s="851"/>
      <c r="AA81" s="851"/>
      <c r="AB81" s="851"/>
      <c r="AC81" s="851"/>
      <c r="AD81" s="851"/>
      <c r="AE81" s="851"/>
      <c r="AF81" s="851"/>
      <c r="AG81" s="851"/>
      <c r="AH81" s="852"/>
      <c r="AI81" s="852"/>
      <c r="AJ81" s="852"/>
      <c r="AK81" s="852"/>
      <c r="AL81" s="852"/>
      <c r="AM81" s="852"/>
      <c r="AN81" s="852"/>
      <c r="AO81" s="852"/>
      <c r="AP81" s="852"/>
      <c r="AQ81" s="852"/>
      <c r="AR81" s="852"/>
      <c r="AS81" s="852"/>
      <c r="AT81" s="852"/>
      <c r="AU81" s="852"/>
      <c r="AV81" s="852"/>
      <c r="AW81" s="852"/>
      <c r="AX81" s="849"/>
      <c r="AY81" s="847"/>
      <c r="AZ81" s="847"/>
      <c r="BA81" s="847"/>
      <c r="BB81" s="847"/>
      <c r="BC81" s="853"/>
      <c r="BD81" s="854"/>
      <c r="BE81" s="854"/>
      <c r="BF81" s="854"/>
      <c r="BG81" s="870">
        <v>52</v>
      </c>
      <c r="BH81" s="860" t="s">
        <v>169</v>
      </c>
      <c r="BI81" s="854"/>
      <c r="BJ81" s="871">
        <v>0</v>
      </c>
      <c r="BK81" s="872">
        <f t="shared" ref="BK81:BK90" ca="1" si="31">IF(BJ$299=0,0,BJ81/BJ$299*100)</f>
        <v>0</v>
      </c>
      <c r="BL81" s="871">
        <v>0</v>
      </c>
      <c r="BM81" s="872">
        <f t="shared" ref="BM81:BM90" ca="1" si="32">IF(BL$299=0,0,BL81/BL$299*100)</f>
        <v>0</v>
      </c>
      <c r="BN81" s="871">
        <v>0</v>
      </c>
      <c r="BO81" s="872">
        <f t="shared" ref="BO81:BO90" ca="1" si="33">IF(BN$299=0,0,BN81/BN$299*100)</f>
        <v>0</v>
      </c>
      <c r="BP81" s="871">
        <v>0</v>
      </c>
      <c r="BQ81" s="872">
        <f t="shared" ref="BQ81:BQ90" ca="1" si="34">IF(BP$299=0,0,BP81/BP$299*100)</f>
        <v>0</v>
      </c>
      <c r="BR81" s="854"/>
      <c r="BS81" s="854"/>
      <c r="BT81" s="854"/>
      <c r="BU81" s="854"/>
      <c r="BV81" s="854"/>
      <c r="BW81" s="854"/>
      <c r="BX81" s="854"/>
      <c r="BY81" s="854"/>
      <c r="BZ81" s="854"/>
      <c r="CA81" s="854"/>
      <c r="CB81" s="854"/>
      <c r="CC81" s="854"/>
      <c r="CD81" s="854"/>
      <c r="CE81" s="854"/>
      <c r="CF81" s="854"/>
      <c r="CG81" s="854" t="s">
        <v>45</v>
      </c>
    </row>
    <row r="82" spans="1:85" ht="15.75" customHeight="1">
      <c r="A82" s="847"/>
      <c r="B82" s="1154"/>
      <c r="C82" s="1186" t="s">
        <v>178</v>
      </c>
      <c r="D82" s="1187"/>
      <c r="E82" s="1192"/>
      <c r="F82" s="1189"/>
      <c r="G82" s="882">
        <f>IF(+G84-G81+E49 &lt; 0, 0, +G84-G81+E49)</f>
        <v>3402</v>
      </c>
      <c r="H82" s="1189"/>
      <c r="I82" s="882">
        <f>IF(+I84-I81+G49 &lt; 0, 0, +I84-I81+G49)</f>
        <v>3403</v>
      </c>
      <c r="J82" s="1189"/>
      <c r="K82" s="882">
        <f>IF(+K84-K81+I49 &lt; 0, 0, +K84-K81+I49)</f>
        <v>3404</v>
      </c>
      <c r="L82" s="1191"/>
      <c r="M82" s="869"/>
      <c r="N82" s="849"/>
      <c r="O82" s="850"/>
      <c r="P82" s="850"/>
      <c r="Q82" s="850"/>
      <c r="R82" s="850"/>
      <c r="S82" s="850"/>
      <c r="T82" s="851"/>
      <c r="U82" s="851"/>
      <c r="V82" s="851"/>
      <c r="W82" s="851"/>
      <c r="X82" s="851"/>
      <c r="Y82" s="851"/>
      <c r="Z82" s="851"/>
      <c r="AA82" s="851"/>
      <c r="AB82" s="851"/>
      <c r="AC82" s="851"/>
      <c r="AD82" s="851"/>
      <c r="AE82" s="851"/>
      <c r="AF82" s="851"/>
      <c r="AG82" s="851"/>
      <c r="AH82" s="852"/>
      <c r="AI82" s="852"/>
      <c r="AJ82" s="852"/>
      <c r="AK82" s="852"/>
      <c r="AL82" s="852"/>
      <c r="AM82" s="852"/>
      <c r="AN82" s="852"/>
      <c r="AO82" s="852"/>
      <c r="AP82" s="852"/>
      <c r="AQ82" s="852"/>
      <c r="AR82" s="852"/>
      <c r="AS82" s="852"/>
      <c r="AT82" s="852"/>
      <c r="AU82" s="852"/>
      <c r="AV82" s="852"/>
      <c r="AW82" s="852"/>
      <c r="AX82" s="849"/>
      <c r="AY82" s="847"/>
      <c r="AZ82" s="847"/>
      <c r="BA82" s="847"/>
      <c r="BB82" s="847"/>
      <c r="BC82" s="853"/>
      <c r="BD82" s="854"/>
      <c r="BE82" s="854"/>
      <c r="BF82" s="854"/>
      <c r="BG82" s="870">
        <v>53</v>
      </c>
      <c r="BH82" s="860" t="s">
        <v>171</v>
      </c>
      <c r="BI82" s="854"/>
      <c r="BJ82" s="871">
        <v>0</v>
      </c>
      <c r="BK82" s="872">
        <f t="shared" ca="1" si="31"/>
        <v>0</v>
      </c>
      <c r="BL82" s="871">
        <v>0</v>
      </c>
      <c r="BM82" s="872">
        <f t="shared" ca="1" si="32"/>
        <v>0</v>
      </c>
      <c r="BN82" s="871">
        <v>0</v>
      </c>
      <c r="BO82" s="872">
        <f t="shared" ca="1" si="33"/>
        <v>0</v>
      </c>
      <c r="BP82" s="871">
        <v>0</v>
      </c>
      <c r="BQ82" s="872">
        <f t="shared" ca="1" si="34"/>
        <v>0</v>
      </c>
      <c r="BR82" s="854"/>
      <c r="BS82" s="854"/>
      <c r="BT82" s="854"/>
      <c r="BU82" s="854"/>
      <c r="BV82" s="854"/>
      <c r="BW82" s="854"/>
      <c r="BX82" s="854"/>
      <c r="BY82" s="854"/>
      <c r="BZ82" s="854"/>
      <c r="CA82" s="854"/>
      <c r="CB82" s="854"/>
      <c r="CC82" s="854"/>
      <c r="CD82" s="854"/>
      <c r="CE82" s="854"/>
      <c r="CF82" s="854"/>
      <c r="CG82" s="854" t="s">
        <v>45</v>
      </c>
    </row>
    <row r="83" spans="1:85" ht="16.5" customHeight="1">
      <c r="A83" s="847"/>
      <c r="B83" s="1154"/>
      <c r="C83" s="1186" t="s">
        <v>172</v>
      </c>
      <c r="D83" s="1187"/>
      <c r="E83" s="1193"/>
      <c r="F83" s="1189"/>
      <c r="G83" s="882">
        <f>IF(+G84-G81+E49 &lt; 0, +E49-(+G84-G81+E49), +E49)</f>
        <v>3400</v>
      </c>
      <c r="H83" s="1189"/>
      <c r="I83" s="882">
        <f>IF(+I84-I81+G49 &lt; 0, +G49-(+I84-I81+G49), +G49)</f>
        <v>3401</v>
      </c>
      <c r="J83" s="1189"/>
      <c r="K83" s="882">
        <f>IF(+K84-K81+I49 &lt; 0, +I49-(+K84-K81+I49), +I49)</f>
        <v>3402</v>
      </c>
      <c r="L83" s="1191"/>
      <c r="M83" s="869"/>
      <c r="N83" s="849"/>
      <c r="O83" s="850"/>
      <c r="P83" s="850"/>
      <c r="Q83" s="850"/>
      <c r="R83" s="850"/>
      <c r="S83" s="850"/>
      <c r="T83" s="851"/>
      <c r="U83" s="851"/>
      <c r="V83" s="851"/>
      <c r="W83" s="851"/>
      <c r="X83" s="851"/>
      <c r="Y83" s="851"/>
      <c r="Z83" s="851"/>
      <c r="AA83" s="851"/>
      <c r="AB83" s="851"/>
      <c r="AC83" s="851"/>
      <c r="AD83" s="851"/>
      <c r="AE83" s="851"/>
      <c r="AF83" s="851"/>
      <c r="AG83" s="851"/>
      <c r="AH83" s="852"/>
      <c r="AI83" s="852"/>
      <c r="AJ83" s="852"/>
      <c r="AK83" s="852"/>
      <c r="AL83" s="852"/>
      <c r="AM83" s="852"/>
      <c r="AN83" s="852"/>
      <c r="AO83" s="852"/>
      <c r="AP83" s="852"/>
      <c r="AQ83" s="852"/>
      <c r="AR83" s="852"/>
      <c r="AS83" s="852"/>
      <c r="AT83" s="852"/>
      <c r="AU83" s="852"/>
      <c r="AV83" s="852"/>
      <c r="AW83" s="852"/>
      <c r="AX83" s="849"/>
      <c r="AY83" s="847"/>
      <c r="AZ83" s="847"/>
      <c r="BA83" s="847"/>
      <c r="BB83" s="847"/>
      <c r="BC83" s="853"/>
      <c r="BD83" s="854"/>
      <c r="BE83" s="854"/>
      <c r="BF83" s="854"/>
      <c r="BG83" s="870">
        <v>54</v>
      </c>
      <c r="BH83" s="860" t="s">
        <v>173</v>
      </c>
      <c r="BI83" s="854"/>
      <c r="BJ83" s="871">
        <v>0</v>
      </c>
      <c r="BK83" s="872">
        <f t="shared" ca="1" si="31"/>
        <v>0</v>
      </c>
      <c r="BL83" s="871">
        <v>0</v>
      </c>
      <c r="BM83" s="872">
        <f t="shared" ca="1" si="32"/>
        <v>0</v>
      </c>
      <c r="BN83" s="871">
        <v>0</v>
      </c>
      <c r="BO83" s="872">
        <f t="shared" ca="1" si="33"/>
        <v>0</v>
      </c>
      <c r="BP83" s="871">
        <v>0</v>
      </c>
      <c r="BQ83" s="872">
        <f t="shared" ca="1" si="34"/>
        <v>0</v>
      </c>
      <c r="BR83" s="854"/>
      <c r="BS83" s="854"/>
      <c r="BT83" s="854"/>
      <c r="BU83" s="854"/>
      <c r="BV83" s="854"/>
      <c r="BW83" s="854"/>
      <c r="BX83" s="854"/>
      <c r="BY83" s="854"/>
      <c r="BZ83" s="854"/>
      <c r="CA83" s="854"/>
      <c r="CB83" s="854"/>
      <c r="CC83" s="854"/>
      <c r="CD83" s="854"/>
      <c r="CE83" s="854"/>
      <c r="CF83" s="854"/>
      <c r="CG83" s="854" t="s">
        <v>45</v>
      </c>
    </row>
    <row r="84" spans="1:85" ht="16.5" customHeight="1">
      <c r="A84" s="847"/>
      <c r="B84" s="1157"/>
      <c r="C84" s="1194" t="s">
        <v>179</v>
      </c>
      <c r="D84" s="1195"/>
      <c r="E84" s="1196">
        <f>E49+E54</f>
        <v>7300</v>
      </c>
      <c r="F84" s="1197"/>
      <c r="G84" s="1196">
        <f>G49+G54</f>
        <v>7302</v>
      </c>
      <c r="H84" s="1197"/>
      <c r="I84" s="1196">
        <f>I49+I54</f>
        <v>7304</v>
      </c>
      <c r="J84" s="1197"/>
      <c r="K84" s="1196">
        <f>K49+K54</f>
        <v>7306</v>
      </c>
      <c r="L84" s="1198"/>
      <c r="M84" s="869"/>
      <c r="N84" s="849"/>
      <c r="O84" s="850"/>
      <c r="P84" s="850"/>
      <c r="Q84" s="850"/>
      <c r="R84" s="850"/>
      <c r="S84" s="850"/>
      <c r="T84" s="851"/>
      <c r="U84" s="851"/>
      <c r="V84" s="851"/>
      <c r="W84" s="851"/>
      <c r="X84" s="851"/>
      <c r="Y84" s="851"/>
      <c r="Z84" s="851"/>
      <c r="AA84" s="851"/>
      <c r="AB84" s="851"/>
      <c r="AC84" s="851"/>
      <c r="AD84" s="851"/>
      <c r="AE84" s="851"/>
      <c r="AF84" s="851"/>
      <c r="AG84" s="851"/>
      <c r="AH84" s="852"/>
      <c r="AI84" s="852"/>
      <c r="AJ84" s="852"/>
      <c r="AK84" s="852"/>
      <c r="AL84" s="852"/>
      <c r="AM84" s="852"/>
      <c r="AN84" s="852"/>
      <c r="AO84" s="852"/>
      <c r="AP84" s="852"/>
      <c r="AQ84" s="852"/>
      <c r="AR84" s="852"/>
      <c r="AS84" s="852"/>
      <c r="AT84" s="852"/>
      <c r="AU84" s="852"/>
      <c r="AV84" s="852"/>
      <c r="AW84" s="852"/>
      <c r="AX84" s="849"/>
      <c r="AY84" s="847"/>
      <c r="AZ84" s="847"/>
      <c r="BA84" s="847"/>
      <c r="BB84" s="847"/>
      <c r="BC84" s="853"/>
      <c r="BD84" s="854"/>
      <c r="BE84" s="854"/>
      <c r="BF84" s="854"/>
      <c r="BG84" s="870">
        <v>55</v>
      </c>
      <c r="BH84" s="860" t="s">
        <v>175</v>
      </c>
      <c r="BI84" s="854"/>
      <c r="BJ84" s="871">
        <v>0</v>
      </c>
      <c r="BK84" s="872">
        <f t="shared" ca="1" si="31"/>
        <v>0</v>
      </c>
      <c r="BL84" s="871">
        <v>0</v>
      </c>
      <c r="BM84" s="872">
        <f t="shared" ca="1" si="32"/>
        <v>0</v>
      </c>
      <c r="BN84" s="871">
        <v>0</v>
      </c>
      <c r="BO84" s="872">
        <f t="shared" ca="1" si="33"/>
        <v>0</v>
      </c>
      <c r="BP84" s="871">
        <v>0</v>
      </c>
      <c r="BQ84" s="872">
        <f t="shared" ca="1" si="34"/>
        <v>0</v>
      </c>
      <c r="BR84" s="854"/>
      <c r="BS84" s="854"/>
      <c r="BT84" s="854"/>
      <c r="BU84" s="854"/>
      <c r="BV84" s="854"/>
      <c r="BW84" s="854"/>
      <c r="BX84" s="854"/>
      <c r="BY84" s="854"/>
      <c r="BZ84" s="854"/>
      <c r="CA84" s="854"/>
      <c r="CB84" s="854"/>
      <c r="CC84" s="854"/>
      <c r="CD84" s="854"/>
      <c r="CE84" s="854"/>
      <c r="CF84" s="854"/>
      <c r="CG84" s="854" t="s">
        <v>45</v>
      </c>
    </row>
    <row r="85" spans="1:85" ht="16.5" customHeight="1">
      <c r="A85" s="847"/>
      <c r="B85" s="1180"/>
      <c r="C85" s="1181" t="s">
        <v>132</v>
      </c>
      <c r="D85" s="1146"/>
      <c r="E85" s="1184"/>
      <c r="F85" s="1199"/>
      <c r="G85" s="1184"/>
      <c r="H85" s="1199"/>
      <c r="I85" s="1184"/>
      <c r="J85" s="1199"/>
      <c r="K85" s="1184"/>
      <c r="L85" s="1185"/>
      <c r="M85" s="869"/>
      <c r="N85" s="849"/>
      <c r="O85" s="850"/>
      <c r="P85" s="850"/>
      <c r="Q85" s="850"/>
      <c r="R85" s="850"/>
      <c r="S85" s="850"/>
      <c r="T85" s="851"/>
      <c r="U85" s="851"/>
      <c r="V85" s="851"/>
      <c r="W85" s="851"/>
      <c r="X85" s="851"/>
      <c r="Y85" s="851"/>
      <c r="Z85" s="851"/>
      <c r="AA85" s="851"/>
      <c r="AB85" s="851"/>
      <c r="AC85" s="851"/>
      <c r="AD85" s="851"/>
      <c r="AE85" s="851"/>
      <c r="AF85" s="851"/>
      <c r="AG85" s="851"/>
      <c r="AH85" s="852"/>
      <c r="AI85" s="852"/>
      <c r="AJ85" s="852"/>
      <c r="AK85" s="852"/>
      <c r="AL85" s="852"/>
      <c r="AM85" s="852"/>
      <c r="AN85" s="852"/>
      <c r="AO85" s="852"/>
      <c r="AP85" s="852"/>
      <c r="AQ85" s="852"/>
      <c r="AR85" s="852"/>
      <c r="AS85" s="852"/>
      <c r="AT85" s="852"/>
      <c r="AU85" s="852"/>
      <c r="AV85" s="852"/>
      <c r="AW85" s="852"/>
      <c r="AX85" s="849"/>
      <c r="AY85" s="847"/>
      <c r="AZ85" s="847"/>
      <c r="BA85" s="847"/>
      <c r="BB85" s="847"/>
      <c r="BC85" s="853"/>
      <c r="BD85" s="854"/>
      <c r="BE85" s="854"/>
      <c r="BF85" s="854"/>
      <c r="BG85" s="870">
        <v>56</v>
      </c>
      <c r="BH85" s="860" t="s">
        <v>180</v>
      </c>
      <c r="BI85" s="854"/>
      <c r="BJ85" s="871">
        <v>0</v>
      </c>
      <c r="BK85" s="872">
        <f t="shared" ca="1" si="31"/>
        <v>0</v>
      </c>
      <c r="BL85" s="871">
        <v>0</v>
      </c>
      <c r="BM85" s="872">
        <f t="shared" ca="1" si="32"/>
        <v>0</v>
      </c>
      <c r="BN85" s="871">
        <v>0</v>
      </c>
      <c r="BO85" s="872">
        <f t="shared" ca="1" si="33"/>
        <v>0</v>
      </c>
      <c r="BP85" s="871">
        <v>0</v>
      </c>
      <c r="BQ85" s="872">
        <f t="shared" ca="1" si="34"/>
        <v>0</v>
      </c>
      <c r="BR85" s="854"/>
      <c r="BS85" s="854"/>
      <c r="BT85" s="854"/>
      <c r="BU85" s="854"/>
      <c r="BV85" s="854"/>
      <c r="BW85" s="854"/>
      <c r="BX85" s="854"/>
      <c r="BY85" s="854"/>
      <c r="BZ85" s="854"/>
      <c r="CA85" s="854"/>
      <c r="CB85" s="854"/>
      <c r="CC85" s="854"/>
      <c r="CD85" s="854"/>
      <c r="CE85" s="854"/>
      <c r="CF85" s="854"/>
      <c r="CG85" s="854" t="s">
        <v>45</v>
      </c>
    </row>
    <row r="86" spans="1:85" ht="15.75" customHeight="1">
      <c r="A86" s="847"/>
      <c r="B86" s="1154"/>
      <c r="C86" s="1186" t="s">
        <v>177</v>
      </c>
      <c r="D86" s="1155"/>
      <c r="E86" s="1188"/>
      <c r="F86" s="1200"/>
      <c r="G86" s="1190">
        <f>+E89</f>
        <v>7100</v>
      </c>
      <c r="H86" s="1200"/>
      <c r="I86" s="1190">
        <f>+G89</f>
        <v>7102</v>
      </c>
      <c r="J86" s="1200"/>
      <c r="K86" s="1190">
        <f>+I89</f>
        <v>7104</v>
      </c>
      <c r="L86" s="1191"/>
      <c r="M86" s="869"/>
      <c r="N86" s="849"/>
      <c r="O86" s="850"/>
      <c r="P86" s="850"/>
      <c r="Q86" s="850"/>
      <c r="R86" s="850"/>
      <c r="S86" s="850"/>
      <c r="T86" s="851"/>
      <c r="U86" s="851"/>
      <c r="V86" s="851"/>
      <c r="W86" s="851"/>
      <c r="X86" s="851"/>
      <c r="Y86" s="851"/>
      <c r="Z86" s="851"/>
      <c r="AA86" s="851"/>
      <c r="AB86" s="851"/>
      <c r="AC86" s="851"/>
      <c r="AD86" s="851"/>
      <c r="AE86" s="851"/>
      <c r="AF86" s="851"/>
      <c r="AG86" s="851"/>
      <c r="AH86" s="852"/>
      <c r="AI86" s="852"/>
      <c r="AJ86" s="852"/>
      <c r="AK86" s="852"/>
      <c r="AL86" s="852"/>
      <c r="AM86" s="852"/>
      <c r="AN86" s="852"/>
      <c r="AO86" s="852"/>
      <c r="AP86" s="852"/>
      <c r="AQ86" s="852"/>
      <c r="AR86" s="852"/>
      <c r="AS86" s="852"/>
      <c r="AT86" s="852"/>
      <c r="AU86" s="852"/>
      <c r="AV86" s="852"/>
      <c r="AW86" s="852"/>
      <c r="AX86" s="849"/>
      <c r="AY86" s="847"/>
      <c r="AZ86" s="847"/>
      <c r="BA86" s="847"/>
      <c r="BB86" s="847"/>
      <c r="BC86" s="853"/>
      <c r="BD86" s="854"/>
      <c r="BE86" s="854"/>
      <c r="BF86" s="854"/>
      <c r="BG86" s="870">
        <v>57</v>
      </c>
      <c r="BH86" s="860" t="s">
        <v>181</v>
      </c>
      <c r="BI86" s="854"/>
      <c r="BJ86" s="871">
        <v>0</v>
      </c>
      <c r="BK86" s="872">
        <f t="shared" ca="1" si="31"/>
        <v>0</v>
      </c>
      <c r="BL86" s="871">
        <v>0</v>
      </c>
      <c r="BM86" s="872">
        <f t="shared" ca="1" si="32"/>
        <v>0</v>
      </c>
      <c r="BN86" s="871">
        <v>0</v>
      </c>
      <c r="BO86" s="872">
        <f t="shared" ca="1" si="33"/>
        <v>0</v>
      </c>
      <c r="BP86" s="871">
        <v>0</v>
      </c>
      <c r="BQ86" s="872">
        <f t="shared" ca="1" si="34"/>
        <v>0</v>
      </c>
      <c r="BR86" s="854"/>
      <c r="BS86" s="854"/>
      <c r="BT86" s="854"/>
      <c r="BU86" s="854"/>
      <c r="BV86" s="854"/>
      <c r="BW86" s="854"/>
      <c r="BX86" s="854"/>
      <c r="BY86" s="854"/>
      <c r="BZ86" s="854"/>
      <c r="CA86" s="854"/>
      <c r="CB86" s="854"/>
      <c r="CC86" s="854"/>
      <c r="CD86" s="854"/>
      <c r="CE86" s="854"/>
      <c r="CF86" s="854"/>
      <c r="CG86" s="854" t="s">
        <v>45</v>
      </c>
    </row>
    <row r="87" spans="1:85" ht="15.75" customHeight="1">
      <c r="A87" s="847"/>
      <c r="B87" s="1154"/>
      <c r="C87" s="1186" t="s">
        <v>170</v>
      </c>
      <c r="D87" s="1155"/>
      <c r="E87" s="1192"/>
      <c r="F87" s="1200"/>
      <c r="G87" s="882">
        <f>IF(+G89-G86+E48 &lt; 0, 0, +G89-G86+E48)</f>
        <v>3302</v>
      </c>
      <c r="H87" s="1189"/>
      <c r="I87" s="882">
        <f>IF(+I89-I86+G48 &lt; 0, 0, +I89-I86+G48)</f>
        <v>3303</v>
      </c>
      <c r="J87" s="1189"/>
      <c r="K87" s="882">
        <f>IF(+K89-K86+I48 &lt; 0, 0, +K89-K86+I48)</f>
        <v>3304</v>
      </c>
      <c r="L87" s="1191"/>
      <c r="M87" s="869"/>
      <c r="N87" s="849"/>
      <c r="O87" s="850"/>
      <c r="P87" s="850"/>
      <c r="Q87" s="850"/>
      <c r="R87" s="850"/>
      <c r="S87" s="850"/>
      <c r="T87" s="851"/>
      <c r="U87" s="851"/>
      <c r="V87" s="851"/>
      <c r="W87" s="851"/>
      <c r="X87" s="851"/>
      <c r="Y87" s="851"/>
      <c r="Z87" s="851"/>
      <c r="AA87" s="851"/>
      <c r="AB87" s="851"/>
      <c r="AC87" s="851"/>
      <c r="AD87" s="851"/>
      <c r="AE87" s="851"/>
      <c r="AF87" s="851"/>
      <c r="AG87" s="851"/>
      <c r="AH87" s="852"/>
      <c r="AI87" s="852"/>
      <c r="AJ87" s="852"/>
      <c r="AK87" s="852"/>
      <c r="AL87" s="852"/>
      <c r="AM87" s="852"/>
      <c r="AN87" s="852"/>
      <c r="AO87" s="852"/>
      <c r="AP87" s="852"/>
      <c r="AQ87" s="852"/>
      <c r="AR87" s="852"/>
      <c r="AS87" s="852"/>
      <c r="AT87" s="852"/>
      <c r="AU87" s="852"/>
      <c r="AV87" s="852"/>
      <c r="AW87" s="852"/>
      <c r="AX87" s="849"/>
      <c r="AY87" s="847"/>
      <c r="AZ87" s="847"/>
      <c r="BA87" s="847"/>
      <c r="BB87" s="847"/>
      <c r="BC87" s="853"/>
      <c r="BD87" s="854"/>
      <c r="BE87" s="854"/>
      <c r="BF87" s="854"/>
      <c r="BG87" s="870">
        <v>58</v>
      </c>
      <c r="BH87" s="860" t="s">
        <v>182</v>
      </c>
      <c r="BI87" s="854"/>
      <c r="BJ87" s="871">
        <v>0</v>
      </c>
      <c r="BK87" s="872">
        <f t="shared" ca="1" si="31"/>
        <v>0</v>
      </c>
      <c r="BL87" s="871">
        <v>0</v>
      </c>
      <c r="BM87" s="872">
        <f t="shared" ca="1" si="32"/>
        <v>0</v>
      </c>
      <c r="BN87" s="871">
        <v>0</v>
      </c>
      <c r="BO87" s="872">
        <f t="shared" ca="1" si="33"/>
        <v>0</v>
      </c>
      <c r="BP87" s="871">
        <v>0</v>
      </c>
      <c r="BQ87" s="872">
        <f t="shared" ca="1" si="34"/>
        <v>0</v>
      </c>
      <c r="BR87" s="854"/>
      <c r="BS87" s="854"/>
      <c r="BT87" s="854"/>
      <c r="BU87" s="854"/>
      <c r="BV87" s="854"/>
      <c r="BW87" s="854"/>
      <c r="BX87" s="854"/>
      <c r="BY87" s="854"/>
      <c r="BZ87" s="854"/>
      <c r="CA87" s="854"/>
      <c r="CB87" s="854"/>
      <c r="CC87" s="854"/>
      <c r="CD87" s="854"/>
      <c r="CE87" s="854"/>
      <c r="CF87" s="854"/>
      <c r="CG87" s="854" t="s">
        <v>45</v>
      </c>
    </row>
    <row r="88" spans="1:85" ht="16.5" customHeight="1">
      <c r="A88" s="847"/>
      <c r="B88" s="1154"/>
      <c r="C88" s="1186" t="s">
        <v>172</v>
      </c>
      <c r="D88" s="1155"/>
      <c r="E88" s="1201"/>
      <c r="F88" s="1200"/>
      <c r="G88" s="882">
        <f>IF(+G89-G86+E48 &lt; 0, +E48-(+G89-G86+E48), +E48)</f>
        <v>3300</v>
      </c>
      <c r="H88" s="1189"/>
      <c r="I88" s="882">
        <f>IF(+I89-I86+G48 &lt; 0, +G48-(+I89-I86+G48), +G48)</f>
        <v>3301</v>
      </c>
      <c r="J88" s="1189"/>
      <c r="K88" s="882">
        <f>IF(+K89-K86+I48 &lt; 0, +I48-(+K89-K86+I48), +I48)</f>
        <v>3302</v>
      </c>
      <c r="L88" s="1191"/>
      <c r="M88" s="869"/>
      <c r="N88" s="849"/>
      <c r="O88" s="850"/>
      <c r="P88" s="850"/>
      <c r="Q88" s="850"/>
      <c r="R88" s="850"/>
      <c r="S88" s="850"/>
      <c r="T88" s="851"/>
      <c r="U88" s="851"/>
      <c r="V88" s="851"/>
      <c r="W88" s="851"/>
      <c r="X88" s="851"/>
      <c r="Y88" s="851"/>
      <c r="Z88" s="851"/>
      <c r="AA88" s="851"/>
      <c r="AB88" s="851"/>
      <c r="AC88" s="851"/>
      <c r="AD88" s="851"/>
      <c r="AE88" s="851"/>
      <c r="AF88" s="851"/>
      <c r="AG88" s="851"/>
      <c r="AH88" s="852"/>
      <c r="AI88" s="852"/>
      <c r="AJ88" s="852"/>
      <c r="AK88" s="852"/>
      <c r="AL88" s="852"/>
      <c r="AM88" s="852"/>
      <c r="AN88" s="852"/>
      <c r="AO88" s="852"/>
      <c r="AP88" s="852"/>
      <c r="AQ88" s="852"/>
      <c r="AR88" s="852"/>
      <c r="AS88" s="852"/>
      <c r="AT88" s="852"/>
      <c r="AU88" s="852"/>
      <c r="AV88" s="852"/>
      <c r="AW88" s="852"/>
      <c r="AX88" s="849"/>
      <c r="AY88" s="847"/>
      <c r="AZ88" s="847"/>
      <c r="BA88" s="847"/>
      <c r="BB88" s="847"/>
      <c r="BC88" s="853"/>
      <c r="BD88" s="854"/>
      <c r="BE88" s="854"/>
      <c r="BF88" s="854"/>
      <c r="BG88" s="870">
        <v>59</v>
      </c>
      <c r="BH88" s="860" t="s">
        <v>45</v>
      </c>
      <c r="BI88" s="854"/>
      <c r="BJ88" s="871">
        <v>0</v>
      </c>
      <c r="BK88" s="872">
        <f t="shared" ca="1" si="31"/>
        <v>0</v>
      </c>
      <c r="BL88" s="871">
        <v>0</v>
      </c>
      <c r="BM88" s="872">
        <f t="shared" ca="1" si="32"/>
        <v>0</v>
      </c>
      <c r="BN88" s="871">
        <v>0</v>
      </c>
      <c r="BO88" s="872">
        <f t="shared" ca="1" si="33"/>
        <v>0</v>
      </c>
      <c r="BP88" s="871">
        <v>0</v>
      </c>
      <c r="BQ88" s="872">
        <f t="shared" ca="1" si="34"/>
        <v>0</v>
      </c>
      <c r="BR88" s="854"/>
      <c r="BS88" s="854"/>
      <c r="BT88" s="854"/>
      <c r="BU88" s="854"/>
      <c r="BV88" s="854"/>
      <c r="BW88" s="854"/>
      <c r="BX88" s="854"/>
      <c r="BY88" s="854"/>
      <c r="BZ88" s="854"/>
      <c r="CA88" s="854"/>
      <c r="CB88" s="854"/>
      <c r="CC88" s="854"/>
      <c r="CD88" s="854"/>
      <c r="CE88" s="854"/>
      <c r="CF88" s="854"/>
      <c r="CG88" s="854" t="s">
        <v>45</v>
      </c>
    </row>
    <row r="89" spans="1:85" ht="16.5" customHeight="1">
      <c r="A89" s="847"/>
      <c r="B89" s="1157"/>
      <c r="C89" s="1194" t="s">
        <v>179</v>
      </c>
      <c r="D89" s="1159"/>
      <c r="E89" s="1202">
        <f>E48+E53</f>
        <v>7100</v>
      </c>
      <c r="F89" s="1203"/>
      <c r="G89" s="1204">
        <f>+G48+G53</f>
        <v>7102</v>
      </c>
      <c r="H89" s="1205"/>
      <c r="I89" s="1204">
        <f>+I48+I53</f>
        <v>7104</v>
      </c>
      <c r="J89" s="1205"/>
      <c r="K89" s="1204">
        <f>+K48+K53</f>
        <v>7106</v>
      </c>
      <c r="L89" s="1198"/>
      <c r="M89" s="869"/>
      <c r="N89" s="849"/>
      <c r="O89" s="850"/>
      <c r="P89" s="850"/>
      <c r="Q89" s="850"/>
      <c r="R89" s="850"/>
      <c r="S89" s="850"/>
      <c r="T89" s="851"/>
      <c r="U89" s="851"/>
      <c r="V89" s="851"/>
      <c r="W89" s="851"/>
      <c r="X89" s="851"/>
      <c r="Y89" s="851"/>
      <c r="Z89" s="851"/>
      <c r="AA89" s="851"/>
      <c r="AB89" s="851"/>
      <c r="AC89" s="851"/>
      <c r="AD89" s="851"/>
      <c r="AE89" s="851"/>
      <c r="AF89" s="851"/>
      <c r="AG89" s="851"/>
      <c r="AH89" s="852"/>
      <c r="AI89" s="852"/>
      <c r="AJ89" s="852"/>
      <c r="AK89" s="852"/>
      <c r="AL89" s="852"/>
      <c r="AM89" s="852"/>
      <c r="AN89" s="852"/>
      <c r="AO89" s="852"/>
      <c r="AP89" s="852"/>
      <c r="AQ89" s="852"/>
      <c r="AR89" s="852"/>
      <c r="AS89" s="852"/>
      <c r="AT89" s="852"/>
      <c r="AU89" s="852"/>
      <c r="AV89" s="852"/>
      <c r="AW89" s="852"/>
      <c r="AX89" s="849"/>
      <c r="AY89" s="847"/>
      <c r="AZ89" s="847"/>
      <c r="BA89" s="847"/>
      <c r="BB89" s="847"/>
      <c r="BC89" s="853"/>
      <c r="BD89" s="854"/>
      <c r="BE89" s="854"/>
      <c r="BF89" s="854"/>
      <c r="BG89" s="870">
        <v>60</v>
      </c>
      <c r="BH89" s="860" t="s">
        <v>45</v>
      </c>
      <c r="BI89" s="854"/>
      <c r="BJ89" s="871">
        <v>0</v>
      </c>
      <c r="BK89" s="872">
        <f t="shared" ca="1" si="31"/>
        <v>0</v>
      </c>
      <c r="BL89" s="871">
        <v>0</v>
      </c>
      <c r="BM89" s="872">
        <f t="shared" ca="1" si="32"/>
        <v>0</v>
      </c>
      <c r="BN89" s="871">
        <v>0</v>
      </c>
      <c r="BO89" s="872">
        <f t="shared" ca="1" si="33"/>
        <v>0</v>
      </c>
      <c r="BP89" s="871">
        <v>0</v>
      </c>
      <c r="BQ89" s="872">
        <f t="shared" ca="1" si="34"/>
        <v>0</v>
      </c>
      <c r="BR89" s="854"/>
      <c r="BS89" s="854"/>
      <c r="BT89" s="854"/>
      <c r="BU89" s="854"/>
      <c r="BV89" s="854"/>
      <c r="BW89" s="854"/>
      <c r="BX89" s="854"/>
      <c r="BY89" s="854"/>
      <c r="BZ89" s="854"/>
      <c r="CA89" s="854"/>
      <c r="CB89" s="854"/>
      <c r="CC89" s="854"/>
      <c r="CD89" s="854"/>
      <c r="CE89" s="854"/>
      <c r="CF89" s="854"/>
      <c r="CG89" s="854" t="s">
        <v>45</v>
      </c>
    </row>
    <row r="90" spans="1:85" ht="16.5" customHeight="1">
      <c r="A90" s="847"/>
      <c r="B90" s="1174"/>
      <c r="C90" s="1175" t="s">
        <v>183</v>
      </c>
      <c r="D90" s="1176"/>
      <c r="E90" s="1206">
        <f>E13</f>
        <v>44561</v>
      </c>
      <c r="F90" s="1207"/>
      <c r="G90" s="1208">
        <f>G13</f>
        <v>44926</v>
      </c>
      <c r="H90" s="1209"/>
      <c r="I90" s="1206">
        <f>I13</f>
        <v>45291</v>
      </c>
      <c r="J90" s="1207"/>
      <c r="K90" s="1208">
        <f>K13</f>
        <v>45473</v>
      </c>
      <c r="L90" s="1210"/>
      <c r="M90" s="869"/>
      <c r="N90" s="849"/>
      <c r="O90" s="850"/>
      <c r="P90" s="850"/>
      <c r="Q90" s="850"/>
      <c r="R90" s="850"/>
      <c r="S90" s="850"/>
      <c r="T90" s="851"/>
      <c r="U90" s="851"/>
      <c r="V90" s="851"/>
      <c r="W90" s="851"/>
      <c r="X90" s="851"/>
      <c r="Y90" s="851"/>
      <c r="Z90" s="851"/>
      <c r="AA90" s="851"/>
      <c r="AB90" s="851"/>
      <c r="AC90" s="851"/>
      <c r="AD90" s="851"/>
      <c r="AE90" s="851"/>
      <c r="AF90" s="851"/>
      <c r="AG90" s="851"/>
      <c r="AH90" s="852"/>
      <c r="AI90" s="852"/>
      <c r="AJ90" s="852"/>
      <c r="AK90" s="852"/>
      <c r="AL90" s="852"/>
      <c r="AM90" s="852"/>
      <c r="AN90" s="852"/>
      <c r="AO90" s="852"/>
      <c r="AP90" s="852"/>
      <c r="AQ90" s="852"/>
      <c r="AR90" s="852"/>
      <c r="AS90" s="852"/>
      <c r="AT90" s="852"/>
      <c r="AU90" s="852"/>
      <c r="AV90" s="852"/>
      <c r="AW90" s="852"/>
      <c r="AX90" s="849"/>
      <c r="AY90" s="847"/>
      <c r="AZ90" s="847"/>
      <c r="BA90" s="847"/>
      <c r="BB90" s="847"/>
      <c r="BC90" s="853"/>
      <c r="BD90" s="854"/>
      <c r="BE90" s="854"/>
      <c r="BF90" s="854"/>
      <c r="BG90" s="870">
        <v>61</v>
      </c>
      <c r="BH90" s="883" t="s">
        <v>184</v>
      </c>
      <c r="BI90" s="884"/>
      <c r="BJ90" s="885">
        <f>SUM(BJ16:BJ89)</f>
        <v>1570.3401260000001</v>
      </c>
      <c r="BK90" s="886">
        <f t="shared" ca="1" si="31"/>
        <v>110.45929625729187</v>
      </c>
      <c r="BL90" s="885">
        <f>SUM(BL16:BL89)</f>
        <v>506.071258</v>
      </c>
      <c r="BM90" s="886">
        <f t="shared" ca="1" si="32"/>
        <v>2.2592023278605775</v>
      </c>
      <c r="BN90" s="885">
        <f>SUM(BN16:BN89)</f>
        <v>2370.900165</v>
      </c>
      <c r="BO90" s="886">
        <f t="shared" ca="1" si="33"/>
        <v>8.1735056761647744</v>
      </c>
      <c r="BP90" s="885">
        <f>SUM(BP16:BP89)</f>
        <v>151292.15493199998</v>
      </c>
      <c r="BQ90" s="886">
        <f t="shared" ca="1" si="34"/>
        <v>39.243642514696539</v>
      </c>
      <c r="BR90" s="854"/>
      <c r="BS90" s="854"/>
      <c r="BT90" s="854"/>
      <c r="BU90" s="854"/>
      <c r="BV90" s="854"/>
      <c r="BW90" s="854"/>
      <c r="BX90" s="854"/>
      <c r="BY90" s="854"/>
      <c r="BZ90" s="854"/>
      <c r="CA90" s="854"/>
      <c r="CB90" s="854"/>
      <c r="CC90" s="854"/>
      <c r="CD90" s="854"/>
      <c r="CE90" s="854"/>
      <c r="CF90" s="854"/>
      <c r="CG90" s="854" t="s">
        <v>45</v>
      </c>
    </row>
    <row r="91" spans="1:85" ht="15.75" customHeight="1">
      <c r="A91" s="847"/>
      <c r="B91" s="1180"/>
      <c r="C91" s="1181" t="s">
        <v>185</v>
      </c>
      <c r="D91" s="1146"/>
      <c r="E91" s="1199">
        <f>IF(E50=0,0,E25/E50)</f>
        <v>0.1111111111111111</v>
      </c>
      <c r="F91" s="1211" t="s">
        <v>186</v>
      </c>
      <c r="G91" s="1199">
        <f>IF(G50=0,0,G25/G50)</f>
        <v>0.11129211403184006</v>
      </c>
      <c r="H91" s="1211" t="s">
        <v>186</v>
      </c>
      <c r="I91" s="1212">
        <f>IF(I50=0,0,I25/I50)</f>
        <v>0.11147298297557365</v>
      </c>
      <c r="J91" s="1211" t="s">
        <v>186</v>
      </c>
      <c r="K91" s="1148">
        <f>IF(K50=0,0,K25/K50)</f>
        <v>0.11165371809100999</v>
      </c>
      <c r="L91" s="1211" t="s">
        <v>186</v>
      </c>
      <c r="M91" s="869"/>
      <c r="N91" s="849"/>
      <c r="O91" s="850"/>
      <c r="P91" s="850"/>
      <c r="Q91" s="850"/>
      <c r="R91" s="850"/>
      <c r="S91" s="850"/>
      <c r="T91" s="851"/>
      <c r="U91" s="851"/>
      <c r="V91" s="851"/>
      <c r="W91" s="851"/>
      <c r="X91" s="851"/>
      <c r="Y91" s="851"/>
      <c r="Z91" s="851"/>
      <c r="AA91" s="851"/>
      <c r="AB91" s="851"/>
      <c r="AC91" s="851"/>
      <c r="AD91" s="851"/>
      <c r="AE91" s="851"/>
      <c r="AF91" s="851"/>
      <c r="AG91" s="851"/>
      <c r="AH91" s="852"/>
      <c r="AI91" s="852"/>
      <c r="AJ91" s="852"/>
      <c r="AK91" s="852"/>
      <c r="AL91" s="852"/>
      <c r="AM91" s="852"/>
      <c r="AN91" s="852"/>
      <c r="AO91" s="852"/>
      <c r="AP91" s="852"/>
      <c r="AQ91" s="852"/>
      <c r="AR91" s="852"/>
      <c r="AS91" s="852"/>
      <c r="AT91" s="852"/>
      <c r="AU91" s="852"/>
      <c r="AV91" s="852"/>
      <c r="AW91" s="852"/>
      <c r="AX91" s="849"/>
      <c r="AY91" s="847"/>
      <c r="AZ91" s="847"/>
      <c r="BA91" s="847"/>
      <c r="BB91" s="847"/>
      <c r="BC91" s="853"/>
      <c r="BD91" s="854"/>
      <c r="BE91" s="854"/>
      <c r="BF91" s="854"/>
      <c r="BG91" s="870"/>
      <c r="BH91" s="883"/>
      <c r="BI91" s="884"/>
      <c r="BJ91" s="885"/>
      <c r="BK91" s="886"/>
      <c r="BL91" s="885"/>
      <c r="BM91" s="886"/>
      <c r="BN91" s="885"/>
      <c r="BO91" s="886"/>
      <c r="BP91" s="885"/>
      <c r="BQ91" s="886"/>
      <c r="BR91" s="854"/>
      <c r="BS91" s="854"/>
      <c r="BT91" s="854"/>
      <c r="BU91" s="854"/>
      <c r="BV91" s="854"/>
      <c r="BW91" s="854"/>
      <c r="BX91" s="854"/>
      <c r="BY91" s="854"/>
      <c r="BZ91" s="854"/>
      <c r="CA91" s="854"/>
      <c r="CB91" s="854"/>
      <c r="CC91" s="854"/>
      <c r="CD91" s="854"/>
      <c r="CE91" s="854"/>
      <c r="CF91" s="854"/>
      <c r="CG91" s="854" t="s">
        <v>45</v>
      </c>
    </row>
    <row r="92" spans="1:85" ht="15.75" customHeight="1">
      <c r="A92" s="847"/>
      <c r="B92" s="1213"/>
      <c r="C92" s="1214" t="s">
        <v>187</v>
      </c>
      <c r="D92" s="1151"/>
      <c r="E92" s="1215">
        <f>IF((E50-SUM(E46:E49))=0,0,E25/(E50-SUM(E46:E49)))</f>
        <v>0.16363636363636364</v>
      </c>
      <c r="F92" s="1216" t="s">
        <v>186</v>
      </c>
      <c r="G92" s="1215">
        <f>IF((G50-SUM(G46:G49))=0,0,G25/(G50-SUM(G46:G49)))</f>
        <v>0.16389807713278326</v>
      </c>
      <c r="H92" s="1216" t="s">
        <v>186</v>
      </c>
      <c r="I92" s="1215">
        <f>IF((I50-SUM(I46:I49))=0,0,I25/(I50-SUM(I46:I49)))</f>
        <v>0.16415958142576847</v>
      </c>
      <c r="J92" s="1216" t="s">
        <v>186</v>
      </c>
      <c r="K92" s="1215">
        <f>IF((K50-SUM(K46:K49))=0,0,K25/(K50-SUM(K46:K49)))</f>
        <v>0.16442087676606254</v>
      </c>
      <c r="L92" s="1216" t="s">
        <v>186</v>
      </c>
      <c r="M92" s="869"/>
      <c r="N92" s="849"/>
      <c r="O92" s="850"/>
      <c r="P92" s="850"/>
      <c r="Q92" s="850"/>
      <c r="R92" s="850"/>
      <c r="S92" s="850"/>
      <c r="T92" s="851"/>
      <c r="U92" s="851"/>
      <c r="V92" s="851"/>
      <c r="W92" s="851"/>
      <c r="X92" s="851"/>
      <c r="Y92" s="851"/>
      <c r="Z92" s="851"/>
      <c r="AA92" s="851"/>
      <c r="AB92" s="851"/>
      <c r="AC92" s="851"/>
      <c r="AD92" s="851"/>
      <c r="AE92" s="851"/>
      <c r="AF92" s="851"/>
      <c r="AG92" s="851"/>
      <c r="AH92" s="852"/>
      <c r="AI92" s="852"/>
      <c r="AJ92" s="852"/>
      <c r="AK92" s="852"/>
      <c r="AL92" s="852"/>
      <c r="AM92" s="852"/>
      <c r="AN92" s="852"/>
      <c r="AO92" s="852"/>
      <c r="AP92" s="852"/>
      <c r="AQ92" s="852"/>
      <c r="AR92" s="852"/>
      <c r="AS92" s="852"/>
      <c r="AT92" s="852"/>
      <c r="AU92" s="852"/>
      <c r="AV92" s="852"/>
      <c r="AW92" s="852"/>
      <c r="AX92" s="849"/>
      <c r="AY92" s="847"/>
      <c r="AZ92" s="847"/>
      <c r="BA92" s="847"/>
      <c r="BB92" s="847"/>
      <c r="BC92" s="853"/>
      <c r="BD92" s="854"/>
      <c r="BE92" s="854"/>
      <c r="BF92" s="854"/>
      <c r="BG92" s="870"/>
      <c r="BH92" s="883"/>
      <c r="BI92" s="884"/>
      <c r="BJ92" s="885"/>
      <c r="BK92" s="886"/>
      <c r="BL92" s="885"/>
      <c r="BM92" s="886"/>
      <c r="BN92" s="885"/>
      <c r="BO92" s="886"/>
      <c r="BP92" s="885"/>
      <c r="BQ92" s="886"/>
      <c r="BR92" s="854"/>
      <c r="BS92" s="854"/>
      <c r="BT92" s="854"/>
      <c r="BU92" s="854"/>
      <c r="BV92" s="854"/>
      <c r="BW92" s="854"/>
      <c r="BX92" s="854"/>
      <c r="BY92" s="854"/>
      <c r="BZ92" s="854"/>
      <c r="CA92" s="854"/>
      <c r="CB92" s="854"/>
      <c r="CC92" s="854"/>
      <c r="CD92" s="854"/>
      <c r="CE92" s="854"/>
      <c r="CF92" s="854"/>
      <c r="CG92" s="854"/>
    </row>
    <row r="93" spans="1:85" ht="15.75" customHeight="1">
      <c r="A93" s="847"/>
      <c r="B93" s="1154"/>
      <c r="C93" s="1186" t="s">
        <v>188</v>
      </c>
      <c r="D93" s="1155"/>
      <c r="E93" s="1200">
        <f>IF((E72)=0,0,(E60)/(E72))</f>
        <v>1.4109589041095891</v>
      </c>
      <c r="F93" s="1216" t="s">
        <v>186</v>
      </c>
      <c r="G93" s="1200">
        <f>IF((G72)=0,0,(G60)/(G72))</f>
        <v>1.4088724800750116</v>
      </c>
      <c r="H93" s="1216" t="s">
        <v>186</v>
      </c>
      <c r="I93" s="1153">
        <f>IF((I72)=0,0,(I60)/(I72))</f>
        <v>1.4067935418454098</v>
      </c>
      <c r="J93" s="1216" t="s">
        <v>186</v>
      </c>
      <c r="K93" s="1153">
        <f>IF((K72)=0,0,(K60)/(K72))</f>
        <v>1.404722049205855</v>
      </c>
      <c r="L93" s="1216" t="s">
        <v>186</v>
      </c>
      <c r="M93" s="869"/>
      <c r="N93" s="849"/>
      <c r="O93" s="850"/>
      <c r="P93" s="850"/>
      <c r="Q93" s="850"/>
      <c r="R93" s="850"/>
      <c r="S93" s="850"/>
      <c r="T93" s="851"/>
      <c r="U93" s="851"/>
      <c r="V93" s="851"/>
      <c r="W93" s="851"/>
      <c r="X93" s="851"/>
      <c r="Y93" s="851"/>
      <c r="Z93" s="851"/>
      <c r="AA93" s="851"/>
      <c r="AB93" s="851"/>
      <c r="AC93" s="851"/>
      <c r="AD93" s="851"/>
      <c r="AE93" s="851"/>
      <c r="AF93" s="851"/>
      <c r="AG93" s="851"/>
      <c r="AH93" s="852"/>
      <c r="AI93" s="852"/>
      <c r="AJ93" s="852"/>
      <c r="AK93" s="852"/>
      <c r="AL93" s="852"/>
      <c r="AM93" s="852"/>
      <c r="AN93" s="852"/>
      <c r="AO93" s="852"/>
      <c r="AP93" s="852"/>
      <c r="AQ93" s="852"/>
      <c r="AR93" s="852"/>
      <c r="AS93" s="852"/>
      <c r="AT93" s="852"/>
      <c r="AU93" s="852"/>
      <c r="AV93" s="852"/>
      <c r="AW93" s="852"/>
      <c r="AX93" s="849"/>
      <c r="AY93" s="847"/>
      <c r="AZ93" s="847"/>
      <c r="BA93" s="847"/>
      <c r="BB93" s="847"/>
      <c r="BC93" s="853"/>
      <c r="BD93" s="854"/>
      <c r="BE93" s="854"/>
      <c r="BF93" s="854"/>
      <c r="BG93" s="854"/>
      <c r="BH93" s="854"/>
      <c r="BI93" s="854"/>
      <c r="BJ93" s="854"/>
      <c r="BK93" s="854"/>
      <c r="BL93" s="854"/>
      <c r="BM93" s="854"/>
      <c r="BN93" s="854"/>
      <c r="BO93" s="854"/>
      <c r="BP93" s="854"/>
      <c r="BQ93" s="854"/>
      <c r="BR93" s="854"/>
      <c r="BS93" s="854"/>
      <c r="BT93" s="854"/>
      <c r="BU93" s="870">
        <f>+BG90+1</f>
        <v>62</v>
      </c>
      <c r="BV93" s="860" t="s">
        <v>189</v>
      </c>
      <c r="BW93" s="854"/>
      <c r="BX93" s="871">
        <v>92517.448300000004</v>
      </c>
      <c r="BY93" s="872">
        <f ca="1">IF(BJ$299=0,0,BX93/BJ$299*100)</f>
        <v>6507.7699165527047</v>
      </c>
      <c r="BZ93" s="871">
        <v>144759.875608</v>
      </c>
      <c r="CA93" s="872">
        <f ca="1">IF(BL$299=0,0,BZ93/BL$299*100)</f>
        <v>646.23675576217227</v>
      </c>
      <c r="CB93" s="871">
        <v>149738.85433900001</v>
      </c>
      <c r="CC93" s="872">
        <f ca="1">IF(BN$299=0,0,CB93/BN$299*100)</f>
        <v>516.21379674678417</v>
      </c>
      <c r="CD93" s="871">
        <v>100569.397948</v>
      </c>
      <c r="CE93" s="872">
        <f ca="1">IF(BP$299=0,0,CD93/BP$299*100)</f>
        <v>26.086676488701364</v>
      </c>
      <c r="CF93" s="854"/>
      <c r="CG93" s="854" t="s">
        <v>45</v>
      </c>
    </row>
    <row r="94" spans="1:85" ht="15.75" customHeight="1">
      <c r="A94" s="847"/>
      <c r="B94" s="1154"/>
      <c r="C94" s="1186" t="s">
        <v>190</v>
      </c>
      <c r="D94" s="1155"/>
      <c r="E94" s="1200">
        <f>IF(E105=0,0,(E19/E105)*F13)</f>
        <v>1.44</v>
      </c>
      <c r="F94" s="1216" t="s">
        <v>191</v>
      </c>
      <c r="G94" s="1200">
        <f>IF(G105=0,0,(G19/G105)*H13)</f>
        <v>1.3123636363636364</v>
      </c>
      <c r="H94" s="1216" t="s">
        <v>191</v>
      </c>
      <c r="I94" s="1217">
        <f>IF(I105=0,0,(I19/I105)*J13)</f>
        <v>1.206</v>
      </c>
      <c r="J94" s="1216" t="s">
        <v>191</v>
      </c>
      <c r="K94" s="1153">
        <f>IF(K105=0,0,(K19/K105)*L13)</f>
        <v>0.55799999999999994</v>
      </c>
      <c r="L94" s="1216" t="s">
        <v>191</v>
      </c>
      <c r="M94" s="869"/>
      <c r="N94" s="849"/>
      <c r="O94" s="850"/>
      <c r="P94" s="850"/>
      <c r="Q94" s="850"/>
      <c r="R94" s="850"/>
      <c r="S94" s="850"/>
      <c r="T94" s="851"/>
      <c r="U94" s="851"/>
      <c r="V94" s="851"/>
      <c r="W94" s="851"/>
      <c r="X94" s="851"/>
      <c r="Y94" s="851"/>
      <c r="Z94" s="851"/>
      <c r="AA94" s="851"/>
      <c r="AB94" s="851"/>
      <c r="AC94" s="851"/>
      <c r="AD94" s="851"/>
      <c r="AE94" s="851"/>
      <c r="AF94" s="851"/>
      <c r="AG94" s="851"/>
      <c r="AH94" s="852"/>
      <c r="AI94" s="852"/>
      <c r="AJ94" s="852"/>
      <c r="AK94" s="852"/>
      <c r="AL94" s="852"/>
      <c r="AM94" s="852"/>
      <c r="AN94" s="852"/>
      <c r="AO94" s="852"/>
      <c r="AP94" s="852"/>
      <c r="AQ94" s="852"/>
      <c r="AR94" s="852"/>
      <c r="AS94" s="852"/>
      <c r="AT94" s="852"/>
      <c r="AU94" s="852"/>
      <c r="AV94" s="852"/>
      <c r="AW94" s="852"/>
      <c r="AX94" s="849"/>
      <c r="AY94" s="847"/>
      <c r="AZ94" s="847"/>
      <c r="BA94" s="847"/>
      <c r="BB94" s="847"/>
      <c r="BC94" s="853"/>
      <c r="BD94" s="854"/>
      <c r="BE94" s="854"/>
      <c r="BF94" s="854"/>
      <c r="BG94" s="854"/>
      <c r="BH94" s="854"/>
      <c r="BI94" s="854"/>
      <c r="BJ94" s="854"/>
      <c r="BK94" s="854"/>
      <c r="BL94" s="854"/>
      <c r="BM94" s="854"/>
      <c r="BN94" s="854"/>
      <c r="BO94" s="854"/>
      <c r="BP94" s="854"/>
      <c r="BQ94" s="854"/>
      <c r="BR94" s="854"/>
      <c r="BS94" s="854"/>
      <c r="BT94" s="854"/>
      <c r="BU94" s="854"/>
      <c r="BV94" s="854"/>
      <c r="BW94" s="854"/>
      <c r="BX94" s="854"/>
      <c r="BY94" s="854"/>
      <c r="BZ94" s="854"/>
      <c r="CA94" s="854"/>
      <c r="CB94" s="854"/>
      <c r="CC94" s="854"/>
      <c r="CD94" s="854"/>
      <c r="CE94" s="854"/>
      <c r="CF94" s="854"/>
      <c r="CG94" s="854" t="s">
        <v>45</v>
      </c>
    </row>
    <row r="95" spans="1:85" ht="15.75" customHeight="1">
      <c r="A95" s="847"/>
      <c r="B95" s="1154"/>
      <c r="C95" s="1186" t="s">
        <v>192</v>
      </c>
      <c r="D95" s="1155"/>
      <c r="E95" s="1200">
        <f>IF(E106=0,0,(E20/E106)*F13)</f>
        <v>2.25</v>
      </c>
      <c r="F95" s="1216" t="s">
        <v>191</v>
      </c>
      <c r="G95" s="1200">
        <f>IF(G106=0,0,(G20/G106)*H13)</f>
        <v>2.2266666666666666</v>
      </c>
      <c r="H95" s="1216" t="s">
        <v>191</v>
      </c>
      <c r="I95" s="1217">
        <f>IF(I106=0,0,(I20/I106)*J13)</f>
        <v>2.2039024390243904</v>
      </c>
      <c r="J95" s="1216" t="s">
        <v>191</v>
      </c>
      <c r="K95" s="1153">
        <f>IF(K106=0,0,(K20/K106)*L13)</f>
        <v>1.006</v>
      </c>
      <c r="L95" s="1216" t="s">
        <v>191</v>
      </c>
      <c r="M95" s="869"/>
      <c r="N95" s="849"/>
      <c r="O95" s="850"/>
      <c r="P95" s="850"/>
      <c r="Q95" s="850"/>
      <c r="R95" s="850"/>
      <c r="S95" s="850"/>
      <c r="T95" s="851"/>
      <c r="U95" s="851"/>
      <c r="V95" s="851"/>
      <c r="W95" s="851"/>
      <c r="X95" s="851"/>
      <c r="Y95" s="851"/>
      <c r="Z95" s="851"/>
      <c r="AA95" s="851"/>
      <c r="AB95" s="851"/>
      <c r="AC95" s="851"/>
      <c r="AD95" s="851"/>
      <c r="AE95" s="851"/>
      <c r="AF95" s="851"/>
      <c r="AG95" s="851"/>
      <c r="AH95" s="852"/>
      <c r="AI95" s="852"/>
      <c r="AJ95" s="852"/>
      <c r="AK95" s="852"/>
      <c r="AL95" s="852"/>
      <c r="AM95" s="852"/>
      <c r="AN95" s="852"/>
      <c r="AO95" s="852"/>
      <c r="AP95" s="852"/>
      <c r="AQ95" s="852"/>
      <c r="AR95" s="852"/>
      <c r="AS95" s="852"/>
      <c r="AT95" s="852"/>
      <c r="AU95" s="852"/>
      <c r="AV95" s="852"/>
      <c r="AW95" s="852"/>
      <c r="AX95" s="849"/>
      <c r="AY95" s="847"/>
      <c r="AZ95" s="847"/>
      <c r="BA95" s="847"/>
      <c r="BB95" s="847"/>
      <c r="BC95" s="853"/>
      <c r="BD95" s="854"/>
      <c r="BE95" s="854"/>
      <c r="BF95" s="854"/>
      <c r="BG95" s="870">
        <v>63</v>
      </c>
      <c r="BH95" s="860" t="s">
        <v>193</v>
      </c>
      <c r="BI95" s="854"/>
      <c r="BJ95" s="871">
        <v>0</v>
      </c>
      <c r="BK95" s="872">
        <f ca="1">IF(BJ$299=0,0,BJ95/BJ$299*100)</f>
        <v>0</v>
      </c>
      <c r="BL95" s="871">
        <v>0</v>
      </c>
      <c r="BM95" s="872">
        <f ca="1">IF(BL$299=0,0,BL95/BL$299*100)</f>
        <v>0</v>
      </c>
      <c r="BN95" s="871">
        <v>0</v>
      </c>
      <c r="BO95" s="872">
        <f ca="1">IF(BN$299=0,0,BN95/BN$299*100)</f>
        <v>0</v>
      </c>
      <c r="BP95" s="871">
        <v>0</v>
      </c>
      <c r="BQ95" s="872">
        <f ca="1">IF(BP$299=0,0,BP95/BP$299*100)</f>
        <v>0</v>
      </c>
      <c r="BR95" s="854"/>
      <c r="BS95" s="854"/>
      <c r="BT95" s="854"/>
      <c r="BU95" s="854"/>
      <c r="BV95" s="854"/>
      <c r="BW95" s="854"/>
      <c r="BX95" s="854"/>
      <c r="BY95" s="854"/>
      <c r="BZ95" s="854"/>
      <c r="CA95" s="854"/>
      <c r="CB95" s="854"/>
      <c r="CC95" s="854"/>
      <c r="CD95" s="854"/>
      <c r="CE95" s="854"/>
      <c r="CF95" s="854"/>
      <c r="CG95" s="854" t="s">
        <v>45</v>
      </c>
    </row>
    <row r="96" spans="1:85" ht="16.5" customHeight="1">
      <c r="A96" s="847"/>
      <c r="B96" s="1171"/>
      <c r="C96" s="1218" t="s">
        <v>194</v>
      </c>
      <c r="D96" s="1173"/>
      <c r="E96" s="1219">
        <f>IF(E106=0,0,(E39/E106)*F13)</f>
        <v>10.799999999999999</v>
      </c>
      <c r="F96" s="1220" t="s">
        <v>191</v>
      </c>
      <c r="G96" s="1219">
        <f>IF(G106=0,0,(G39/G106)*H13)</f>
        <v>10.671111111111111</v>
      </c>
      <c r="H96" s="1220" t="s">
        <v>191</v>
      </c>
      <c r="I96" s="1221">
        <f>IF(I106=0,0,(I39/I106)*J13)</f>
        <v>10.545365853658538</v>
      </c>
      <c r="J96" s="1220" t="s">
        <v>191</v>
      </c>
      <c r="K96" s="1222">
        <f>IF(K106=0,0,(K39/K106)*L13)</f>
        <v>4.806</v>
      </c>
      <c r="L96" s="1216" t="s">
        <v>191</v>
      </c>
      <c r="M96" s="869"/>
      <c r="N96" s="849"/>
      <c r="O96" s="850"/>
      <c r="P96" s="850"/>
      <c r="Q96" s="850"/>
      <c r="R96" s="850"/>
      <c r="S96" s="850"/>
      <c r="T96" s="851"/>
      <c r="U96" s="851"/>
      <c r="V96" s="851"/>
      <c r="W96" s="851"/>
      <c r="X96" s="851"/>
      <c r="Y96" s="851"/>
      <c r="Z96" s="851"/>
      <c r="AA96" s="851"/>
      <c r="AB96" s="851"/>
      <c r="AC96" s="851"/>
      <c r="AD96" s="851"/>
      <c r="AE96" s="851"/>
      <c r="AF96" s="851"/>
      <c r="AG96" s="851"/>
      <c r="AH96" s="852"/>
      <c r="AI96" s="852"/>
      <c r="AJ96" s="852"/>
      <c r="AK96" s="852"/>
      <c r="AL96" s="852"/>
      <c r="AM96" s="852"/>
      <c r="AN96" s="852"/>
      <c r="AO96" s="852"/>
      <c r="AP96" s="852"/>
      <c r="AQ96" s="852"/>
      <c r="AR96" s="852"/>
      <c r="AS96" s="852"/>
      <c r="AT96" s="852"/>
      <c r="AU96" s="852"/>
      <c r="AV96" s="852"/>
      <c r="AW96" s="852"/>
      <c r="AX96" s="849"/>
      <c r="AY96" s="847"/>
      <c r="AZ96" s="847"/>
      <c r="BA96" s="847"/>
      <c r="BB96" s="847"/>
      <c r="BC96" s="853"/>
      <c r="BD96" s="854"/>
      <c r="BE96" s="854"/>
      <c r="BF96" s="854"/>
      <c r="BG96" s="870">
        <v>64</v>
      </c>
      <c r="BH96" s="860" t="s">
        <v>195</v>
      </c>
      <c r="BI96" s="854"/>
      <c r="BJ96" s="871">
        <v>0</v>
      </c>
      <c r="BK96" s="872">
        <f ca="1">IF(BJ$299=0,0,BJ96/BJ$299*100)</f>
        <v>0</v>
      </c>
      <c r="BL96" s="871">
        <v>0</v>
      </c>
      <c r="BM96" s="872">
        <f ca="1">IF(BL$299=0,0,BL96/BL$299*100)</f>
        <v>0</v>
      </c>
      <c r="BN96" s="871">
        <v>0</v>
      </c>
      <c r="BO96" s="872">
        <f ca="1">IF(BN$299=0,0,BN96/BN$299*100)</f>
        <v>0</v>
      </c>
      <c r="BP96" s="871">
        <v>0</v>
      </c>
      <c r="BQ96" s="872">
        <f ca="1">IF(BP$299=0,0,BP96/BP$299*100)</f>
        <v>0</v>
      </c>
      <c r="BR96" s="854"/>
      <c r="BS96" s="854"/>
      <c r="BT96" s="854"/>
      <c r="BU96" s="854"/>
      <c r="BV96" s="854"/>
      <c r="BW96" s="854"/>
      <c r="BX96" s="854"/>
      <c r="BY96" s="854"/>
      <c r="BZ96" s="854"/>
      <c r="CA96" s="854"/>
      <c r="CB96" s="854"/>
      <c r="CC96" s="854"/>
      <c r="CD96" s="854"/>
      <c r="CE96" s="854"/>
      <c r="CF96" s="854"/>
      <c r="CG96" s="854" t="s">
        <v>45</v>
      </c>
    </row>
    <row r="97" spans="1:85" ht="16.5" customHeight="1">
      <c r="A97" s="876"/>
      <c r="B97" s="1223"/>
      <c r="C97" s="1224" t="s">
        <v>196</v>
      </c>
      <c r="D97" s="1225"/>
      <c r="E97" s="1226">
        <f>E94+E95-E96</f>
        <v>-7.1099999999999994</v>
      </c>
      <c r="F97" s="1227" t="s">
        <v>191</v>
      </c>
      <c r="G97" s="1226">
        <f>G94+G95-G96</f>
        <v>-7.1320808080808078</v>
      </c>
      <c r="H97" s="1227" t="s">
        <v>191</v>
      </c>
      <c r="I97" s="1226">
        <f>I94+I95-I96</f>
        <v>-7.1354634146341471</v>
      </c>
      <c r="J97" s="1227" t="s">
        <v>191</v>
      </c>
      <c r="K97" s="1226">
        <f>K94+K95-K96</f>
        <v>-3.242</v>
      </c>
      <c r="L97" s="1220" t="s">
        <v>191</v>
      </c>
      <c r="M97" s="869"/>
      <c r="N97" s="849"/>
      <c r="O97" s="850"/>
      <c r="P97" s="850"/>
      <c r="Q97" s="850"/>
      <c r="R97" s="850"/>
      <c r="S97" s="850"/>
      <c r="T97" s="851"/>
      <c r="U97" s="851"/>
      <c r="V97" s="851"/>
      <c r="W97" s="851"/>
      <c r="X97" s="851"/>
      <c r="Y97" s="851"/>
      <c r="Z97" s="851"/>
      <c r="AA97" s="851"/>
      <c r="AB97" s="851"/>
      <c r="AC97" s="851"/>
      <c r="AD97" s="851"/>
      <c r="AE97" s="851"/>
      <c r="AF97" s="851"/>
      <c r="AG97" s="851"/>
      <c r="AH97" s="852"/>
      <c r="AI97" s="852"/>
      <c r="AJ97" s="852"/>
      <c r="AK97" s="852"/>
      <c r="AL97" s="852"/>
      <c r="AM97" s="852"/>
      <c r="AN97" s="852"/>
      <c r="AO97" s="852"/>
      <c r="AP97" s="852"/>
      <c r="AQ97" s="852"/>
      <c r="AR97" s="852"/>
      <c r="AS97" s="852"/>
      <c r="AT97" s="852"/>
      <c r="AU97" s="852"/>
      <c r="AV97" s="852"/>
      <c r="AW97" s="852"/>
      <c r="AX97" s="849"/>
      <c r="AY97" s="847"/>
      <c r="AZ97" s="847"/>
      <c r="BA97" s="847"/>
      <c r="BB97" s="847"/>
      <c r="BC97" s="853"/>
      <c r="BD97" s="854"/>
      <c r="BE97" s="854"/>
      <c r="BF97" s="854"/>
      <c r="BG97" s="870"/>
      <c r="BH97" s="860"/>
      <c r="BI97" s="854"/>
      <c r="BJ97" s="871"/>
      <c r="BK97" s="872"/>
      <c r="BL97" s="871"/>
      <c r="BM97" s="872"/>
      <c r="BN97" s="871"/>
      <c r="BO97" s="872"/>
      <c r="BP97" s="871"/>
      <c r="BQ97" s="872"/>
      <c r="BR97" s="854"/>
      <c r="BS97" s="854"/>
      <c r="BT97" s="854"/>
      <c r="BU97" s="854"/>
      <c r="BV97" s="854"/>
      <c r="BW97" s="854"/>
      <c r="BX97" s="854"/>
      <c r="BY97" s="854"/>
      <c r="BZ97" s="854"/>
      <c r="CA97" s="854"/>
      <c r="CB97" s="854"/>
      <c r="CC97" s="854"/>
      <c r="CD97" s="854"/>
      <c r="CE97" s="854"/>
      <c r="CF97" s="854"/>
      <c r="CG97" s="854"/>
    </row>
    <row r="98" spans="1:85" ht="16.5" customHeight="1">
      <c r="A98" s="847"/>
      <c r="B98" s="1228"/>
      <c r="C98" s="1229" t="s">
        <v>197</v>
      </c>
      <c r="D98" s="1230"/>
      <c r="E98" s="1205">
        <f>E25-E50</f>
        <v>-36000</v>
      </c>
      <c r="F98" s="1231" t="s">
        <v>198</v>
      </c>
      <c r="G98" s="1205">
        <f>G25-G50</f>
        <v>-36006</v>
      </c>
      <c r="H98" s="1232" t="s">
        <v>198</v>
      </c>
      <c r="I98" s="1233">
        <f>I25-I50</f>
        <v>-36012</v>
      </c>
      <c r="J98" s="1234" t="s">
        <v>198</v>
      </c>
      <c r="K98" s="1205">
        <f>K25-K50</f>
        <v>-36018</v>
      </c>
      <c r="L98" s="1235" t="s">
        <v>198</v>
      </c>
      <c r="M98" s="873"/>
      <c r="N98" s="849"/>
      <c r="O98" s="850"/>
      <c r="P98" s="850"/>
      <c r="Q98" s="850"/>
      <c r="R98" s="850"/>
      <c r="S98" s="850"/>
      <c r="T98" s="851"/>
      <c r="U98" s="851"/>
      <c r="V98" s="851"/>
      <c r="W98" s="851"/>
      <c r="X98" s="851"/>
      <c r="Y98" s="851"/>
      <c r="Z98" s="851"/>
      <c r="AA98" s="851"/>
      <c r="AB98" s="851"/>
      <c r="AC98" s="851"/>
      <c r="AD98" s="851"/>
      <c r="AE98" s="851"/>
      <c r="AF98" s="851"/>
      <c r="AG98" s="851"/>
      <c r="AH98" s="852"/>
      <c r="AI98" s="852"/>
      <c r="AJ98" s="852"/>
      <c r="AK98" s="852"/>
      <c r="AL98" s="852"/>
      <c r="AM98" s="852"/>
      <c r="AN98" s="852"/>
      <c r="AO98" s="852"/>
      <c r="AP98" s="852"/>
      <c r="AQ98" s="852"/>
      <c r="AR98" s="852"/>
      <c r="AS98" s="852"/>
      <c r="AT98" s="852"/>
      <c r="AU98" s="852"/>
      <c r="AV98" s="852"/>
      <c r="AW98" s="852"/>
      <c r="AX98" s="849"/>
      <c r="AY98" s="847"/>
      <c r="AZ98" s="847"/>
      <c r="BA98" s="847"/>
      <c r="BB98" s="847"/>
      <c r="BC98" s="853"/>
      <c r="BD98" s="854"/>
      <c r="BE98" s="854"/>
      <c r="BF98" s="854"/>
      <c r="BG98" s="870">
        <v>65</v>
      </c>
      <c r="BH98" s="860" t="s">
        <v>199</v>
      </c>
      <c r="BI98" s="854"/>
      <c r="BJ98" s="871">
        <v>0</v>
      </c>
      <c r="BK98" s="872">
        <f t="shared" ref="BK98:BK109" ca="1" si="35">IF(BJ$299=0,0,BJ98/BJ$299*100)</f>
        <v>0</v>
      </c>
      <c r="BL98" s="871">
        <v>0</v>
      </c>
      <c r="BM98" s="872">
        <f t="shared" ref="BM98:BM109" ca="1" si="36">IF(BL$299=0,0,BL98/BL$299*100)</f>
        <v>0</v>
      </c>
      <c r="BN98" s="871">
        <v>0</v>
      </c>
      <c r="BO98" s="872">
        <f t="shared" ref="BO98:BO109" ca="1" si="37">IF(BN$299=0,0,BN98/BN$299*100)</f>
        <v>0</v>
      </c>
      <c r="BP98" s="871">
        <v>0</v>
      </c>
      <c r="BQ98" s="872">
        <f t="shared" ref="BQ98:BQ109" ca="1" si="38">IF(BP$299=0,0,BP98/BP$299*100)</f>
        <v>0</v>
      </c>
      <c r="BR98" s="854"/>
      <c r="BS98" s="854"/>
      <c r="BT98" s="854"/>
      <c r="BU98" s="854"/>
      <c r="BV98" s="854"/>
      <c r="BW98" s="854"/>
      <c r="BX98" s="854"/>
      <c r="BY98" s="854"/>
      <c r="BZ98" s="854"/>
      <c r="CA98" s="854"/>
      <c r="CB98" s="854"/>
      <c r="CC98" s="854"/>
      <c r="CD98" s="854"/>
      <c r="CE98" s="854"/>
      <c r="CF98" s="854"/>
      <c r="CG98" s="854" t="s">
        <v>45</v>
      </c>
    </row>
    <row r="99" spans="1:85" ht="15.75" customHeight="1">
      <c r="A99" s="847"/>
      <c r="B99" s="1236"/>
      <c r="C99" s="1236" t="s">
        <v>200</v>
      </c>
      <c r="D99" s="1236"/>
      <c r="E99" s="1237">
        <f>E34-E73</f>
        <v>0</v>
      </c>
      <c r="F99" s="1236"/>
      <c r="G99" s="1237">
        <f>G34-G73</f>
        <v>0</v>
      </c>
      <c r="H99" s="1236"/>
      <c r="I99" s="1237">
        <f>I34-I73</f>
        <v>0</v>
      </c>
      <c r="J99" s="1236"/>
      <c r="K99" s="1237">
        <f>K34-K73</f>
        <v>0</v>
      </c>
      <c r="L99" s="1225"/>
      <c r="M99" s="873"/>
      <c r="N99" s="849"/>
      <c r="O99" s="850"/>
      <c r="P99" s="850"/>
      <c r="Q99" s="850"/>
      <c r="R99" s="850"/>
      <c r="S99" s="850"/>
      <c r="T99" s="851"/>
      <c r="U99" s="851"/>
      <c r="V99" s="851"/>
      <c r="W99" s="851"/>
      <c r="X99" s="851"/>
      <c r="Y99" s="851"/>
      <c r="Z99" s="851"/>
      <c r="AA99" s="851"/>
      <c r="AB99" s="851"/>
      <c r="AC99" s="851"/>
      <c r="AD99" s="851"/>
      <c r="AE99" s="851"/>
      <c r="AF99" s="851"/>
      <c r="AG99" s="851"/>
      <c r="AH99" s="852"/>
      <c r="AI99" s="852"/>
      <c r="AJ99" s="852"/>
      <c r="AK99" s="852"/>
      <c r="AL99" s="852"/>
      <c r="AM99" s="852"/>
      <c r="AN99" s="852"/>
      <c r="AO99" s="852"/>
      <c r="AP99" s="852"/>
      <c r="AQ99" s="852"/>
      <c r="AR99" s="852"/>
      <c r="AS99" s="852"/>
      <c r="AT99" s="852"/>
      <c r="AU99" s="852"/>
      <c r="AV99" s="852"/>
      <c r="AW99" s="852"/>
      <c r="AX99" s="849"/>
      <c r="AY99" s="847"/>
      <c r="AZ99" s="847"/>
      <c r="BA99" s="847"/>
      <c r="BB99" s="847"/>
      <c r="BC99" s="853"/>
      <c r="BD99" s="854"/>
      <c r="BE99" s="854"/>
      <c r="BF99" s="854"/>
      <c r="BG99" s="870">
        <v>66</v>
      </c>
      <c r="BH99" s="860" t="s">
        <v>201</v>
      </c>
      <c r="BI99" s="854"/>
      <c r="BJ99" s="871">
        <v>0</v>
      </c>
      <c r="BK99" s="872">
        <f t="shared" ca="1" si="35"/>
        <v>0</v>
      </c>
      <c r="BL99" s="871">
        <v>0</v>
      </c>
      <c r="BM99" s="872">
        <f t="shared" ca="1" si="36"/>
        <v>0</v>
      </c>
      <c r="BN99" s="871">
        <v>0</v>
      </c>
      <c r="BO99" s="872">
        <f t="shared" ca="1" si="37"/>
        <v>0</v>
      </c>
      <c r="BP99" s="871">
        <v>0</v>
      </c>
      <c r="BQ99" s="872">
        <f t="shared" ca="1" si="38"/>
        <v>0</v>
      </c>
      <c r="BR99" s="854"/>
      <c r="BS99" s="854"/>
      <c r="BT99" s="854"/>
      <c r="BU99" s="854"/>
      <c r="BV99" s="854"/>
      <c r="BW99" s="854"/>
      <c r="BX99" s="854"/>
      <c r="BY99" s="854"/>
      <c r="BZ99" s="854"/>
      <c r="CA99" s="854"/>
      <c r="CB99" s="854"/>
      <c r="CC99" s="854"/>
      <c r="CD99" s="854"/>
      <c r="CE99" s="854"/>
      <c r="CF99" s="854"/>
      <c r="CG99" s="854" t="s">
        <v>45</v>
      </c>
    </row>
    <row r="100" spans="1:85" ht="16.5" customHeight="1">
      <c r="A100" s="847"/>
      <c r="B100" s="1236"/>
      <c r="C100" s="1236"/>
      <c r="D100" s="1236"/>
      <c r="E100" s="1238"/>
      <c r="F100" s="1239"/>
      <c r="G100" s="1236"/>
      <c r="H100" s="1236"/>
      <c r="I100" s="1236"/>
      <c r="J100" s="1236"/>
      <c r="K100" s="1236"/>
      <c r="L100" s="1126"/>
      <c r="M100" s="869"/>
      <c r="N100" s="849"/>
      <c r="O100" s="850"/>
      <c r="P100" s="850"/>
      <c r="Q100" s="850"/>
      <c r="R100" s="850"/>
      <c r="S100" s="850"/>
      <c r="T100" s="851"/>
      <c r="U100" s="851"/>
      <c r="V100" s="851"/>
      <c r="W100" s="851"/>
      <c r="X100" s="851"/>
      <c r="Y100" s="851"/>
      <c r="Z100" s="851"/>
      <c r="AA100" s="851"/>
      <c r="AB100" s="851"/>
      <c r="AC100" s="851"/>
      <c r="AD100" s="851"/>
      <c r="AE100" s="851"/>
      <c r="AF100" s="851"/>
      <c r="AG100" s="851"/>
      <c r="AH100" s="852"/>
      <c r="AI100" s="852"/>
      <c r="AJ100" s="852"/>
      <c r="AK100" s="852"/>
      <c r="AL100" s="852"/>
      <c r="AM100" s="852"/>
      <c r="AN100" s="852"/>
      <c r="AO100" s="852"/>
      <c r="AP100" s="852"/>
      <c r="AQ100" s="852"/>
      <c r="AR100" s="852"/>
      <c r="AS100" s="852"/>
      <c r="AT100" s="852"/>
      <c r="AU100" s="852"/>
      <c r="AV100" s="852"/>
      <c r="AW100" s="852"/>
      <c r="AX100" s="849"/>
      <c r="AY100" s="847"/>
      <c r="AZ100" s="847"/>
      <c r="BA100" s="847"/>
      <c r="BB100" s="847"/>
      <c r="BC100" s="853"/>
      <c r="BD100" s="854"/>
      <c r="BE100" s="854"/>
      <c r="BF100" s="854"/>
      <c r="BG100" s="870">
        <v>67</v>
      </c>
      <c r="BH100" s="860" t="s">
        <v>202</v>
      </c>
      <c r="BI100" s="854"/>
      <c r="BJ100" s="871">
        <v>0</v>
      </c>
      <c r="BK100" s="872">
        <f t="shared" ca="1" si="35"/>
        <v>0</v>
      </c>
      <c r="BL100" s="871">
        <v>0</v>
      </c>
      <c r="BM100" s="872">
        <f t="shared" ca="1" si="36"/>
        <v>0</v>
      </c>
      <c r="BN100" s="871">
        <v>0</v>
      </c>
      <c r="BO100" s="872">
        <f t="shared" ca="1" si="37"/>
        <v>0</v>
      </c>
      <c r="BP100" s="871">
        <v>0</v>
      </c>
      <c r="BQ100" s="872">
        <f t="shared" ca="1" si="38"/>
        <v>0</v>
      </c>
      <c r="BR100" s="854"/>
      <c r="BS100" s="854"/>
      <c r="BT100" s="854"/>
      <c r="BU100" s="854"/>
      <c r="BV100" s="854"/>
      <c r="BW100" s="854"/>
      <c r="BX100" s="854"/>
      <c r="BY100" s="854"/>
      <c r="BZ100" s="854"/>
      <c r="CA100" s="854"/>
      <c r="CB100" s="854"/>
      <c r="CC100" s="854"/>
      <c r="CD100" s="854"/>
      <c r="CE100" s="854"/>
      <c r="CF100" s="854"/>
      <c r="CG100" s="854" t="s">
        <v>45</v>
      </c>
    </row>
    <row r="101" spans="1:85" ht="16.5" customHeight="1">
      <c r="A101" s="847"/>
      <c r="B101" s="1513" t="s">
        <v>203</v>
      </c>
      <c r="C101" s="1514"/>
      <c r="D101" s="1514"/>
      <c r="E101" s="1514"/>
      <c r="F101" s="1514"/>
      <c r="G101" s="1514"/>
      <c r="H101" s="1514"/>
      <c r="I101" s="1514"/>
      <c r="J101" s="1514"/>
      <c r="K101" s="1514"/>
      <c r="L101" s="1515"/>
      <c r="M101" s="869"/>
      <c r="N101" s="849"/>
      <c r="O101" s="850"/>
      <c r="P101" s="850"/>
      <c r="Q101" s="850"/>
      <c r="R101" s="850"/>
      <c r="S101" s="850"/>
      <c r="T101" s="851"/>
      <c r="U101" s="851"/>
      <c r="V101" s="851"/>
      <c r="W101" s="851"/>
      <c r="X101" s="851"/>
      <c r="Y101" s="851"/>
      <c r="Z101" s="851"/>
      <c r="AA101" s="851"/>
      <c r="AB101" s="851"/>
      <c r="AC101" s="851"/>
      <c r="AD101" s="851"/>
      <c r="AE101" s="851"/>
      <c r="AF101" s="851"/>
      <c r="AG101" s="851"/>
      <c r="AH101" s="852"/>
      <c r="AI101" s="852"/>
      <c r="AJ101" s="852"/>
      <c r="AK101" s="852"/>
      <c r="AL101" s="852"/>
      <c r="AM101" s="852"/>
      <c r="AN101" s="852"/>
      <c r="AO101" s="852"/>
      <c r="AP101" s="852"/>
      <c r="AQ101" s="852"/>
      <c r="AR101" s="852"/>
      <c r="AS101" s="852"/>
      <c r="AT101" s="852"/>
      <c r="AU101" s="852"/>
      <c r="AV101" s="852"/>
      <c r="AW101" s="852"/>
      <c r="AX101" s="849"/>
      <c r="AY101" s="847"/>
      <c r="AZ101" s="847"/>
      <c r="BA101" s="847"/>
      <c r="BB101" s="847"/>
      <c r="BC101" s="853"/>
      <c r="BD101" s="854"/>
      <c r="BE101" s="854"/>
      <c r="BF101" s="854"/>
      <c r="BG101" s="870">
        <v>68</v>
      </c>
      <c r="BH101" s="860" t="s">
        <v>204</v>
      </c>
      <c r="BI101" s="854"/>
      <c r="BJ101" s="871">
        <v>0</v>
      </c>
      <c r="BK101" s="872">
        <f t="shared" ca="1" si="35"/>
        <v>0</v>
      </c>
      <c r="BL101" s="871">
        <v>0</v>
      </c>
      <c r="BM101" s="872">
        <f t="shared" ca="1" si="36"/>
        <v>0</v>
      </c>
      <c r="BN101" s="871">
        <v>0</v>
      </c>
      <c r="BO101" s="872">
        <f t="shared" ca="1" si="37"/>
        <v>0</v>
      </c>
      <c r="BP101" s="871">
        <v>0</v>
      </c>
      <c r="BQ101" s="872">
        <f t="shared" ca="1" si="38"/>
        <v>0</v>
      </c>
      <c r="BR101" s="854"/>
      <c r="BS101" s="854"/>
      <c r="BT101" s="854"/>
      <c r="BU101" s="854"/>
      <c r="BV101" s="854"/>
      <c r="BW101" s="854"/>
      <c r="BX101" s="854"/>
      <c r="BY101" s="854"/>
      <c r="BZ101" s="854"/>
      <c r="CA101" s="854"/>
      <c r="CB101" s="854"/>
      <c r="CC101" s="854"/>
      <c r="CD101" s="854"/>
      <c r="CE101" s="854"/>
      <c r="CF101" s="854"/>
      <c r="CG101" s="854" t="s">
        <v>45</v>
      </c>
    </row>
    <row r="102" spans="1:85" ht="16.5" customHeight="1">
      <c r="A102" s="847"/>
      <c r="B102" s="1467" t="str">
        <f>+B12</f>
        <v>Financial Statement Unit</v>
      </c>
      <c r="C102" s="1468"/>
      <c r="D102" s="1469"/>
      <c r="E102" s="1476" t="s">
        <v>79</v>
      </c>
      <c r="F102" s="1465"/>
      <c r="G102" s="1465"/>
      <c r="H102" s="1465"/>
      <c r="I102" s="1465"/>
      <c r="J102" s="1465"/>
      <c r="K102" s="1465"/>
      <c r="L102" s="1466"/>
      <c r="M102" s="869"/>
      <c r="N102" s="849"/>
      <c r="O102" s="850"/>
      <c r="P102" s="850"/>
      <c r="Q102" s="850"/>
      <c r="R102" s="850"/>
      <c r="S102" s="850"/>
      <c r="T102" s="851"/>
      <c r="U102" s="851"/>
      <c r="V102" s="851"/>
      <c r="W102" s="851"/>
      <c r="X102" s="851"/>
      <c r="Y102" s="851"/>
      <c r="Z102" s="851"/>
      <c r="AA102" s="851"/>
      <c r="AB102" s="851"/>
      <c r="AC102" s="851"/>
      <c r="AD102" s="851"/>
      <c r="AE102" s="851"/>
      <c r="AF102" s="851"/>
      <c r="AG102" s="851"/>
      <c r="AH102" s="852"/>
      <c r="AI102" s="852"/>
      <c r="AJ102" s="852"/>
      <c r="AK102" s="852"/>
      <c r="AL102" s="852"/>
      <c r="AM102" s="852"/>
      <c r="AN102" s="852"/>
      <c r="AO102" s="852"/>
      <c r="AP102" s="852"/>
      <c r="AQ102" s="852"/>
      <c r="AR102" s="852"/>
      <c r="AS102" s="852"/>
      <c r="AT102" s="852"/>
      <c r="AU102" s="852"/>
      <c r="AV102" s="852"/>
      <c r="AW102" s="852"/>
      <c r="AX102" s="849"/>
      <c r="AY102" s="847"/>
      <c r="AZ102" s="847"/>
      <c r="BA102" s="847"/>
      <c r="BB102" s="847"/>
      <c r="BC102" s="853"/>
      <c r="BD102" s="854"/>
      <c r="BE102" s="854"/>
      <c r="BF102" s="854"/>
      <c r="BG102" s="870">
        <v>69</v>
      </c>
      <c r="BH102" s="860" t="s">
        <v>205</v>
      </c>
      <c r="BI102" s="854"/>
      <c r="BJ102" s="871">
        <v>0</v>
      </c>
      <c r="BK102" s="872">
        <f t="shared" ca="1" si="35"/>
        <v>0</v>
      </c>
      <c r="BL102" s="871">
        <v>0</v>
      </c>
      <c r="BM102" s="872">
        <f t="shared" ca="1" si="36"/>
        <v>0</v>
      </c>
      <c r="BN102" s="871">
        <v>0</v>
      </c>
      <c r="BO102" s="872">
        <f t="shared" ca="1" si="37"/>
        <v>0</v>
      </c>
      <c r="BP102" s="871">
        <v>0</v>
      </c>
      <c r="BQ102" s="872">
        <f t="shared" ca="1" si="38"/>
        <v>0</v>
      </c>
      <c r="BR102" s="854"/>
      <c r="BS102" s="854"/>
      <c r="BT102" s="854"/>
      <c r="BU102" s="854"/>
      <c r="BV102" s="854"/>
      <c r="BW102" s="854"/>
      <c r="BX102" s="854"/>
      <c r="BY102" s="854"/>
      <c r="BZ102" s="854"/>
      <c r="CA102" s="854"/>
      <c r="CB102" s="854"/>
      <c r="CC102" s="854"/>
      <c r="CD102" s="854"/>
      <c r="CE102" s="854"/>
      <c r="CF102" s="854"/>
      <c r="CG102" s="854" t="s">
        <v>45</v>
      </c>
    </row>
    <row r="103" spans="1:85" ht="15.75" customHeight="1">
      <c r="A103" s="847"/>
      <c r="B103" s="1516" t="str">
        <f>+B13</f>
        <v>IDR Million</v>
      </c>
      <c r="C103" s="1471"/>
      <c r="D103" s="1472"/>
      <c r="E103" s="1134">
        <f t="shared" ref="E103:L103" si="39">+E13</f>
        <v>44561</v>
      </c>
      <c r="F103" s="1133">
        <f t="shared" si="39"/>
        <v>360</v>
      </c>
      <c r="G103" s="1134">
        <f t="shared" si="39"/>
        <v>44926</v>
      </c>
      <c r="H103" s="1133">
        <f t="shared" si="39"/>
        <v>360</v>
      </c>
      <c r="I103" s="1134">
        <f t="shared" si="39"/>
        <v>45291</v>
      </c>
      <c r="J103" s="1133">
        <f t="shared" si="39"/>
        <v>360</v>
      </c>
      <c r="K103" s="1134">
        <f t="shared" si="39"/>
        <v>45473</v>
      </c>
      <c r="L103" s="1135">
        <f t="shared" si="39"/>
        <v>180</v>
      </c>
      <c r="M103" s="869"/>
      <c r="N103" s="849">
        <v>90</v>
      </c>
      <c r="O103" s="850"/>
      <c r="P103" s="850"/>
      <c r="Q103" s="850"/>
      <c r="R103" s="850"/>
      <c r="S103" s="850"/>
      <c r="T103" s="851"/>
      <c r="U103" s="851"/>
      <c r="V103" s="851"/>
      <c r="W103" s="851"/>
      <c r="X103" s="851"/>
      <c r="Y103" s="851"/>
      <c r="Z103" s="851"/>
      <c r="AA103" s="851"/>
      <c r="AB103" s="851"/>
      <c r="AC103" s="851"/>
      <c r="AD103" s="851"/>
      <c r="AE103" s="851"/>
      <c r="AF103" s="851"/>
      <c r="AG103" s="851"/>
      <c r="AH103" s="852"/>
      <c r="AI103" s="852"/>
      <c r="AJ103" s="852"/>
      <c r="AK103" s="852"/>
      <c r="AL103" s="852"/>
      <c r="AM103" s="852"/>
      <c r="AN103" s="852"/>
      <c r="AO103" s="852"/>
      <c r="AP103" s="852"/>
      <c r="AQ103" s="852"/>
      <c r="AR103" s="852"/>
      <c r="AS103" s="852"/>
      <c r="AT103" s="852"/>
      <c r="AU103" s="852"/>
      <c r="AV103" s="852"/>
      <c r="AW103" s="852"/>
      <c r="AX103" s="849"/>
      <c r="AY103" s="847"/>
      <c r="AZ103" s="847"/>
      <c r="BA103" s="847"/>
      <c r="BB103" s="847"/>
      <c r="BC103" s="853"/>
      <c r="BD103" s="854"/>
      <c r="BE103" s="854"/>
      <c r="BF103" s="854"/>
      <c r="BG103" s="870">
        <v>70</v>
      </c>
      <c r="BH103" s="860" t="s">
        <v>45</v>
      </c>
      <c r="BI103" s="854"/>
      <c r="BJ103" s="871">
        <v>0</v>
      </c>
      <c r="BK103" s="872">
        <f t="shared" ca="1" si="35"/>
        <v>0</v>
      </c>
      <c r="BL103" s="871">
        <v>0</v>
      </c>
      <c r="BM103" s="872">
        <f t="shared" ca="1" si="36"/>
        <v>0</v>
      </c>
      <c r="BN103" s="871">
        <v>0</v>
      </c>
      <c r="BO103" s="872">
        <f t="shared" ca="1" si="37"/>
        <v>0</v>
      </c>
      <c r="BP103" s="871">
        <v>0</v>
      </c>
      <c r="BQ103" s="872">
        <f t="shared" ca="1" si="38"/>
        <v>0</v>
      </c>
      <c r="BR103" s="854"/>
      <c r="BS103" s="854"/>
      <c r="BT103" s="854"/>
      <c r="BU103" s="854"/>
      <c r="BV103" s="854"/>
      <c r="BW103" s="854"/>
      <c r="BX103" s="854"/>
      <c r="BY103" s="854"/>
      <c r="BZ103" s="854"/>
      <c r="CA103" s="854"/>
      <c r="CB103" s="854"/>
      <c r="CC103" s="854"/>
      <c r="CD103" s="854"/>
      <c r="CE103" s="854"/>
      <c r="CF103" s="854"/>
      <c r="CG103" s="854" t="s">
        <v>45</v>
      </c>
    </row>
    <row r="104" spans="1:85" ht="16.5" customHeight="1">
      <c r="A104" s="847"/>
      <c r="B104" s="1240"/>
      <c r="C104" s="1241"/>
      <c r="D104" s="1242"/>
      <c r="E104" s="1132" t="s">
        <v>85</v>
      </c>
      <c r="F104" s="1142" t="s">
        <v>86</v>
      </c>
      <c r="G104" s="1132" t="s">
        <v>85</v>
      </c>
      <c r="H104" s="1142" t="s">
        <v>86</v>
      </c>
      <c r="I104" s="1132" t="s">
        <v>85</v>
      </c>
      <c r="J104" s="1142" t="s">
        <v>86</v>
      </c>
      <c r="K104" s="1132" t="s">
        <v>85</v>
      </c>
      <c r="L104" s="1143" t="s">
        <v>86</v>
      </c>
      <c r="M104" s="869"/>
      <c r="N104" s="849"/>
      <c r="O104" s="850"/>
      <c r="P104" s="850"/>
      <c r="Q104" s="850"/>
      <c r="R104" s="850"/>
      <c r="S104" s="850"/>
      <c r="T104" s="851"/>
      <c r="U104" s="851"/>
      <c r="V104" s="851"/>
      <c r="W104" s="851"/>
      <c r="X104" s="851"/>
      <c r="Y104" s="851"/>
      <c r="Z104" s="851"/>
      <c r="AA104" s="851"/>
      <c r="AB104" s="851"/>
      <c r="AC104" s="851"/>
      <c r="AD104" s="851"/>
      <c r="AE104" s="851"/>
      <c r="AF104" s="851"/>
      <c r="AG104" s="851"/>
      <c r="AH104" s="852"/>
      <c r="AI104" s="852"/>
      <c r="AJ104" s="852"/>
      <c r="AK104" s="852"/>
      <c r="AL104" s="852"/>
      <c r="AM104" s="852"/>
      <c r="AN104" s="852"/>
      <c r="AO104" s="852"/>
      <c r="AP104" s="852"/>
      <c r="AQ104" s="852"/>
      <c r="AR104" s="852"/>
      <c r="AS104" s="852"/>
      <c r="AT104" s="852"/>
      <c r="AU104" s="852"/>
      <c r="AV104" s="852"/>
      <c r="AW104" s="852"/>
      <c r="AX104" s="849"/>
      <c r="AY104" s="847"/>
      <c r="AZ104" s="847"/>
      <c r="BA104" s="847"/>
      <c r="BB104" s="847"/>
      <c r="BC104" s="853"/>
      <c r="BD104" s="854"/>
      <c r="BE104" s="854"/>
      <c r="BF104" s="854"/>
      <c r="BG104" s="870">
        <v>71</v>
      </c>
      <c r="BH104" s="860" t="s">
        <v>45</v>
      </c>
      <c r="BI104" s="854"/>
      <c r="BJ104" s="871">
        <v>0</v>
      </c>
      <c r="BK104" s="872">
        <f t="shared" ca="1" si="35"/>
        <v>0</v>
      </c>
      <c r="BL104" s="871">
        <v>0</v>
      </c>
      <c r="BM104" s="872">
        <f t="shared" ca="1" si="36"/>
        <v>0</v>
      </c>
      <c r="BN104" s="871">
        <v>0</v>
      </c>
      <c r="BO104" s="872">
        <f t="shared" ca="1" si="37"/>
        <v>0</v>
      </c>
      <c r="BP104" s="871">
        <v>0</v>
      </c>
      <c r="BQ104" s="872">
        <f t="shared" ca="1" si="38"/>
        <v>0</v>
      </c>
      <c r="BR104" s="854"/>
      <c r="BS104" s="854"/>
      <c r="BT104" s="854"/>
      <c r="BU104" s="854"/>
      <c r="BV104" s="854"/>
      <c r="BW104" s="854"/>
      <c r="BX104" s="854"/>
      <c r="BY104" s="854"/>
      <c r="BZ104" s="854"/>
      <c r="CA104" s="854"/>
      <c r="CB104" s="854"/>
      <c r="CC104" s="854"/>
      <c r="CD104" s="854"/>
      <c r="CE104" s="854"/>
      <c r="CF104" s="854"/>
      <c r="CG104" s="854" t="s">
        <v>45</v>
      </c>
    </row>
    <row r="105" spans="1:85" ht="15.75" customHeight="1">
      <c r="A105" s="847"/>
      <c r="B105" s="1243">
        <v>1</v>
      </c>
      <c r="C105" s="1244" t="s">
        <v>206</v>
      </c>
      <c r="D105" s="1245"/>
      <c r="E105" s="1246">
        <v>100000</v>
      </c>
      <c r="F105" s="1247">
        <f t="shared" ref="F105:F125" si="40">IF(E$105=0,0,E105/E$105*100)</f>
        <v>100</v>
      </c>
      <c r="G105" s="1246">
        <v>110000</v>
      </c>
      <c r="H105" s="1247">
        <f t="shared" ref="H105:H125" si="41">IF(G$105=0,0,G105/G$105*100)</f>
        <v>100</v>
      </c>
      <c r="I105" s="1246">
        <v>120000</v>
      </c>
      <c r="J105" s="1247">
        <f t="shared" ref="J105:J125" si="42">IF(I$105=0,0,I105/I$105*100)</f>
        <v>100</v>
      </c>
      <c r="K105" s="1246">
        <v>130000</v>
      </c>
      <c r="L105" s="1247">
        <f t="shared" ref="L105:L125" si="43">IF(K$105=0,0,K105/K$105*100)</f>
        <v>100</v>
      </c>
      <c r="M105" s="869"/>
      <c r="N105" s="849"/>
      <c r="O105" s="850"/>
      <c r="P105" s="850"/>
      <c r="Q105" s="850"/>
      <c r="R105" s="850"/>
      <c r="S105" s="850"/>
      <c r="T105" s="851"/>
      <c r="U105" s="851"/>
      <c r="V105" s="851"/>
      <c r="W105" s="851"/>
      <c r="X105" s="851"/>
      <c r="Y105" s="851"/>
      <c r="Z105" s="851"/>
      <c r="AA105" s="851"/>
      <c r="AB105" s="851"/>
      <c r="AC105" s="851"/>
      <c r="AD105" s="851"/>
      <c r="AE105" s="851"/>
      <c r="AF105" s="851"/>
      <c r="AG105" s="851"/>
      <c r="AH105" s="852"/>
      <c r="AI105" s="852"/>
      <c r="AJ105" s="852"/>
      <c r="AK105" s="852"/>
      <c r="AL105" s="852"/>
      <c r="AM105" s="852"/>
      <c r="AN105" s="852"/>
      <c r="AO105" s="852"/>
      <c r="AP105" s="852"/>
      <c r="AQ105" s="852"/>
      <c r="AR105" s="852"/>
      <c r="AS105" s="852"/>
      <c r="AT105" s="852"/>
      <c r="AU105" s="852"/>
      <c r="AV105" s="852"/>
      <c r="AW105" s="852"/>
      <c r="AX105" s="849"/>
      <c r="AY105" s="847"/>
      <c r="AZ105" s="847"/>
      <c r="BA105" s="847"/>
      <c r="BB105" s="847"/>
      <c r="BC105" s="853"/>
      <c r="BD105" s="854"/>
      <c r="BE105" s="854"/>
      <c r="BF105" s="854"/>
      <c r="BG105" s="870">
        <v>72</v>
      </c>
      <c r="BH105" s="860" t="s">
        <v>45</v>
      </c>
      <c r="BI105" s="854"/>
      <c r="BJ105" s="871">
        <v>0</v>
      </c>
      <c r="BK105" s="872">
        <f t="shared" ca="1" si="35"/>
        <v>0</v>
      </c>
      <c r="BL105" s="871">
        <v>0</v>
      </c>
      <c r="BM105" s="872">
        <f t="shared" ca="1" si="36"/>
        <v>0</v>
      </c>
      <c r="BN105" s="871">
        <v>0</v>
      </c>
      <c r="BO105" s="872">
        <f t="shared" ca="1" si="37"/>
        <v>0</v>
      </c>
      <c r="BP105" s="871">
        <v>0</v>
      </c>
      <c r="BQ105" s="872">
        <f t="shared" ca="1" si="38"/>
        <v>0</v>
      </c>
      <c r="BR105" s="854"/>
      <c r="BS105" s="854"/>
      <c r="BT105" s="854"/>
      <c r="BU105" s="854"/>
      <c r="BV105" s="854"/>
      <c r="BW105" s="854"/>
      <c r="BX105" s="854"/>
      <c r="BY105" s="854"/>
      <c r="BZ105" s="854"/>
      <c r="CA105" s="854"/>
      <c r="CB105" s="854"/>
      <c r="CC105" s="854"/>
      <c r="CD105" s="854"/>
      <c r="CE105" s="854"/>
      <c r="CF105" s="854"/>
      <c r="CG105" s="854" t="s">
        <v>45</v>
      </c>
    </row>
    <row r="106" spans="1:85" ht="16.5" customHeight="1">
      <c r="A106" s="847"/>
      <c r="B106" s="1248">
        <v>2</v>
      </c>
      <c r="C106" s="1249" t="s">
        <v>207</v>
      </c>
      <c r="D106" s="1250"/>
      <c r="E106" s="1251">
        <v>80000</v>
      </c>
      <c r="F106" s="1252">
        <f t="shared" si="40"/>
        <v>80</v>
      </c>
      <c r="G106" s="1251">
        <v>81000</v>
      </c>
      <c r="H106" s="1252">
        <f t="shared" si="41"/>
        <v>73.636363636363626</v>
      </c>
      <c r="I106" s="1251">
        <v>82000</v>
      </c>
      <c r="J106" s="1252">
        <f t="shared" si="42"/>
        <v>68.333333333333329</v>
      </c>
      <c r="K106" s="1251">
        <v>90000</v>
      </c>
      <c r="L106" s="1252">
        <f t="shared" si="43"/>
        <v>69.230769230769226</v>
      </c>
      <c r="M106" s="869"/>
      <c r="N106" s="849"/>
      <c r="O106" s="850"/>
      <c r="P106" s="850"/>
      <c r="Q106" s="850"/>
      <c r="R106" s="850"/>
      <c r="S106" s="850"/>
      <c r="T106" s="851"/>
      <c r="U106" s="851"/>
      <c r="V106" s="851"/>
      <c r="W106" s="851"/>
      <c r="X106" s="851"/>
      <c r="Y106" s="851"/>
      <c r="Z106" s="851"/>
      <c r="AA106" s="851"/>
      <c r="AB106" s="851"/>
      <c r="AC106" s="851"/>
      <c r="AD106" s="851"/>
      <c r="AE106" s="851"/>
      <c r="AF106" s="851"/>
      <c r="AG106" s="851"/>
      <c r="AH106" s="852"/>
      <c r="AI106" s="852"/>
      <c r="AJ106" s="852"/>
      <c r="AK106" s="852"/>
      <c r="AL106" s="852"/>
      <c r="AM106" s="852"/>
      <c r="AN106" s="852"/>
      <c r="AO106" s="852"/>
      <c r="AP106" s="852"/>
      <c r="AQ106" s="852"/>
      <c r="AR106" s="852"/>
      <c r="AS106" s="852"/>
      <c r="AT106" s="852"/>
      <c r="AU106" s="852"/>
      <c r="AV106" s="852"/>
      <c r="AW106" s="852"/>
      <c r="AX106" s="849"/>
      <c r="AY106" s="847"/>
      <c r="AZ106" s="847"/>
      <c r="BA106" s="847"/>
      <c r="BB106" s="847"/>
      <c r="BC106" s="853"/>
      <c r="BD106" s="854"/>
      <c r="BE106" s="854"/>
      <c r="BF106" s="854"/>
      <c r="BG106" s="870">
        <v>73</v>
      </c>
      <c r="BH106" s="860" t="s">
        <v>45</v>
      </c>
      <c r="BI106" s="854"/>
      <c r="BJ106" s="871">
        <v>0</v>
      </c>
      <c r="BK106" s="872">
        <f t="shared" ca="1" si="35"/>
        <v>0</v>
      </c>
      <c r="BL106" s="871">
        <v>0</v>
      </c>
      <c r="BM106" s="872">
        <f t="shared" ca="1" si="36"/>
        <v>0</v>
      </c>
      <c r="BN106" s="871">
        <v>0</v>
      </c>
      <c r="BO106" s="872">
        <f t="shared" ca="1" si="37"/>
        <v>0</v>
      </c>
      <c r="BP106" s="871">
        <v>0</v>
      </c>
      <c r="BQ106" s="872">
        <f t="shared" ca="1" si="38"/>
        <v>0</v>
      </c>
      <c r="BR106" s="854"/>
      <c r="BS106" s="854"/>
      <c r="BT106" s="854"/>
      <c r="BU106" s="854"/>
      <c r="BV106" s="854"/>
      <c r="BW106" s="854"/>
      <c r="BX106" s="854"/>
      <c r="BY106" s="854"/>
      <c r="BZ106" s="854"/>
      <c r="CA106" s="854"/>
      <c r="CB106" s="854"/>
      <c r="CC106" s="854"/>
      <c r="CD106" s="854"/>
      <c r="CE106" s="854"/>
      <c r="CF106" s="854"/>
      <c r="CG106" s="854" t="s">
        <v>45</v>
      </c>
    </row>
    <row r="107" spans="1:85" ht="16.5" customHeight="1">
      <c r="A107" s="847"/>
      <c r="B107" s="1253">
        <v>3</v>
      </c>
      <c r="C107" s="1161" t="s">
        <v>208</v>
      </c>
      <c r="D107" s="1254"/>
      <c r="E107" s="1255">
        <f>E105-E106</f>
        <v>20000</v>
      </c>
      <c r="F107" s="1164">
        <f t="shared" si="40"/>
        <v>20</v>
      </c>
      <c r="G107" s="1255">
        <f>G105-G106</f>
        <v>29000</v>
      </c>
      <c r="H107" s="1164">
        <f t="shared" si="41"/>
        <v>26.36363636363636</v>
      </c>
      <c r="I107" s="1255">
        <f>I105-I106</f>
        <v>38000</v>
      </c>
      <c r="J107" s="1164">
        <f t="shared" si="42"/>
        <v>31.666666666666664</v>
      </c>
      <c r="K107" s="1255">
        <f>K105-K106</f>
        <v>40000</v>
      </c>
      <c r="L107" s="1164">
        <f t="shared" si="43"/>
        <v>30.76923076923077</v>
      </c>
      <c r="M107" s="869"/>
      <c r="N107" s="849"/>
      <c r="O107" s="850"/>
      <c r="P107" s="850"/>
      <c r="Q107" s="850"/>
      <c r="R107" s="850"/>
      <c r="S107" s="850"/>
      <c r="T107" s="851"/>
      <c r="U107" s="851"/>
      <c r="V107" s="851"/>
      <c r="W107" s="851"/>
      <c r="X107" s="851"/>
      <c r="Y107" s="851"/>
      <c r="Z107" s="851"/>
      <c r="AA107" s="851"/>
      <c r="AB107" s="851"/>
      <c r="AC107" s="851"/>
      <c r="AD107" s="851"/>
      <c r="AE107" s="851"/>
      <c r="AF107" s="851"/>
      <c r="AG107" s="851"/>
      <c r="AH107" s="852"/>
      <c r="AI107" s="852"/>
      <c r="AJ107" s="852"/>
      <c r="AK107" s="852"/>
      <c r="AL107" s="852"/>
      <c r="AM107" s="852"/>
      <c r="AN107" s="852"/>
      <c r="AO107" s="852"/>
      <c r="AP107" s="852"/>
      <c r="AQ107" s="852"/>
      <c r="AR107" s="852"/>
      <c r="AS107" s="852"/>
      <c r="AT107" s="852"/>
      <c r="AU107" s="852"/>
      <c r="AV107" s="852"/>
      <c r="AW107" s="852"/>
      <c r="AX107" s="849"/>
      <c r="AY107" s="847"/>
      <c r="AZ107" s="847"/>
      <c r="BA107" s="847"/>
      <c r="BB107" s="847"/>
      <c r="BC107" s="853"/>
      <c r="BD107" s="854"/>
      <c r="BE107" s="854"/>
      <c r="BF107" s="854"/>
      <c r="BG107" s="870">
        <v>74</v>
      </c>
      <c r="BH107" s="860" t="s">
        <v>45</v>
      </c>
      <c r="BI107" s="854"/>
      <c r="BJ107" s="871">
        <v>0</v>
      </c>
      <c r="BK107" s="872">
        <f t="shared" ca="1" si="35"/>
        <v>0</v>
      </c>
      <c r="BL107" s="871">
        <v>0</v>
      </c>
      <c r="BM107" s="872">
        <f t="shared" ca="1" si="36"/>
        <v>0</v>
      </c>
      <c r="BN107" s="871">
        <v>0</v>
      </c>
      <c r="BO107" s="872">
        <f t="shared" ca="1" si="37"/>
        <v>0</v>
      </c>
      <c r="BP107" s="871">
        <v>0</v>
      </c>
      <c r="BQ107" s="872">
        <f t="shared" ca="1" si="38"/>
        <v>0</v>
      </c>
      <c r="BR107" s="854"/>
      <c r="BS107" s="854"/>
      <c r="BT107" s="854"/>
      <c r="BU107" s="854"/>
      <c r="BV107" s="854"/>
      <c r="BW107" s="854"/>
      <c r="BX107" s="854"/>
      <c r="BY107" s="854"/>
      <c r="BZ107" s="854"/>
      <c r="CA107" s="854"/>
      <c r="CB107" s="854"/>
      <c r="CC107" s="854"/>
      <c r="CD107" s="854"/>
      <c r="CE107" s="854"/>
      <c r="CF107" s="854"/>
      <c r="CG107" s="854" t="s">
        <v>45</v>
      </c>
    </row>
    <row r="108" spans="1:85" ht="16.5" customHeight="1">
      <c r="A108" s="847"/>
      <c r="B108" s="1174">
        <v>4</v>
      </c>
      <c r="C108" s="1125" t="s">
        <v>209</v>
      </c>
      <c r="D108" s="1254"/>
      <c r="E108" s="1246">
        <v>5000</v>
      </c>
      <c r="F108" s="1256">
        <f t="shared" si="40"/>
        <v>5</v>
      </c>
      <c r="G108" s="1246">
        <v>5100</v>
      </c>
      <c r="H108" s="1256">
        <f t="shared" si="41"/>
        <v>4.6363636363636367</v>
      </c>
      <c r="I108" s="1246">
        <v>5200</v>
      </c>
      <c r="J108" s="1256">
        <f t="shared" si="42"/>
        <v>4.3333333333333339</v>
      </c>
      <c r="K108" s="1246">
        <v>7000</v>
      </c>
      <c r="L108" s="1256">
        <f t="shared" si="43"/>
        <v>5.384615384615385</v>
      </c>
      <c r="M108" s="869"/>
      <c r="N108" s="849"/>
      <c r="O108" s="850"/>
      <c r="P108" s="850"/>
      <c r="Q108" s="850"/>
      <c r="R108" s="850"/>
      <c r="S108" s="850"/>
      <c r="T108" s="851"/>
      <c r="U108" s="851"/>
      <c r="V108" s="851"/>
      <c r="W108" s="851"/>
      <c r="X108" s="851"/>
      <c r="Y108" s="851"/>
      <c r="Z108" s="851"/>
      <c r="AA108" s="851"/>
      <c r="AB108" s="851"/>
      <c r="AC108" s="851"/>
      <c r="AD108" s="851"/>
      <c r="AE108" s="851"/>
      <c r="AF108" s="851"/>
      <c r="AG108" s="851"/>
      <c r="AH108" s="852"/>
      <c r="AI108" s="852"/>
      <c r="AJ108" s="852"/>
      <c r="AK108" s="852"/>
      <c r="AL108" s="852"/>
      <c r="AM108" s="852"/>
      <c r="AN108" s="852"/>
      <c r="AO108" s="852"/>
      <c r="AP108" s="852"/>
      <c r="AQ108" s="852"/>
      <c r="AR108" s="852"/>
      <c r="AS108" s="852"/>
      <c r="AT108" s="852"/>
      <c r="AU108" s="852"/>
      <c r="AV108" s="852"/>
      <c r="AW108" s="852"/>
      <c r="AX108" s="849"/>
      <c r="AY108" s="847"/>
      <c r="AZ108" s="847"/>
      <c r="BA108" s="847"/>
      <c r="BB108" s="847"/>
      <c r="BC108" s="853"/>
      <c r="BD108" s="854"/>
      <c r="BE108" s="854"/>
      <c r="BF108" s="854"/>
      <c r="BG108" s="870">
        <v>75</v>
      </c>
      <c r="BH108" s="860" t="s">
        <v>210</v>
      </c>
      <c r="BI108" s="854"/>
      <c r="BJ108" s="871">
        <v>0</v>
      </c>
      <c r="BK108" s="872">
        <f t="shared" ca="1" si="35"/>
        <v>0</v>
      </c>
      <c r="BL108" s="871">
        <v>0</v>
      </c>
      <c r="BM108" s="872">
        <f t="shared" ca="1" si="36"/>
        <v>0</v>
      </c>
      <c r="BN108" s="871">
        <v>0</v>
      </c>
      <c r="BO108" s="872">
        <f t="shared" ca="1" si="37"/>
        <v>0</v>
      </c>
      <c r="BP108" s="871">
        <v>0</v>
      </c>
      <c r="BQ108" s="872">
        <f t="shared" ca="1" si="38"/>
        <v>0</v>
      </c>
      <c r="BR108" s="854"/>
      <c r="BS108" s="854"/>
      <c r="BT108" s="854"/>
      <c r="BU108" s="854"/>
      <c r="BV108" s="854"/>
      <c r="BW108" s="854"/>
      <c r="BX108" s="854"/>
      <c r="BY108" s="854"/>
      <c r="BZ108" s="854"/>
      <c r="CA108" s="854"/>
      <c r="CB108" s="854"/>
      <c r="CC108" s="854"/>
      <c r="CD108" s="854"/>
      <c r="CE108" s="854"/>
      <c r="CF108" s="854"/>
      <c r="CG108" s="854" t="s">
        <v>45</v>
      </c>
    </row>
    <row r="109" spans="1:85" ht="16.5" customHeight="1">
      <c r="A109" s="847"/>
      <c r="B109" s="1253">
        <v>5</v>
      </c>
      <c r="C109" s="1161" t="s">
        <v>211</v>
      </c>
      <c r="D109" s="1254"/>
      <c r="E109" s="1255">
        <f>E107-E108</f>
        <v>15000</v>
      </c>
      <c r="F109" s="1164">
        <f>IF(E$105=0,0,E109/E$105*100)</f>
        <v>15</v>
      </c>
      <c r="G109" s="1255">
        <f>G107-G108</f>
        <v>23900</v>
      </c>
      <c r="H109" s="1164">
        <f t="shared" si="41"/>
        <v>21.727272727272727</v>
      </c>
      <c r="I109" s="1255">
        <f>I107-I108</f>
        <v>32800</v>
      </c>
      <c r="J109" s="1164">
        <f t="shared" si="42"/>
        <v>27.333333333333332</v>
      </c>
      <c r="K109" s="1255">
        <f>K107-K108</f>
        <v>33000</v>
      </c>
      <c r="L109" s="1164">
        <f t="shared" si="43"/>
        <v>25.384615384615383</v>
      </c>
      <c r="M109" s="869"/>
      <c r="N109" s="849"/>
      <c r="O109" s="850"/>
      <c r="P109" s="850"/>
      <c r="Q109" s="850"/>
      <c r="R109" s="850"/>
      <c r="S109" s="850"/>
      <c r="T109" s="851"/>
      <c r="U109" s="851"/>
      <c r="V109" s="851"/>
      <c r="W109" s="851"/>
      <c r="X109" s="851"/>
      <c r="Y109" s="851"/>
      <c r="Z109" s="851"/>
      <c r="AA109" s="851"/>
      <c r="AB109" s="851"/>
      <c r="AC109" s="851"/>
      <c r="AD109" s="851"/>
      <c r="AE109" s="851"/>
      <c r="AF109" s="851"/>
      <c r="AG109" s="851"/>
      <c r="AH109" s="852"/>
      <c r="AI109" s="852"/>
      <c r="AJ109" s="852"/>
      <c r="AK109" s="852"/>
      <c r="AL109" s="852"/>
      <c r="AM109" s="852"/>
      <c r="AN109" s="852"/>
      <c r="AO109" s="852"/>
      <c r="AP109" s="852"/>
      <c r="AQ109" s="852"/>
      <c r="AR109" s="852"/>
      <c r="AS109" s="852"/>
      <c r="AT109" s="852"/>
      <c r="AU109" s="852"/>
      <c r="AV109" s="852"/>
      <c r="AW109" s="852"/>
      <c r="AX109" s="849"/>
      <c r="AY109" s="847"/>
      <c r="AZ109" s="847"/>
      <c r="BA109" s="847"/>
      <c r="BB109" s="847"/>
      <c r="BC109" s="853"/>
      <c r="BD109" s="854"/>
      <c r="BE109" s="854"/>
      <c r="BF109" s="854"/>
      <c r="BG109" s="870">
        <v>76</v>
      </c>
      <c r="BH109" s="860" t="s">
        <v>212</v>
      </c>
      <c r="BI109" s="854"/>
      <c r="BJ109" s="871">
        <v>0</v>
      </c>
      <c r="BK109" s="872">
        <f t="shared" ca="1" si="35"/>
        <v>0</v>
      </c>
      <c r="BL109" s="871">
        <v>0</v>
      </c>
      <c r="BM109" s="872">
        <f t="shared" ca="1" si="36"/>
        <v>0</v>
      </c>
      <c r="BN109" s="871">
        <v>0</v>
      </c>
      <c r="BO109" s="872">
        <f t="shared" ca="1" si="37"/>
        <v>0</v>
      </c>
      <c r="BP109" s="871">
        <v>0</v>
      </c>
      <c r="BQ109" s="872">
        <f t="shared" ca="1" si="38"/>
        <v>0</v>
      </c>
      <c r="BR109" s="854"/>
      <c r="BS109" s="854"/>
      <c r="BT109" s="854"/>
      <c r="BU109" s="854"/>
      <c r="BV109" s="854"/>
      <c r="BW109" s="854"/>
      <c r="BX109" s="854"/>
      <c r="BY109" s="854"/>
      <c r="BZ109" s="854"/>
      <c r="CA109" s="854"/>
      <c r="CB109" s="854"/>
      <c r="CC109" s="854"/>
      <c r="CD109" s="854"/>
      <c r="CE109" s="854"/>
      <c r="CF109" s="854"/>
      <c r="CG109" s="854" t="s">
        <v>45</v>
      </c>
    </row>
    <row r="110" spans="1:85" ht="15.75" customHeight="1">
      <c r="A110" s="847"/>
      <c r="B110" s="1243">
        <v>6</v>
      </c>
      <c r="C110" s="1244" t="s">
        <v>213</v>
      </c>
      <c r="D110" s="1245"/>
      <c r="E110" s="1247">
        <v>2000</v>
      </c>
      <c r="F110" s="1257">
        <f t="shared" si="40"/>
        <v>2</v>
      </c>
      <c r="G110" s="1247">
        <v>2100</v>
      </c>
      <c r="H110" s="1257">
        <f t="shared" si="41"/>
        <v>1.9090909090909092</v>
      </c>
      <c r="I110" s="1247">
        <v>2200</v>
      </c>
      <c r="J110" s="1257">
        <f t="shared" si="42"/>
        <v>1.8333333333333333</v>
      </c>
      <c r="K110" s="1247">
        <v>2300</v>
      </c>
      <c r="L110" s="1257">
        <f t="shared" si="43"/>
        <v>1.7692307692307692</v>
      </c>
      <c r="M110" s="869"/>
      <c r="N110" s="849"/>
      <c r="O110" s="850"/>
      <c r="P110" s="850"/>
      <c r="Q110" s="850"/>
      <c r="R110" s="850"/>
      <c r="S110" s="850"/>
      <c r="T110" s="851"/>
      <c r="U110" s="851"/>
      <c r="V110" s="851"/>
      <c r="W110" s="851"/>
      <c r="X110" s="851"/>
      <c r="Y110" s="851"/>
      <c r="Z110" s="851"/>
      <c r="AA110" s="851"/>
      <c r="AB110" s="851"/>
      <c r="AC110" s="851"/>
      <c r="AD110" s="851"/>
      <c r="AE110" s="851"/>
      <c r="AF110" s="851"/>
      <c r="AG110" s="851"/>
      <c r="AH110" s="852"/>
      <c r="AI110" s="852"/>
      <c r="AJ110" s="852"/>
      <c r="AK110" s="852"/>
      <c r="AL110" s="852"/>
      <c r="AM110" s="852"/>
      <c r="AN110" s="852"/>
      <c r="AO110" s="852"/>
      <c r="AP110" s="852"/>
      <c r="AQ110" s="852"/>
      <c r="AR110" s="852"/>
      <c r="AS110" s="852"/>
      <c r="AT110" s="852"/>
      <c r="AU110" s="852"/>
      <c r="AV110" s="852"/>
      <c r="AW110" s="852"/>
      <c r="AX110" s="849"/>
      <c r="AY110" s="847"/>
      <c r="AZ110" s="847"/>
      <c r="BA110" s="847"/>
      <c r="BB110" s="847"/>
      <c r="BC110" s="853"/>
      <c r="BD110" s="854"/>
      <c r="BE110" s="854"/>
      <c r="BF110" s="854"/>
      <c r="BG110" s="854"/>
      <c r="BH110" s="854"/>
      <c r="BI110" s="854"/>
      <c r="BJ110" s="854"/>
      <c r="BK110" s="854"/>
      <c r="BL110" s="854"/>
      <c r="BM110" s="854"/>
      <c r="BN110" s="854"/>
      <c r="BO110" s="854"/>
      <c r="BP110" s="854"/>
      <c r="BQ110" s="854"/>
      <c r="BR110" s="854"/>
      <c r="BS110" s="854"/>
      <c r="BT110" s="854"/>
      <c r="BU110" s="870">
        <v>77</v>
      </c>
      <c r="BV110" s="860" t="s">
        <v>214</v>
      </c>
      <c r="BW110" s="854"/>
      <c r="BX110" s="871">
        <v>62231.771736000002</v>
      </c>
      <c r="BY110" s="872">
        <f ca="1">IF(BJ$299=0,0,BX110/BJ$299*100)</f>
        <v>4377.4451133161629</v>
      </c>
      <c r="BZ110" s="871">
        <v>141217.29999999999</v>
      </c>
      <c r="CA110" s="872">
        <f ca="1">IF(BL$299=0,0,BZ110/BL$299*100)</f>
        <v>630.42199660780886</v>
      </c>
      <c r="CB110" s="871">
        <v>141217.29999999999</v>
      </c>
      <c r="CC110" s="872">
        <f ca="1">IF(BN$299=0,0,CB110/BN$299*100)</f>
        <v>486.83635868010651</v>
      </c>
      <c r="CD110" s="871">
        <v>188922.7</v>
      </c>
      <c r="CE110" s="872">
        <f ca="1">IF(BP$299=0,0,CD110/BP$299*100)</f>
        <v>49.004622249207678</v>
      </c>
      <c r="CF110" s="854"/>
      <c r="CG110" s="854" t="s">
        <v>45</v>
      </c>
    </row>
    <row r="111" spans="1:85" ht="15.75" customHeight="1">
      <c r="A111" s="847"/>
      <c r="B111" s="1258">
        <v>7</v>
      </c>
      <c r="C111" s="1259" t="s">
        <v>215</v>
      </c>
      <c r="D111" s="1260"/>
      <c r="E111" s="1261">
        <v>100</v>
      </c>
      <c r="F111" s="1262">
        <f t="shared" si="40"/>
        <v>0.1</v>
      </c>
      <c r="G111" s="1261">
        <v>110</v>
      </c>
      <c r="H111" s="1262">
        <f t="shared" si="41"/>
        <v>0.1</v>
      </c>
      <c r="I111" s="1261">
        <v>120</v>
      </c>
      <c r="J111" s="1262">
        <f t="shared" si="42"/>
        <v>0.1</v>
      </c>
      <c r="K111" s="1261">
        <v>130</v>
      </c>
      <c r="L111" s="1262">
        <f t="shared" si="43"/>
        <v>0.1</v>
      </c>
      <c r="M111" s="887"/>
      <c r="N111" s="849"/>
      <c r="O111" s="850"/>
      <c r="P111" s="850"/>
      <c r="Q111" s="850"/>
      <c r="R111" s="850"/>
      <c r="S111" s="850"/>
      <c r="T111" s="851"/>
      <c r="U111" s="851"/>
      <c r="V111" s="851"/>
      <c r="W111" s="851"/>
      <c r="X111" s="851"/>
      <c r="Y111" s="851"/>
      <c r="Z111" s="851"/>
      <c r="AA111" s="851"/>
      <c r="AB111" s="851"/>
      <c r="AC111" s="851"/>
      <c r="AD111" s="851"/>
      <c r="AE111" s="851"/>
      <c r="AF111" s="851"/>
      <c r="AG111" s="851"/>
      <c r="AH111" s="852"/>
      <c r="AI111" s="852"/>
      <c r="AJ111" s="852"/>
      <c r="AK111" s="852"/>
      <c r="AL111" s="852"/>
      <c r="AM111" s="852"/>
      <c r="AN111" s="852"/>
      <c r="AO111" s="852"/>
      <c r="AP111" s="852"/>
      <c r="AQ111" s="852"/>
      <c r="AR111" s="852"/>
      <c r="AS111" s="852"/>
      <c r="AT111" s="852"/>
      <c r="AU111" s="852"/>
      <c r="AV111" s="852"/>
      <c r="AW111" s="852"/>
      <c r="AX111" s="849"/>
      <c r="AY111" s="847"/>
      <c r="AZ111" s="847"/>
      <c r="BA111" s="847"/>
      <c r="BB111" s="847"/>
      <c r="BC111" s="853"/>
      <c r="BD111" s="854"/>
      <c r="BE111" s="854"/>
      <c r="BF111" s="854"/>
      <c r="BG111" s="870">
        <v>78</v>
      </c>
      <c r="BH111" s="860" t="s">
        <v>216</v>
      </c>
      <c r="BI111" s="854"/>
      <c r="BJ111" s="871">
        <v>0</v>
      </c>
      <c r="BK111" s="872">
        <f ca="1">IF(BJ$299=0,0,BJ111/BJ$299*100)</f>
        <v>0</v>
      </c>
      <c r="BL111" s="871">
        <v>0</v>
      </c>
      <c r="BM111" s="872">
        <f ca="1">IF(BL$299=0,0,BL111/BL$299*100)</f>
        <v>0</v>
      </c>
      <c r="BN111" s="871">
        <v>0</v>
      </c>
      <c r="BO111" s="872">
        <f ca="1">IF(BN$299=0,0,BN111/BN$299*100)</f>
        <v>0</v>
      </c>
      <c r="BP111" s="871">
        <v>0</v>
      </c>
      <c r="BQ111" s="872">
        <f ca="1">IF(BP$299=0,0,BP111/BP$299*100)</f>
        <v>0</v>
      </c>
      <c r="BR111" s="854"/>
      <c r="BS111" s="854"/>
      <c r="BT111" s="854"/>
      <c r="BU111" s="854"/>
      <c r="BV111" s="854"/>
      <c r="BW111" s="854"/>
      <c r="BX111" s="854"/>
      <c r="BY111" s="854"/>
      <c r="BZ111" s="854"/>
      <c r="CA111" s="854"/>
      <c r="CB111" s="854"/>
      <c r="CC111" s="854"/>
      <c r="CD111" s="854"/>
      <c r="CE111" s="854"/>
      <c r="CF111" s="854"/>
      <c r="CG111" s="854" t="s">
        <v>45</v>
      </c>
    </row>
    <row r="112" spans="1:85" ht="15.75" customHeight="1">
      <c r="A112" s="847"/>
      <c r="B112" s="1258">
        <f t="shared" ref="B112:B120" si="44">B111+1</f>
        <v>8</v>
      </c>
      <c r="C112" s="1259" t="s">
        <v>217</v>
      </c>
      <c r="D112" s="1260"/>
      <c r="E112" s="1261">
        <v>10</v>
      </c>
      <c r="F112" s="1262">
        <f t="shared" si="40"/>
        <v>0.01</v>
      </c>
      <c r="G112" s="1261">
        <v>-11</v>
      </c>
      <c r="H112" s="1262">
        <f t="shared" si="41"/>
        <v>-0.01</v>
      </c>
      <c r="I112" s="1261">
        <v>12</v>
      </c>
      <c r="J112" s="1262">
        <f t="shared" si="42"/>
        <v>0.01</v>
      </c>
      <c r="K112" s="1261">
        <v>-13</v>
      </c>
      <c r="L112" s="1262">
        <f t="shared" si="43"/>
        <v>-0.01</v>
      </c>
      <c r="M112" s="887"/>
      <c r="N112" s="849"/>
      <c r="O112" s="850"/>
      <c r="P112" s="850"/>
      <c r="Q112" s="850"/>
      <c r="R112" s="850"/>
      <c r="S112" s="850"/>
      <c r="T112" s="851"/>
      <c r="U112" s="851"/>
      <c r="V112" s="851"/>
      <c r="W112" s="851"/>
      <c r="X112" s="851"/>
      <c r="Y112" s="851"/>
      <c r="Z112" s="851"/>
      <c r="AA112" s="851"/>
      <c r="AB112" s="851"/>
      <c r="AC112" s="851"/>
      <c r="AD112" s="851"/>
      <c r="AE112" s="851"/>
      <c r="AF112" s="851"/>
      <c r="AG112" s="851"/>
      <c r="AH112" s="852"/>
      <c r="AI112" s="852"/>
      <c r="AJ112" s="852"/>
      <c r="AK112" s="852"/>
      <c r="AL112" s="852"/>
      <c r="AM112" s="852"/>
      <c r="AN112" s="852"/>
      <c r="AO112" s="852"/>
      <c r="AP112" s="852"/>
      <c r="AQ112" s="852"/>
      <c r="AR112" s="852"/>
      <c r="AS112" s="852"/>
      <c r="AT112" s="852"/>
      <c r="AU112" s="852"/>
      <c r="AV112" s="852"/>
      <c r="AW112" s="852"/>
      <c r="AX112" s="849"/>
      <c r="AY112" s="847"/>
      <c r="AZ112" s="847"/>
      <c r="BA112" s="847"/>
      <c r="BB112" s="847"/>
      <c r="BC112" s="853"/>
      <c r="BD112" s="854"/>
      <c r="BE112" s="854"/>
      <c r="BF112" s="854"/>
      <c r="BG112" s="870"/>
      <c r="BH112" s="860"/>
      <c r="BI112" s="854"/>
      <c r="BJ112" s="871"/>
      <c r="BK112" s="872"/>
      <c r="BL112" s="871"/>
      <c r="BM112" s="872"/>
      <c r="BN112" s="871"/>
      <c r="BO112" s="872"/>
      <c r="BP112" s="871"/>
      <c r="BQ112" s="872"/>
      <c r="BR112" s="854"/>
      <c r="BS112" s="854"/>
      <c r="BT112" s="854"/>
      <c r="BU112" s="854"/>
      <c r="BV112" s="854"/>
      <c r="BW112" s="854"/>
      <c r="BX112" s="854"/>
      <c r="BY112" s="854"/>
      <c r="BZ112" s="854"/>
      <c r="CA112" s="854"/>
      <c r="CB112" s="854"/>
      <c r="CC112" s="854"/>
      <c r="CD112" s="854"/>
      <c r="CE112" s="854"/>
      <c r="CF112" s="854"/>
      <c r="CG112" s="854"/>
    </row>
    <row r="113" spans="1:85" ht="15.75" customHeight="1">
      <c r="A113" s="847"/>
      <c r="B113" s="1258">
        <f t="shared" si="44"/>
        <v>9</v>
      </c>
      <c r="C113" s="1259" t="s">
        <v>218</v>
      </c>
      <c r="D113" s="1260"/>
      <c r="E113" s="1261">
        <v>10</v>
      </c>
      <c r="F113" s="1262">
        <f t="shared" si="40"/>
        <v>0.01</v>
      </c>
      <c r="G113" s="1261">
        <v>-11</v>
      </c>
      <c r="H113" s="1262">
        <f t="shared" si="41"/>
        <v>-0.01</v>
      </c>
      <c r="I113" s="1261">
        <v>12</v>
      </c>
      <c r="J113" s="1262">
        <f t="shared" si="42"/>
        <v>0.01</v>
      </c>
      <c r="K113" s="1261">
        <v>-13</v>
      </c>
      <c r="L113" s="1262">
        <f t="shared" si="43"/>
        <v>-0.01</v>
      </c>
      <c r="M113" s="887"/>
      <c r="N113" s="849"/>
      <c r="O113" s="850"/>
      <c r="P113" s="850"/>
      <c r="Q113" s="850"/>
      <c r="R113" s="850"/>
      <c r="S113" s="850"/>
      <c r="T113" s="851"/>
      <c r="U113" s="851"/>
      <c r="V113" s="851"/>
      <c r="W113" s="851"/>
      <c r="X113" s="851"/>
      <c r="Y113" s="851"/>
      <c r="Z113" s="851"/>
      <c r="AA113" s="851"/>
      <c r="AB113" s="851"/>
      <c r="AC113" s="851"/>
      <c r="AD113" s="851"/>
      <c r="AE113" s="851"/>
      <c r="AF113" s="851"/>
      <c r="AG113" s="851"/>
      <c r="AH113" s="852"/>
      <c r="AI113" s="852"/>
      <c r="AJ113" s="852"/>
      <c r="AK113" s="852"/>
      <c r="AL113" s="852"/>
      <c r="AM113" s="852"/>
      <c r="AN113" s="852"/>
      <c r="AO113" s="852"/>
      <c r="AP113" s="852"/>
      <c r="AQ113" s="852"/>
      <c r="AR113" s="852"/>
      <c r="AS113" s="852"/>
      <c r="AT113" s="852"/>
      <c r="AU113" s="852"/>
      <c r="AV113" s="852"/>
      <c r="AW113" s="852"/>
      <c r="AX113" s="849"/>
      <c r="AY113" s="847"/>
      <c r="AZ113" s="847"/>
      <c r="BA113" s="847"/>
      <c r="BB113" s="847"/>
      <c r="BC113" s="853"/>
      <c r="BD113" s="854"/>
      <c r="BE113" s="854"/>
      <c r="BF113" s="854"/>
      <c r="BG113" s="870"/>
      <c r="BH113" s="860"/>
      <c r="BI113" s="854"/>
      <c r="BJ113" s="871"/>
      <c r="BK113" s="872"/>
      <c r="BL113" s="871"/>
      <c r="BM113" s="872"/>
      <c r="BN113" s="871"/>
      <c r="BO113" s="872"/>
      <c r="BP113" s="871"/>
      <c r="BQ113" s="872"/>
      <c r="BR113" s="854"/>
      <c r="BS113" s="854"/>
      <c r="BT113" s="854"/>
      <c r="BU113" s="854"/>
      <c r="BV113" s="854"/>
      <c r="BW113" s="854"/>
      <c r="BX113" s="854"/>
      <c r="BY113" s="854"/>
      <c r="BZ113" s="854"/>
      <c r="CA113" s="854"/>
      <c r="CB113" s="854"/>
      <c r="CC113" s="854"/>
      <c r="CD113" s="854"/>
      <c r="CE113" s="854"/>
      <c r="CF113" s="854"/>
      <c r="CG113" s="854"/>
    </row>
    <row r="114" spans="1:85" ht="15.75" customHeight="1">
      <c r="A114" s="847"/>
      <c r="B114" s="1258">
        <f t="shared" si="44"/>
        <v>10</v>
      </c>
      <c r="C114" s="1259" t="s">
        <v>219</v>
      </c>
      <c r="D114" s="1260"/>
      <c r="E114" s="1261">
        <v>10</v>
      </c>
      <c r="F114" s="1262">
        <f t="shared" si="40"/>
        <v>0.01</v>
      </c>
      <c r="G114" s="1261">
        <v>-11</v>
      </c>
      <c r="H114" s="1262">
        <f t="shared" si="41"/>
        <v>-0.01</v>
      </c>
      <c r="I114" s="1261">
        <v>12</v>
      </c>
      <c r="J114" s="1262">
        <f t="shared" si="42"/>
        <v>0.01</v>
      </c>
      <c r="K114" s="1261">
        <v>-13</v>
      </c>
      <c r="L114" s="1262">
        <f t="shared" si="43"/>
        <v>-0.01</v>
      </c>
      <c r="M114" s="887"/>
      <c r="N114" s="849"/>
      <c r="O114" s="850"/>
      <c r="P114" s="850"/>
      <c r="Q114" s="850"/>
      <c r="R114" s="850"/>
      <c r="S114" s="850"/>
      <c r="T114" s="851"/>
      <c r="U114" s="851"/>
      <c r="V114" s="851"/>
      <c r="W114" s="851"/>
      <c r="X114" s="851"/>
      <c r="Y114" s="851"/>
      <c r="Z114" s="851"/>
      <c r="AA114" s="851"/>
      <c r="AB114" s="851"/>
      <c r="AC114" s="851"/>
      <c r="AD114" s="851"/>
      <c r="AE114" s="851"/>
      <c r="AF114" s="851"/>
      <c r="AG114" s="851"/>
      <c r="AH114" s="852"/>
      <c r="AI114" s="852"/>
      <c r="AJ114" s="852"/>
      <c r="AK114" s="852"/>
      <c r="AL114" s="852"/>
      <c r="AM114" s="852"/>
      <c r="AN114" s="852"/>
      <c r="AO114" s="852"/>
      <c r="AP114" s="852"/>
      <c r="AQ114" s="852"/>
      <c r="AR114" s="852"/>
      <c r="AS114" s="852"/>
      <c r="AT114" s="852"/>
      <c r="AU114" s="852"/>
      <c r="AV114" s="852"/>
      <c r="AW114" s="852"/>
      <c r="AX114" s="849"/>
      <c r="AY114" s="847"/>
      <c r="AZ114" s="847"/>
      <c r="BA114" s="847"/>
      <c r="BB114" s="847"/>
      <c r="BC114" s="853"/>
      <c r="BD114" s="854"/>
      <c r="BE114" s="854"/>
      <c r="BF114" s="854"/>
      <c r="BG114" s="870">
        <v>79</v>
      </c>
      <c r="BH114" s="860" t="s">
        <v>45</v>
      </c>
      <c r="BI114" s="854"/>
      <c r="BJ114" s="871">
        <v>0</v>
      </c>
      <c r="BK114" s="872">
        <f t="shared" ref="BK114:BK121" ca="1" si="45">IF(BJ$299=0,0,BJ114/BJ$299*100)</f>
        <v>0</v>
      </c>
      <c r="BL114" s="871">
        <v>0</v>
      </c>
      <c r="BM114" s="872">
        <f t="shared" ref="BM114:BM121" ca="1" si="46">IF(BL$299=0,0,BL114/BL$299*100)</f>
        <v>0</v>
      </c>
      <c r="BN114" s="871">
        <v>0</v>
      </c>
      <c r="BO114" s="872">
        <f t="shared" ref="BO114:BO121" ca="1" si="47">IF(BN$299=0,0,BN114/BN$299*100)</f>
        <v>0</v>
      </c>
      <c r="BP114" s="871">
        <v>0</v>
      </c>
      <c r="BQ114" s="872">
        <f t="shared" ref="BQ114:BQ121" ca="1" si="48">IF(BP$299=0,0,BP114/BP$299*100)</f>
        <v>0</v>
      </c>
      <c r="BR114" s="854"/>
      <c r="BS114" s="854"/>
      <c r="BT114" s="854"/>
      <c r="BU114" s="854"/>
      <c r="BV114" s="854"/>
      <c r="BW114" s="854"/>
      <c r="BX114" s="854"/>
      <c r="BY114" s="854"/>
      <c r="BZ114" s="854"/>
      <c r="CA114" s="854"/>
      <c r="CB114" s="854"/>
      <c r="CC114" s="854"/>
      <c r="CD114" s="854"/>
      <c r="CE114" s="854"/>
      <c r="CF114" s="854"/>
      <c r="CG114" s="854" t="s">
        <v>45</v>
      </c>
    </row>
    <row r="115" spans="1:85" ht="16.5" customHeight="1">
      <c r="A115" s="847"/>
      <c r="B115" s="1258">
        <f t="shared" si="44"/>
        <v>11</v>
      </c>
      <c r="C115" s="1259" t="s">
        <v>220</v>
      </c>
      <c r="D115" s="1260"/>
      <c r="E115" s="1261">
        <v>10</v>
      </c>
      <c r="F115" s="1262">
        <f t="shared" si="40"/>
        <v>0.01</v>
      </c>
      <c r="G115" s="1261">
        <v>-11</v>
      </c>
      <c r="H115" s="1262">
        <f t="shared" si="41"/>
        <v>-0.01</v>
      </c>
      <c r="I115" s="1261">
        <v>12</v>
      </c>
      <c r="J115" s="1262">
        <f t="shared" si="42"/>
        <v>0.01</v>
      </c>
      <c r="K115" s="1261">
        <v>-13</v>
      </c>
      <c r="L115" s="1262">
        <f t="shared" si="43"/>
        <v>-0.01</v>
      </c>
      <c r="M115" s="887"/>
      <c r="N115" s="849"/>
      <c r="O115" s="850"/>
      <c r="P115" s="850"/>
      <c r="Q115" s="850"/>
      <c r="R115" s="850"/>
      <c r="S115" s="850"/>
      <c r="T115" s="851"/>
      <c r="U115" s="851"/>
      <c r="V115" s="851"/>
      <c r="W115" s="851"/>
      <c r="X115" s="851"/>
      <c r="Y115" s="851"/>
      <c r="Z115" s="851"/>
      <c r="AA115" s="851"/>
      <c r="AB115" s="851"/>
      <c r="AC115" s="851"/>
      <c r="AD115" s="851"/>
      <c r="AE115" s="851"/>
      <c r="AF115" s="851"/>
      <c r="AG115" s="851"/>
      <c r="AH115" s="852"/>
      <c r="AI115" s="852"/>
      <c r="AJ115" s="852"/>
      <c r="AK115" s="852"/>
      <c r="AL115" s="852"/>
      <c r="AM115" s="852"/>
      <c r="AN115" s="852"/>
      <c r="AO115" s="852"/>
      <c r="AP115" s="852"/>
      <c r="AQ115" s="852"/>
      <c r="AR115" s="852"/>
      <c r="AS115" s="852"/>
      <c r="AT115" s="852"/>
      <c r="AU115" s="852"/>
      <c r="AV115" s="852"/>
      <c r="AW115" s="852"/>
      <c r="AX115" s="849"/>
      <c r="AY115" s="847"/>
      <c r="AZ115" s="847"/>
      <c r="BA115" s="847"/>
      <c r="BB115" s="847"/>
      <c r="BC115" s="853"/>
      <c r="BD115" s="854"/>
      <c r="BE115" s="854"/>
      <c r="BF115" s="854"/>
      <c r="BG115" s="870">
        <v>80</v>
      </c>
      <c r="BH115" s="860" t="s">
        <v>45</v>
      </c>
      <c r="BI115" s="854"/>
      <c r="BJ115" s="871">
        <v>0</v>
      </c>
      <c r="BK115" s="872">
        <f t="shared" ca="1" si="45"/>
        <v>0</v>
      </c>
      <c r="BL115" s="871">
        <v>0</v>
      </c>
      <c r="BM115" s="872">
        <f t="shared" ca="1" si="46"/>
        <v>0</v>
      </c>
      <c r="BN115" s="871">
        <v>0</v>
      </c>
      <c r="BO115" s="872">
        <f t="shared" ca="1" si="47"/>
        <v>0</v>
      </c>
      <c r="BP115" s="871">
        <v>0</v>
      </c>
      <c r="BQ115" s="872">
        <f t="shared" ca="1" si="48"/>
        <v>0</v>
      </c>
      <c r="BR115" s="854"/>
      <c r="BS115" s="854"/>
      <c r="BT115" s="854"/>
      <c r="BU115" s="854"/>
      <c r="BV115" s="854"/>
      <c r="BW115" s="854"/>
      <c r="BX115" s="854"/>
      <c r="BY115" s="854"/>
      <c r="BZ115" s="854"/>
      <c r="CA115" s="854"/>
      <c r="CB115" s="854"/>
      <c r="CC115" s="854"/>
      <c r="CD115" s="854"/>
      <c r="CE115" s="854"/>
      <c r="CF115" s="854"/>
      <c r="CG115" s="854" t="s">
        <v>45</v>
      </c>
    </row>
    <row r="116" spans="1:85" ht="16.5" customHeight="1">
      <c r="A116" s="847"/>
      <c r="B116" s="1248">
        <f t="shared" si="44"/>
        <v>12</v>
      </c>
      <c r="C116" s="1249" t="s">
        <v>221</v>
      </c>
      <c r="D116" s="1250"/>
      <c r="E116" s="1251">
        <v>10</v>
      </c>
      <c r="F116" s="1252">
        <f t="shared" si="40"/>
        <v>0.01</v>
      </c>
      <c r="G116" s="1251">
        <v>-11</v>
      </c>
      <c r="H116" s="1252">
        <f t="shared" si="41"/>
        <v>-0.01</v>
      </c>
      <c r="I116" s="1251">
        <v>12</v>
      </c>
      <c r="J116" s="1252">
        <f t="shared" si="42"/>
        <v>0.01</v>
      </c>
      <c r="K116" s="1251">
        <v>-13</v>
      </c>
      <c r="L116" s="1252">
        <f t="shared" si="43"/>
        <v>-0.01</v>
      </c>
      <c r="M116" s="887"/>
      <c r="N116" s="849"/>
      <c r="O116" s="850"/>
      <c r="P116" s="850"/>
      <c r="Q116" s="850"/>
      <c r="R116" s="850"/>
      <c r="S116" s="850"/>
      <c r="T116" s="851"/>
      <c r="U116" s="851"/>
      <c r="V116" s="851"/>
      <c r="W116" s="851"/>
      <c r="X116" s="851"/>
      <c r="Y116" s="851"/>
      <c r="Z116" s="851"/>
      <c r="AA116" s="851"/>
      <c r="AB116" s="851"/>
      <c r="AC116" s="851"/>
      <c r="AD116" s="851"/>
      <c r="AE116" s="851"/>
      <c r="AF116" s="851"/>
      <c r="AG116" s="851"/>
      <c r="AH116" s="852"/>
      <c r="AI116" s="852"/>
      <c r="AJ116" s="852"/>
      <c r="AK116" s="852"/>
      <c r="AL116" s="852"/>
      <c r="AM116" s="852"/>
      <c r="AN116" s="852"/>
      <c r="AO116" s="852"/>
      <c r="AP116" s="852"/>
      <c r="AQ116" s="852"/>
      <c r="AR116" s="852"/>
      <c r="AS116" s="852"/>
      <c r="AT116" s="852"/>
      <c r="AU116" s="852"/>
      <c r="AV116" s="852"/>
      <c r="AW116" s="852"/>
      <c r="AX116" s="849"/>
      <c r="AY116" s="847"/>
      <c r="AZ116" s="847"/>
      <c r="BA116" s="847"/>
      <c r="BB116" s="847"/>
      <c r="BC116" s="853"/>
      <c r="BD116" s="854"/>
      <c r="BE116" s="854"/>
      <c r="BF116" s="854"/>
      <c r="BG116" s="870">
        <v>81</v>
      </c>
      <c r="BH116" s="860" t="s">
        <v>45</v>
      </c>
      <c r="BI116" s="854"/>
      <c r="BJ116" s="871">
        <v>0</v>
      </c>
      <c r="BK116" s="872">
        <f t="shared" ca="1" si="45"/>
        <v>0</v>
      </c>
      <c r="BL116" s="871">
        <v>0</v>
      </c>
      <c r="BM116" s="872">
        <f t="shared" ca="1" si="46"/>
        <v>0</v>
      </c>
      <c r="BN116" s="871">
        <v>0</v>
      </c>
      <c r="BO116" s="872">
        <f t="shared" ca="1" si="47"/>
        <v>0</v>
      </c>
      <c r="BP116" s="871">
        <v>0</v>
      </c>
      <c r="BQ116" s="872">
        <f t="shared" ca="1" si="48"/>
        <v>0</v>
      </c>
      <c r="BR116" s="854"/>
      <c r="BS116" s="854"/>
      <c r="BT116" s="854"/>
      <c r="BU116" s="854"/>
      <c r="BV116" s="854"/>
      <c r="BW116" s="854"/>
      <c r="BX116" s="854"/>
      <c r="BY116" s="854"/>
      <c r="BZ116" s="854"/>
      <c r="CA116" s="854"/>
      <c r="CB116" s="854"/>
      <c r="CC116" s="854"/>
      <c r="CD116" s="854"/>
      <c r="CE116" s="854"/>
      <c r="CF116" s="854"/>
      <c r="CG116" s="854" t="s">
        <v>45</v>
      </c>
    </row>
    <row r="117" spans="1:85" ht="16.5" customHeight="1">
      <c r="A117" s="847"/>
      <c r="B117" s="1253">
        <f t="shared" si="44"/>
        <v>13</v>
      </c>
      <c r="C117" s="1161" t="s">
        <v>222</v>
      </c>
      <c r="D117" s="1254"/>
      <c r="E117" s="1255">
        <f>E109-E110-E111-E114-E115-E116-E112-E113</f>
        <v>12850</v>
      </c>
      <c r="F117" s="1164">
        <f t="shared" si="40"/>
        <v>12.85</v>
      </c>
      <c r="G117" s="1255">
        <f>G109-G110-G111-G114-G115-G116-G112-G113</f>
        <v>21745</v>
      </c>
      <c r="H117" s="1164">
        <f t="shared" si="41"/>
        <v>19.768181818181819</v>
      </c>
      <c r="I117" s="1255">
        <f>I109-I110-I111-I114-I115-I116-I112-I113</f>
        <v>30420</v>
      </c>
      <c r="J117" s="1164">
        <f t="shared" si="42"/>
        <v>25.35</v>
      </c>
      <c r="K117" s="1255">
        <f>K109-K110-K111-K114-K115-K116-K112-K113</f>
        <v>30635</v>
      </c>
      <c r="L117" s="1164">
        <f t="shared" si="43"/>
        <v>23.565384615384616</v>
      </c>
      <c r="M117" s="887"/>
      <c r="N117" s="849"/>
      <c r="O117" s="850"/>
      <c r="P117" s="850"/>
      <c r="Q117" s="850"/>
      <c r="R117" s="850"/>
      <c r="S117" s="850"/>
      <c r="T117" s="851"/>
      <c r="U117" s="851"/>
      <c r="V117" s="851"/>
      <c r="W117" s="851"/>
      <c r="X117" s="851"/>
      <c r="Y117" s="851"/>
      <c r="Z117" s="851"/>
      <c r="AA117" s="851"/>
      <c r="AB117" s="851"/>
      <c r="AC117" s="851"/>
      <c r="AD117" s="851"/>
      <c r="AE117" s="851"/>
      <c r="AF117" s="851"/>
      <c r="AG117" s="851"/>
      <c r="AH117" s="852"/>
      <c r="AI117" s="852"/>
      <c r="AJ117" s="852"/>
      <c r="AK117" s="852"/>
      <c r="AL117" s="852"/>
      <c r="AM117" s="852"/>
      <c r="AN117" s="852"/>
      <c r="AO117" s="852"/>
      <c r="AP117" s="852"/>
      <c r="AQ117" s="852"/>
      <c r="AR117" s="852"/>
      <c r="AS117" s="852"/>
      <c r="AT117" s="852"/>
      <c r="AU117" s="852"/>
      <c r="AV117" s="852"/>
      <c r="AW117" s="852"/>
      <c r="AX117" s="849"/>
      <c r="AY117" s="847"/>
      <c r="AZ117" s="847"/>
      <c r="BA117" s="847"/>
      <c r="BB117" s="847"/>
      <c r="BC117" s="853"/>
      <c r="BD117" s="854"/>
      <c r="BE117" s="854"/>
      <c r="BF117" s="854"/>
      <c r="BG117" s="870">
        <v>82</v>
      </c>
      <c r="BH117" s="860" t="s">
        <v>45</v>
      </c>
      <c r="BI117" s="854"/>
      <c r="BJ117" s="871">
        <v>0</v>
      </c>
      <c r="BK117" s="872">
        <f t="shared" ca="1" si="45"/>
        <v>0</v>
      </c>
      <c r="BL117" s="871">
        <v>0</v>
      </c>
      <c r="BM117" s="872">
        <f t="shared" ca="1" si="46"/>
        <v>0</v>
      </c>
      <c r="BN117" s="871">
        <v>0</v>
      </c>
      <c r="BO117" s="872">
        <f t="shared" ca="1" si="47"/>
        <v>0</v>
      </c>
      <c r="BP117" s="871">
        <v>0</v>
      </c>
      <c r="BQ117" s="872">
        <f t="shared" ca="1" si="48"/>
        <v>0</v>
      </c>
      <c r="BR117" s="854"/>
      <c r="BS117" s="854"/>
      <c r="BT117" s="854"/>
      <c r="BU117" s="854"/>
      <c r="BV117" s="854"/>
      <c r="BW117" s="854"/>
      <c r="BX117" s="854"/>
      <c r="BY117" s="854"/>
      <c r="BZ117" s="854"/>
      <c r="CA117" s="854"/>
      <c r="CB117" s="854"/>
      <c r="CC117" s="854"/>
      <c r="CD117" s="854"/>
      <c r="CE117" s="854"/>
      <c r="CF117" s="854"/>
      <c r="CG117" s="854" t="s">
        <v>45</v>
      </c>
    </row>
    <row r="118" spans="1:85" ht="16.5" customHeight="1">
      <c r="A118" s="847"/>
      <c r="B118" s="1174">
        <f t="shared" si="44"/>
        <v>14</v>
      </c>
      <c r="C118" s="1125" t="s">
        <v>223</v>
      </c>
      <c r="D118" s="1254"/>
      <c r="E118" s="1256">
        <v>1200</v>
      </c>
      <c r="F118" s="1256">
        <f t="shared" si="40"/>
        <v>1.2</v>
      </c>
      <c r="G118" s="1256">
        <v>1300</v>
      </c>
      <c r="H118" s="1256">
        <f t="shared" si="41"/>
        <v>1.1818181818181819</v>
      </c>
      <c r="I118" s="1256">
        <v>1500</v>
      </c>
      <c r="J118" s="1256">
        <f t="shared" si="42"/>
        <v>1.25</v>
      </c>
      <c r="K118" s="1256">
        <v>2000</v>
      </c>
      <c r="L118" s="1256">
        <f t="shared" si="43"/>
        <v>1.5384615384615385</v>
      </c>
      <c r="M118" s="848"/>
      <c r="N118" s="849"/>
      <c r="O118" s="850"/>
      <c r="P118" s="850"/>
      <c r="Q118" s="850"/>
      <c r="R118" s="850"/>
      <c r="S118" s="850"/>
      <c r="T118" s="851"/>
      <c r="U118" s="851"/>
      <c r="V118" s="851"/>
      <c r="W118" s="851"/>
      <c r="X118" s="851"/>
      <c r="Y118" s="851"/>
      <c r="Z118" s="851"/>
      <c r="AA118" s="851"/>
      <c r="AB118" s="851"/>
      <c r="AC118" s="851"/>
      <c r="AD118" s="851"/>
      <c r="AE118" s="851"/>
      <c r="AF118" s="851"/>
      <c r="AG118" s="851"/>
      <c r="AH118" s="852"/>
      <c r="AI118" s="852"/>
      <c r="AJ118" s="852"/>
      <c r="AK118" s="852"/>
      <c r="AL118" s="852"/>
      <c r="AM118" s="852"/>
      <c r="AN118" s="852"/>
      <c r="AO118" s="852"/>
      <c r="AP118" s="852"/>
      <c r="AQ118" s="852"/>
      <c r="AR118" s="852"/>
      <c r="AS118" s="852"/>
      <c r="AT118" s="852"/>
      <c r="AU118" s="852"/>
      <c r="AV118" s="852"/>
      <c r="AW118" s="852"/>
      <c r="AX118" s="849"/>
      <c r="AY118" s="847"/>
      <c r="AZ118" s="847"/>
      <c r="BA118" s="847"/>
      <c r="BB118" s="847"/>
      <c r="BC118" s="853"/>
      <c r="BD118" s="854"/>
      <c r="BE118" s="854"/>
      <c r="BF118" s="854"/>
      <c r="BG118" s="870">
        <v>83</v>
      </c>
      <c r="BH118" s="860" t="s">
        <v>45</v>
      </c>
      <c r="BI118" s="854"/>
      <c r="BJ118" s="871">
        <v>0</v>
      </c>
      <c r="BK118" s="872">
        <f t="shared" ca="1" si="45"/>
        <v>0</v>
      </c>
      <c r="BL118" s="871">
        <v>0</v>
      </c>
      <c r="BM118" s="872">
        <f t="shared" ca="1" si="46"/>
        <v>0</v>
      </c>
      <c r="BN118" s="871">
        <v>0</v>
      </c>
      <c r="BO118" s="872">
        <f t="shared" ca="1" si="47"/>
        <v>0</v>
      </c>
      <c r="BP118" s="871">
        <v>0</v>
      </c>
      <c r="BQ118" s="872">
        <f t="shared" ca="1" si="48"/>
        <v>0</v>
      </c>
      <c r="BR118" s="854"/>
      <c r="BS118" s="854"/>
      <c r="BT118" s="854"/>
      <c r="BU118" s="854"/>
      <c r="BV118" s="854"/>
      <c r="BW118" s="854"/>
      <c r="BX118" s="854"/>
      <c r="BY118" s="854"/>
      <c r="BZ118" s="854"/>
      <c r="CA118" s="854"/>
      <c r="CB118" s="854"/>
      <c r="CC118" s="854"/>
      <c r="CD118" s="854"/>
      <c r="CE118" s="854"/>
      <c r="CF118" s="854"/>
      <c r="CG118" s="854" t="s">
        <v>45</v>
      </c>
    </row>
    <row r="119" spans="1:85" ht="16.5" customHeight="1">
      <c r="A119" s="847"/>
      <c r="B119" s="1253">
        <f t="shared" si="44"/>
        <v>15</v>
      </c>
      <c r="C119" s="1161" t="s">
        <v>224</v>
      </c>
      <c r="D119" s="1254"/>
      <c r="E119" s="1255">
        <f>E117-E118</f>
        <v>11650</v>
      </c>
      <c r="F119" s="1164">
        <f t="shared" si="40"/>
        <v>11.65</v>
      </c>
      <c r="G119" s="1255">
        <f>G117-G118</f>
        <v>20445</v>
      </c>
      <c r="H119" s="1164">
        <f t="shared" si="41"/>
        <v>18.586363636363636</v>
      </c>
      <c r="I119" s="1255">
        <f>I117-I118</f>
        <v>28920</v>
      </c>
      <c r="J119" s="1164">
        <f t="shared" si="42"/>
        <v>24.099999999999998</v>
      </c>
      <c r="K119" s="1255">
        <f>K117-K118</f>
        <v>28635</v>
      </c>
      <c r="L119" s="1164">
        <f t="shared" si="43"/>
        <v>22.026923076923076</v>
      </c>
      <c r="M119" s="848"/>
      <c r="N119" s="849"/>
      <c r="O119" s="850"/>
      <c r="P119" s="850"/>
      <c r="Q119" s="850"/>
      <c r="R119" s="850"/>
      <c r="S119" s="850"/>
      <c r="T119" s="851"/>
      <c r="U119" s="851"/>
      <c r="V119" s="851"/>
      <c r="W119" s="851"/>
      <c r="X119" s="851"/>
      <c r="Y119" s="851"/>
      <c r="Z119" s="851"/>
      <c r="AA119" s="851"/>
      <c r="AB119" s="851"/>
      <c r="AC119" s="851"/>
      <c r="AD119" s="851"/>
      <c r="AE119" s="851"/>
      <c r="AF119" s="851"/>
      <c r="AG119" s="851"/>
      <c r="AH119" s="852"/>
      <c r="AI119" s="852"/>
      <c r="AJ119" s="852"/>
      <c r="AK119" s="852"/>
      <c r="AL119" s="852"/>
      <c r="AM119" s="852"/>
      <c r="AN119" s="852"/>
      <c r="AO119" s="852"/>
      <c r="AP119" s="852"/>
      <c r="AQ119" s="852"/>
      <c r="AR119" s="852"/>
      <c r="AS119" s="852"/>
      <c r="AT119" s="852"/>
      <c r="AU119" s="852"/>
      <c r="AV119" s="852"/>
      <c r="AW119" s="852"/>
      <c r="AX119" s="849"/>
      <c r="AY119" s="847"/>
      <c r="AZ119" s="847"/>
      <c r="BA119" s="847"/>
      <c r="BB119" s="847"/>
      <c r="BC119" s="853"/>
      <c r="BD119" s="854"/>
      <c r="BE119" s="854"/>
      <c r="BF119" s="854"/>
      <c r="BG119" s="870">
        <v>84</v>
      </c>
      <c r="BH119" s="860" t="s">
        <v>45</v>
      </c>
      <c r="BI119" s="854"/>
      <c r="BJ119" s="871">
        <v>0</v>
      </c>
      <c r="BK119" s="872">
        <f t="shared" ca="1" si="45"/>
        <v>0</v>
      </c>
      <c r="BL119" s="871">
        <v>0</v>
      </c>
      <c r="BM119" s="872">
        <f t="shared" ca="1" si="46"/>
        <v>0</v>
      </c>
      <c r="BN119" s="871">
        <v>0</v>
      </c>
      <c r="BO119" s="872">
        <f t="shared" ca="1" si="47"/>
        <v>0</v>
      </c>
      <c r="BP119" s="871">
        <v>0</v>
      </c>
      <c r="BQ119" s="872">
        <f t="shared" ca="1" si="48"/>
        <v>0</v>
      </c>
      <c r="BR119" s="854"/>
      <c r="BS119" s="854"/>
      <c r="BT119" s="854"/>
      <c r="BU119" s="854"/>
      <c r="BV119" s="854"/>
      <c r="BW119" s="854"/>
      <c r="BX119" s="854"/>
      <c r="BY119" s="854"/>
      <c r="BZ119" s="854"/>
      <c r="CA119" s="854"/>
      <c r="CB119" s="854"/>
      <c r="CC119" s="854"/>
      <c r="CD119" s="854"/>
      <c r="CE119" s="854"/>
      <c r="CF119" s="854"/>
      <c r="CG119" s="854" t="s">
        <v>45</v>
      </c>
    </row>
    <row r="120" spans="1:85" ht="16.5" customHeight="1">
      <c r="A120" s="847"/>
      <c r="B120" s="1243">
        <f t="shared" si="44"/>
        <v>16</v>
      </c>
      <c r="C120" s="1244" t="s">
        <v>225</v>
      </c>
      <c r="D120" s="1245"/>
      <c r="E120" s="1247">
        <v>3500</v>
      </c>
      <c r="F120" s="1257">
        <f t="shared" si="40"/>
        <v>3.5000000000000004</v>
      </c>
      <c r="G120" s="1247">
        <v>6000</v>
      </c>
      <c r="H120" s="1257">
        <f t="shared" si="41"/>
        <v>5.4545454545454541</v>
      </c>
      <c r="I120" s="1247">
        <v>9000</v>
      </c>
      <c r="J120" s="1257">
        <f t="shared" si="42"/>
        <v>7.5</v>
      </c>
      <c r="K120" s="1247">
        <v>9000</v>
      </c>
      <c r="L120" s="1257">
        <f t="shared" si="43"/>
        <v>6.9230769230769234</v>
      </c>
      <c r="M120" s="848"/>
      <c r="N120" s="849"/>
      <c r="O120" s="850"/>
      <c r="P120" s="850"/>
      <c r="Q120" s="850"/>
      <c r="R120" s="850"/>
      <c r="S120" s="850"/>
      <c r="T120" s="851"/>
      <c r="U120" s="851"/>
      <c r="V120" s="851"/>
      <c r="W120" s="851"/>
      <c r="X120" s="851"/>
      <c r="Y120" s="851"/>
      <c r="Z120" s="851"/>
      <c r="AA120" s="851"/>
      <c r="AB120" s="851"/>
      <c r="AC120" s="851"/>
      <c r="AD120" s="851"/>
      <c r="AE120" s="851"/>
      <c r="AF120" s="851"/>
      <c r="AG120" s="851"/>
      <c r="AH120" s="852"/>
      <c r="AI120" s="852"/>
      <c r="AJ120" s="852"/>
      <c r="AK120" s="852"/>
      <c r="AL120" s="852"/>
      <c r="AM120" s="852"/>
      <c r="AN120" s="852"/>
      <c r="AO120" s="852"/>
      <c r="AP120" s="852"/>
      <c r="AQ120" s="852"/>
      <c r="AR120" s="852"/>
      <c r="AS120" s="852"/>
      <c r="AT120" s="852"/>
      <c r="AU120" s="852"/>
      <c r="AV120" s="852"/>
      <c r="AW120" s="852"/>
      <c r="AX120" s="849"/>
      <c r="AY120" s="847"/>
      <c r="AZ120" s="847"/>
      <c r="BA120" s="847"/>
      <c r="BB120" s="847"/>
      <c r="BC120" s="853"/>
      <c r="BD120" s="854"/>
      <c r="BE120" s="854"/>
      <c r="BF120" s="854"/>
      <c r="BG120" s="870">
        <v>85</v>
      </c>
      <c r="BH120" s="860" t="s">
        <v>45</v>
      </c>
      <c r="BI120" s="854"/>
      <c r="BJ120" s="871">
        <v>0</v>
      </c>
      <c r="BK120" s="872">
        <f t="shared" ca="1" si="45"/>
        <v>0</v>
      </c>
      <c r="BL120" s="871">
        <v>0</v>
      </c>
      <c r="BM120" s="872">
        <f t="shared" ca="1" si="46"/>
        <v>0</v>
      </c>
      <c r="BN120" s="871">
        <v>0</v>
      </c>
      <c r="BO120" s="872">
        <f t="shared" ca="1" si="47"/>
        <v>0</v>
      </c>
      <c r="BP120" s="871">
        <v>0</v>
      </c>
      <c r="BQ120" s="872">
        <f t="shared" ca="1" si="48"/>
        <v>0</v>
      </c>
      <c r="BR120" s="854"/>
      <c r="BS120" s="854"/>
      <c r="BT120" s="854"/>
      <c r="BU120" s="854"/>
      <c r="BV120" s="854"/>
      <c r="BW120" s="854"/>
      <c r="BX120" s="854"/>
      <c r="BY120" s="854"/>
      <c r="BZ120" s="854"/>
      <c r="CA120" s="854"/>
      <c r="CB120" s="854"/>
      <c r="CC120" s="854"/>
      <c r="CD120" s="854"/>
      <c r="CE120" s="854"/>
      <c r="CF120" s="854"/>
      <c r="CG120" s="854" t="s">
        <v>45</v>
      </c>
    </row>
    <row r="121" spans="1:85" ht="18.75" customHeight="1">
      <c r="A121" s="847"/>
      <c r="B121" s="1258">
        <f>+B120+1</f>
        <v>17</v>
      </c>
      <c r="C121" s="1263" t="s">
        <v>226</v>
      </c>
      <c r="D121" s="1260"/>
      <c r="E121" s="1261">
        <v>500</v>
      </c>
      <c r="F121" s="1262">
        <f t="shared" si="40"/>
        <v>0.5</v>
      </c>
      <c r="G121" s="1261">
        <v>510</v>
      </c>
      <c r="H121" s="1262">
        <f t="shared" si="41"/>
        <v>0.46363636363636362</v>
      </c>
      <c r="I121" s="1261">
        <v>520</v>
      </c>
      <c r="J121" s="1262">
        <f t="shared" si="42"/>
        <v>0.43333333333333329</v>
      </c>
      <c r="K121" s="1261">
        <v>530</v>
      </c>
      <c r="L121" s="1262">
        <f t="shared" si="43"/>
        <v>0.40769230769230769</v>
      </c>
      <c r="M121" s="862"/>
      <c r="N121" s="849"/>
      <c r="O121" s="850"/>
      <c r="P121" s="850"/>
      <c r="Q121" s="850"/>
      <c r="R121" s="850"/>
      <c r="S121" s="850"/>
      <c r="T121" s="851"/>
      <c r="U121" s="851"/>
      <c r="V121" s="851"/>
      <c r="W121" s="851"/>
      <c r="X121" s="851"/>
      <c r="Y121" s="851"/>
      <c r="Z121" s="851"/>
      <c r="AA121" s="851"/>
      <c r="AB121" s="851"/>
      <c r="AC121" s="851"/>
      <c r="AD121" s="851"/>
      <c r="AE121" s="851"/>
      <c r="AF121" s="851"/>
      <c r="AG121" s="851"/>
      <c r="AH121" s="852"/>
      <c r="AI121" s="852"/>
      <c r="AJ121" s="852"/>
      <c r="AK121" s="852"/>
      <c r="AL121" s="852"/>
      <c r="AM121" s="852"/>
      <c r="AN121" s="852"/>
      <c r="AO121" s="852"/>
      <c r="AP121" s="852"/>
      <c r="AQ121" s="852"/>
      <c r="AR121" s="852"/>
      <c r="AS121" s="852"/>
      <c r="AT121" s="852"/>
      <c r="AU121" s="852"/>
      <c r="AV121" s="852"/>
      <c r="AW121" s="852"/>
      <c r="AX121" s="849"/>
      <c r="AY121" s="847"/>
      <c r="AZ121" s="847"/>
      <c r="BA121" s="847"/>
      <c r="BB121" s="847"/>
      <c r="BC121" s="853"/>
      <c r="BD121" s="854"/>
      <c r="BE121" s="854"/>
      <c r="BF121" s="854"/>
      <c r="BG121" s="870">
        <v>86</v>
      </c>
      <c r="BH121" s="860" t="s">
        <v>45</v>
      </c>
      <c r="BI121" s="854"/>
      <c r="BJ121" s="871">
        <v>0</v>
      </c>
      <c r="BK121" s="872">
        <f t="shared" ca="1" si="45"/>
        <v>0</v>
      </c>
      <c r="BL121" s="871">
        <v>0</v>
      </c>
      <c r="BM121" s="872">
        <f t="shared" ca="1" si="46"/>
        <v>0</v>
      </c>
      <c r="BN121" s="871">
        <v>0</v>
      </c>
      <c r="BO121" s="872">
        <f t="shared" ca="1" si="47"/>
        <v>0</v>
      </c>
      <c r="BP121" s="871">
        <v>0</v>
      </c>
      <c r="BQ121" s="872">
        <f t="shared" ca="1" si="48"/>
        <v>0</v>
      </c>
      <c r="BR121" s="854"/>
      <c r="BS121" s="854"/>
      <c r="BT121" s="854"/>
      <c r="BU121" s="854"/>
      <c r="BV121" s="854"/>
      <c r="BW121" s="854"/>
      <c r="BX121" s="854"/>
      <c r="BY121" s="854"/>
      <c r="BZ121" s="854"/>
      <c r="CA121" s="854"/>
      <c r="CB121" s="854"/>
      <c r="CC121" s="854"/>
      <c r="CD121" s="854"/>
      <c r="CE121" s="854"/>
      <c r="CF121" s="854"/>
      <c r="CG121" s="854" t="s">
        <v>45</v>
      </c>
    </row>
    <row r="122" spans="1:85" ht="18.75" customHeight="1">
      <c r="A122" s="847"/>
      <c r="B122" s="1253">
        <f>B121+1</f>
        <v>18</v>
      </c>
      <c r="C122" s="1161" t="s">
        <v>227</v>
      </c>
      <c r="D122" s="1254"/>
      <c r="E122" s="1255">
        <f>+E119-E120-E121</f>
        <v>7650</v>
      </c>
      <c r="F122" s="1164">
        <f t="shared" si="40"/>
        <v>7.6499999999999995</v>
      </c>
      <c r="G122" s="1255">
        <f>+G119-G120-G121</f>
        <v>13935</v>
      </c>
      <c r="H122" s="1164">
        <f t="shared" si="41"/>
        <v>12.668181818181818</v>
      </c>
      <c r="I122" s="1255">
        <f>+I119-I120-I121</f>
        <v>19400</v>
      </c>
      <c r="J122" s="1164">
        <f t="shared" si="42"/>
        <v>16.166666666666664</v>
      </c>
      <c r="K122" s="1255">
        <f>+K119-K120-K121</f>
        <v>19105</v>
      </c>
      <c r="L122" s="1164">
        <f t="shared" si="43"/>
        <v>14.696153846153845</v>
      </c>
      <c r="M122" s="862"/>
      <c r="N122" s="849"/>
      <c r="O122" s="850"/>
      <c r="P122" s="850"/>
      <c r="Q122" s="850"/>
      <c r="R122" s="850"/>
      <c r="S122" s="850"/>
      <c r="T122" s="851"/>
      <c r="U122" s="851"/>
      <c r="V122" s="851"/>
      <c r="W122" s="851"/>
      <c r="X122" s="851"/>
      <c r="Y122" s="851"/>
      <c r="Z122" s="851"/>
      <c r="AA122" s="851"/>
      <c r="AB122" s="851"/>
      <c r="AC122" s="851"/>
      <c r="AD122" s="851"/>
      <c r="AE122" s="851"/>
      <c r="AF122" s="851"/>
      <c r="AG122" s="851"/>
      <c r="AH122" s="852"/>
      <c r="AI122" s="852"/>
      <c r="AJ122" s="852"/>
      <c r="AK122" s="852"/>
      <c r="AL122" s="852"/>
      <c r="AM122" s="852"/>
      <c r="AN122" s="852"/>
      <c r="AO122" s="852"/>
      <c r="AP122" s="852"/>
      <c r="AQ122" s="852"/>
      <c r="AR122" s="852"/>
      <c r="AS122" s="852"/>
      <c r="AT122" s="852"/>
      <c r="AU122" s="852"/>
      <c r="AV122" s="852"/>
      <c r="AW122" s="852"/>
      <c r="AX122" s="849"/>
      <c r="AY122" s="847"/>
      <c r="AZ122" s="847"/>
      <c r="BA122" s="847"/>
      <c r="BB122" s="847"/>
      <c r="BC122" s="853"/>
      <c r="BD122" s="854"/>
      <c r="BE122" s="854"/>
      <c r="BF122" s="854"/>
      <c r="BG122" s="870"/>
      <c r="BH122" s="861"/>
      <c r="BI122" s="854"/>
      <c r="BJ122" s="878"/>
      <c r="BK122" s="872"/>
      <c r="BL122" s="878"/>
      <c r="BM122" s="872"/>
      <c r="BN122" s="878"/>
      <c r="BO122" s="872"/>
      <c r="BP122" s="878"/>
      <c r="BQ122" s="872"/>
      <c r="BR122" s="854"/>
      <c r="BS122" s="854"/>
      <c r="BT122" s="854"/>
      <c r="BU122" s="854"/>
      <c r="BV122" s="854"/>
      <c r="BW122" s="854"/>
      <c r="BX122" s="854"/>
      <c r="BY122" s="854"/>
      <c r="BZ122" s="854"/>
      <c r="CA122" s="854"/>
      <c r="CB122" s="854"/>
      <c r="CC122" s="854"/>
      <c r="CD122" s="854"/>
      <c r="CE122" s="854"/>
      <c r="CF122" s="854"/>
      <c r="CG122" s="854"/>
    </row>
    <row r="123" spans="1:85" ht="13.5" customHeight="1">
      <c r="A123" s="847"/>
      <c r="B123" s="1258">
        <f>+B122+1</f>
        <v>19</v>
      </c>
      <c r="C123" s="1259" t="s">
        <v>228</v>
      </c>
      <c r="D123" s="1260"/>
      <c r="E123" s="1261">
        <v>200</v>
      </c>
      <c r="F123" s="1262">
        <f t="shared" si="40"/>
        <v>0.2</v>
      </c>
      <c r="G123" s="1261">
        <v>300</v>
      </c>
      <c r="H123" s="1262">
        <f t="shared" si="41"/>
        <v>0.27272727272727276</v>
      </c>
      <c r="I123" s="1261">
        <v>400</v>
      </c>
      <c r="J123" s="1262">
        <f t="shared" si="42"/>
        <v>0.33333333333333337</v>
      </c>
      <c r="K123" s="1261">
        <v>500</v>
      </c>
      <c r="L123" s="1262">
        <f t="shared" si="43"/>
        <v>0.38461538461538464</v>
      </c>
      <c r="M123" s="863"/>
      <c r="N123" s="849"/>
      <c r="O123" s="850"/>
      <c r="P123" s="850"/>
      <c r="Q123" s="850"/>
      <c r="R123" s="850"/>
      <c r="S123" s="850"/>
      <c r="T123" s="851"/>
      <c r="U123" s="851"/>
      <c r="V123" s="851"/>
      <c r="W123" s="851"/>
      <c r="X123" s="851"/>
      <c r="Y123" s="851"/>
      <c r="Z123" s="851"/>
      <c r="AA123" s="851"/>
      <c r="AB123" s="851"/>
      <c r="AC123" s="851"/>
      <c r="AD123" s="851"/>
      <c r="AE123" s="851"/>
      <c r="AF123" s="851"/>
      <c r="AG123" s="851"/>
      <c r="AH123" s="852"/>
      <c r="AI123" s="852"/>
      <c r="AJ123" s="852"/>
      <c r="AK123" s="852"/>
      <c r="AL123" s="852"/>
      <c r="AM123" s="852"/>
      <c r="AN123" s="852"/>
      <c r="AO123" s="852"/>
      <c r="AP123" s="852"/>
      <c r="AQ123" s="852"/>
      <c r="AR123" s="852"/>
      <c r="AS123" s="852"/>
      <c r="AT123" s="852"/>
      <c r="AU123" s="852"/>
      <c r="AV123" s="852"/>
      <c r="AW123" s="852"/>
      <c r="AX123" s="849"/>
      <c r="AY123" s="847"/>
      <c r="AZ123" s="847"/>
      <c r="BA123" s="847"/>
      <c r="BB123" s="847"/>
      <c r="BC123" s="853"/>
      <c r="BD123" s="854"/>
      <c r="BE123" s="854"/>
      <c r="BF123" s="854"/>
      <c r="BG123" s="870">
        <v>87</v>
      </c>
      <c r="BH123" s="860" t="s">
        <v>45</v>
      </c>
      <c r="BI123" s="854"/>
      <c r="BJ123" s="871">
        <v>0</v>
      </c>
      <c r="BK123" s="872">
        <f ca="1">IF(BJ$299=0,0,BJ123/BJ$299*100)</f>
        <v>0</v>
      </c>
      <c r="BL123" s="871">
        <v>0</v>
      </c>
      <c r="BM123" s="872">
        <f ca="1">IF(BL$299=0,0,BL123/BL$299*100)</f>
        <v>0</v>
      </c>
      <c r="BN123" s="871">
        <v>0</v>
      </c>
      <c r="BO123" s="872">
        <f ca="1">IF(BN$299=0,0,BN123/BN$299*100)</f>
        <v>0</v>
      </c>
      <c r="BP123" s="871">
        <v>0</v>
      </c>
      <c r="BQ123" s="872">
        <f ca="1">IF(BP$299=0,0,BP123/BP$299*100)</f>
        <v>0</v>
      </c>
      <c r="BR123" s="854"/>
      <c r="BS123" s="854"/>
      <c r="BT123" s="854"/>
      <c r="BU123" s="854"/>
      <c r="BV123" s="854"/>
      <c r="BW123" s="854"/>
      <c r="BX123" s="854"/>
      <c r="BY123" s="854"/>
      <c r="BZ123" s="854"/>
      <c r="CA123" s="854"/>
      <c r="CB123" s="854"/>
      <c r="CC123" s="854"/>
      <c r="CD123" s="854"/>
      <c r="CE123" s="854"/>
      <c r="CF123" s="854"/>
      <c r="CG123" s="854" t="s">
        <v>45</v>
      </c>
    </row>
    <row r="124" spans="1:85" ht="16.5" customHeight="1">
      <c r="A124" s="847"/>
      <c r="B124" s="1248">
        <f t="shared" ref="B124:B125" si="49">B123+1</f>
        <v>20</v>
      </c>
      <c r="C124" s="1249" t="s">
        <v>229</v>
      </c>
      <c r="D124" s="1250"/>
      <c r="E124" s="1252">
        <f>-E71-E123</f>
        <v>1350</v>
      </c>
      <c r="F124" s="1252">
        <f t="shared" si="40"/>
        <v>1.35</v>
      </c>
      <c r="G124" s="1252">
        <f>-G71-G123</f>
        <v>13551</v>
      </c>
      <c r="H124" s="1252">
        <f t="shared" si="41"/>
        <v>12.319090909090908</v>
      </c>
      <c r="I124" s="1252">
        <f>-I71-I123</f>
        <v>18916</v>
      </c>
      <c r="J124" s="1252">
        <f t="shared" si="42"/>
        <v>15.763333333333332</v>
      </c>
      <c r="K124" s="1252">
        <f>-K71-K123</f>
        <v>18521</v>
      </c>
      <c r="L124" s="1252">
        <f t="shared" si="43"/>
        <v>14.246923076923077</v>
      </c>
      <c r="M124" s="866"/>
      <c r="N124" s="849"/>
      <c r="O124" s="850"/>
      <c r="P124" s="850"/>
      <c r="Q124" s="850"/>
      <c r="R124" s="850"/>
      <c r="S124" s="850"/>
      <c r="T124" s="851"/>
      <c r="U124" s="851"/>
      <c r="V124" s="851"/>
      <c r="W124" s="851"/>
      <c r="X124" s="851"/>
      <c r="Y124" s="851"/>
      <c r="Z124" s="851"/>
      <c r="AA124" s="851"/>
      <c r="AB124" s="851"/>
      <c r="AC124" s="851"/>
      <c r="AD124" s="851"/>
      <c r="AE124" s="851"/>
      <c r="AF124" s="851"/>
      <c r="AG124" s="851"/>
      <c r="AH124" s="852"/>
      <c r="AI124" s="852"/>
      <c r="AJ124" s="852"/>
      <c r="AK124" s="852"/>
      <c r="AL124" s="852"/>
      <c r="AM124" s="852"/>
      <c r="AN124" s="852"/>
      <c r="AO124" s="852"/>
      <c r="AP124" s="852"/>
      <c r="AQ124" s="852"/>
      <c r="AR124" s="852"/>
      <c r="AS124" s="852"/>
      <c r="AT124" s="852"/>
      <c r="AU124" s="852"/>
      <c r="AV124" s="852"/>
      <c r="AW124" s="852"/>
      <c r="AX124" s="849"/>
      <c r="AY124" s="847"/>
      <c r="AZ124" s="847"/>
      <c r="BA124" s="847"/>
      <c r="BB124" s="847"/>
      <c r="BC124" s="853"/>
      <c r="BD124" s="854"/>
      <c r="BE124" s="854"/>
      <c r="BF124" s="854"/>
      <c r="BG124" s="870">
        <v>88</v>
      </c>
      <c r="BH124" s="860" t="s">
        <v>45</v>
      </c>
      <c r="BI124" s="854"/>
      <c r="BJ124" s="871">
        <v>0</v>
      </c>
      <c r="BK124" s="872">
        <f ca="1">IF(BJ$299=0,0,BJ124/BJ$299*100)</f>
        <v>0</v>
      </c>
      <c r="BL124" s="871">
        <v>0</v>
      </c>
      <c r="BM124" s="872">
        <f ca="1">IF(BL$299=0,0,BL124/BL$299*100)</f>
        <v>0</v>
      </c>
      <c r="BN124" s="871">
        <v>0</v>
      </c>
      <c r="BO124" s="872">
        <f ca="1">IF(BN$299=0,0,BN124/BN$299*100)</f>
        <v>0</v>
      </c>
      <c r="BP124" s="871">
        <v>0</v>
      </c>
      <c r="BQ124" s="872">
        <f ca="1">IF(BP$299=0,0,BP124/BP$299*100)</f>
        <v>0</v>
      </c>
      <c r="BR124" s="854"/>
      <c r="BS124" s="854"/>
      <c r="BT124" s="854"/>
      <c r="BU124" s="854"/>
      <c r="BV124" s="854"/>
      <c r="BW124" s="854"/>
      <c r="BX124" s="854"/>
      <c r="BY124" s="854"/>
      <c r="BZ124" s="854"/>
      <c r="CA124" s="854"/>
      <c r="CB124" s="854"/>
      <c r="CC124" s="854"/>
      <c r="CD124" s="854"/>
      <c r="CE124" s="854"/>
      <c r="CF124" s="854"/>
      <c r="CG124" s="854" t="s">
        <v>45</v>
      </c>
    </row>
    <row r="125" spans="1:85" ht="16.5" customHeight="1">
      <c r="A125" s="847"/>
      <c r="B125" s="1253">
        <f t="shared" si="49"/>
        <v>21</v>
      </c>
      <c r="C125" s="1161" t="s">
        <v>230</v>
      </c>
      <c r="D125" s="1254"/>
      <c r="E125" s="1255">
        <f>+E122-E123-E124</f>
        <v>6100</v>
      </c>
      <c r="F125" s="1164">
        <f t="shared" si="40"/>
        <v>6.1</v>
      </c>
      <c r="G125" s="1255">
        <f>+G122-G123-G124</f>
        <v>84</v>
      </c>
      <c r="H125" s="1164">
        <f t="shared" si="41"/>
        <v>7.636363636363637E-2</v>
      </c>
      <c r="I125" s="1255">
        <f>+I122-I123-I124</f>
        <v>84</v>
      </c>
      <c r="J125" s="1164">
        <f t="shared" si="42"/>
        <v>6.9999999999999993E-2</v>
      </c>
      <c r="K125" s="1255">
        <f>+K122-K123-K124</f>
        <v>84</v>
      </c>
      <c r="L125" s="1164">
        <f t="shared" si="43"/>
        <v>6.4615384615384616E-2</v>
      </c>
      <c r="M125" s="867"/>
      <c r="N125" s="849"/>
      <c r="O125" s="850"/>
      <c r="P125" s="850"/>
      <c r="Q125" s="850"/>
      <c r="R125" s="850"/>
      <c r="S125" s="850"/>
      <c r="T125" s="851"/>
      <c r="U125" s="851"/>
      <c r="V125" s="851"/>
      <c r="W125" s="851"/>
      <c r="X125" s="851"/>
      <c r="Y125" s="851"/>
      <c r="Z125" s="851"/>
      <c r="AA125" s="851"/>
      <c r="AB125" s="851"/>
      <c r="AC125" s="851"/>
      <c r="AD125" s="851"/>
      <c r="AE125" s="851"/>
      <c r="AF125" s="851"/>
      <c r="AG125" s="851"/>
      <c r="AH125" s="852"/>
      <c r="AI125" s="852"/>
      <c r="AJ125" s="852"/>
      <c r="AK125" s="852"/>
      <c r="AL125" s="852"/>
      <c r="AM125" s="852"/>
      <c r="AN125" s="852"/>
      <c r="AO125" s="852"/>
      <c r="AP125" s="852"/>
      <c r="AQ125" s="852"/>
      <c r="AR125" s="852"/>
      <c r="AS125" s="852"/>
      <c r="AT125" s="852"/>
      <c r="AU125" s="852"/>
      <c r="AV125" s="852"/>
      <c r="AW125" s="852"/>
      <c r="AX125" s="849"/>
      <c r="AY125" s="847"/>
      <c r="AZ125" s="847"/>
      <c r="BA125" s="847"/>
      <c r="BB125" s="847"/>
      <c r="BC125" s="853"/>
      <c r="BD125" s="854"/>
      <c r="BE125" s="854"/>
      <c r="BF125" s="854"/>
      <c r="BG125" s="870">
        <v>89</v>
      </c>
      <c r="BH125" s="860" t="s">
        <v>45</v>
      </c>
      <c r="BI125" s="854"/>
      <c r="BJ125" s="871">
        <v>0</v>
      </c>
      <c r="BK125" s="872">
        <f ca="1">IF(BJ$299=0,0,BJ125/BJ$299*100)</f>
        <v>0</v>
      </c>
      <c r="BL125" s="871">
        <v>0</v>
      </c>
      <c r="BM125" s="872">
        <f ca="1">IF(BL$299=0,0,BL125/BL$299*100)</f>
        <v>0</v>
      </c>
      <c r="BN125" s="871">
        <v>0</v>
      </c>
      <c r="BO125" s="872">
        <f ca="1">IF(BN$299=0,0,BN125/BN$299*100)</f>
        <v>0</v>
      </c>
      <c r="BP125" s="871">
        <v>0</v>
      </c>
      <c r="BQ125" s="872">
        <f ca="1">IF(BP$299=0,0,BP125/BP$299*100)</f>
        <v>0</v>
      </c>
      <c r="BR125" s="854"/>
      <c r="BS125" s="854"/>
      <c r="BT125" s="854"/>
      <c r="BU125" s="854"/>
      <c r="BV125" s="854"/>
      <c r="BW125" s="854"/>
      <c r="BX125" s="854"/>
      <c r="BY125" s="854"/>
      <c r="BZ125" s="854"/>
      <c r="CA125" s="854"/>
      <c r="CB125" s="854"/>
      <c r="CC125" s="854"/>
      <c r="CD125" s="854"/>
      <c r="CE125" s="854"/>
      <c r="CF125" s="854"/>
      <c r="CG125" s="854" t="s">
        <v>45</v>
      </c>
    </row>
    <row r="126" spans="1:85" ht="15.75" customHeight="1">
      <c r="A126" s="847"/>
      <c r="B126" s="1264"/>
      <c r="C126" s="1265"/>
      <c r="D126" s="1266"/>
      <c r="E126" s="1361"/>
      <c r="F126" s="1362"/>
      <c r="G126" s="1361"/>
      <c r="H126" s="1363"/>
      <c r="I126" s="1361"/>
      <c r="J126" s="1364"/>
      <c r="K126" s="1361"/>
      <c r="L126" s="1267"/>
      <c r="M126" s="869"/>
      <c r="N126" s="849"/>
      <c r="O126" s="850"/>
      <c r="P126" s="850"/>
      <c r="Q126" s="850"/>
      <c r="R126" s="850"/>
      <c r="S126" s="850"/>
      <c r="T126" s="851"/>
      <c r="U126" s="851"/>
      <c r="V126" s="851"/>
      <c r="W126" s="851"/>
      <c r="X126" s="851"/>
      <c r="Y126" s="851"/>
      <c r="Z126" s="851"/>
      <c r="AA126" s="851"/>
      <c r="AB126" s="851"/>
      <c r="AC126" s="851"/>
      <c r="AD126" s="851"/>
      <c r="AE126" s="851"/>
      <c r="AF126" s="851"/>
      <c r="AG126" s="851"/>
      <c r="AH126" s="852"/>
      <c r="AI126" s="852"/>
      <c r="AJ126" s="852"/>
      <c r="AK126" s="852"/>
      <c r="AL126" s="852"/>
      <c r="AM126" s="852"/>
      <c r="AN126" s="852"/>
      <c r="AO126" s="852"/>
      <c r="AP126" s="852"/>
      <c r="AQ126" s="852"/>
      <c r="AR126" s="852"/>
      <c r="AS126" s="852"/>
      <c r="AT126" s="852"/>
      <c r="AU126" s="852"/>
      <c r="AV126" s="852"/>
      <c r="AW126" s="852"/>
      <c r="AX126" s="849"/>
      <c r="AY126" s="847"/>
      <c r="AZ126" s="847"/>
      <c r="BA126" s="847"/>
      <c r="BB126" s="847"/>
      <c r="BC126" s="853"/>
      <c r="BD126" s="854"/>
      <c r="BE126" s="854"/>
      <c r="BF126" s="854"/>
      <c r="BG126" s="870">
        <v>90</v>
      </c>
      <c r="BH126" s="860" t="s">
        <v>45</v>
      </c>
      <c r="BI126" s="854"/>
      <c r="BJ126" s="871">
        <v>0</v>
      </c>
      <c r="BK126" s="872">
        <f ca="1">IF(BJ$299=0,0,BJ126/BJ$299*100)</f>
        <v>0</v>
      </c>
      <c r="BL126" s="871">
        <v>0</v>
      </c>
      <c r="BM126" s="872">
        <f ca="1">IF(BL$299=0,0,BL126/BL$299*100)</f>
        <v>0</v>
      </c>
      <c r="BN126" s="871">
        <v>0</v>
      </c>
      <c r="BO126" s="872">
        <f ca="1">IF(BN$299=0,0,BN126/BN$299*100)</f>
        <v>0</v>
      </c>
      <c r="BP126" s="871">
        <v>0</v>
      </c>
      <c r="BQ126" s="872">
        <f ca="1">IF(BP$299=0,0,BP126/BP$299*100)</f>
        <v>0</v>
      </c>
      <c r="BR126" s="854"/>
      <c r="BS126" s="854"/>
      <c r="BT126" s="854"/>
      <c r="BU126" s="854"/>
      <c r="BV126" s="854"/>
      <c r="BW126" s="854"/>
      <c r="BX126" s="854"/>
      <c r="BY126" s="854"/>
      <c r="BZ126" s="854"/>
      <c r="CA126" s="854"/>
      <c r="CB126" s="854"/>
      <c r="CC126" s="854"/>
      <c r="CD126" s="854"/>
      <c r="CE126" s="854"/>
      <c r="CF126" s="854"/>
      <c r="CG126" s="854" t="s">
        <v>45</v>
      </c>
    </row>
    <row r="127" spans="1:85" ht="15.75" customHeight="1">
      <c r="A127" s="847"/>
      <c r="B127" s="1268"/>
      <c r="C127" s="1269"/>
      <c r="D127" s="1236"/>
      <c r="E127" s="1365"/>
      <c r="F127" s="1366"/>
      <c r="G127" s="1365"/>
      <c r="H127" s="1367"/>
      <c r="I127" s="1365"/>
      <c r="J127" s="1368"/>
      <c r="K127" s="1365"/>
      <c r="L127" s="1270"/>
      <c r="M127" s="869"/>
      <c r="N127" s="849"/>
      <c r="O127" s="850"/>
      <c r="P127" s="850"/>
      <c r="Q127" s="850"/>
      <c r="R127" s="850"/>
      <c r="S127" s="850"/>
      <c r="T127" s="851"/>
      <c r="U127" s="851"/>
      <c r="V127" s="851"/>
      <c r="W127" s="851"/>
      <c r="X127" s="851"/>
      <c r="Y127" s="851"/>
      <c r="Z127" s="851"/>
      <c r="AA127" s="851"/>
      <c r="AB127" s="851"/>
      <c r="AC127" s="851"/>
      <c r="AD127" s="851"/>
      <c r="AE127" s="851"/>
      <c r="AF127" s="851"/>
      <c r="AG127" s="851"/>
      <c r="AH127" s="852"/>
      <c r="AI127" s="852"/>
      <c r="AJ127" s="852"/>
      <c r="AK127" s="852"/>
      <c r="AL127" s="852"/>
      <c r="AM127" s="852"/>
      <c r="AN127" s="852"/>
      <c r="AO127" s="852"/>
      <c r="AP127" s="852"/>
      <c r="AQ127" s="852"/>
      <c r="AR127" s="852"/>
      <c r="AS127" s="852"/>
      <c r="AT127" s="852"/>
      <c r="AU127" s="852"/>
      <c r="AV127" s="852"/>
      <c r="AW127" s="852"/>
      <c r="AX127" s="849"/>
      <c r="AY127" s="847"/>
      <c r="AZ127" s="847"/>
      <c r="BA127" s="847"/>
      <c r="BB127" s="847"/>
      <c r="BC127" s="853"/>
      <c r="BD127" s="854"/>
      <c r="BE127" s="854"/>
      <c r="BF127" s="854"/>
      <c r="BG127" s="870"/>
      <c r="BH127" s="860"/>
      <c r="BI127" s="854"/>
      <c r="BJ127" s="871"/>
      <c r="BK127" s="872"/>
      <c r="BL127" s="871"/>
      <c r="BM127" s="872"/>
      <c r="BN127" s="871"/>
      <c r="BO127" s="872"/>
      <c r="BP127" s="871"/>
      <c r="BQ127" s="872"/>
      <c r="BR127" s="854"/>
      <c r="BS127" s="854"/>
      <c r="BT127" s="854"/>
      <c r="BU127" s="854"/>
      <c r="BV127" s="854"/>
      <c r="BW127" s="854"/>
      <c r="BX127" s="854"/>
      <c r="BY127" s="854"/>
      <c r="BZ127" s="854"/>
      <c r="CA127" s="854"/>
      <c r="CB127" s="854"/>
      <c r="CC127" s="854"/>
      <c r="CD127" s="854"/>
      <c r="CE127" s="854"/>
      <c r="CF127" s="854"/>
      <c r="CG127" s="854"/>
    </row>
    <row r="128" spans="1:85" ht="16.5" customHeight="1">
      <c r="A128" s="847"/>
      <c r="B128" s="1174"/>
      <c r="C128" s="1271" t="s">
        <v>231</v>
      </c>
      <c r="D128" s="1176"/>
      <c r="E128" s="1369">
        <f>E13</f>
        <v>44561</v>
      </c>
      <c r="F128" s="1370"/>
      <c r="G128" s="1369">
        <f>G13</f>
        <v>44926</v>
      </c>
      <c r="H128" s="1371"/>
      <c r="I128" s="1369">
        <f>I13</f>
        <v>45291</v>
      </c>
      <c r="J128" s="1370"/>
      <c r="K128" s="1369">
        <f>K13</f>
        <v>45473</v>
      </c>
      <c r="L128" s="1272"/>
      <c r="M128" s="869"/>
      <c r="N128" s="849"/>
      <c r="O128" s="850"/>
      <c r="P128" s="850"/>
      <c r="Q128" s="850"/>
      <c r="R128" s="850"/>
      <c r="S128" s="850"/>
      <c r="T128" s="851"/>
      <c r="U128" s="851"/>
      <c r="V128" s="851"/>
      <c r="W128" s="851"/>
      <c r="X128" s="851"/>
      <c r="Y128" s="851"/>
      <c r="Z128" s="851"/>
      <c r="AA128" s="851"/>
      <c r="AB128" s="851"/>
      <c r="AC128" s="851"/>
      <c r="AD128" s="851"/>
      <c r="AE128" s="851"/>
      <c r="AF128" s="851"/>
      <c r="AG128" s="851"/>
      <c r="AH128" s="852"/>
      <c r="AI128" s="852"/>
      <c r="AJ128" s="852"/>
      <c r="AK128" s="852"/>
      <c r="AL128" s="852"/>
      <c r="AM128" s="852"/>
      <c r="AN128" s="852"/>
      <c r="AO128" s="852"/>
      <c r="AP128" s="852"/>
      <c r="AQ128" s="852"/>
      <c r="AR128" s="852"/>
      <c r="AS128" s="852"/>
      <c r="AT128" s="852"/>
      <c r="AU128" s="852"/>
      <c r="AV128" s="852"/>
      <c r="AW128" s="852"/>
      <c r="AX128" s="849"/>
      <c r="AY128" s="847"/>
      <c r="AZ128" s="847"/>
      <c r="BA128" s="847"/>
      <c r="BB128" s="847"/>
      <c r="BC128" s="853"/>
      <c r="BD128" s="854"/>
      <c r="BE128" s="854"/>
      <c r="BF128" s="854"/>
      <c r="BG128" s="870">
        <v>61</v>
      </c>
      <c r="BH128" s="883" t="s">
        <v>184</v>
      </c>
      <c r="BI128" s="884"/>
      <c r="BJ128" s="885">
        <f>SUM(BJ55:BJ127)</f>
        <v>1945.1969760000002</v>
      </c>
      <c r="BK128" s="886">
        <f ca="1">IF(BJ$299=0,0,BJ128/BJ$299*100)</f>
        <v>136.82710229030491</v>
      </c>
      <c r="BL128" s="885">
        <f>SUM(BL55:BL127)</f>
        <v>506.071258</v>
      </c>
      <c r="BM128" s="886">
        <f ca="1">IF(BL$299=0,0,BL128/BL$299*100)</f>
        <v>2.2592023278605775</v>
      </c>
      <c r="BN128" s="885">
        <f>SUM(BN55:BN127)</f>
        <v>2370.900165</v>
      </c>
      <c r="BO128" s="886">
        <f ca="1">IF(BN$299=0,0,BN128/BN$299*100)</f>
        <v>8.1735056761647744</v>
      </c>
      <c r="BP128" s="885">
        <f>SUM(BP55:BP127)</f>
        <v>152595.23949199996</v>
      </c>
      <c r="BQ128" s="886">
        <f ca="1">IF(BP$299=0,0,BP128/BP$299*100)</f>
        <v>39.581649364172939</v>
      </c>
      <c r="BR128" s="854"/>
      <c r="BS128" s="854"/>
      <c r="BT128" s="854"/>
      <c r="BU128" s="854"/>
      <c r="BV128" s="854"/>
      <c r="BW128" s="854"/>
      <c r="BX128" s="854"/>
      <c r="BY128" s="854"/>
      <c r="BZ128" s="854"/>
      <c r="CA128" s="854"/>
      <c r="CB128" s="854"/>
      <c r="CC128" s="854"/>
      <c r="CD128" s="854"/>
      <c r="CE128" s="854"/>
      <c r="CF128" s="854"/>
      <c r="CG128" s="854" t="s">
        <v>45</v>
      </c>
    </row>
    <row r="129" spans="1:85" ht="15.75" customHeight="1">
      <c r="A129" s="847"/>
      <c r="B129" s="1180"/>
      <c r="C129" s="1181" t="s">
        <v>232</v>
      </c>
      <c r="D129" s="1273"/>
      <c r="E129" s="1372"/>
      <c r="F129" s="1211" t="s">
        <v>86</v>
      </c>
      <c r="G129" s="1373">
        <f>IF(E105=0,0,(((G105/H103)/(E105/F103)-1))*100)</f>
        <v>10.000000000000009</v>
      </c>
      <c r="H129" s="1374" t="s">
        <v>86</v>
      </c>
      <c r="I129" s="1148">
        <f>IF(G105=0,0,(((I105/J103)/(G105/H103)-1))*100)</f>
        <v>9.0909090909090828</v>
      </c>
      <c r="J129" s="1375" t="s">
        <v>86</v>
      </c>
      <c r="K129" s="1148">
        <f>IF(I105=0,0,(((K105/L103)/(I105/J103)-1))*100)</f>
        <v>116.66666666666666</v>
      </c>
      <c r="L129" s="1274" t="s">
        <v>86</v>
      </c>
      <c r="M129" s="869"/>
      <c r="N129" s="849"/>
      <c r="O129" s="850"/>
      <c r="P129" s="850"/>
      <c r="Q129" s="850"/>
      <c r="R129" s="850"/>
      <c r="S129" s="850"/>
      <c r="T129" s="851"/>
      <c r="U129" s="851"/>
      <c r="V129" s="851"/>
      <c r="W129" s="851"/>
      <c r="X129" s="851"/>
      <c r="Y129" s="851"/>
      <c r="Z129" s="851"/>
      <c r="AA129" s="851"/>
      <c r="AB129" s="851"/>
      <c r="AC129" s="851"/>
      <c r="AD129" s="851"/>
      <c r="AE129" s="851"/>
      <c r="AF129" s="851"/>
      <c r="AG129" s="851"/>
      <c r="AH129" s="852"/>
      <c r="AI129" s="852"/>
      <c r="AJ129" s="852"/>
      <c r="AK129" s="852"/>
      <c r="AL129" s="852"/>
      <c r="AM129" s="852"/>
      <c r="AN129" s="852"/>
      <c r="AO129" s="852"/>
      <c r="AP129" s="852"/>
      <c r="AQ129" s="852"/>
      <c r="AR129" s="852"/>
      <c r="AS129" s="852"/>
      <c r="AT129" s="852"/>
      <c r="AU129" s="852"/>
      <c r="AV129" s="852"/>
      <c r="AW129" s="852"/>
      <c r="AX129" s="849"/>
      <c r="AY129" s="847"/>
      <c r="AZ129" s="847"/>
      <c r="BA129" s="847"/>
      <c r="BB129" s="847"/>
      <c r="BC129" s="853"/>
      <c r="BD129" s="854"/>
      <c r="BE129" s="854"/>
      <c r="BF129" s="854"/>
      <c r="BG129" s="870">
        <v>91</v>
      </c>
      <c r="BH129" s="860" t="s">
        <v>45</v>
      </c>
      <c r="BI129" s="854"/>
      <c r="BJ129" s="871">
        <v>0</v>
      </c>
      <c r="BK129" s="872">
        <f ca="1">IF(BJ$299=0,0,BJ129/BJ$299*100)</f>
        <v>0</v>
      </c>
      <c r="BL129" s="871">
        <v>0</v>
      </c>
      <c r="BM129" s="872">
        <f ca="1">IF(BL$299=0,0,BL129/BL$299*100)</f>
        <v>0</v>
      </c>
      <c r="BN129" s="871">
        <v>0</v>
      </c>
      <c r="BO129" s="872">
        <f ca="1">IF(BN$299=0,0,BN129/BN$299*100)</f>
        <v>0</v>
      </c>
      <c r="BP129" s="871">
        <v>0</v>
      </c>
      <c r="BQ129" s="872">
        <f ca="1">IF(BP$299=0,0,BP129/BP$299*100)</f>
        <v>0</v>
      </c>
      <c r="BR129" s="854"/>
      <c r="BS129" s="854"/>
      <c r="BT129" s="854"/>
      <c r="BU129" s="854"/>
      <c r="BV129" s="854"/>
      <c r="BW129" s="854"/>
      <c r="BX129" s="854"/>
      <c r="BY129" s="854"/>
      <c r="BZ129" s="854"/>
      <c r="CA129" s="854"/>
      <c r="CB129" s="854"/>
      <c r="CC129" s="854"/>
      <c r="CD129" s="854"/>
      <c r="CE129" s="854"/>
      <c r="CF129" s="854"/>
      <c r="CG129" s="854" t="s">
        <v>45</v>
      </c>
    </row>
    <row r="130" spans="1:85" ht="15.75" customHeight="1">
      <c r="A130" s="847"/>
      <c r="B130" s="1154"/>
      <c r="C130" s="1186" t="s">
        <v>233</v>
      </c>
      <c r="D130" s="1275"/>
      <c r="E130" s="1153">
        <f>IF(E105=0,0,E107/E105*100)</f>
        <v>20</v>
      </c>
      <c r="F130" s="1216" t="s">
        <v>86</v>
      </c>
      <c r="G130" s="1376">
        <f>IF(G105=0,0,G107/G105*100)</f>
        <v>26.36363636363636</v>
      </c>
      <c r="H130" s="1377" t="s">
        <v>86</v>
      </c>
      <c r="I130" s="1153">
        <f>IF(I105=0,0,I107/I105*100)</f>
        <v>31.666666666666664</v>
      </c>
      <c r="J130" s="1378" t="s">
        <v>86</v>
      </c>
      <c r="K130" s="1153">
        <f>IF(K105=0,0,K107/K105*100)</f>
        <v>30.76923076923077</v>
      </c>
      <c r="L130" s="1276" t="s">
        <v>86</v>
      </c>
      <c r="M130" s="869"/>
      <c r="N130" s="849"/>
      <c r="O130" s="850"/>
      <c r="P130" s="850"/>
      <c r="Q130" s="850"/>
      <c r="R130" s="850"/>
      <c r="S130" s="850"/>
      <c r="T130" s="851"/>
      <c r="U130" s="851"/>
      <c r="V130" s="851"/>
      <c r="W130" s="851"/>
      <c r="X130" s="851"/>
      <c r="Y130" s="851"/>
      <c r="Z130" s="851"/>
      <c r="AA130" s="851"/>
      <c r="AB130" s="851"/>
      <c r="AC130" s="851"/>
      <c r="AD130" s="851"/>
      <c r="AE130" s="851"/>
      <c r="AF130" s="851"/>
      <c r="AG130" s="851"/>
      <c r="AH130" s="852"/>
      <c r="AI130" s="852"/>
      <c r="AJ130" s="852"/>
      <c r="AK130" s="852"/>
      <c r="AL130" s="852"/>
      <c r="AM130" s="852"/>
      <c r="AN130" s="852"/>
      <c r="AO130" s="852"/>
      <c r="AP130" s="852"/>
      <c r="AQ130" s="852"/>
      <c r="AR130" s="852"/>
      <c r="AS130" s="852"/>
      <c r="AT130" s="852"/>
      <c r="AU130" s="852"/>
      <c r="AV130" s="852"/>
      <c r="AW130" s="852"/>
      <c r="AX130" s="849"/>
      <c r="AY130" s="847"/>
      <c r="AZ130" s="847"/>
      <c r="BA130" s="847"/>
      <c r="BB130" s="847"/>
      <c r="BC130" s="853"/>
      <c r="BD130" s="854"/>
      <c r="BE130" s="854"/>
      <c r="BF130" s="854"/>
      <c r="BG130" s="870">
        <v>92</v>
      </c>
      <c r="BH130" s="860" t="s">
        <v>234</v>
      </c>
      <c r="BI130" s="854"/>
      <c r="BJ130" s="871">
        <v>0</v>
      </c>
      <c r="BK130" s="872">
        <f ca="1">IF(BJ$299=0,0,BJ130/BJ$299*100)</f>
        <v>0</v>
      </c>
      <c r="BL130" s="871">
        <v>0</v>
      </c>
      <c r="BM130" s="872">
        <f ca="1">IF(BL$299=0,0,BL130/BL$299*100)</f>
        <v>0</v>
      </c>
      <c r="BN130" s="871">
        <v>0</v>
      </c>
      <c r="BO130" s="872">
        <f ca="1">IF(BN$299=0,0,BN130/BN$299*100)</f>
        <v>0</v>
      </c>
      <c r="BP130" s="871">
        <v>0</v>
      </c>
      <c r="BQ130" s="872">
        <f ca="1">IF(BP$299=0,0,BP130/BP$299*100)</f>
        <v>0</v>
      </c>
      <c r="BR130" s="854"/>
      <c r="BS130" s="854"/>
      <c r="BT130" s="854"/>
      <c r="BU130" s="854"/>
      <c r="BV130" s="854"/>
      <c r="BW130" s="854"/>
      <c r="BX130" s="854"/>
      <c r="BY130" s="854"/>
      <c r="BZ130" s="854"/>
      <c r="CA130" s="854"/>
      <c r="CB130" s="854"/>
      <c r="CC130" s="854"/>
      <c r="CD130" s="854"/>
      <c r="CE130" s="854"/>
      <c r="CF130" s="854"/>
      <c r="CG130" s="854" t="s">
        <v>45</v>
      </c>
    </row>
    <row r="131" spans="1:85" ht="15.75" customHeight="1">
      <c r="A131" s="847"/>
      <c r="B131" s="1154"/>
      <c r="C131" s="1186" t="s">
        <v>235</v>
      </c>
      <c r="D131" s="1275"/>
      <c r="E131" s="1153">
        <f>IF(E105=0,0,E109/E105*100)</f>
        <v>15</v>
      </c>
      <c r="F131" s="1216" t="s">
        <v>86</v>
      </c>
      <c r="G131" s="1153">
        <f>IF(G105=0,0,G109/G105*100)</f>
        <v>21.727272727272727</v>
      </c>
      <c r="H131" s="1377" t="s">
        <v>86</v>
      </c>
      <c r="I131" s="1153">
        <f>IF(I105=0,0,I109/I105*100)</f>
        <v>27.333333333333332</v>
      </c>
      <c r="J131" s="1378" t="s">
        <v>86</v>
      </c>
      <c r="K131" s="1153">
        <f>IF(K105=0,0,K109/K105*100)</f>
        <v>25.384615384615383</v>
      </c>
      <c r="L131" s="1276" t="s">
        <v>86</v>
      </c>
      <c r="M131" s="869"/>
      <c r="N131" s="849"/>
      <c r="O131" s="850"/>
      <c r="P131" s="850"/>
      <c r="Q131" s="850"/>
      <c r="R131" s="850"/>
      <c r="S131" s="850"/>
      <c r="T131" s="851"/>
      <c r="U131" s="851"/>
      <c r="V131" s="851"/>
      <c r="W131" s="851"/>
      <c r="X131" s="851"/>
      <c r="Y131" s="851"/>
      <c r="Z131" s="851"/>
      <c r="AA131" s="851"/>
      <c r="AB131" s="851"/>
      <c r="AC131" s="851"/>
      <c r="AD131" s="851"/>
      <c r="AE131" s="851"/>
      <c r="AF131" s="851"/>
      <c r="AG131" s="851"/>
      <c r="AH131" s="852"/>
      <c r="AI131" s="852"/>
      <c r="AJ131" s="852"/>
      <c r="AK131" s="852"/>
      <c r="AL131" s="852"/>
      <c r="AM131" s="852"/>
      <c r="AN131" s="852"/>
      <c r="AO131" s="852"/>
      <c r="AP131" s="852"/>
      <c r="AQ131" s="852"/>
      <c r="AR131" s="852"/>
      <c r="AS131" s="852"/>
      <c r="AT131" s="852"/>
      <c r="AU131" s="852"/>
      <c r="AV131" s="852"/>
      <c r="AW131" s="852"/>
      <c r="AX131" s="849"/>
      <c r="AY131" s="847"/>
      <c r="AZ131" s="847"/>
      <c r="BA131" s="847"/>
      <c r="BB131" s="847"/>
      <c r="BC131" s="853"/>
      <c r="BD131" s="854"/>
      <c r="BE131" s="854"/>
      <c r="BF131" s="854"/>
      <c r="BG131" s="854"/>
      <c r="BH131" s="854"/>
      <c r="BI131" s="854"/>
      <c r="BJ131" s="854"/>
      <c r="BK131" s="854"/>
      <c r="BL131" s="854"/>
      <c r="BM131" s="854"/>
      <c r="BN131" s="854"/>
      <c r="BO131" s="854"/>
      <c r="BP131" s="854"/>
      <c r="BQ131" s="854"/>
      <c r="BR131" s="854"/>
      <c r="BS131" s="854"/>
      <c r="BT131" s="854"/>
      <c r="BU131" s="870">
        <v>93</v>
      </c>
      <c r="BV131" s="860" t="s">
        <v>236</v>
      </c>
      <c r="BW131" s="854"/>
      <c r="BX131" s="871">
        <v>0</v>
      </c>
      <c r="BY131" s="872">
        <f ca="1">IF(BJ$299=0,0,BX131/BJ$299*100)</f>
        <v>0</v>
      </c>
      <c r="BZ131" s="871">
        <v>0</v>
      </c>
      <c r="CA131" s="872">
        <f ca="1">IF(BL$299=0,0,BZ131/BL$299*100)</f>
        <v>0</v>
      </c>
      <c r="CB131" s="871">
        <v>0</v>
      </c>
      <c r="CC131" s="872">
        <f ca="1">IF(BN$299=0,0,CB131/BN$299*100)</f>
        <v>0</v>
      </c>
      <c r="CD131" s="871">
        <v>0</v>
      </c>
      <c r="CE131" s="872">
        <f ca="1">IF(BP$299=0,0,CD131/BP$299*100)</f>
        <v>0</v>
      </c>
      <c r="CF131" s="854"/>
      <c r="CG131" s="854" t="s">
        <v>45</v>
      </c>
    </row>
    <row r="132" spans="1:85" ht="15.75" customHeight="1">
      <c r="A132" s="847"/>
      <c r="B132" s="1154"/>
      <c r="C132" s="1186" t="s">
        <v>237</v>
      </c>
      <c r="D132" s="1275"/>
      <c r="E132" s="1217">
        <f>IF(E105=0,0,E122/E105*100)</f>
        <v>7.6499999999999995</v>
      </c>
      <c r="F132" s="1216" t="s">
        <v>86</v>
      </c>
      <c r="G132" s="1217">
        <f>IF(G105=0,0,G122/G105*100)</f>
        <v>12.668181818181818</v>
      </c>
      <c r="H132" s="1216" t="s">
        <v>86</v>
      </c>
      <c r="I132" s="1217">
        <f>IF(I105=0,0,I122/I105*100)</f>
        <v>16.166666666666664</v>
      </c>
      <c r="J132" s="1216" t="s">
        <v>86</v>
      </c>
      <c r="K132" s="1217">
        <f>IF(K105=0,0,K122/K105*100)</f>
        <v>14.696153846153845</v>
      </c>
      <c r="L132" s="1216" t="s">
        <v>86</v>
      </c>
      <c r="M132" s="888"/>
      <c r="N132" s="889"/>
      <c r="O132" s="850"/>
      <c r="P132" s="850"/>
      <c r="Q132" s="850"/>
      <c r="R132" s="850"/>
      <c r="S132" s="850"/>
      <c r="T132" s="851"/>
      <c r="U132" s="851"/>
      <c r="V132" s="851"/>
      <c r="W132" s="851"/>
      <c r="X132" s="851"/>
      <c r="Y132" s="851"/>
      <c r="Z132" s="851"/>
      <c r="AA132" s="851"/>
      <c r="AB132" s="851"/>
      <c r="AC132" s="851"/>
      <c r="AD132" s="851"/>
      <c r="AE132" s="851"/>
      <c r="AF132" s="851"/>
      <c r="AG132" s="851"/>
      <c r="AH132" s="852"/>
      <c r="AI132" s="852"/>
      <c r="AJ132" s="852"/>
      <c r="AK132" s="852"/>
      <c r="AL132" s="852"/>
      <c r="AM132" s="852"/>
      <c r="AN132" s="852"/>
      <c r="AO132" s="852"/>
      <c r="AP132" s="852"/>
      <c r="AQ132" s="852"/>
      <c r="AR132" s="852"/>
      <c r="AS132" s="852"/>
      <c r="AT132" s="852"/>
      <c r="AU132" s="852"/>
      <c r="AV132" s="852"/>
      <c r="AW132" s="852"/>
      <c r="AX132" s="849"/>
      <c r="AY132" s="847"/>
      <c r="AZ132" s="847"/>
      <c r="BA132" s="847"/>
      <c r="BB132" s="847"/>
      <c r="BC132" s="853"/>
      <c r="BD132" s="854"/>
      <c r="BE132" s="854"/>
      <c r="BF132" s="854"/>
      <c r="BG132" s="870">
        <v>94</v>
      </c>
      <c r="BH132" s="860" t="s">
        <v>161</v>
      </c>
      <c r="BI132" s="854"/>
      <c r="BJ132" s="871">
        <v>0</v>
      </c>
      <c r="BK132" s="872">
        <f ca="1">IF(BJ$299=0,0,BJ132/BJ$299*100)</f>
        <v>0</v>
      </c>
      <c r="BL132" s="871">
        <v>0</v>
      </c>
      <c r="BM132" s="872">
        <f ca="1">IF(BL$299=0,0,BL132/BL$299*100)</f>
        <v>0</v>
      </c>
      <c r="BN132" s="871">
        <v>0</v>
      </c>
      <c r="BO132" s="872">
        <f ca="1">IF(BN$299=0,0,BN132/BN$299*100)</f>
        <v>0</v>
      </c>
      <c r="BP132" s="871">
        <v>0</v>
      </c>
      <c r="BQ132" s="872">
        <f ca="1">IF(BP$299=0,0,BP132/BP$299*100)</f>
        <v>0</v>
      </c>
      <c r="BR132" s="854"/>
      <c r="BS132" s="854"/>
      <c r="BT132" s="854"/>
      <c r="BU132" s="854"/>
      <c r="BV132" s="854"/>
      <c r="BW132" s="854"/>
      <c r="BX132" s="854"/>
      <c r="BY132" s="854"/>
      <c r="BZ132" s="854"/>
      <c r="CA132" s="854"/>
      <c r="CB132" s="854"/>
      <c r="CC132" s="854"/>
      <c r="CD132" s="854"/>
      <c r="CE132" s="854"/>
      <c r="CF132" s="854"/>
      <c r="CG132" s="854" t="s">
        <v>45</v>
      </c>
    </row>
    <row r="133" spans="1:85" ht="15.75" customHeight="1">
      <c r="A133" s="847"/>
      <c r="B133" s="1154"/>
      <c r="C133" s="1186" t="s">
        <v>238</v>
      </c>
      <c r="D133" s="1275"/>
      <c r="E133" s="1153">
        <f>(E117+E110+E111)</f>
        <v>14950</v>
      </c>
      <c r="F133" s="1379" t="str">
        <f>B13</f>
        <v>IDR Million</v>
      </c>
      <c r="G133" s="1153">
        <f>(G117+G110+G111)</f>
        <v>23955</v>
      </c>
      <c r="H133" s="1380" t="str">
        <f>B13</f>
        <v>IDR Million</v>
      </c>
      <c r="I133" s="1153">
        <f>(I117+I110+I111)</f>
        <v>32740</v>
      </c>
      <c r="J133" s="1381" t="str">
        <f>B13</f>
        <v>IDR Million</v>
      </c>
      <c r="K133" s="1153">
        <f>(K117+K110+K111)</f>
        <v>33065</v>
      </c>
      <c r="L133" s="1276" t="str">
        <f>B13</f>
        <v>IDR Million</v>
      </c>
      <c r="M133" s="869"/>
      <c r="N133" s="849"/>
      <c r="O133" s="850"/>
      <c r="P133" s="850"/>
      <c r="Q133" s="850"/>
      <c r="R133" s="850"/>
      <c r="S133" s="850"/>
      <c r="T133" s="851"/>
      <c r="U133" s="851"/>
      <c r="V133" s="851"/>
      <c r="W133" s="851"/>
      <c r="X133" s="851"/>
      <c r="Y133" s="851"/>
      <c r="Z133" s="851"/>
      <c r="AA133" s="851"/>
      <c r="AB133" s="851"/>
      <c r="AC133" s="851"/>
      <c r="AD133" s="851"/>
      <c r="AE133" s="851"/>
      <c r="AF133" s="851"/>
      <c r="AG133" s="851"/>
      <c r="AH133" s="852"/>
      <c r="AI133" s="852"/>
      <c r="AJ133" s="852"/>
      <c r="AK133" s="852"/>
      <c r="AL133" s="852"/>
      <c r="AM133" s="852"/>
      <c r="AN133" s="852"/>
      <c r="AO133" s="852"/>
      <c r="AP133" s="852"/>
      <c r="AQ133" s="852"/>
      <c r="AR133" s="852"/>
      <c r="AS133" s="852"/>
      <c r="AT133" s="852"/>
      <c r="AU133" s="852"/>
      <c r="AV133" s="852"/>
      <c r="AW133" s="852"/>
      <c r="AX133" s="849"/>
      <c r="AY133" s="847"/>
      <c r="AZ133" s="847"/>
      <c r="BA133" s="847"/>
      <c r="BB133" s="847"/>
      <c r="BC133" s="853"/>
      <c r="BD133" s="854"/>
      <c r="BE133" s="854"/>
      <c r="BF133" s="854"/>
      <c r="BG133" s="854"/>
      <c r="BH133" s="854"/>
      <c r="BI133" s="854"/>
      <c r="BJ133" s="854"/>
      <c r="BK133" s="854"/>
      <c r="BL133" s="854"/>
      <c r="BM133" s="854"/>
      <c r="BN133" s="854"/>
      <c r="BO133" s="854"/>
      <c r="BP133" s="854"/>
      <c r="BQ133" s="854"/>
      <c r="BR133" s="854"/>
      <c r="BS133" s="854"/>
      <c r="BT133" s="854"/>
      <c r="BU133" s="870">
        <v>95</v>
      </c>
      <c r="BV133" s="860" t="s">
        <v>239</v>
      </c>
      <c r="BW133" s="854"/>
      <c r="BX133" s="871">
        <v>819.78650000000005</v>
      </c>
      <c r="BY133" s="872">
        <f ca="1">IF(BJ$299=0,0,BX133/BJ$299*100)</f>
        <v>57.664602955721968</v>
      </c>
      <c r="BZ133" s="871">
        <v>0</v>
      </c>
      <c r="CA133" s="872">
        <f ca="1">IF(BL$299=0,0,BZ133/BL$299*100)</f>
        <v>0</v>
      </c>
      <c r="CB133" s="871">
        <v>0</v>
      </c>
      <c r="CC133" s="872">
        <f ca="1">IF(BN$299=0,0,CB133/BN$299*100)</f>
        <v>0</v>
      </c>
      <c r="CD133" s="871">
        <v>0</v>
      </c>
      <c r="CE133" s="872">
        <f ca="1">IF(BP$299=0,0,CD133/BP$299*100)</f>
        <v>0</v>
      </c>
      <c r="CF133" s="854"/>
      <c r="CG133" s="854" t="s">
        <v>45</v>
      </c>
    </row>
    <row r="134" spans="1:85" ht="15.75" customHeight="1">
      <c r="A134" s="890"/>
      <c r="B134" s="1154"/>
      <c r="C134" s="1186" t="s">
        <v>240</v>
      </c>
      <c r="D134" s="1275"/>
      <c r="E134" s="1372"/>
      <c r="F134" s="1216" t="s">
        <v>86</v>
      </c>
      <c r="G134" s="1382" cm="1">
        <f t="array" ref="G134">_xlfn.IFS(E133=0,0,AND(E133&lt;0,G133&gt;E133),(ABS((G133/H103)/(E133/F103)-1)*100),AND(E133&lt;0,G133&lt;E133),(-((G133/H103)/(E133/F103)-1)*100),E133&gt;0,(((G133/H103)/(E133/F103)-1))*100)</f>
        <v>60.234113712374594</v>
      </c>
      <c r="H134" s="1216" t="s">
        <v>86</v>
      </c>
      <c r="I134" s="1382" cm="1">
        <f t="array" ref="I134">_xlfn.IFS(G133=0,0,AND(G133&lt;0,I133&gt;G133),(ABS((I133/J103)/(G133/H103)-1)*100),AND(G133&lt;0,I133&lt;G133),(-((I133/J103)/(G133/H103)-1)*100),G133&gt;0,(((I133/J103)/(G133/H103)-1))*100)</f>
        <v>36.672928407430597</v>
      </c>
      <c r="J134" s="1216" t="s">
        <v>86</v>
      </c>
      <c r="K134" s="1382" cm="1">
        <f t="array" ref="K134">_xlfn.IFS(I133=0,0,AND(I133&lt;0,K133&gt;I133),(ABS((K133/L103)/(I133/J103)-1)*100),AND(I133&lt;0,K133&lt;I133),(-((K133/L103)/(I133/J103)-1)*100),I133&gt;0,(((K133/L103)/(I133/J103)-1))*100)</f>
        <v>101.98533903481982</v>
      </c>
      <c r="L134" s="1216" t="s">
        <v>86</v>
      </c>
      <c r="M134" s="888"/>
      <c r="N134" s="889"/>
      <c r="O134" s="889"/>
      <c r="P134" s="889"/>
      <c r="Q134" s="889"/>
      <c r="R134" s="889"/>
      <c r="S134" s="889"/>
      <c r="T134" s="891"/>
      <c r="U134" s="891"/>
      <c r="V134" s="891"/>
      <c r="W134" s="891"/>
      <c r="X134" s="891"/>
      <c r="Y134" s="891"/>
      <c r="Z134" s="891"/>
      <c r="AA134" s="891"/>
      <c r="AB134" s="891"/>
      <c r="AC134" s="891"/>
      <c r="AD134" s="891"/>
      <c r="AE134" s="891"/>
      <c r="AF134" s="891"/>
      <c r="AG134" s="891"/>
      <c r="AH134" s="891"/>
      <c r="AI134" s="891"/>
      <c r="AJ134" s="892"/>
      <c r="AK134" s="891"/>
      <c r="AL134" s="891"/>
      <c r="AM134" s="891"/>
      <c r="AN134" s="891"/>
      <c r="AO134" s="891"/>
      <c r="AP134" s="891"/>
      <c r="AQ134" s="891"/>
      <c r="AR134" s="891"/>
      <c r="AS134" s="891"/>
      <c r="AT134" s="891"/>
      <c r="AU134" s="891"/>
      <c r="AV134" s="891"/>
      <c r="AW134" s="891"/>
      <c r="AX134" s="889"/>
      <c r="AY134" s="890"/>
      <c r="AZ134" s="890"/>
      <c r="BA134" s="890"/>
      <c r="BB134" s="890"/>
      <c r="BC134" s="890"/>
      <c r="BD134" s="893"/>
      <c r="BE134" s="893"/>
      <c r="BF134" s="893"/>
      <c r="BG134" s="893"/>
      <c r="BH134" s="893"/>
      <c r="BI134" s="893"/>
      <c r="BJ134" s="893"/>
      <c r="BK134" s="893"/>
      <c r="BL134" s="893"/>
      <c r="BM134" s="893"/>
      <c r="BN134" s="893"/>
      <c r="BO134" s="893"/>
      <c r="BP134" s="893"/>
      <c r="BQ134" s="893"/>
      <c r="BR134" s="893"/>
      <c r="BS134" s="893"/>
      <c r="BT134" s="893"/>
      <c r="BU134" s="894"/>
      <c r="BV134" s="895"/>
      <c r="BW134" s="893"/>
      <c r="BX134" s="896"/>
      <c r="BY134" s="897"/>
      <c r="BZ134" s="896"/>
      <c r="CA134" s="897"/>
      <c r="CB134" s="896"/>
      <c r="CC134" s="897"/>
      <c r="CD134" s="896"/>
      <c r="CE134" s="897"/>
      <c r="CF134" s="893"/>
      <c r="CG134" s="893"/>
    </row>
    <row r="135" spans="1:85" ht="15.75" customHeight="1">
      <c r="A135" s="847"/>
      <c r="B135" s="1154"/>
      <c r="C135" s="1186" t="s">
        <v>241</v>
      </c>
      <c r="D135" s="1275"/>
      <c r="E135" s="1153">
        <f>IF(E118=0,0,E133/E118)</f>
        <v>12.458333333333334</v>
      </c>
      <c r="F135" s="1216" t="s">
        <v>186</v>
      </c>
      <c r="G135" s="1153">
        <f>IF(G118=0,0,G133/G118)</f>
        <v>18.426923076923078</v>
      </c>
      <c r="H135" s="1216" t="s">
        <v>186</v>
      </c>
      <c r="I135" s="1153">
        <f>IF(I118=0,0,I133/I118)</f>
        <v>21.826666666666668</v>
      </c>
      <c r="J135" s="1216" t="s">
        <v>186</v>
      </c>
      <c r="K135" s="1153">
        <f>IF(K118=0,0,K133/K118)</f>
        <v>16.532499999999999</v>
      </c>
      <c r="L135" s="1216" t="s">
        <v>186</v>
      </c>
      <c r="M135" s="869"/>
      <c r="N135" s="849"/>
      <c r="O135" s="850"/>
      <c r="P135" s="850"/>
      <c r="Q135" s="850"/>
      <c r="R135" s="850"/>
      <c r="S135" s="850"/>
      <c r="T135" s="851"/>
      <c r="U135" s="851"/>
      <c r="V135" s="851"/>
      <c r="W135" s="851"/>
      <c r="X135" s="851"/>
      <c r="Y135" s="851"/>
      <c r="Z135" s="851"/>
      <c r="AA135" s="851"/>
      <c r="AB135" s="851"/>
      <c r="AC135" s="851"/>
      <c r="AD135" s="851"/>
      <c r="AE135" s="851"/>
      <c r="AF135" s="851"/>
      <c r="AG135" s="851"/>
      <c r="AH135" s="852"/>
      <c r="AI135" s="852"/>
      <c r="AJ135" s="852"/>
      <c r="AK135" s="852"/>
      <c r="AL135" s="852"/>
      <c r="AM135" s="852"/>
      <c r="AN135" s="852"/>
      <c r="AO135" s="852"/>
      <c r="AP135" s="852"/>
      <c r="AQ135" s="852"/>
      <c r="AR135" s="852"/>
      <c r="AS135" s="852"/>
      <c r="AT135" s="852"/>
      <c r="AU135" s="852"/>
      <c r="AV135" s="852"/>
      <c r="AW135" s="852"/>
      <c r="AX135" s="849"/>
      <c r="AY135" s="847"/>
      <c r="AZ135" s="847"/>
      <c r="BA135" s="847"/>
      <c r="BB135" s="847"/>
      <c r="BC135" s="853"/>
      <c r="BD135" s="854"/>
      <c r="BE135" s="854"/>
      <c r="BF135" s="854"/>
      <c r="BG135" s="870">
        <v>96</v>
      </c>
      <c r="BH135" s="860" t="s">
        <v>242</v>
      </c>
      <c r="BI135" s="854"/>
      <c r="BJ135" s="871">
        <v>0</v>
      </c>
      <c r="BK135" s="872">
        <f ca="1">IF(BJ$299=0,0,BJ135/BJ$299*100)</f>
        <v>0</v>
      </c>
      <c r="BL135" s="871">
        <v>0</v>
      </c>
      <c r="BM135" s="872">
        <f ca="1">IF(BL$299=0,0,BL135/BL$299*100)</f>
        <v>0</v>
      </c>
      <c r="BN135" s="871">
        <v>0</v>
      </c>
      <c r="BO135" s="872">
        <f ca="1">IF(BN$299=0,0,BN135/BN$299*100)</f>
        <v>0</v>
      </c>
      <c r="BP135" s="871">
        <v>0</v>
      </c>
      <c r="BQ135" s="872">
        <f ca="1">IF(BP$299=0,0,BP135/BP$299*100)</f>
        <v>0</v>
      </c>
      <c r="BR135" s="854"/>
      <c r="BS135" s="854"/>
      <c r="BT135" s="854"/>
      <c r="BU135" s="854"/>
      <c r="BV135" s="854"/>
      <c r="BW135" s="854"/>
      <c r="BX135" s="854"/>
      <c r="BY135" s="854"/>
      <c r="BZ135" s="854"/>
      <c r="CA135" s="854"/>
      <c r="CB135" s="854"/>
      <c r="CC135" s="854"/>
      <c r="CD135" s="854"/>
      <c r="CE135" s="854"/>
      <c r="CF135" s="854"/>
      <c r="CG135" s="854" t="s">
        <v>45</v>
      </c>
    </row>
    <row r="136" spans="1:85" ht="15.75" customHeight="1">
      <c r="A136" s="847"/>
      <c r="B136" s="1154"/>
      <c r="C136" s="1186" t="s">
        <v>243</v>
      </c>
      <c r="D136" s="1275"/>
      <c r="E136" s="1153">
        <f>IF(E60+E66=0,0,(E133*(360/F13))/(E60+E66))</f>
        <v>0.19365284974093264</v>
      </c>
      <c r="F136" s="1216" t="s">
        <v>186</v>
      </c>
      <c r="G136" s="1153">
        <f>IF(G60+G66=0,0,(G133*(360/H13))/(G60+G66))</f>
        <v>0.31020149176421835</v>
      </c>
      <c r="H136" s="1216" t="s">
        <v>186</v>
      </c>
      <c r="I136" s="1153">
        <f>IF(I60+I66=0,0,(I133*(360/J13))/(I60+I66))</f>
        <v>0.4238297431648716</v>
      </c>
      <c r="J136" s="1216" t="s">
        <v>186</v>
      </c>
      <c r="K136" s="1153">
        <f>IF(K60+K66=0,0,(K133*(360/L13))/(K60+K66))</f>
        <v>0.85580805466404386</v>
      </c>
      <c r="L136" s="1216" t="s">
        <v>186</v>
      </c>
      <c r="M136" s="869"/>
      <c r="N136" s="849"/>
      <c r="O136" s="850"/>
      <c r="P136" s="850"/>
      <c r="Q136" s="850"/>
      <c r="R136" s="850"/>
      <c r="S136" s="850"/>
      <c r="T136" s="851"/>
      <c r="U136" s="851"/>
      <c r="V136" s="851"/>
      <c r="W136" s="851"/>
      <c r="X136" s="851"/>
      <c r="Y136" s="851"/>
      <c r="Z136" s="851"/>
      <c r="AA136" s="851"/>
      <c r="AB136" s="851"/>
      <c r="AC136" s="851"/>
      <c r="AD136" s="851"/>
      <c r="AE136" s="851"/>
      <c r="AF136" s="851"/>
      <c r="AG136" s="851"/>
      <c r="AH136" s="852"/>
      <c r="AI136" s="852"/>
      <c r="AJ136" s="852"/>
      <c r="AK136" s="852"/>
      <c r="AL136" s="852"/>
      <c r="AM136" s="852"/>
      <c r="AN136" s="852"/>
      <c r="AO136" s="852"/>
      <c r="AP136" s="852"/>
      <c r="AQ136" s="852"/>
      <c r="AR136" s="852"/>
      <c r="AS136" s="852"/>
      <c r="AT136" s="852"/>
      <c r="AU136" s="852"/>
      <c r="AV136" s="852"/>
      <c r="AW136" s="852"/>
      <c r="AX136" s="849"/>
      <c r="AY136" s="847"/>
      <c r="AZ136" s="847"/>
      <c r="BA136" s="847"/>
      <c r="BB136" s="847"/>
      <c r="BC136" s="853"/>
      <c r="BD136" s="854"/>
      <c r="BE136" s="854"/>
      <c r="BF136" s="854"/>
      <c r="BG136" s="870">
        <v>97</v>
      </c>
      <c r="BH136" s="860" t="s">
        <v>244</v>
      </c>
      <c r="BI136" s="854"/>
      <c r="BJ136" s="871">
        <v>0</v>
      </c>
      <c r="BK136" s="872">
        <f ca="1">IF(BJ$299=0,0,BJ136/BJ$299*100)</f>
        <v>0</v>
      </c>
      <c r="BL136" s="871">
        <v>0</v>
      </c>
      <c r="BM136" s="872">
        <f ca="1">IF(BL$299=0,0,BL136/BL$299*100)</f>
        <v>0</v>
      </c>
      <c r="BN136" s="871">
        <v>0</v>
      </c>
      <c r="BO136" s="872">
        <f ca="1">IF(BN$299=0,0,BN136/BN$299*100)</f>
        <v>0</v>
      </c>
      <c r="BP136" s="871">
        <v>0</v>
      </c>
      <c r="BQ136" s="872">
        <f ca="1">IF(BP$299=0,0,BP136/BP$299*100)</f>
        <v>0</v>
      </c>
      <c r="BR136" s="854"/>
      <c r="BS136" s="854"/>
      <c r="BT136" s="854"/>
      <c r="BU136" s="854"/>
      <c r="BV136" s="854"/>
      <c r="BW136" s="854"/>
      <c r="BX136" s="854"/>
      <c r="BY136" s="854"/>
      <c r="BZ136" s="854"/>
      <c r="CA136" s="854"/>
      <c r="CB136" s="854"/>
      <c r="CC136" s="854"/>
      <c r="CD136" s="854"/>
      <c r="CE136" s="854"/>
      <c r="CF136" s="854"/>
      <c r="CG136" s="854" t="s">
        <v>45</v>
      </c>
    </row>
    <row r="137" spans="1:85" ht="15.75" customHeight="1">
      <c r="A137" s="890"/>
      <c r="B137" s="1171"/>
      <c r="C137" s="1277" t="s">
        <v>245</v>
      </c>
      <c r="D137" s="1278"/>
      <c r="E137" s="1153">
        <f>IF((E133*(360/F13))=0,0,(E60+E66)/(E133*(360/F13)))</f>
        <v>5.1638795986622075</v>
      </c>
      <c r="F137" s="1216" t="s">
        <v>186</v>
      </c>
      <c r="G137" s="1153">
        <f>IF((G133*(360/H13))=0,0,(G60+G66)/(G133*(360/H13)))</f>
        <v>3.2237111250260906</v>
      </c>
      <c r="H137" s="1216" t="s">
        <v>186</v>
      </c>
      <c r="I137" s="1153">
        <f>IF((I133*(360/J13))=0,0,(I60+I66)/(I133*(360/J13)))</f>
        <v>2.3594379963347589</v>
      </c>
      <c r="J137" s="1216" t="s">
        <v>186</v>
      </c>
      <c r="K137" s="1153">
        <f>IF((K133*(360/L13))=0,0,(K60+K66)/(K133*(360/L13)))</f>
        <v>1.1684863148344171</v>
      </c>
      <c r="L137" s="1216" t="s">
        <v>186</v>
      </c>
      <c r="M137" s="888"/>
      <c r="N137" s="889"/>
      <c r="O137" s="889"/>
      <c r="P137" s="889"/>
      <c r="Q137" s="889"/>
      <c r="R137" s="889"/>
      <c r="S137" s="889"/>
      <c r="T137" s="891"/>
      <c r="U137" s="891"/>
      <c r="V137" s="891"/>
      <c r="W137" s="891"/>
      <c r="X137" s="891"/>
      <c r="Y137" s="891"/>
      <c r="Z137" s="891"/>
      <c r="AA137" s="891"/>
      <c r="AB137" s="891"/>
      <c r="AC137" s="891"/>
      <c r="AD137" s="891"/>
      <c r="AE137" s="891"/>
      <c r="AF137" s="891"/>
      <c r="AG137" s="891"/>
      <c r="AH137" s="891"/>
      <c r="AI137" s="891"/>
      <c r="AJ137" s="891"/>
      <c r="AK137" s="891"/>
      <c r="AL137" s="891"/>
      <c r="AM137" s="891"/>
      <c r="AN137" s="891"/>
      <c r="AO137" s="891"/>
      <c r="AP137" s="891"/>
      <c r="AQ137" s="891"/>
      <c r="AR137" s="891"/>
      <c r="AS137" s="891"/>
      <c r="AT137" s="891"/>
      <c r="AU137" s="891"/>
      <c r="AV137" s="891"/>
      <c r="AW137" s="891"/>
      <c r="AX137" s="889"/>
      <c r="AY137" s="890"/>
      <c r="AZ137" s="890"/>
      <c r="BA137" s="890"/>
      <c r="BB137" s="890"/>
      <c r="BC137" s="890"/>
      <c r="BD137" s="893"/>
      <c r="BE137" s="893"/>
      <c r="BF137" s="893"/>
      <c r="BG137" s="894"/>
      <c r="BH137" s="895"/>
      <c r="BI137" s="893"/>
      <c r="BJ137" s="896"/>
      <c r="BK137" s="897"/>
      <c r="BL137" s="896"/>
      <c r="BM137" s="897"/>
      <c r="BN137" s="896"/>
      <c r="BO137" s="897"/>
      <c r="BP137" s="896"/>
      <c r="BQ137" s="897"/>
      <c r="BR137" s="893"/>
      <c r="BS137" s="893"/>
      <c r="BT137" s="893"/>
      <c r="BU137" s="893"/>
      <c r="BV137" s="893"/>
      <c r="BW137" s="893"/>
      <c r="BX137" s="893"/>
      <c r="BY137" s="893"/>
      <c r="BZ137" s="893"/>
      <c r="CA137" s="893"/>
      <c r="CB137" s="893"/>
      <c r="CC137" s="893"/>
      <c r="CD137" s="893"/>
      <c r="CE137" s="893"/>
      <c r="CF137" s="893"/>
      <c r="CG137" s="893"/>
    </row>
    <row r="138" spans="1:85" s="898" customFormat="1" ht="15.75" customHeight="1">
      <c r="A138" s="890"/>
      <c r="B138" s="1171"/>
      <c r="C138" s="1218" t="s">
        <v>246</v>
      </c>
      <c r="D138" s="1279"/>
      <c r="E138" s="1383">
        <f>IF((E133*(360/F13))=0,0,(+E60+E66-E16)/(E133*(360/F13)))</f>
        <v>5.1571906354515047</v>
      </c>
      <c r="F138" s="1216" t="s">
        <v>186</v>
      </c>
      <c r="G138" s="1383">
        <f>IF((G133*(360/H13))=0,0,(+G60+G66-G16)/(G133*(360/H13)))</f>
        <v>3.2194948862450428</v>
      </c>
      <c r="H138" s="1216" t="s">
        <v>186</v>
      </c>
      <c r="I138" s="1383">
        <f>IF((I133*(360/J13))=0,0,(+I60+I66-I16)/(I133*(360/J13)))</f>
        <v>2.3563225412339648</v>
      </c>
      <c r="J138" s="1216" t="s">
        <v>186</v>
      </c>
      <c r="K138" s="1383">
        <f>IF((K133*(360/L13))=0,0,(+K60+K66-K16)/(K133*(360/L13)))</f>
        <v>1.1669287766520491</v>
      </c>
      <c r="L138" s="1216" t="s">
        <v>186</v>
      </c>
      <c r="M138" s="869"/>
      <c r="N138" s="849"/>
      <c r="O138" s="889"/>
      <c r="P138" s="889"/>
      <c r="Q138" s="889"/>
      <c r="R138" s="889"/>
      <c r="S138" s="889"/>
      <c r="T138" s="891"/>
      <c r="U138" s="891"/>
      <c r="V138" s="891"/>
      <c r="W138" s="891"/>
      <c r="X138" s="891"/>
      <c r="Y138" s="891"/>
      <c r="Z138" s="891"/>
      <c r="AA138" s="891"/>
      <c r="AB138" s="891"/>
      <c r="AC138" s="891"/>
      <c r="AD138" s="891"/>
      <c r="AE138" s="891"/>
      <c r="AF138" s="891"/>
      <c r="AG138" s="891"/>
      <c r="AH138" s="891"/>
      <c r="AI138" s="891"/>
      <c r="AJ138" s="891"/>
      <c r="AK138" s="891"/>
      <c r="AL138" s="891"/>
      <c r="AM138" s="891"/>
      <c r="AN138" s="891"/>
      <c r="AO138" s="891"/>
      <c r="AP138" s="891"/>
      <c r="AQ138" s="891"/>
      <c r="AR138" s="891"/>
      <c r="AS138" s="891"/>
      <c r="AT138" s="891"/>
      <c r="AU138" s="891"/>
      <c r="AV138" s="891"/>
      <c r="AW138" s="891"/>
      <c r="AX138" s="889"/>
      <c r="AY138" s="890"/>
      <c r="AZ138" s="890"/>
      <c r="BA138" s="890"/>
      <c r="BB138" s="890"/>
      <c r="BC138" s="890"/>
      <c r="BD138" s="893"/>
      <c r="BE138" s="893"/>
      <c r="BF138" s="893"/>
      <c r="BG138" s="894"/>
      <c r="BH138" s="895"/>
      <c r="BI138" s="893"/>
      <c r="BJ138" s="896"/>
      <c r="BK138" s="897"/>
      <c r="BL138" s="896"/>
      <c r="BM138" s="897"/>
      <c r="BN138" s="896"/>
      <c r="BO138" s="897"/>
      <c r="BP138" s="896"/>
      <c r="BQ138" s="897"/>
      <c r="BR138" s="893"/>
      <c r="BS138" s="893"/>
      <c r="BT138" s="893"/>
      <c r="BU138" s="893"/>
      <c r="BV138" s="893"/>
      <c r="BW138" s="893"/>
      <c r="BX138" s="893"/>
      <c r="BY138" s="893"/>
      <c r="BZ138" s="893"/>
      <c r="CA138" s="893"/>
      <c r="CB138" s="893"/>
      <c r="CC138" s="893"/>
      <c r="CD138" s="893"/>
      <c r="CE138" s="893"/>
      <c r="CF138" s="893"/>
      <c r="CG138" s="893"/>
    </row>
    <row r="139" spans="1:85" s="898" customFormat="1" ht="15.75" customHeight="1">
      <c r="A139" s="890"/>
      <c r="B139" s="1171"/>
      <c r="C139" s="1218" t="s">
        <v>247</v>
      </c>
      <c r="D139" s="1279"/>
      <c r="E139" s="1383">
        <f>IF((E72-E66)=0,0,(+E60+E66-E16)/(E72-E66))</f>
        <v>1.6760869565217391</v>
      </c>
      <c r="F139" s="1216" t="s">
        <v>186</v>
      </c>
      <c r="G139" s="1383">
        <f>IF((G72-G66)=0,0,(+G60+G66-G16)/(G72-G66))</f>
        <v>1.6732767785467879</v>
      </c>
      <c r="H139" s="1216" t="s">
        <v>186</v>
      </c>
      <c r="I139" s="1383">
        <f>IF((I72-I66)=0,0,(+I60+I66-I16)/(I72-I66))</f>
        <v>1.670477675284743</v>
      </c>
      <c r="J139" s="1216" t="s">
        <v>186</v>
      </c>
      <c r="K139" s="1383">
        <f>IF((K72-K66)=0,0,(+K60+K66-K16)/(K72-K66))</f>
        <v>1.6676895813973591</v>
      </c>
      <c r="L139" s="1216" t="s">
        <v>186</v>
      </c>
      <c r="M139" s="869"/>
      <c r="N139" s="849"/>
      <c r="O139" s="889"/>
      <c r="P139" s="889"/>
      <c r="Q139" s="889"/>
      <c r="R139" s="889"/>
      <c r="S139" s="889"/>
      <c r="T139" s="891"/>
      <c r="U139" s="891"/>
      <c r="V139" s="891"/>
      <c r="W139" s="891"/>
      <c r="X139" s="891"/>
      <c r="Y139" s="891"/>
      <c r="Z139" s="891"/>
      <c r="AA139" s="891"/>
      <c r="AB139" s="891"/>
      <c r="AC139" s="891"/>
      <c r="AD139" s="891"/>
      <c r="AE139" s="891"/>
      <c r="AF139" s="891"/>
      <c r="AG139" s="891"/>
      <c r="AH139" s="891"/>
      <c r="AI139" s="891"/>
      <c r="AJ139" s="891"/>
      <c r="AK139" s="891"/>
      <c r="AL139" s="891"/>
      <c r="AM139" s="891"/>
      <c r="AN139" s="891"/>
      <c r="AO139" s="891"/>
      <c r="AP139" s="891"/>
      <c r="AQ139" s="891"/>
      <c r="AR139" s="891"/>
      <c r="AS139" s="891"/>
      <c r="AT139" s="891"/>
      <c r="AU139" s="891"/>
      <c r="AV139" s="891"/>
      <c r="AW139" s="891"/>
      <c r="AX139" s="889"/>
      <c r="AY139" s="890"/>
      <c r="AZ139" s="890"/>
      <c r="BA139" s="890"/>
      <c r="BB139" s="890"/>
      <c r="BC139" s="890"/>
      <c r="BD139" s="893"/>
      <c r="BE139" s="893"/>
      <c r="BF139" s="893"/>
      <c r="BG139" s="894"/>
      <c r="BH139" s="895"/>
      <c r="BI139" s="893"/>
      <c r="BJ139" s="896"/>
      <c r="BK139" s="897"/>
      <c r="BL139" s="896"/>
      <c r="BM139" s="897"/>
      <c r="BN139" s="896"/>
      <c r="BO139" s="897"/>
      <c r="BP139" s="896"/>
      <c r="BQ139" s="897"/>
      <c r="BR139" s="893"/>
      <c r="BS139" s="893"/>
      <c r="BT139" s="893"/>
      <c r="BU139" s="893"/>
      <c r="BV139" s="893"/>
      <c r="BW139" s="893"/>
      <c r="BX139" s="893"/>
      <c r="BY139" s="893"/>
      <c r="BZ139" s="893"/>
      <c r="CA139" s="893"/>
      <c r="CB139" s="893"/>
      <c r="CC139" s="893"/>
      <c r="CD139" s="893"/>
      <c r="CE139" s="893"/>
      <c r="CF139" s="893"/>
      <c r="CG139" s="893"/>
    </row>
    <row r="140" spans="1:85" s="898" customFormat="1" ht="15.75" customHeight="1">
      <c r="A140" s="890"/>
      <c r="B140" s="1171"/>
      <c r="C140" s="1218" t="s">
        <v>248</v>
      </c>
      <c r="D140" s="1280"/>
      <c r="E140" s="1384">
        <f>IF((E133*(360/F13))=0,0,(SUM(E35:E38)+SUM(E46:E49)+SUM(E51:E54)+E41+E57+E66-E16)/(E133*(360/F13)))</f>
        <v>3.2374581939799332</v>
      </c>
      <c r="F140" s="1216" t="s">
        <v>186</v>
      </c>
      <c r="G140" s="1384">
        <f>IF((G133*(360/H13))=0,0,(SUM(G35:G38)+SUM(G46:G49)+SUM(G51:G54)+G41+G57+G66-G16)/(G133*(360/H13)))</f>
        <v>2.0210394489668126</v>
      </c>
      <c r="H140" s="1216" t="s">
        <v>186</v>
      </c>
      <c r="I140" s="1384">
        <f>IF((I133*(360/J13))=0,0,(SUM(I35:I38)+SUM(I46:I49)+SUM(I51:I54)+I41+I57+I66-I16)/(I133*(360/J13)))</f>
        <v>1.4791692119731215</v>
      </c>
      <c r="J140" s="1216" t="s">
        <v>186</v>
      </c>
      <c r="K140" s="1384">
        <f>IF((K133*(360/L13))=0,0,(SUM(K35:K38)+SUM(K46:K49)+SUM(K51:K54)+K41+K57+K66-K16)/(K133*(360/L13)))</f>
        <v>0.7325268410706185</v>
      </c>
      <c r="L140" s="1216" t="s">
        <v>186</v>
      </c>
      <c r="M140" s="869"/>
      <c r="N140" s="849"/>
      <c r="O140" s="889"/>
      <c r="P140" s="889"/>
      <c r="Q140" s="889"/>
      <c r="R140" s="889"/>
      <c r="S140" s="889"/>
      <c r="T140" s="891"/>
      <c r="U140" s="891"/>
      <c r="V140" s="891"/>
      <c r="W140" s="891"/>
      <c r="X140" s="891"/>
      <c r="Y140" s="891"/>
      <c r="Z140" s="891"/>
      <c r="AA140" s="891"/>
      <c r="AB140" s="891"/>
      <c r="AC140" s="891"/>
      <c r="AD140" s="891"/>
      <c r="AE140" s="891"/>
      <c r="AF140" s="891"/>
      <c r="AG140" s="891"/>
      <c r="AH140" s="891"/>
      <c r="AI140" s="891"/>
      <c r="AJ140" s="891"/>
      <c r="AK140" s="891"/>
      <c r="AL140" s="891"/>
      <c r="AM140" s="891"/>
      <c r="AN140" s="891"/>
      <c r="AO140" s="891"/>
      <c r="AP140" s="891"/>
      <c r="AQ140" s="891"/>
      <c r="AR140" s="891"/>
      <c r="AS140" s="891"/>
      <c r="AT140" s="891"/>
      <c r="AU140" s="891"/>
      <c r="AV140" s="891"/>
      <c r="AW140" s="891"/>
      <c r="AX140" s="889"/>
      <c r="AY140" s="890"/>
      <c r="AZ140" s="890"/>
      <c r="BA140" s="890"/>
      <c r="BB140" s="890"/>
      <c r="BC140" s="890"/>
      <c r="BD140" s="893"/>
      <c r="BE140" s="893"/>
      <c r="BF140" s="893"/>
      <c r="BG140" s="894"/>
      <c r="BH140" s="895"/>
      <c r="BI140" s="893"/>
      <c r="BJ140" s="896"/>
      <c r="BK140" s="897"/>
      <c r="BL140" s="896"/>
      <c r="BM140" s="897"/>
      <c r="BN140" s="896"/>
      <c r="BO140" s="897"/>
      <c r="BP140" s="896"/>
      <c r="BQ140" s="897"/>
      <c r="BR140" s="893"/>
      <c r="BS140" s="893"/>
      <c r="BT140" s="893"/>
      <c r="BU140" s="893"/>
      <c r="BV140" s="893"/>
      <c r="BW140" s="893"/>
      <c r="BX140" s="893"/>
      <c r="BY140" s="893"/>
      <c r="BZ140" s="893"/>
      <c r="CA140" s="893"/>
      <c r="CB140" s="893"/>
      <c r="CC140" s="893"/>
      <c r="CD140" s="893"/>
      <c r="CE140" s="893"/>
      <c r="CF140" s="893"/>
      <c r="CG140" s="893"/>
    </row>
    <row r="141" spans="1:85" s="898" customFormat="1" ht="15.75" customHeight="1">
      <c r="A141" s="890"/>
      <c r="B141" s="1171"/>
      <c r="C141" s="1218" t="s">
        <v>249</v>
      </c>
      <c r="D141" s="1280"/>
      <c r="E141" s="1385">
        <f>IF((E72-E66)=0,0,(SUM(E35:E38)+SUM(E46:E49)+SUM(E51:E54)+E41+E57+E66-E16)/(E72-E66))</f>
        <v>1.0521739130434782</v>
      </c>
      <c r="F141" s="1216" t="s">
        <v>186</v>
      </c>
      <c r="G141" s="1385">
        <f>IF((G72-G66)=0,0,(SUM(G35:G38)+SUM(G46:G49)+SUM(G51:G54)+G41+G57+G66-G16)/(G72-G66))</f>
        <v>1.0504002950684515</v>
      </c>
      <c r="H141" s="1216" t="s">
        <v>186</v>
      </c>
      <c r="I141" s="1385">
        <f>IF((I72-I66)=0,0,(SUM(I35:I38)+SUM(I46:I49)+SUM(I51:I54)+I41+I57+I66-I16)/(I72-I66))</f>
        <v>1.0486336667965874</v>
      </c>
      <c r="J141" s="1216" t="s">
        <v>186</v>
      </c>
      <c r="K141" s="1385">
        <f>IF((K72-K66)=0,0,(SUM(K35:K38)+SUM(K46:K49)+SUM(K51:K54)+K41+K57+K66-K16)/(K72-K66))</f>
        <v>1.0468739869902535</v>
      </c>
      <c r="L141" s="1216" t="s">
        <v>186</v>
      </c>
      <c r="M141" s="869"/>
      <c r="N141" s="849"/>
      <c r="O141" s="889"/>
      <c r="P141" s="889"/>
      <c r="Q141" s="889"/>
      <c r="R141" s="889"/>
      <c r="S141" s="889"/>
      <c r="T141" s="891"/>
      <c r="U141" s="891"/>
      <c r="V141" s="891"/>
      <c r="W141" s="891"/>
      <c r="X141" s="891"/>
      <c r="Y141" s="891"/>
      <c r="Z141" s="891"/>
      <c r="AA141" s="891"/>
      <c r="AB141" s="891"/>
      <c r="AC141" s="891"/>
      <c r="AD141" s="891"/>
      <c r="AE141" s="891"/>
      <c r="AF141" s="891"/>
      <c r="AG141" s="891"/>
      <c r="AH141" s="891"/>
      <c r="AI141" s="891"/>
      <c r="AJ141" s="891"/>
      <c r="AK141" s="891"/>
      <c r="AL141" s="891"/>
      <c r="AM141" s="891"/>
      <c r="AN141" s="891"/>
      <c r="AO141" s="891"/>
      <c r="AP141" s="891"/>
      <c r="AQ141" s="891"/>
      <c r="AR141" s="891"/>
      <c r="AS141" s="891"/>
      <c r="AT141" s="891"/>
      <c r="AU141" s="891"/>
      <c r="AV141" s="891"/>
      <c r="AW141" s="891"/>
      <c r="AX141" s="889"/>
      <c r="AY141" s="890"/>
      <c r="AZ141" s="890"/>
      <c r="BA141" s="890"/>
      <c r="BB141" s="890"/>
      <c r="BC141" s="890"/>
      <c r="BD141" s="893"/>
      <c r="BE141" s="893"/>
      <c r="BF141" s="893"/>
      <c r="BG141" s="894"/>
      <c r="BH141" s="895"/>
      <c r="BI141" s="893"/>
      <c r="BJ141" s="896"/>
      <c r="BK141" s="897"/>
      <c r="BL141" s="896"/>
      <c r="BM141" s="897"/>
      <c r="BN141" s="896"/>
      <c r="BO141" s="897"/>
      <c r="BP141" s="896"/>
      <c r="BQ141" s="897"/>
      <c r="BR141" s="893"/>
      <c r="BS141" s="893"/>
      <c r="BT141" s="893"/>
      <c r="BU141" s="893"/>
      <c r="BV141" s="893"/>
      <c r="BW141" s="893"/>
      <c r="BX141" s="893"/>
      <c r="BY141" s="893"/>
      <c r="BZ141" s="893"/>
      <c r="CA141" s="893"/>
      <c r="CB141" s="893"/>
      <c r="CC141" s="893"/>
      <c r="CD141" s="893"/>
      <c r="CE141" s="893"/>
      <c r="CF141" s="893"/>
      <c r="CG141" s="893"/>
    </row>
    <row r="142" spans="1:85" s="898" customFormat="1" ht="15.75" customHeight="1">
      <c r="A142" s="890"/>
      <c r="B142" s="1171"/>
      <c r="C142" s="1277" t="s">
        <v>250</v>
      </c>
      <c r="D142" s="1278"/>
      <c r="E142" s="1222">
        <f>IF((E78+E83+E88+E118*(360/F13))=0,0,((E133*(360/F13)/(E78+E83+E88+E118*(360/F13)))*100))</f>
        <v>1245.8333333333335</v>
      </c>
      <c r="F142" s="1220" t="s">
        <v>86</v>
      </c>
      <c r="G142" s="1222">
        <f>IF((G78+G83+G88+G118*(360/H13))=0,0,((G133*(360/H13)/(G78+G83+G88+G118*(360/H13)))*100))</f>
        <v>167.51748251748251</v>
      </c>
      <c r="H142" s="1386" t="str">
        <f>+F142</f>
        <v>%</v>
      </c>
      <c r="I142" s="1222">
        <f>IF((I78+I83+I88+I118*(360/J13))=0,0,((I133*(360/J13)/(I78+I83+I88+I118*(360/J13)))*100))</f>
        <v>225.73083287368999</v>
      </c>
      <c r="J142" s="1281" t="str">
        <f>+H142</f>
        <v>%</v>
      </c>
      <c r="K142" s="1222">
        <f>IF((K78+K83+K88+K118*(360/L13))=0,0,((K133*(360/L13)/(K78+K83+K88+K118*(360/L13)))*100))</f>
        <v>388.81702728127937</v>
      </c>
      <c r="L142" s="1282" t="str">
        <f>+J142</f>
        <v>%</v>
      </c>
      <c r="M142" s="869">
        <v>-80000</v>
      </c>
      <c r="N142" s="899"/>
      <c r="O142" s="889"/>
      <c r="P142" s="889"/>
      <c r="Q142" s="889"/>
      <c r="R142" s="889"/>
      <c r="S142" s="889"/>
      <c r="T142" s="891"/>
      <c r="U142" s="891"/>
      <c r="V142" s="891"/>
      <c r="W142" s="891"/>
      <c r="X142" s="891"/>
      <c r="Y142" s="891"/>
      <c r="Z142" s="891"/>
      <c r="AA142" s="891"/>
      <c r="AB142" s="891"/>
      <c r="AC142" s="891"/>
      <c r="AD142" s="891"/>
      <c r="AE142" s="891"/>
      <c r="AF142" s="891"/>
      <c r="AG142" s="891"/>
      <c r="AH142" s="891"/>
      <c r="AI142" s="891"/>
      <c r="AJ142" s="891"/>
      <c r="AK142" s="891"/>
      <c r="AL142" s="891"/>
      <c r="AM142" s="891"/>
      <c r="AN142" s="891"/>
      <c r="AO142" s="891"/>
      <c r="AP142" s="891"/>
      <c r="AQ142" s="891"/>
      <c r="AR142" s="891"/>
      <c r="AS142" s="891"/>
      <c r="AT142" s="891"/>
      <c r="AU142" s="891"/>
      <c r="AV142" s="891"/>
      <c r="AW142" s="891"/>
      <c r="AX142" s="889"/>
      <c r="AY142" s="890"/>
      <c r="AZ142" s="890"/>
      <c r="BA142" s="890"/>
      <c r="BB142" s="890"/>
      <c r="BC142" s="890"/>
      <c r="BD142" s="893"/>
      <c r="BE142" s="893"/>
      <c r="BF142" s="893"/>
      <c r="BG142" s="894">
        <v>98</v>
      </c>
      <c r="BH142" s="895" t="s">
        <v>251</v>
      </c>
      <c r="BI142" s="893"/>
      <c r="BJ142" s="896">
        <v>0</v>
      </c>
      <c r="BK142" s="897">
        <f ca="1">IF(BJ$299=0,0,BJ142/BJ$299*100)</f>
        <v>0</v>
      </c>
      <c r="BL142" s="896">
        <v>0</v>
      </c>
      <c r="BM142" s="897">
        <f ca="1">IF(BL$299=0,0,BL142/BL$299*100)</f>
        <v>0</v>
      </c>
      <c r="BN142" s="896">
        <v>0</v>
      </c>
      <c r="BO142" s="897">
        <f ca="1">IF(BN$299=0,0,BN142/BN$299*100)</f>
        <v>0</v>
      </c>
      <c r="BP142" s="896">
        <v>0</v>
      </c>
      <c r="BQ142" s="897">
        <f ca="1">IF(BP$299=0,0,BP142/BP$299*100)</f>
        <v>0</v>
      </c>
      <c r="BR142" s="893"/>
      <c r="BS142" s="893"/>
      <c r="BT142" s="893"/>
      <c r="BU142" s="893"/>
      <c r="BV142" s="893"/>
      <c r="BW142" s="893"/>
      <c r="BX142" s="893"/>
      <c r="BY142" s="893"/>
      <c r="BZ142" s="893"/>
      <c r="CA142" s="893"/>
      <c r="CB142" s="893"/>
      <c r="CC142" s="893"/>
      <c r="CD142" s="893"/>
      <c r="CE142" s="893"/>
      <c r="CF142" s="893"/>
      <c r="CG142" s="893" t="s">
        <v>45</v>
      </c>
    </row>
    <row r="143" spans="1:85" ht="15.75" customHeight="1">
      <c r="A143" s="847"/>
      <c r="B143" s="1268"/>
      <c r="C143" s="1283" t="s">
        <v>252</v>
      </c>
      <c r="D143" s="1236"/>
      <c r="E143" s="1284">
        <f>IF(E34=0,0,E122/E34*100)</f>
        <v>6.2094155844155852</v>
      </c>
      <c r="F143" s="1220" t="s">
        <v>86</v>
      </c>
      <c r="G143" s="1284">
        <f>IF(G34=0,0,G122/G34*100)</f>
        <v>11.300328427198638</v>
      </c>
      <c r="H143" s="1285" t="s">
        <v>86</v>
      </c>
      <c r="I143" s="1284">
        <f>IF(I34=0,0,I122/I34*100)</f>
        <v>15.717410678117153</v>
      </c>
      <c r="J143" s="1281" t="s">
        <v>86</v>
      </c>
      <c r="K143" s="1284">
        <f>IF(K34=0,0,K122/K34*100)</f>
        <v>15.464000971306003</v>
      </c>
      <c r="L143" s="1282" t="s">
        <v>86</v>
      </c>
      <c r="M143" s="900" t="e" cm="1">
        <f t="array" ref="M143">_xlfn.IFS(K142=0,0,AND(K142&lt;0,M142&gt;K142),(ABS((M142/N110)/(K142/L110)-1)*100),AND(K142&lt;0,M142&lt;L142),(-((M142/N110)/(K142/L110)-1)*100),L142&gt;0,(((M142/N110)/(K142/L110)-1))*100)</f>
        <v>#DIV/0!</v>
      </c>
      <c r="N143" s="889"/>
      <c r="O143" s="850"/>
      <c r="P143" s="850"/>
      <c r="Q143" s="850"/>
      <c r="R143" s="850"/>
      <c r="S143" s="850"/>
      <c r="T143" s="851"/>
      <c r="U143" s="851"/>
      <c r="V143" s="851"/>
      <c r="W143" s="851"/>
      <c r="X143" s="851"/>
      <c r="Y143" s="851"/>
      <c r="Z143" s="851"/>
      <c r="AA143" s="851"/>
      <c r="AB143" s="851"/>
      <c r="AC143" s="851"/>
      <c r="AD143" s="851"/>
      <c r="AE143" s="851"/>
      <c r="AF143" s="851"/>
      <c r="AG143" s="851"/>
      <c r="AH143" s="852"/>
      <c r="AI143" s="852"/>
      <c r="AJ143" s="852"/>
      <c r="AK143" s="852"/>
      <c r="AL143" s="852"/>
      <c r="AM143" s="852"/>
      <c r="AN143" s="852"/>
      <c r="AO143" s="852"/>
      <c r="AP143" s="852"/>
      <c r="AQ143" s="852"/>
      <c r="AR143" s="852"/>
      <c r="AS143" s="852"/>
      <c r="AT143" s="852"/>
      <c r="AU143" s="852"/>
      <c r="AV143" s="852"/>
      <c r="AW143" s="852"/>
      <c r="AX143" s="849"/>
      <c r="AY143" s="847"/>
      <c r="AZ143" s="847"/>
      <c r="BA143" s="847"/>
      <c r="BB143" s="847"/>
      <c r="BC143" s="853"/>
      <c r="BD143" s="854"/>
      <c r="BE143" s="854"/>
      <c r="BF143" s="854"/>
      <c r="BG143" s="870"/>
      <c r="BH143" s="860"/>
      <c r="BI143" s="854"/>
      <c r="BJ143" s="871"/>
      <c r="BK143" s="872"/>
      <c r="BL143" s="871"/>
      <c r="BM143" s="872"/>
      <c r="BN143" s="871"/>
      <c r="BO143" s="872"/>
      <c r="BP143" s="871"/>
      <c r="BQ143" s="872"/>
      <c r="BR143" s="854"/>
      <c r="BS143" s="854"/>
      <c r="BT143" s="854"/>
      <c r="BU143" s="854"/>
      <c r="BV143" s="854"/>
      <c r="BW143" s="854"/>
      <c r="BX143" s="854"/>
      <c r="BY143" s="854"/>
      <c r="BZ143" s="854"/>
      <c r="CA143" s="854"/>
      <c r="CB143" s="854"/>
      <c r="CC143" s="854"/>
      <c r="CD143" s="854"/>
      <c r="CE143" s="854"/>
      <c r="CF143" s="854"/>
      <c r="CG143" s="854"/>
    </row>
    <row r="144" spans="1:85" ht="16.5" customHeight="1">
      <c r="A144" s="847"/>
      <c r="B144" s="1286"/>
      <c r="C144" s="1287" t="s">
        <v>253</v>
      </c>
      <c r="D144" s="1288"/>
      <c r="E144" s="1289">
        <f>IF((E72-E66)=0,0,E122/(E72-E66)*100)</f>
        <v>16.630434782608695</v>
      </c>
      <c r="F144" s="1290" t="s">
        <v>86</v>
      </c>
      <c r="G144" s="1289">
        <f>IF((G72-G66)=0,0,G122/(G72-G66)*100)</f>
        <v>30.233668178169275</v>
      </c>
      <c r="H144" s="1290" t="s">
        <v>86</v>
      </c>
      <c r="I144" s="1289">
        <f>IF((I72-I66)=0,0,I122/(I72-I66)*100)</f>
        <v>42.007708631068382</v>
      </c>
      <c r="J144" s="1290" t="s">
        <v>86</v>
      </c>
      <c r="K144" s="1289">
        <f>IF((K72-K66)=0,0,K122/(K72-K66)*100)</f>
        <v>41.287575908197006</v>
      </c>
      <c r="L144" s="1291" t="s">
        <v>86</v>
      </c>
      <c r="M144" s="888"/>
      <c r="N144" s="889"/>
      <c r="O144" s="850"/>
      <c r="P144" s="850"/>
      <c r="Q144" s="850"/>
      <c r="R144" s="850"/>
      <c r="S144" s="850"/>
      <c r="T144" s="851"/>
      <c r="U144" s="851"/>
      <c r="V144" s="851"/>
      <c r="W144" s="851"/>
      <c r="X144" s="851"/>
      <c r="Y144" s="851"/>
      <c r="Z144" s="851"/>
      <c r="AA144" s="851"/>
      <c r="AB144" s="851"/>
      <c r="AC144" s="851"/>
      <c r="AD144" s="851"/>
      <c r="AE144" s="851"/>
      <c r="AF144" s="851"/>
      <c r="AG144" s="851"/>
      <c r="AH144" s="852"/>
      <c r="AI144" s="852"/>
      <c r="AJ144" s="852"/>
      <c r="AK144" s="852"/>
      <c r="AL144" s="852"/>
      <c r="AM144" s="852"/>
      <c r="AN144" s="852"/>
      <c r="AO144" s="852"/>
      <c r="AP144" s="852"/>
      <c r="AQ144" s="852"/>
      <c r="AR144" s="852"/>
      <c r="AS144" s="852"/>
      <c r="AT144" s="852"/>
      <c r="AU144" s="852"/>
      <c r="AV144" s="852"/>
      <c r="AW144" s="852"/>
      <c r="AX144" s="849"/>
      <c r="AY144" s="847"/>
      <c r="AZ144" s="847"/>
      <c r="BA144" s="847"/>
      <c r="BB144" s="847"/>
      <c r="BC144" s="853"/>
      <c r="BD144" s="854"/>
      <c r="BE144" s="854"/>
      <c r="BF144" s="854"/>
      <c r="BG144" s="870"/>
      <c r="BH144" s="861"/>
      <c r="BI144" s="854"/>
      <c r="BJ144" s="861"/>
      <c r="BK144" s="872"/>
      <c r="BL144" s="861"/>
      <c r="BM144" s="872"/>
      <c r="BN144" s="861"/>
      <c r="BO144" s="872"/>
      <c r="BP144" s="861"/>
      <c r="BQ144" s="872"/>
      <c r="BR144" s="854"/>
      <c r="BS144" s="854"/>
      <c r="BT144" s="854"/>
      <c r="BU144" s="854"/>
      <c r="BV144" s="854"/>
      <c r="BW144" s="854"/>
      <c r="BX144" s="854"/>
      <c r="BY144" s="854"/>
      <c r="BZ144" s="854"/>
      <c r="CA144" s="854"/>
      <c r="CB144" s="854"/>
      <c r="CC144" s="854"/>
      <c r="CD144" s="854"/>
      <c r="CE144" s="854"/>
      <c r="CF144" s="854"/>
      <c r="CG144" s="854" t="s">
        <v>45</v>
      </c>
    </row>
    <row r="145" spans="1:85" ht="16.5" customHeight="1">
      <c r="A145" s="847"/>
      <c r="B145" s="1236"/>
      <c r="C145" s="1236"/>
      <c r="D145" s="1236"/>
      <c r="E145" s="1292"/>
      <c r="F145" s="1236"/>
      <c r="G145" s="1292"/>
      <c r="H145" s="1236"/>
      <c r="I145" s="1292"/>
      <c r="J145" s="1236"/>
      <c r="K145" s="1292"/>
      <c r="L145" s="1126"/>
      <c r="M145" s="869"/>
      <c r="N145" s="849"/>
      <c r="O145" s="850"/>
      <c r="P145" s="850"/>
      <c r="Q145" s="850"/>
      <c r="R145" s="850"/>
      <c r="S145" s="850"/>
      <c r="T145" s="851"/>
      <c r="U145" s="851"/>
      <c r="V145" s="851"/>
      <c r="W145" s="851"/>
      <c r="X145" s="851"/>
      <c r="Y145" s="851"/>
      <c r="Z145" s="851"/>
      <c r="AA145" s="851"/>
      <c r="AB145" s="851"/>
      <c r="AC145" s="851"/>
      <c r="AD145" s="851"/>
      <c r="AE145" s="851"/>
      <c r="AF145" s="851"/>
      <c r="AG145" s="851"/>
      <c r="AH145" s="852"/>
      <c r="AI145" s="852"/>
      <c r="AJ145" s="852"/>
      <c r="AK145" s="852"/>
      <c r="AL145" s="852"/>
      <c r="AM145" s="852"/>
      <c r="AN145" s="852"/>
      <c r="AO145" s="852"/>
      <c r="AP145" s="852"/>
      <c r="AQ145" s="852"/>
      <c r="AR145" s="852"/>
      <c r="AS145" s="852"/>
      <c r="AT145" s="852"/>
      <c r="AU145" s="852"/>
      <c r="AV145" s="852"/>
      <c r="AW145" s="852"/>
      <c r="AX145" s="849"/>
      <c r="AY145" s="847"/>
      <c r="AZ145" s="847"/>
      <c r="BA145" s="847"/>
      <c r="BB145" s="847"/>
      <c r="BC145" s="853"/>
      <c r="BD145" s="854"/>
      <c r="BE145" s="854"/>
      <c r="BF145" s="854"/>
      <c r="BG145" s="870">
        <v>99</v>
      </c>
      <c r="BH145" s="860" t="s">
        <v>254</v>
      </c>
      <c r="BI145" s="854"/>
      <c r="BJ145" s="871">
        <v>0</v>
      </c>
      <c r="BK145" s="872">
        <f t="shared" ref="BK145:BK152" ca="1" si="50">IF(BJ$299=0,0,BJ145/BJ$299*100)</f>
        <v>0</v>
      </c>
      <c r="BL145" s="871">
        <v>0</v>
      </c>
      <c r="BM145" s="872">
        <f t="shared" ref="BM145:BM152" ca="1" si="51">IF(BL$299=0,0,BL145/BL$299*100)</f>
        <v>0</v>
      </c>
      <c r="BN145" s="871">
        <v>0</v>
      </c>
      <c r="BO145" s="872">
        <f t="shared" ref="BO145:BO152" ca="1" si="52">IF(BN$299=0,0,BN145/BN$299*100)</f>
        <v>0</v>
      </c>
      <c r="BP145" s="871">
        <v>0</v>
      </c>
      <c r="BQ145" s="872">
        <f t="shared" ref="BQ145:BQ152" ca="1" si="53">IF(BP$299=0,0,BP145/BP$299*100)</f>
        <v>0</v>
      </c>
      <c r="BR145" s="854"/>
      <c r="BS145" s="854"/>
      <c r="BT145" s="854"/>
      <c r="BU145" s="854"/>
      <c r="BV145" s="854"/>
      <c r="BW145" s="854"/>
      <c r="BX145" s="854"/>
      <c r="BY145" s="854"/>
      <c r="BZ145" s="854"/>
      <c r="CA145" s="854"/>
      <c r="CB145" s="854"/>
      <c r="CC145" s="854"/>
      <c r="CD145" s="854"/>
      <c r="CE145" s="854"/>
      <c r="CF145" s="854"/>
      <c r="CG145" s="854" t="s">
        <v>45</v>
      </c>
    </row>
    <row r="146" spans="1:85" ht="16.5" customHeight="1">
      <c r="A146" s="847"/>
      <c r="B146" s="1464" t="s">
        <v>255</v>
      </c>
      <c r="C146" s="1465"/>
      <c r="D146" s="1465"/>
      <c r="E146" s="1465"/>
      <c r="F146" s="1465"/>
      <c r="G146" s="1465"/>
      <c r="H146" s="1465"/>
      <c r="I146" s="1465"/>
      <c r="J146" s="1465"/>
      <c r="K146" s="1465"/>
      <c r="L146" s="1466"/>
      <c r="M146" s="869"/>
      <c r="N146" s="849"/>
      <c r="O146" s="850"/>
      <c r="P146" s="850"/>
      <c r="Q146" s="850"/>
      <c r="R146" s="850"/>
      <c r="S146" s="850"/>
      <c r="T146" s="851"/>
      <c r="U146" s="851"/>
      <c r="V146" s="851"/>
      <c r="W146" s="851"/>
      <c r="X146" s="851"/>
      <c r="Y146" s="851"/>
      <c r="Z146" s="851"/>
      <c r="AA146" s="851"/>
      <c r="AB146" s="851"/>
      <c r="AC146" s="851"/>
      <c r="AD146" s="851"/>
      <c r="AE146" s="851"/>
      <c r="AF146" s="851"/>
      <c r="AG146" s="851"/>
      <c r="AH146" s="852"/>
      <c r="AI146" s="852"/>
      <c r="AJ146" s="852"/>
      <c r="AK146" s="852"/>
      <c r="AL146" s="852"/>
      <c r="AM146" s="852"/>
      <c r="AN146" s="852"/>
      <c r="AO146" s="852"/>
      <c r="AP146" s="852"/>
      <c r="AQ146" s="852"/>
      <c r="AR146" s="852"/>
      <c r="AS146" s="852"/>
      <c r="AT146" s="852"/>
      <c r="AU146" s="852"/>
      <c r="AV146" s="852"/>
      <c r="AW146" s="852"/>
      <c r="AX146" s="849"/>
      <c r="AY146" s="847"/>
      <c r="AZ146" s="847"/>
      <c r="BA146" s="847"/>
      <c r="BB146" s="847"/>
      <c r="BC146" s="853"/>
      <c r="BD146" s="854"/>
      <c r="BE146" s="854"/>
      <c r="BF146" s="854"/>
      <c r="BG146" s="870">
        <v>100</v>
      </c>
      <c r="BH146" s="860" t="s">
        <v>256</v>
      </c>
      <c r="BI146" s="854"/>
      <c r="BJ146" s="871">
        <v>0</v>
      </c>
      <c r="BK146" s="872">
        <f t="shared" ca="1" si="50"/>
        <v>0</v>
      </c>
      <c r="BL146" s="871">
        <v>0</v>
      </c>
      <c r="BM146" s="872">
        <f t="shared" ca="1" si="51"/>
        <v>0</v>
      </c>
      <c r="BN146" s="871">
        <v>0</v>
      </c>
      <c r="BO146" s="872">
        <f t="shared" ca="1" si="52"/>
        <v>0</v>
      </c>
      <c r="BP146" s="871">
        <v>0</v>
      </c>
      <c r="BQ146" s="872">
        <f t="shared" ca="1" si="53"/>
        <v>0</v>
      </c>
      <c r="BR146" s="854"/>
      <c r="BS146" s="854"/>
      <c r="BT146" s="854"/>
      <c r="BU146" s="854"/>
      <c r="BV146" s="854"/>
      <c r="BW146" s="854"/>
      <c r="BX146" s="854"/>
      <c r="BY146" s="854"/>
      <c r="BZ146" s="854"/>
      <c r="CA146" s="854"/>
      <c r="CB146" s="854"/>
      <c r="CC146" s="854"/>
      <c r="CD146" s="854"/>
      <c r="CE146" s="854"/>
      <c r="CF146" s="854"/>
      <c r="CG146" s="854" t="s">
        <v>45</v>
      </c>
    </row>
    <row r="147" spans="1:85" ht="16.5" customHeight="1">
      <c r="A147" s="847"/>
      <c r="B147" s="1467" t="str">
        <f>+B103</f>
        <v>IDR Million</v>
      </c>
      <c r="C147" s="1468"/>
      <c r="D147" s="1469"/>
      <c r="E147" s="1476" t="s">
        <v>79</v>
      </c>
      <c r="F147" s="1465"/>
      <c r="G147" s="1465"/>
      <c r="H147" s="1465"/>
      <c r="I147" s="1465"/>
      <c r="J147" s="1465"/>
      <c r="K147" s="1465"/>
      <c r="L147" s="1466"/>
      <c r="M147" s="869"/>
      <c r="N147" s="849"/>
      <c r="O147" s="850"/>
      <c r="P147" s="850"/>
      <c r="Q147" s="850"/>
      <c r="R147" s="850"/>
      <c r="S147" s="850"/>
      <c r="T147" s="851"/>
      <c r="U147" s="851"/>
      <c r="V147" s="851"/>
      <c r="W147" s="851"/>
      <c r="X147" s="851"/>
      <c r="Y147" s="851"/>
      <c r="Z147" s="851"/>
      <c r="AA147" s="851"/>
      <c r="AB147" s="851"/>
      <c r="AC147" s="851"/>
      <c r="AD147" s="851"/>
      <c r="AE147" s="851"/>
      <c r="AF147" s="851"/>
      <c r="AG147" s="851"/>
      <c r="AH147" s="852"/>
      <c r="AI147" s="852"/>
      <c r="AJ147" s="852"/>
      <c r="AK147" s="852"/>
      <c r="AL147" s="852"/>
      <c r="AM147" s="852"/>
      <c r="AN147" s="852"/>
      <c r="AO147" s="852"/>
      <c r="AP147" s="852"/>
      <c r="AQ147" s="852"/>
      <c r="AR147" s="852"/>
      <c r="AS147" s="852"/>
      <c r="AT147" s="852"/>
      <c r="AU147" s="852"/>
      <c r="AV147" s="852"/>
      <c r="AW147" s="852"/>
      <c r="AX147" s="849"/>
      <c r="AY147" s="847"/>
      <c r="AZ147" s="847"/>
      <c r="BA147" s="847"/>
      <c r="BB147" s="847"/>
      <c r="BC147" s="853"/>
      <c r="BD147" s="854"/>
      <c r="BE147" s="854"/>
      <c r="BF147" s="854"/>
      <c r="BG147" s="870">
        <v>101</v>
      </c>
      <c r="BH147" s="860" t="s">
        <v>257</v>
      </c>
      <c r="BI147" s="854"/>
      <c r="BJ147" s="871">
        <v>0</v>
      </c>
      <c r="BK147" s="872">
        <f t="shared" ca="1" si="50"/>
        <v>0</v>
      </c>
      <c r="BL147" s="871">
        <v>0</v>
      </c>
      <c r="BM147" s="872">
        <f t="shared" ca="1" si="51"/>
        <v>0</v>
      </c>
      <c r="BN147" s="871">
        <v>0</v>
      </c>
      <c r="BO147" s="872">
        <f t="shared" ca="1" si="52"/>
        <v>0</v>
      </c>
      <c r="BP147" s="871">
        <v>0</v>
      </c>
      <c r="BQ147" s="872">
        <f t="shared" ca="1" si="53"/>
        <v>0</v>
      </c>
      <c r="BR147" s="854"/>
      <c r="BS147" s="854"/>
      <c r="BT147" s="854"/>
      <c r="BU147" s="854"/>
      <c r="BV147" s="854"/>
      <c r="BW147" s="854"/>
      <c r="BX147" s="854"/>
      <c r="BY147" s="854"/>
      <c r="BZ147" s="854"/>
      <c r="CA147" s="854"/>
      <c r="CB147" s="854"/>
      <c r="CC147" s="854"/>
      <c r="CD147" s="854"/>
      <c r="CE147" s="854"/>
      <c r="CF147" s="854"/>
      <c r="CG147" s="854" t="s">
        <v>45</v>
      </c>
    </row>
    <row r="148" spans="1:85" ht="15.75" customHeight="1">
      <c r="A148" s="847"/>
      <c r="B148" s="1470"/>
      <c r="C148" s="1471"/>
      <c r="D148" s="1472"/>
      <c r="E148" s="1477">
        <f>+E103</f>
        <v>44561</v>
      </c>
      <c r="F148" s="1478"/>
      <c r="G148" s="1477">
        <f>+G103</f>
        <v>44926</v>
      </c>
      <c r="H148" s="1478"/>
      <c r="I148" s="1477">
        <f>+I103</f>
        <v>45291</v>
      </c>
      <c r="J148" s="1479"/>
      <c r="K148" s="1477">
        <f>+K103</f>
        <v>45473</v>
      </c>
      <c r="L148" s="1480"/>
      <c r="M148" s="869"/>
      <c r="N148" s="849"/>
      <c r="O148" s="850"/>
      <c r="P148" s="850"/>
      <c r="Q148" s="850"/>
      <c r="R148" s="850"/>
      <c r="S148" s="850"/>
      <c r="T148" s="851"/>
      <c r="U148" s="851"/>
      <c r="V148" s="851"/>
      <c r="W148" s="851"/>
      <c r="X148" s="851"/>
      <c r="Y148" s="851"/>
      <c r="Z148" s="851"/>
      <c r="AA148" s="851"/>
      <c r="AB148" s="851"/>
      <c r="AC148" s="851"/>
      <c r="AD148" s="851"/>
      <c r="AE148" s="851"/>
      <c r="AF148" s="851"/>
      <c r="AG148" s="851"/>
      <c r="AH148" s="852"/>
      <c r="AI148" s="852"/>
      <c r="AJ148" s="852"/>
      <c r="AK148" s="852"/>
      <c r="AL148" s="852"/>
      <c r="AM148" s="852"/>
      <c r="AN148" s="852"/>
      <c r="AO148" s="852"/>
      <c r="AP148" s="852"/>
      <c r="AQ148" s="852"/>
      <c r="AR148" s="852"/>
      <c r="AS148" s="852"/>
      <c r="AT148" s="852"/>
      <c r="AU148" s="852"/>
      <c r="AV148" s="852"/>
      <c r="AW148" s="852"/>
      <c r="AX148" s="849"/>
      <c r="AY148" s="847"/>
      <c r="AZ148" s="847"/>
      <c r="BA148" s="847"/>
      <c r="BB148" s="847"/>
      <c r="BC148" s="853"/>
      <c r="BD148" s="854"/>
      <c r="BE148" s="854"/>
      <c r="BF148" s="854"/>
      <c r="BG148" s="870">
        <v>102</v>
      </c>
      <c r="BH148" s="860" t="s">
        <v>45</v>
      </c>
      <c r="BI148" s="854"/>
      <c r="BJ148" s="871">
        <v>0</v>
      </c>
      <c r="BK148" s="872">
        <f t="shared" ca="1" si="50"/>
        <v>0</v>
      </c>
      <c r="BL148" s="871">
        <v>0</v>
      </c>
      <c r="BM148" s="872">
        <f t="shared" ca="1" si="51"/>
        <v>0</v>
      </c>
      <c r="BN148" s="871">
        <v>0</v>
      </c>
      <c r="BO148" s="872">
        <f t="shared" ca="1" si="52"/>
        <v>0</v>
      </c>
      <c r="BP148" s="871">
        <v>0</v>
      </c>
      <c r="BQ148" s="872">
        <f t="shared" ca="1" si="53"/>
        <v>0</v>
      </c>
      <c r="BR148" s="854"/>
      <c r="BS148" s="854"/>
      <c r="BT148" s="854"/>
      <c r="BU148" s="854"/>
      <c r="BV148" s="854"/>
      <c r="BW148" s="854"/>
      <c r="BX148" s="854"/>
      <c r="BY148" s="854"/>
      <c r="BZ148" s="854"/>
      <c r="CA148" s="854"/>
      <c r="CB148" s="854"/>
      <c r="CC148" s="854"/>
      <c r="CD148" s="854"/>
      <c r="CE148" s="854"/>
      <c r="CF148" s="854"/>
      <c r="CG148" s="854" t="s">
        <v>45</v>
      </c>
    </row>
    <row r="149" spans="1:85" ht="16.5" customHeight="1">
      <c r="A149" s="847"/>
      <c r="B149" s="1473"/>
      <c r="C149" s="1474"/>
      <c r="D149" s="1475"/>
      <c r="E149" s="1462" t="s">
        <v>85</v>
      </c>
      <c r="F149" s="1463"/>
      <c r="G149" s="1462" t="s">
        <v>85</v>
      </c>
      <c r="H149" s="1463"/>
      <c r="I149" s="1462" t="s">
        <v>85</v>
      </c>
      <c r="J149" s="1463"/>
      <c r="K149" s="1462" t="s">
        <v>85</v>
      </c>
      <c r="L149" s="1463"/>
      <c r="M149" s="869"/>
      <c r="N149" s="849"/>
      <c r="O149" s="850"/>
      <c r="P149" s="850"/>
      <c r="Q149" s="850"/>
      <c r="R149" s="850"/>
      <c r="S149" s="850"/>
      <c r="T149" s="851"/>
      <c r="U149" s="851"/>
      <c r="V149" s="851"/>
      <c r="W149" s="851"/>
      <c r="X149" s="851"/>
      <c r="Y149" s="851"/>
      <c r="Z149" s="851"/>
      <c r="AA149" s="851"/>
      <c r="AB149" s="851"/>
      <c r="AC149" s="851"/>
      <c r="AD149" s="851"/>
      <c r="AE149" s="851"/>
      <c r="AF149" s="851"/>
      <c r="AG149" s="851"/>
      <c r="AH149" s="852"/>
      <c r="AI149" s="852"/>
      <c r="AJ149" s="852"/>
      <c r="AK149" s="852"/>
      <c r="AL149" s="852"/>
      <c r="AM149" s="852"/>
      <c r="AN149" s="852"/>
      <c r="AO149" s="852"/>
      <c r="AP149" s="852"/>
      <c r="AQ149" s="852"/>
      <c r="AR149" s="852"/>
      <c r="AS149" s="852"/>
      <c r="AT149" s="852"/>
      <c r="AU149" s="852"/>
      <c r="AV149" s="852"/>
      <c r="AW149" s="852"/>
      <c r="AX149" s="849"/>
      <c r="AY149" s="847"/>
      <c r="AZ149" s="847"/>
      <c r="BA149" s="847"/>
      <c r="BB149" s="847"/>
      <c r="BC149" s="853"/>
      <c r="BD149" s="854"/>
      <c r="BE149" s="854"/>
      <c r="BF149" s="854"/>
      <c r="BG149" s="870">
        <v>103</v>
      </c>
      <c r="BH149" s="860" t="s">
        <v>45</v>
      </c>
      <c r="BI149" s="854"/>
      <c r="BJ149" s="871">
        <v>0</v>
      </c>
      <c r="BK149" s="872">
        <f t="shared" ca="1" si="50"/>
        <v>0</v>
      </c>
      <c r="BL149" s="871">
        <v>0</v>
      </c>
      <c r="BM149" s="872">
        <f t="shared" ca="1" si="51"/>
        <v>0</v>
      </c>
      <c r="BN149" s="871">
        <v>0</v>
      </c>
      <c r="BO149" s="872">
        <f t="shared" ca="1" si="52"/>
        <v>0</v>
      </c>
      <c r="BP149" s="871">
        <v>0</v>
      </c>
      <c r="BQ149" s="872">
        <f t="shared" ca="1" si="53"/>
        <v>0</v>
      </c>
      <c r="BR149" s="854"/>
      <c r="BS149" s="854"/>
      <c r="BT149" s="854"/>
      <c r="BU149" s="854"/>
      <c r="BV149" s="854"/>
      <c r="BW149" s="854"/>
      <c r="BX149" s="854"/>
      <c r="BY149" s="854"/>
      <c r="BZ149" s="854"/>
      <c r="CA149" s="854"/>
      <c r="CB149" s="854"/>
      <c r="CC149" s="854"/>
      <c r="CD149" s="854"/>
      <c r="CE149" s="854"/>
      <c r="CF149" s="854"/>
      <c r="CG149" s="854" t="s">
        <v>45</v>
      </c>
    </row>
    <row r="150" spans="1:85" ht="15.75" customHeight="1">
      <c r="A150" s="847"/>
      <c r="B150" s="1180">
        <v>1</v>
      </c>
      <c r="C150" s="1181" t="s">
        <v>177</v>
      </c>
      <c r="D150" s="1146"/>
      <c r="E150" s="1293"/>
      <c r="F150" s="1294"/>
      <c r="G150" s="1199">
        <f>E72</f>
        <v>51100</v>
      </c>
      <c r="H150" s="1183"/>
      <c r="I150" s="1184">
        <f>G72</f>
        <v>51192</v>
      </c>
      <c r="J150" s="1183"/>
      <c r="K150" s="1199">
        <f>I72</f>
        <v>51284</v>
      </c>
      <c r="L150" s="1185"/>
      <c r="M150" s="869"/>
      <c r="N150" s="849"/>
      <c r="O150" s="850"/>
      <c r="P150" s="850"/>
      <c r="Q150" s="850"/>
      <c r="R150" s="850"/>
      <c r="S150" s="850"/>
      <c r="T150" s="851"/>
      <c r="U150" s="851"/>
      <c r="V150" s="851"/>
      <c r="W150" s="851"/>
      <c r="X150" s="851"/>
      <c r="Y150" s="851"/>
      <c r="Z150" s="851"/>
      <c r="AA150" s="851"/>
      <c r="AB150" s="851"/>
      <c r="AC150" s="851"/>
      <c r="AD150" s="851"/>
      <c r="AE150" s="851"/>
      <c r="AF150" s="851"/>
      <c r="AG150" s="851"/>
      <c r="AH150" s="852"/>
      <c r="AI150" s="852"/>
      <c r="AJ150" s="852"/>
      <c r="AK150" s="852"/>
      <c r="AL150" s="852"/>
      <c r="AM150" s="852"/>
      <c r="AN150" s="852"/>
      <c r="AO150" s="852"/>
      <c r="AP150" s="852"/>
      <c r="AQ150" s="852"/>
      <c r="AR150" s="852"/>
      <c r="AS150" s="852"/>
      <c r="AT150" s="852"/>
      <c r="AU150" s="852"/>
      <c r="AV150" s="852"/>
      <c r="AW150" s="852"/>
      <c r="AX150" s="849"/>
      <c r="AY150" s="847"/>
      <c r="AZ150" s="847"/>
      <c r="BA150" s="847"/>
      <c r="BB150" s="847"/>
      <c r="BC150" s="853"/>
      <c r="BD150" s="854"/>
      <c r="BE150" s="854"/>
      <c r="BF150" s="854"/>
      <c r="BG150" s="870">
        <v>104</v>
      </c>
      <c r="BH150" s="860" t="s">
        <v>45</v>
      </c>
      <c r="BI150" s="854"/>
      <c r="BJ150" s="871">
        <v>0</v>
      </c>
      <c r="BK150" s="872">
        <f t="shared" ca="1" si="50"/>
        <v>0</v>
      </c>
      <c r="BL150" s="871">
        <v>0</v>
      </c>
      <c r="BM150" s="872">
        <f t="shared" ca="1" si="51"/>
        <v>0</v>
      </c>
      <c r="BN150" s="871">
        <v>0</v>
      </c>
      <c r="BO150" s="872">
        <f t="shared" ca="1" si="52"/>
        <v>0</v>
      </c>
      <c r="BP150" s="871">
        <v>0</v>
      </c>
      <c r="BQ150" s="872">
        <f t="shared" ca="1" si="53"/>
        <v>0</v>
      </c>
      <c r="BR150" s="854"/>
      <c r="BS150" s="854"/>
      <c r="BT150" s="854"/>
      <c r="BU150" s="854"/>
      <c r="BV150" s="854"/>
      <c r="BW150" s="854"/>
      <c r="BX150" s="854"/>
      <c r="BY150" s="854"/>
      <c r="BZ150" s="854"/>
      <c r="CA150" s="854"/>
      <c r="CB150" s="854"/>
      <c r="CC150" s="854"/>
      <c r="CD150" s="854"/>
      <c r="CE150" s="854"/>
      <c r="CF150" s="854"/>
      <c r="CG150" s="854" t="s">
        <v>45</v>
      </c>
    </row>
    <row r="151" spans="1:85" ht="15.75" customHeight="1">
      <c r="A151" s="847"/>
      <c r="B151" s="1154">
        <v>2</v>
      </c>
      <c r="C151" s="1186" t="s">
        <v>258</v>
      </c>
      <c r="D151" s="1155"/>
      <c r="E151" s="1295"/>
      <c r="F151" s="1296"/>
      <c r="G151" s="1200">
        <f>G122</f>
        <v>13935</v>
      </c>
      <c r="H151" s="1189"/>
      <c r="I151" s="1190">
        <f>I122</f>
        <v>19400</v>
      </c>
      <c r="J151" s="1189"/>
      <c r="K151" s="1200">
        <f>K122</f>
        <v>19105</v>
      </c>
      <c r="L151" s="1191"/>
      <c r="M151" s="869"/>
      <c r="N151" s="849"/>
      <c r="O151" s="850"/>
      <c r="P151" s="850"/>
      <c r="Q151" s="850"/>
      <c r="R151" s="850"/>
      <c r="S151" s="850"/>
      <c r="T151" s="851"/>
      <c r="U151" s="851"/>
      <c r="V151" s="851"/>
      <c r="W151" s="851"/>
      <c r="X151" s="851"/>
      <c r="Y151" s="851"/>
      <c r="Z151" s="851"/>
      <c r="AA151" s="851"/>
      <c r="AB151" s="851"/>
      <c r="AC151" s="851"/>
      <c r="AD151" s="851"/>
      <c r="AE151" s="851"/>
      <c r="AF151" s="851"/>
      <c r="AG151" s="851"/>
      <c r="AH151" s="852"/>
      <c r="AI151" s="852"/>
      <c r="AJ151" s="852"/>
      <c r="AK151" s="852"/>
      <c r="AL151" s="852"/>
      <c r="AM151" s="852"/>
      <c r="AN151" s="852"/>
      <c r="AO151" s="852"/>
      <c r="AP151" s="852"/>
      <c r="AQ151" s="852"/>
      <c r="AR151" s="852"/>
      <c r="AS151" s="852"/>
      <c r="AT151" s="852"/>
      <c r="AU151" s="852"/>
      <c r="AV151" s="852"/>
      <c r="AW151" s="852"/>
      <c r="AX151" s="849"/>
      <c r="AY151" s="847"/>
      <c r="AZ151" s="847"/>
      <c r="BA151" s="847"/>
      <c r="BB151" s="847"/>
      <c r="BC151" s="853"/>
      <c r="BD151" s="854"/>
      <c r="BE151" s="854"/>
      <c r="BF151" s="854"/>
      <c r="BG151" s="870">
        <v>105</v>
      </c>
      <c r="BH151" s="860" t="s">
        <v>45</v>
      </c>
      <c r="BI151" s="854"/>
      <c r="BJ151" s="871">
        <v>0</v>
      </c>
      <c r="BK151" s="872">
        <f t="shared" ca="1" si="50"/>
        <v>0</v>
      </c>
      <c r="BL151" s="871">
        <v>0</v>
      </c>
      <c r="BM151" s="872">
        <f t="shared" ca="1" si="51"/>
        <v>0</v>
      </c>
      <c r="BN151" s="871">
        <v>0</v>
      </c>
      <c r="BO151" s="872">
        <f t="shared" ca="1" si="52"/>
        <v>0</v>
      </c>
      <c r="BP151" s="871">
        <v>0</v>
      </c>
      <c r="BQ151" s="872">
        <f t="shared" ca="1" si="53"/>
        <v>0</v>
      </c>
      <c r="BR151" s="854"/>
      <c r="BS151" s="854"/>
      <c r="BT151" s="854"/>
      <c r="BU151" s="854"/>
      <c r="BV151" s="854"/>
      <c r="BW151" s="854"/>
      <c r="BX151" s="854"/>
      <c r="BY151" s="854"/>
      <c r="BZ151" s="854"/>
      <c r="CA151" s="854"/>
      <c r="CB151" s="854"/>
      <c r="CC151" s="854"/>
      <c r="CD151" s="854"/>
      <c r="CE151" s="854"/>
      <c r="CF151" s="854"/>
      <c r="CG151" s="854" t="s">
        <v>45</v>
      </c>
    </row>
    <row r="152" spans="1:85" ht="15.75" customHeight="1">
      <c r="A152" s="847"/>
      <c r="B152" s="1154">
        <v>3</v>
      </c>
      <c r="C152" s="1186" t="s">
        <v>259</v>
      </c>
      <c r="D152" s="1155"/>
      <c r="E152" s="1295"/>
      <c r="F152" s="1296"/>
      <c r="G152" s="1200">
        <f>SUM(G61:G68)-SUM(E61:E68)</f>
        <v>8</v>
      </c>
      <c r="H152" s="1189"/>
      <c r="I152" s="1200">
        <f>SUM(I61:I68)-SUM(G61:G68)</f>
        <v>8</v>
      </c>
      <c r="J152" s="1189"/>
      <c r="K152" s="1200">
        <f>SUM(K61:K68)-SUM(I61:I68)</f>
        <v>8</v>
      </c>
      <c r="L152" s="1191"/>
      <c r="M152" s="869"/>
      <c r="N152" s="849"/>
      <c r="O152" s="850"/>
      <c r="P152" s="850"/>
      <c r="Q152" s="850"/>
      <c r="R152" s="850"/>
      <c r="S152" s="850"/>
      <c r="T152" s="851"/>
      <c r="U152" s="851"/>
      <c r="V152" s="851"/>
      <c r="W152" s="851"/>
      <c r="X152" s="851"/>
      <c r="Y152" s="851"/>
      <c r="Z152" s="851"/>
      <c r="AA152" s="851"/>
      <c r="AB152" s="851"/>
      <c r="AC152" s="851"/>
      <c r="AD152" s="851"/>
      <c r="AE152" s="851"/>
      <c r="AF152" s="851"/>
      <c r="AG152" s="851"/>
      <c r="AH152" s="852"/>
      <c r="AI152" s="852"/>
      <c r="AJ152" s="852"/>
      <c r="AK152" s="852"/>
      <c r="AL152" s="852"/>
      <c r="AM152" s="852"/>
      <c r="AN152" s="852"/>
      <c r="AO152" s="852"/>
      <c r="AP152" s="852"/>
      <c r="AQ152" s="852"/>
      <c r="AR152" s="852"/>
      <c r="AS152" s="852"/>
      <c r="AT152" s="852"/>
      <c r="AU152" s="852"/>
      <c r="AV152" s="852"/>
      <c r="AW152" s="852"/>
      <c r="AX152" s="849"/>
      <c r="AY152" s="847"/>
      <c r="AZ152" s="847"/>
      <c r="BA152" s="847"/>
      <c r="BB152" s="847"/>
      <c r="BC152" s="853"/>
      <c r="BD152" s="854"/>
      <c r="BE152" s="854"/>
      <c r="BF152" s="854"/>
      <c r="BG152" s="870">
        <v>106</v>
      </c>
      <c r="BH152" s="860" t="s">
        <v>260</v>
      </c>
      <c r="BI152" s="854"/>
      <c r="BJ152" s="871">
        <v>0</v>
      </c>
      <c r="BK152" s="872">
        <f t="shared" ca="1" si="50"/>
        <v>0</v>
      </c>
      <c r="BL152" s="871">
        <v>0</v>
      </c>
      <c r="BM152" s="872">
        <f t="shared" ca="1" si="51"/>
        <v>0</v>
      </c>
      <c r="BN152" s="871">
        <v>0</v>
      </c>
      <c r="BO152" s="872">
        <f t="shared" ca="1" si="52"/>
        <v>0</v>
      </c>
      <c r="BP152" s="871">
        <v>0</v>
      </c>
      <c r="BQ152" s="872">
        <f t="shared" ca="1" si="53"/>
        <v>0</v>
      </c>
      <c r="BR152" s="854"/>
      <c r="BS152" s="854"/>
      <c r="BT152" s="854"/>
      <c r="BU152" s="854"/>
      <c r="BV152" s="854"/>
      <c r="BW152" s="854"/>
      <c r="BX152" s="854"/>
      <c r="BY152" s="854"/>
      <c r="BZ152" s="854"/>
      <c r="CA152" s="854"/>
      <c r="CB152" s="854"/>
      <c r="CC152" s="854"/>
      <c r="CD152" s="854"/>
      <c r="CE152" s="854"/>
      <c r="CF152" s="854"/>
      <c r="CG152" s="854" t="s">
        <v>45</v>
      </c>
    </row>
    <row r="153" spans="1:85" ht="15.75" customHeight="1">
      <c r="A153" s="847"/>
      <c r="B153" s="1154">
        <v>4</v>
      </c>
      <c r="C153" s="1187" t="s">
        <v>261</v>
      </c>
      <c r="D153" s="1155"/>
      <c r="E153" s="1295"/>
      <c r="F153" s="1296"/>
      <c r="G153" s="1200">
        <f>IF(G124&lt;=0,-G124,0)</f>
        <v>0</v>
      </c>
      <c r="H153" s="1189"/>
      <c r="I153" s="1200">
        <f>IF(I124&lt;=0,-I124,0)</f>
        <v>0</v>
      </c>
      <c r="J153" s="1189"/>
      <c r="K153" s="1200">
        <f>IF(K124&lt;=0,-K124,0)</f>
        <v>0</v>
      </c>
      <c r="L153" s="1191"/>
      <c r="M153" s="869"/>
      <c r="N153" s="849"/>
      <c r="O153" s="850"/>
      <c r="P153" s="850"/>
      <c r="Q153" s="850"/>
      <c r="R153" s="850"/>
      <c r="S153" s="850"/>
      <c r="T153" s="851"/>
      <c r="U153" s="851"/>
      <c r="V153" s="851"/>
      <c r="W153" s="851"/>
      <c r="X153" s="851"/>
      <c r="Y153" s="851"/>
      <c r="Z153" s="851"/>
      <c r="AA153" s="851"/>
      <c r="AB153" s="851"/>
      <c r="AC153" s="851"/>
      <c r="AD153" s="851"/>
      <c r="AE153" s="851"/>
      <c r="AF153" s="851"/>
      <c r="AG153" s="851"/>
      <c r="AH153" s="852"/>
      <c r="AI153" s="852"/>
      <c r="AJ153" s="852"/>
      <c r="AK153" s="852"/>
      <c r="AL153" s="852"/>
      <c r="AM153" s="852"/>
      <c r="AN153" s="852"/>
      <c r="AO153" s="852"/>
      <c r="AP153" s="852"/>
      <c r="AQ153" s="852"/>
      <c r="AR153" s="852"/>
      <c r="AS153" s="852"/>
      <c r="AT153" s="852"/>
      <c r="AU153" s="852"/>
      <c r="AV153" s="852"/>
      <c r="AW153" s="852"/>
      <c r="AX153" s="849"/>
      <c r="AY153" s="847"/>
      <c r="AZ153" s="847"/>
      <c r="BA153" s="847"/>
      <c r="BB153" s="847"/>
      <c r="BC153" s="853"/>
      <c r="BD153" s="854"/>
      <c r="BE153" s="854"/>
      <c r="BF153" s="854"/>
      <c r="BG153" s="870"/>
      <c r="BH153" s="861"/>
      <c r="BI153" s="854"/>
      <c r="BJ153" s="861"/>
      <c r="BK153" s="872"/>
      <c r="BL153" s="861"/>
      <c r="BM153" s="872"/>
      <c r="BN153" s="861"/>
      <c r="BO153" s="872"/>
      <c r="BP153" s="861"/>
      <c r="BQ153" s="872"/>
      <c r="BR153" s="854"/>
      <c r="BS153" s="854"/>
      <c r="BT153" s="854"/>
      <c r="BU153" s="854"/>
      <c r="BV153" s="854"/>
      <c r="BW153" s="854"/>
      <c r="BX153" s="854"/>
      <c r="BY153" s="854"/>
      <c r="BZ153" s="854"/>
      <c r="CA153" s="854"/>
      <c r="CB153" s="854"/>
      <c r="CC153" s="854"/>
      <c r="CD153" s="854"/>
      <c r="CE153" s="854"/>
      <c r="CF153" s="854"/>
      <c r="CG153" s="854" t="s">
        <v>45</v>
      </c>
    </row>
    <row r="154" spans="1:85" ht="15.6" customHeight="1">
      <c r="A154" s="847"/>
      <c r="B154" s="1154">
        <v>5</v>
      </c>
      <c r="C154" s="1186" t="s">
        <v>262</v>
      </c>
      <c r="D154" s="1155"/>
      <c r="E154" s="1295"/>
      <c r="F154" s="1296"/>
      <c r="G154" s="1200">
        <f>SUM(G151:G153)</f>
        <v>13943</v>
      </c>
      <c r="H154" s="1189"/>
      <c r="I154" s="1190">
        <f>SUM(I151:I153)</f>
        <v>19408</v>
      </c>
      <c r="J154" s="1189"/>
      <c r="K154" s="1200">
        <f>SUM(K151:K153)</f>
        <v>19113</v>
      </c>
      <c r="L154" s="1191"/>
      <c r="M154" s="869"/>
      <c r="N154" s="849"/>
      <c r="O154" s="850"/>
      <c r="P154" s="850"/>
      <c r="Q154" s="850"/>
      <c r="R154" s="850"/>
      <c r="S154" s="850"/>
      <c r="T154" s="851"/>
      <c r="U154" s="851"/>
      <c r="V154" s="851"/>
      <c r="W154" s="851"/>
      <c r="X154" s="851"/>
      <c r="Y154" s="851"/>
      <c r="Z154" s="851"/>
      <c r="AA154" s="851"/>
      <c r="AB154" s="851"/>
      <c r="AC154" s="851"/>
      <c r="AD154" s="851"/>
      <c r="AE154" s="851"/>
      <c r="AF154" s="851"/>
      <c r="AG154" s="851"/>
      <c r="AH154" s="852"/>
      <c r="AI154" s="852"/>
      <c r="AJ154" s="852"/>
      <c r="AK154" s="852"/>
      <c r="AL154" s="852"/>
      <c r="AM154" s="852"/>
      <c r="AN154" s="852"/>
      <c r="AO154" s="852"/>
      <c r="AP154" s="852"/>
      <c r="AQ154" s="852"/>
      <c r="AR154" s="852"/>
      <c r="AS154" s="852"/>
      <c r="AT154" s="852"/>
      <c r="AU154" s="852"/>
      <c r="AV154" s="852"/>
      <c r="AW154" s="852"/>
      <c r="AX154" s="849"/>
      <c r="AY154" s="847"/>
      <c r="AZ154" s="847"/>
      <c r="BA154" s="847"/>
      <c r="BB154" s="847"/>
      <c r="BC154" s="853"/>
      <c r="BD154" s="854"/>
      <c r="BE154" s="854"/>
      <c r="BF154" s="854"/>
      <c r="BG154" s="854"/>
      <c r="BH154" s="854"/>
      <c r="BI154" s="854"/>
      <c r="BJ154" s="854"/>
      <c r="BK154" s="854"/>
      <c r="BL154" s="854"/>
      <c r="BM154" s="854"/>
      <c r="BN154" s="854"/>
      <c r="BO154" s="854"/>
      <c r="BP154" s="854"/>
      <c r="BQ154" s="854"/>
      <c r="BR154" s="854"/>
      <c r="BS154" s="854"/>
      <c r="BT154" s="854"/>
      <c r="BU154" s="854"/>
      <c r="BV154" s="854"/>
      <c r="BW154" s="854"/>
      <c r="BX154" s="854"/>
      <c r="BY154" s="854"/>
      <c r="BZ154" s="854"/>
      <c r="CA154" s="854"/>
      <c r="CB154" s="854"/>
      <c r="CC154" s="854"/>
      <c r="CD154" s="854"/>
      <c r="CE154" s="854"/>
      <c r="CF154" s="854"/>
      <c r="CG154" s="854" t="s">
        <v>45</v>
      </c>
    </row>
    <row r="155" spans="1:85" ht="15.75" customHeight="1">
      <c r="A155" s="847"/>
      <c r="B155" s="1154">
        <v>6</v>
      </c>
      <c r="C155" s="1186" t="s">
        <v>263</v>
      </c>
      <c r="D155" s="1155"/>
      <c r="E155" s="1295"/>
      <c r="F155" s="1296"/>
      <c r="G155" s="1200">
        <f>G123</f>
        <v>300</v>
      </c>
      <c r="H155" s="1189"/>
      <c r="I155" s="1200">
        <f>I123</f>
        <v>400</v>
      </c>
      <c r="J155" s="1189"/>
      <c r="K155" s="1200">
        <f>K123</f>
        <v>500</v>
      </c>
      <c r="L155" s="1191"/>
      <c r="M155" s="880"/>
      <c r="N155" s="876"/>
      <c r="O155" s="877"/>
      <c r="P155" s="877"/>
      <c r="Q155" s="877"/>
      <c r="R155" s="877"/>
      <c r="S155" s="877"/>
      <c r="T155" s="851"/>
      <c r="U155" s="851"/>
      <c r="V155" s="851"/>
      <c r="W155" s="851"/>
      <c r="X155" s="851"/>
      <c r="Y155" s="851"/>
      <c r="Z155" s="851"/>
      <c r="AA155" s="851"/>
      <c r="AB155" s="851"/>
      <c r="AC155" s="851"/>
      <c r="AD155" s="851"/>
      <c r="AE155" s="851"/>
      <c r="AF155" s="851"/>
      <c r="AG155" s="851"/>
      <c r="AH155" s="852"/>
      <c r="AI155" s="852"/>
      <c r="AJ155" s="852"/>
      <c r="AK155" s="852"/>
      <c r="AL155" s="852"/>
      <c r="AM155" s="852"/>
      <c r="AN155" s="852"/>
      <c r="AO155" s="852"/>
      <c r="AP155" s="852"/>
      <c r="AQ155" s="852"/>
      <c r="AR155" s="852"/>
      <c r="AS155" s="852"/>
      <c r="AT155" s="852"/>
      <c r="AU155" s="852"/>
      <c r="AV155" s="852"/>
      <c r="AW155" s="852"/>
      <c r="AX155" s="876"/>
      <c r="AY155" s="847"/>
      <c r="AZ155" s="847"/>
      <c r="BA155" s="847"/>
      <c r="BB155" s="847"/>
      <c r="BC155" s="853"/>
      <c r="BD155" s="854"/>
      <c r="BE155" s="854"/>
      <c r="BF155" s="854"/>
      <c r="BG155" s="870">
        <v>107</v>
      </c>
      <c r="BH155" s="883" t="s">
        <v>264</v>
      </c>
      <c r="BI155" s="884"/>
      <c r="BJ155" s="885">
        <f>SUM(BJ93:BJ153)</f>
        <v>1945.1969760000002</v>
      </c>
      <c r="BK155" s="886">
        <f ca="1">IF(BJ$299=0,0,BJ155/BJ$299*100)</f>
        <v>136.82710229030491</v>
      </c>
      <c r="BL155" s="885">
        <f>SUM(BL93:BL153)</f>
        <v>506.071258</v>
      </c>
      <c r="BM155" s="886">
        <f ca="1">IF(BL$299=0,0,BL155/BL$299*100)</f>
        <v>2.2592023278605775</v>
      </c>
      <c r="BN155" s="885">
        <f>SUM(BN93:BN153)</f>
        <v>2370.900165</v>
      </c>
      <c r="BO155" s="886">
        <f ca="1">IF(BN$299=0,0,BN155/BN$299*100)</f>
        <v>8.1735056761647744</v>
      </c>
      <c r="BP155" s="885">
        <f>SUM(BP93:BP153)</f>
        <v>152595.23949199996</v>
      </c>
      <c r="BQ155" s="886">
        <f ca="1">IF(BP$299=0,0,BP155/BP$299*100)</f>
        <v>39.581649364172939</v>
      </c>
      <c r="BR155" s="854"/>
      <c r="BS155" s="854"/>
      <c r="BT155" s="854"/>
      <c r="BU155" s="854"/>
      <c r="BV155" s="854"/>
      <c r="BW155" s="854"/>
      <c r="BX155" s="854"/>
      <c r="BY155" s="854"/>
      <c r="BZ155" s="854"/>
      <c r="CA155" s="854"/>
      <c r="CB155" s="854"/>
      <c r="CC155" s="854"/>
      <c r="CD155" s="854"/>
      <c r="CE155" s="854"/>
      <c r="CF155" s="854"/>
      <c r="CG155" s="854" t="s">
        <v>45</v>
      </c>
    </row>
    <row r="156" spans="1:85" ht="15.75" customHeight="1">
      <c r="A156" s="847"/>
      <c r="B156" s="1154">
        <v>7</v>
      </c>
      <c r="C156" s="1186" t="s">
        <v>265</v>
      </c>
      <c r="D156" s="1155"/>
      <c r="E156" s="1295"/>
      <c r="F156" s="1296"/>
      <c r="G156" s="1200">
        <f>IF(G124&gt;=0,G124,0)</f>
        <v>13551</v>
      </c>
      <c r="H156" s="1189"/>
      <c r="I156" s="1200">
        <f>IF(I124&gt;=0,I124,0)</f>
        <v>18916</v>
      </c>
      <c r="J156" s="1189"/>
      <c r="K156" s="1200">
        <f>IF(K124&gt;=0,K124,0)</f>
        <v>18521</v>
      </c>
      <c r="L156" s="1191"/>
      <c r="M156" s="880"/>
      <c r="N156" s="876"/>
      <c r="O156" s="877"/>
      <c r="P156" s="877"/>
      <c r="Q156" s="877"/>
      <c r="R156" s="877"/>
      <c r="S156" s="877"/>
      <c r="T156" s="851"/>
      <c r="U156" s="851"/>
      <c r="V156" s="851"/>
      <c r="W156" s="851"/>
      <c r="X156" s="851"/>
      <c r="Y156" s="851"/>
      <c r="Z156" s="851"/>
      <c r="AA156" s="851"/>
      <c r="AB156" s="851"/>
      <c r="AC156" s="851"/>
      <c r="AD156" s="851"/>
      <c r="AE156" s="851"/>
      <c r="AF156" s="851"/>
      <c r="AG156" s="851"/>
      <c r="AH156" s="852"/>
      <c r="AI156" s="852"/>
      <c r="AJ156" s="852"/>
      <c r="AK156" s="852"/>
      <c r="AL156" s="852"/>
      <c r="AM156" s="852"/>
      <c r="AN156" s="852"/>
      <c r="AO156" s="852"/>
      <c r="AP156" s="852"/>
      <c r="AQ156" s="852"/>
      <c r="AR156" s="852"/>
      <c r="AS156" s="852"/>
      <c r="AT156" s="852"/>
      <c r="AU156" s="852"/>
      <c r="AV156" s="852"/>
      <c r="AW156" s="852"/>
      <c r="AX156" s="876"/>
      <c r="AY156" s="847"/>
      <c r="AZ156" s="847"/>
      <c r="BA156" s="847"/>
      <c r="BB156" s="847"/>
      <c r="BC156" s="853"/>
      <c r="BD156" s="854"/>
      <c r="BE156" s="854"/>
      <c r="BF156" s="854"/>
      <c r="BG156" s="870"/>
      <c r="BH156" s="883"/>
      <c r="BI156" s="884"/>
      <c r="BJ156" s="885"/>
      <c r="BK156" s="886"/>
      <c r="BL156" s="885"/>
      <c r="BM156" s="886"/>
      <c r="BN156" s="885"/>
      <c r="BO156" s="886"/>
      <c r="BP156" s="885"/>
      <c r="BQ156" s="886"/>
      <c r="BR156" s="854"/>
      <c r="BS156" s="854"/>
      <c r="BT156" s="854"/>
      <c r="BU156" s="854"/>
      <c r="BV156" s="854"/>
      <c r="BW156" s="854"/>
      <c r="BX156" s="854"/>
      <c r="BY156" s="854"/>
      <c r="BZ156" s="854"/>
      <c r="CA156" s="854"/>
      <c r="CB156" s="854"/>
      <c r="CC156" s="854"/>
      <c r="CD156" s="854"/>
      <c r="CE156" s="854"/>
      <c r="CF156" s="854"/>
      <c r="CG156" s="854"/>
    </row>
    <row r="157" spans="1:85" ht="15.75" customHeight="1">
      <c r="A157" s="847"/>
      <c r="B157" s="1154">
        <v>8</v>
      </c>
      <c r="C157" s="1186" t="s">
        <v>266</v>
      </c>
      <c r="D157" s="1155"/>
      <c r="E157" s="1295"/>
      <c r="F157" s="1296"/>
      <c r="G157" s="1200">
        <f>SUM(G155:G156)</f>
        <v>13851</v>
      </c>
      <c r="H157" s="1189"/>
      <c r="I157" s="1200">
        <f>SUM(I155:I156)</f>
        <v>19316</v>
      </c>
      <c r="J157" s="1189"/>
      <c r="K157" s="1200">
        <f>SUM(K155:K156)</f>
        <v>19021</v>
      </c>
      <c r="L157" s="1191"/>
      <c r="M157" s="887"/>
      <c r="N157" s="849"/>
      <c r="O157" s="850"/>
      <c r="P157" s="850"/>
      <c r="Q157" s="850"/>
      <c r="R157" s="850"/>
      <c r="S157" s="850"/>
      <c r="T157" s="851"/>
      <c r="U157" s="851"/>
      <c r="V157" s="851"/>
      <c r="W157" s="851"/>
      <c r="X157" s="851"/>
      <c r="Y157" s="851"/>
      <c r="Z157" s="851"/>
      <c r="AA157" s="851"/>
      <c r="AB157" s="851"/>
      <c r="AC157" s="851"/>
      <c r="AD157" s="851"/>
      <c r="AE157" s="851"/>
      <c r="AF157" s="851"/>
      <c r="AG157" s="851"/>
      <c r="AH157" s="852"/>
      <c r="AI157" s="852"/>
      <c r="AJ157" s="852"/>
      <c r="AK157" s="852"/>
      <c r="AL157" s="852"/>
      <c r="AM157" s="852"/>
      <c r="AN157" s="852"/>
      <c r="AO157" s="852"/>
      <c r="AP157" s="852"/>
      <c r="AQ157" s="852"/>
      <c r="AR157" s="852"/>
      <c r="AS157" s="852"/>
      <c r="AT157" s="852"/>
      <c r="AU157" s="852"/>
      <c r="AV157" s="852"/>
      <c r="AW157" s="852"/>
      <c r="AX157" s="849"/>
      <c r="AY157" s="847"/>
      <c r="AZ157" s="847"/>
      <c r="BA157" s="847"/>
      <c r="BB157" s="847"/>
      <c r="BC157" s="853"/>
      <c r="BD157" s="854"/>
      <c r="BE157" s="854"/>
      <c r="BF157" s="854"/>
      <c r="BG157" s="870">
        <f>+BG155+1</f>
        <v>108</v>
      </c>
      <c r="BH157" s="883" t="s">
        <v>267</v>
      </c>
      <c r="BI157" s="884"/>
      <c r="BJ157" s="885">
        <f>BJ90+BJ155</f>
        <v>3515.5371020000002</v>
      </c>
      <c r="BK157" s="886">
        <f ca="1">IF(BJ$299=0,0,BJ157/BJ$299*100)</f>
        <v>247.28639854759678</v>
      </c>
      <c r="BL157" s="885">
        <f>BL90+BL155</f>
        <v>1012.142516</v>
      </c>
      <c r="BM157" s="886">
        <f ca="1">IF(BL$299=0,0,BL157/BL$299*100)</f>
        <v>4.518404655721155</v>
      </c>
      <c r="BN157" s="885">
        <f>BN90+BN155</f>
        <v>4741.80033</v>
      </c>
      <c r="BO157" s="886">
        <f ca="1">IF(BN$299=0,0,BN157/BN$299*100)</f>
        <v>16.347011352329549</v>
      </c>
      <c r="BP157" s="885">
        <f>BP90+BP155</f>
        <v>303887.39442399994</v>
      </c>
      <c r="BQ157" s="886">
        <f ca="1">IF(BP$299=0,0,BP157/BP$299*100)</f>
        <v>78.825291878869479</v>
      </c>
      <c r="BR157" s="854"/>
      <c r="BS157" s="854"/>
      <c r="BT157" s="854"/>
      <c r="BU157" s="854"/>
      <c r="BV157" s="854"/>
      <c r="BW157" s="854"/>
      <c r="BX157" s="854"/>
      <c r="BY157" s="854"/>
      <c r="BZ157" s="854"/>
      <c r="CA157" s="854"/>
      <c r="CB157" s="854"/>
      <c r="CC157" s="854"/>
      <c r="CD157" s="854"/>
      <c r="CE157" s="854"/>
      <c r="CF157" s="854"/>
      <c r="CG157" s="854" t="s">
        <v>45</v>
      </c>
    </row>
    <row r="158" spans="1:85" ht="15.75" customHeight="1">
      <c r="A158" s="847"/>
      <c r="B158" s="1154">
        <v>9</v>
      </c>
      <c r="C158" s="1186" t="s">
        <v>268</v>
      </c>
      <c r="D158" s="1155"/>
      <c r="E158" s="1295"/>
      <c r="F158" s="1296"/>
      <c r="G158" s="1200">
        <f>G154-G157</f>
        <v>92</v>
      </c>
      <c r="H158" s="1189"/>
      <c r="I158" s="1190">
        <f>I154-I157</f>
        <v>92</v>
      </c>
      <c r="J158" s="1189"/>
      <c r="K158" s="1200">
        <f>K154-K157</f>
        <v>92</v>
      </c>
      <c r="L158" s="1191"/>
      <c r="M158" s="887"/>
      <c r="N158" s="849"/>
      <c r="O158" s="850"/>
      <c r="P158" s="850"/>
      <c r="Q158" s="850"/>
      <c r="R158" s="850"/>
      <c r="S158" s="850"/>
      <c r="T158" s="851"/>
      <c r="U158" s="851"/>
      <c r="V158" s="851"/>
      <c r="W158" s="851"/>
      <c r="X158" s="851"/>
      <c r="Y158" s="851"/>
      <c r="Z158" s="851"/>
      <c r="AA158" s="851"/>
      <c r="AB158" s="851"/>
      <c r="AC158" s="851"/>
      <c r="AD158" s="851"/>
      <c r="AE158" s="851"/>
      <c r="AF158" s="851"/>
      <c r="AG158" s="851"/>
      <c r="AH158" s="852"/>
      <c r="AI158" s="852"/>
      <c r="AJ158" s="852"/>
      <c r="AK158" s="852"/>
      <c r="AL158" s="852"/>
      <c r="AM158" s="852"/>
      <c r="AN158" s="852"/>
      <c r="AO158" s="852"/>
      <c r="AP158" s="852"/>
      <c r="AQ158" s="852"/>
      <c r="AR158" s="852"/>
      <c r="AS158" s="852"/>
      <c r="AT158" s="852"/>
      <c r="AU158" s="852"/>
      <c r="AV158" s="852"/>
      <c r="AW158" s="852"/>
      <c r="AX158" s="849"/>
      <c r="AY158" s="847"/>
      <c r="AZ158" s="847"/>
      <c r="BA158" s="847"/>
      <c r="BB158" s="847"/>
      <c r="BC158" s="853"/>
      <c r="BD158" s="854"/>
      <c r="BE158" s="854"/>
      <c r="BF158" s="854"/>
      <c r="BG158" s="870">
        <v>109</v>
      </c>
      <c r="BH158" s="860" t="s">
        <v>269</v>
      </c>
      <c r="BI158" s="884"/>
      <c r="BJ158" s="871">
        <v>0</v>
      </c>
      <c r="BK158" s="872">
        <f ca="1">IF(BJ$299=0,0,BJ158/BJ$299*100)</f>
        <v>0</v>
      </c>
      <c r="BL158" s="871">
        <v>0</v>
      </c>
      <c r="BM158" s="872">
        <f ca="1">IF(BL$299=0,0,BL158/BL$299*100)</f>
        <v>0</v>
      </c>
      <c r="BN158" s="871">
        <v>0</v>
      </c>
      <c r="BO158" s="872">
        <f ca="1">IF(BN$299=0,0,BN158/BN$299*100)</f>
        <v>0</v>
      </c>
      <c r="BP158" s="871">
        <v>0</v>
      </c>
      <c r="BQ158" s="872">
        <f ca="1">IF(BP$299=0,0,BP158/BP$299*100)</f>
        <v>0</v>
      </c>
      <c r="BR158" s="854"/>
      <c r="BS158" s="854"/>
      <c r="BT158" s="854"/>
      <c r="BU158" s="854"/>
      <c r="BV158" s="854"/>
      <c r="BW158" s="854"/>
      <c r="BX158" s="854"/>
      <c r="BY158" s="854"/>
      <c r="BZ158" s="854"/>
      <c r="CA158" s="854"/>
      <c r="CB158" s="854"/>
      <c r="CC158" s="854"/>
      <c r="CD158" s="854"/>
      <c r="CE158" s="854"/>
      <c r="CF158" s="854"/>
      <c r="CG158" s="854" t="s">
        <v>45</v>
      </c>
    </row>
    <row r="159" spans="1:85" ht="16.5" customHeight="1">
      <c r="A159" s="847"/>
      <c r="B159" s="1157">
        <v>10</v>
      </c>
      <c r="C159" s="1194" t="s">
        <v>270</v>
      </c>
      <c r="D159" s="1159"/>
      <c r="E159" s="1297"/>
      <c r="F159" s="1298"/>
      <c r="G159" s="1203">
        <f>G72</f>
        <v>51192</v>
      </c>
      <c r="H159" s="1197"/>
      <c r="I159" s="1196">
        <f>I72</f>
        <v>51284</v>
      </c>
      <c r="J159" s="1197"/>
      <c r="K159" s="1203">
        <f>K72</f>
        <v>51376</v>
      </c>
      <c r="L159" s="1198"/>
      <c r="M159" s="887"/>
      <c r="N159" s="849"/>
      <c r="O159" s="850"/>
      <c r="P159" s="850"/>
      <c r="Q159" s="850"/>
      <c r="R159" s="850"/>
      <c r="S159" s="850"/>
      <c r="T159" s="851"/>
      <c r="U159" s="851"/>
      <c r="V159" s="851"/>
      <c r="W159" s="851"/>
      <c r="X159" s="851"/>
      <c r="Y159" s="851"/>
      <c r="Z159" s="851"/>
      <c r="AA159" s="851"/>
      <c r="AB159" s="851"/>
      <c r="AC159" s="851"/>
      <c r="AD159" s="851"/>
      <c r="AE159" s="851"/>
      <c r="AF159" s="851"/>
      <c r="AG159" s="851"/>
      <c r="AH159" s="852"/>
      <c r="AI159" s="852"/>
      <c r="AJ159" s="852"/>
      <c r="AK159" s="852"/>
      <c r="AL159" s="852"/>
      <c r="AM159" s="852"/>
      <c r="AN159" s="852"/>
      <c r="AO159" s="852"/>
      <c r="AP159" s="852"/>
      <c r="AQ159" s="852"/>
      <c r="AR159" s="852"/>
      <c r="AS159" s="852"/>
      <c r="AT159" s="852"/>
      <c r="AU159" s="852"/>
      <c r="AV159" s="852"/>
      <c r="AW159" s="852"/>
      <c r="AX159" s="849"/>
      <c r="AY159" s="847"/>
      <c r="AZ159" s="847"/>
      <c r="BA159" s="847"/>
      <c r="BB159" s="847"/>
      <c r="BC159" s="853"/>
      <c r="BD159" s="854"/>
      <c r="BE159" s="854"/>
      <c r="BF159" s="854"/>
      <c r="BG159" s="854"/>
      <c r="BH159" s="854"/>
      <c r="BI159" s="854"/>
      <c r="BJ159" s="854"/>
      <c r="BK159" s="854"/>
      <c r="BL159" s="854"/>
      <c r="BM159" s="854"/>
      <c r="BN159" s="854"/>
      <c r="BO159" s="854"/>
      <c r="BP159" s="854"/>
      <c r="BQ159" s="854"/>
      <c r="BR159" s="854"/>
      <c r="BS159" s="854"/>
      <c r="BT159" s="854"/>
      <c r="BU159" s="870">
        <v>110</v>
      </c>
      <c r="BV159" s="860" t="s">
        <v>271</v>
      </c>
      <c r="BW159" s="854"/>
      <c r="BX159" s="871">
        <v>0</v>
      </c>
      <c r="BY159" s="872">
        <f ca="1">IF(BJ$299=0,0,BX159/BJ$299*100)</f>
        <v>0</v>
      </c>
      <c r="BZ159" s="871">
        <v>0</v>
      </c>
      <c r="CA159" s="872">
        <f ca="1">IF(BL$299=0,0,BZ159/BL$299*100)</f>
        <v>0</v>
      </c>
      <c r="CB159" s="871">
        <v>0</v>
      </c>
      <c r="CC159" s="872">
        <f ca="1">IF(BN$299=0,0,CB159/BN$299*100)</f>
        <v>0</v>
      </c>
      <c r="CD159" s="871">
        <v>0</v>
      </c>
      <c r="CE159" s="872">
        <f ca="1">IF(BP$299=0,0,CD159/BP$299*100)</f>
        <v>0</v>
      </c>
      <c r="CF159" s="854"/>
      <c r="CG159" s="854" t="s">
        <v>45</v>
      </c>
    </row>
    <row r="160" spans="1:85" ht="16.5" customHeight="1">
      <c r="A160" s="847"/>
      <c r="B160" s="1299"/>
      <c r="C160" s="1236"/>
      <c r="D160" s="1236"/>
      <c r="E160" s="1236"/>
      <c r="F160" s="1236"/>
      <c r="G160" s="1236"/>
      <c r="H160" s="1236"/>
      <c r="I160" s="1236"/>
      <c r="J160" s="1236"/>
      <c r="K160" s="1236"/>
      <c r="L160" s="1300"/>
      <c r="M160" s="887"/>
      <c r="N160" s="849"/>
      <c r="O160" s="850"/>
      <c r="P160" s="850"/>
      <c r="Q160" s="850"/>
      <c r="R160" s="850"/>
      <c r="S160" s="850"/>
      <c r="T160" s="851"/>
      <c r="U160" s="851"/>
      <c r="V160" s="851"/>
      <c r="W160" s="851"/>
      <c r="X160" s="851"/>
      <c r="Y160" s="851"/>
      <c r="Z160" s="851"/>
      <c r="AA160" s="851"/>
      <c r="AB160" s="851"/>
      <c r="AC160" s="851"/>
      <c r="AD160" s="851"/>
      <c r="AE160" s="851"/>
      <c r="AF160" s="851"/>
      <c r="AG160" s="851"/>
      <c r="AH160" s="852"/>
      <c r="AI160" s="852"/>
      <c r="AJ160" s="852"/>
      <c r="AK160" s="852"/>
      <c r="AL160" s="852"/>
      <c r="AM160" s="852"/>
      <c r="AN160" s="852"/>
      <c r="AO160" s="852"/>
      <c r="AP160" s="852"/>
      <c r="AQ160" s="852"/>
      <c r="AR160" s="852"/>
      <c r="AS160" s="852"/>
      <c r="AT160" s="852"/>
      <c r="AU160" s="852"/>
      <c r="AV160" s="852"/>
      <c r="AW160" s="852"/>
      <c r="AX160" s="849"/>
      <c r="AY160" s="847"/>
      <c r="AZ160" s="847"/>
      <c r="BA160" s="847"/>
      <c r="BB160" s="847"/>
      <c r="BC160" s="853"/>
      <c r="BD160" s="854"/>
      <c r="BE160" s="854"/>
      <c r="BF160" s="854"/>
      <c r="BG160" s="854"/>
      <c r="BH160" s="854"/>
      <c r="BI160" s="854"/>
      <c r="BJ160" s="854"/>
      <c r="BK160" s="854"/>
      <c r="BL160" s="854"/>
      <c r="BM160" s="854"/>
      <c r="BN160" s="854"/>
      <c r="BO160" s="854"/>
      <c r="BP160" s="854"/>
      <c r="BQ160" s="854"/>
      <c r="BR160" s="854"/>
      <c r="BS160" s="854"/>
      <c r="BT160" s="854"/>
      <c r="BU160" s="870">
        <v>111</v>
      </c>
      <c r="BV160" s="860" t="s">
        <v>272</v>
      </c>
      <c r="BW160" s="854"/>
      <c r="BX160" s="871">
        <v>0</v>
      </c>
      <c r="BY160" s="872">
        <f ca="1">IF(BJ$299=0,0,BX160/BJ$299*100)</f>
        <v>0</v>
      </c>
      <c r="BZ160" s="871">
        <v>0</v>
      </c>
      <c r="CA160" s="872">
        <f ca="1">IF(BL$299=0,0,BZ160/BL$299*100)</f>
        <v>0</v>
      </c>
      <c r="CB160" s="871">
        <v>0</v>
      </c>
      <c r="CC160" s="872">
        <f ca="1">IF(BN$299=0,0,CB160/BN$299*100)</f>
        <v>0</v>
      </c>
      <c r="CD160" s="871">
        <v>0</v>
      </c>
      <c r="CE160" s="872">
        <f ca="1">IF(BP$299=0,0,CD160/BP$299*100)</f>
        <v>0</v>
      </c>
      <c r="CF160" s="854"/>
      <c r="CG160" s="854" t="s">
        <v>45</v>
      </c>
    </row>
    <row r="161" spans="1:85" ht="16.5" customHeight="1">
      <c r="A161" s="847"/>
      <c r="B161" s="1464" t="s">
        <v>273</v>
      </c>
      <c r="C161" s="1465"/>
      <c r="D161" s="1465"/>
      <c r="E161" s="1465"/>
      <c r="F161" s="1465"/>
      <c r="G161" s="1465"/>
      <c r="H161" s="1465"/>
      <c r="I161" s="1465"/>
      <c r="J161" s="1465"/>
      <c r="K161" s="1465"/>
      <c r="L161" s="1466"/>
      <c r="M161" s="887"/>
      <c r="N161" s="849"/>
      <c r="O161" s="850"/>
      <c r="P161" s="850"/>
      <c r="Q161" s="850"/>
      <c r="R161" s="850"/>
      <c r="S161" s="850"/>
      <c r="T161" s="851"/>
      <c r="U161" s="851"/>
      <c r="V161" s="851"/>
      <c r="W161" s="851"/>
      <c r="X161" s="851"/>
      <c r="Y161" s="851"/>
      <c r="Z161" s="851"/>
      <c r="AA161" s="851"/>
      <c r="AB161" s="851"/>
      <c r="AC161" s="851"/>
      <c r="AD161" s="851"/>
      <c r="AE161" s="851"/>
      <c r="AF161" s="851"/>
      <c r="AG161" s="851"/>
      <c r="AH161" s="852"/>
      <c r="AI161" s="852"/>
      <c r="AJ161" s="852"/>
      <c r="AK161" s="852"/>
      <c r="AL161" s="852"/>
      <c r="AM161" s="852"/>
      <c r="AN161" s="852"/>
      <c r="AO161" s="852"/>
      <c r="AP161" s="852"/>
      <c r="AQ161" s="852"/>
      <c r="AR161" s="852"/>
      <c r="AS161" s="852"/>
      <c r="AT161" s="852"/>
      <c r="AU161" s="852"/>
      <c r="AV161" s="852"/>
      <c r="AW161" s="852"/>
      <c r="AX161" s="849"/>
      <c r="AY161" s="847"/>
      <c r="AZ161" s="847"/>
      <c r="BA161" s="847"/>
      <c r="BB161" s="847"/>
      <c r="BC161" s="853"/>
      <c r="BD161" s="854"/>
      <c r="BE161" s="854"/>
      <c r="BF161" s="854"/>
      <c r="BG161" s="870">
        <v>112</v>
      </c>
      <c r="BH161" s="860" t="s">
        <v>274</v>
      </c>
      <c r="BI161" s="854"/>
      <c r="BJ161" s="871">
        <v>0</v>
      </c>
      <c r="BK161" s="872">
        <f ca="1">IF(BJ$299=0,0,BJ161/BJ$299*100)</f>
        <v>0</v>
      </c>
      <c r="BL161" s="871">
        <v>0</v>
      </c>
      <c r="BM161" s="872">
        <f ca="1">IF(BL$299=0,0,BL161/BL$299*100)</f>
        <v>0</v>
      </c>
      <c r="BN161" s="871">
        <v>0</v>
      </c>
      <c r="BO161" s="872">
        <f ca="1">IF(BN$299=0,0,BN161/BN$299*100)</f>
        <v>0</v>
      </c>
      <c r="BP161" s="871">
        <v>0</v>
      </c>
      <c r="BQ161" s="872">
        <f ca="1">IF(BP$299=0,0,BP161/BP$299*100)</f>
        <v>0</v>
      </c>
      <c r="BR161" s="854"/>
      <c r="BS161" s="854"/>
      <c r="BT161" s="854"/>
      <c r="BU161" s="854"/>
      <c r="BV161" s="854"/>
      <c r="BW161" s="854"/>
      <c r="BX161" s="854"/>
      <c r="BY161" s="854"/>
      <c r="BZ161" s="854"/>
      <c r="CA161" s="854"/>
      <c r="CB161" s="854"/>
      <c r="CC161" s="854"/>
      <c r="CD161" s="854"/>
      <c r="CE161" s="854"/>
      <c r="CF161" s="854"/>
      <c r="CG161" s="854" t="s">
        <v>45</v>
      </c>
    </row>
    <row r="162" spans="1:85" ht="16.5" customHeight="1">
      <c r="A162" s="847"/>
      <c r="B162" s="1467" t="str">
        <f>+B147</f>
        <v>IDR Million</v>
      </c>
      <c r="C162" s="1468"/>
      <c r="D162" s="1469"/>
      <c r="E162" s="1476" t="s">
        <v>79</v>
      </c>
      <c r="F162" s="1465"/>
      <c r="G162" s="1465"/>
      <c r="H162" s="1465"/>
      <c r="I162" s="1465"/>
      <c r="J162" s="1465"/>
      <c r="K162" s="1465"/>
      <c r="L162" s="1466"/>
      <c r="M162" s="887"/>
      <c r="N162" s="849"/>
      <c r="O162" s="850"/>
      <c r="P162" s="850"/>
      <c r="Q162" s="850"/>
      <c r="R162" s="850"/>
      <c r="S162" s="850"/>
      <c r="T162" s="851"/>
      <c r="U162" s="851"/>
      <c r="V162" s="851"/>
      <c r="W162" s="851"/>
      <c r="X162" s="851"/>
      <c r="Y162" s="851"/>
      <c r="Z162" s="851"/>
      <c r="AA162" s="851"/>
      <c r="AB162" s="851"/>
      <c r="AC162" s="851"/>
      <c r="AD162" s="851"/>
      <c r="AE162" s="851"/>
      <c r="AF162" s="851"/>
      <c r="AG162" s="851"/>
      <c r="AH162" s="852"/>
      <c r="AI162" s="852"/>
      <c r="AJ162" s="852"/>
      <c r="AK162" s="852"/>
      <c r="AL162" s="852"/>
      <c r="AM162" s="852"/>
      <c r="AN162" s="852"/>
      <c r="AO162" s="852"/>
      <c r="AP162" s="852"/>
      <c r="AQ162" s="852"/>
      <c r="AR162" s="852"/>
      <c r="AS162" s="852"/>
      <c r="AT162" s="852"/>
      <c r="AU162" s="852"/>
      <c r="AV162" s="852"/>
      <c r="AW162" s="852"/>
      <c r="AX162" s="849"/>
      <c r="AY162" s="847"/>
      <c r="AZ162" s="847"/>
      <c r="BA162" s="847"/>
      <c r="BB162" s="847"/>
      <c r="BC162" s="853"/>
      <c r="BD162" s="854"/>
      <c r="BE162" s="854"/>
      <c r="BF162" s="854"/>
      <c r="BG162" s="870">
        <v>113</v>
      </c>
      <c r="BH162" s="860" t="s">
        <v>275</v>
      </c>
      <c r="BI162" s="854"/>
      <c r="BJ162" s="871">
        <v>0</v>
      </c>
      <c r="BK162" s="872">
        <f ca="1">IF(BJ$299=0,0,BJ162/BJ$299*100)</f>
        <v>0</v>
      </c>
      <c r="BL162" s="871">
        <v>0</v>
      </c>
      <c r="BM162" s="872">
        <f ca="1">IF(BL$299=0,0,BL162/BL$299*100)</f>
        <v>0</v>
      </c>
      <c r="BN162" s="871">
        <v>0</v>
      </c>
      <c r="BO162" s="872">
        <f ca="1">IF(BN$299=0,0,BN162/BN$299*100)</f>
        <v>0</v>
      </c>
      <c r="BP162" s="871">
        <v>0</v>
      </c>
      <c r="BQ162" s="872">
        <f ca="1">IF(BP$299=0,0,BP162/BP$299*100)</f>
        <v>0</v>
      </c>
      <c r="BR162" s="854"/>
      <c r="BS162" s="854"/>
      <c r="BT162" s="854"/>
      <c r="BU162" s="854"/>
      <c r="BV162" s="854"/>
      <c r="BW162" s="854"/>
      <c r="BX162" s="854"/>
      <c r="BY162" s="854"/>
      <c r="BZ162" s="854"/>
      <c r="CA162" s="854"/>
      <c r="CB162" s="854"/>
      <c r="CC162" s="854"/>
      <c r="CD162" s="854"/>
      <c r="CE162" s="854"/>
      <c r="CF162" s="854"/>
      <c r="CG162" s="854" t="s">
        <v>45</v>
      </c>
    </row>
    <row r="163" spans="1:85" ht="15.75" customHeight="1">
      <c r="A163" s="847"/>
      <c r="B163" s="1470"/>
      <c r="C163" s="1471"/>
      <c r="D163" s="1472"/>
      <c r="E163" s="1477">
        <f>+E148</f>
        <v>44561</v>
      </c>
      <c r="F163" s="1478"/>
      <c r="G163" s="1477">
        <f>+G148</f>
        <v>44926</v>
      </c>
      <c r="H163" s="1478"/>
      <c r="I163" s="1477">
        <f>+I148</f>
        <v>45291</v>
      </c>
      <c r="J163" s="1478"/>
      <c r="K163" s="1477">
        <f>+K148</f>
        <v>45473</v>
      </c>
      <c r="L163" s="1480"/>
      <c r="M163" s="887"/>
      <c r="N163" s="849"/>
      <c r="O163" s="850"/>
      <c r="P163" s="850"/>
      <c r="Q163" s="850"/>
      <c r="R163" s="850"/>
      <c r="S163" s="850"/>
      <c r="T163" s="851"/>
      <c r="U163" s="851"/>
      <c r="V163" s="851"/>
      <c r="W163" s="851"/>
      <c r="X163" s="851"/>
      <c r="Y163" s="851"/>
      <c r="Z163" s="851"/>
      <c r="AA163" s="851"/>
      <c r="AB163" s="851"/>
      <c r="AC163" s="851"/>
      <c r="AD163" s="851"/>
      <c r="AE163" s="851"/>
      <c r="AF163" s="851"/>
      <c r="AG163" s="851"/>
      <c r="AH163" s="852"/>
      <c r="AI163" s="852"/>
      <c r="AJ163" s="852"/>
      <c r="AK163" s="852"/>
      <c r="AL163" s="852"/>
      <c r="AM163" s="852"/>
      <c r="AN163" s="852"/>
      <c r="AO163" s="852"/>
      <c r="AP163" s="852"/>
      <c r="AQ163" s="852"/>
      <c r="AR163" s="852"/>
      <c r="AS163" s="852"/>
      <c r="AT163" s="852"/>
      <c r="AU163" s="852"/>
      <c r="AV163" s="852"/>
      <c r="AW163" s="852"/>
      <c r="AX163" s="849"/>
      <c r="AY163" s="847"/>
      <c r="AZ163" s="847"/>
      <c r="BA163" s="847"/>
      <c r="BB163" s="847"/>
      <c r="BC163" s="853"/>
      <c r="BD163" s="854"/>
      <c r="BE163" s="854"/>
      <c r="BF163" s="854"/>
      <c r="BG163" s="870">
        <v>114</v>
      </c>
      <c r="BH163" s="860" t="s">
        <v>276</v>
      </c>
      <c r="BI163" s="854"/>
      <c r="BJ163" s="871">
        <v>0</v>
      </c>
      <c r="BK163" s="872">
        <f ca="1">IF(BJ$299=0,0,BJ163/BJ$299*100)</f>
        <v>0</v>
      </c>
      <c r="BL163" s="871">
        <v>0</v>
      </c>
      <c r="BM163" s="872">
        <f ca="1">IF(BL$299=0,0,BL163/BL$299*100)</f>
        <v>0</v>
      </c>
      <c r="BN163" s="871">
        <v>0</v>
      </c>
      <c r="BO163" s="872">
        <f ca="1">IF(BN$299=0,0,BN163/BN$299*100)</f>
        <v>0</v>
      </c>
      <c r="BP163" s="871">
        <v>0</v>
      </c>
      <c r="BQ163" s="872">
        <f ca="1">IF(BP$299=0,0,BP163/BP$299*100)</f>
        <v>0</v>
      </c>
      <c r="BR163" s="854"/>
      <c r="BS163" s="854"/>
      <c r="BT163" s="854"/>
      <c r="BU163" s="854"/>
      <c r="BV163" s="854"/>
      <c r="BW163" s="854"/>
      <c r="BX163" s="854"/>
      <c r="BY163" s="854"/>
      <c r="BZ163" s="854"/>
      <c r="CA163" s="854"/>
      <c r="CB163" s="854"/>
      <c r="CC163" s="854"/>
      <c r="CD163" s="854"/>
      <c r="CE163" s="854"/>
      <c r="CF163" s="854"/>
      <c r="CG163" s="854" t="s">
        <v>45</v>
      </c>
    </row>
    <row r="164" spans="1:85" ht="16.5" customHeight="1">
      <c r="A164" s="847"/>
      <c r="B164" s="1473"/>
      <c r="C164" s="1474"/>
      <c r="D164" s="1475"/>
      <c r="E164" s="1462" t="s">
        <v>85</v>
      </c>
      <c r="F164" s="1463"/>
      <c r="G164" s="1462" t="s">
        <v>85</v>
      </c>
      <c r="H164" s="1463"/>
      <c r="I164" s="1462" t="s">
        <v>85</v>
      </c>
      <c r="J164" s="1463"/>
      <c r="K164" s="1462" t="s">
        <v>85</v>
      </c>
      <c r="L164" s="1463"/>
      <c r="M164" s="887"/>
      <c r="N164" s="849"/>
      <c r="O164" s="850"/>
      <c r="P164" s="850"/>
      <c r="Q164" s="850"/>
      <c r="R164" s="850"/>
      <c r="S164" s="850"/>
      <c r="T164" s="851"/>
      <c r="U164" s="851"/>
      <c r="V164" s="851"/>
      <c r="W164" s="851"/>
      <c r="X164" s="851"/>
      <c r="Y164" s="851"/>
      <c r="Z164" s="851"/>
      <c r="AA164" s="851"/>
      <c r="AB164" s="851"/>
      <c r="AC164" s="851"/>
      <c r="AD164" s="851"/>
      <c r="AE164" s="851"/>
      <c r="AF164" s="851"/>
      <c r="AG164" s="851"/>
      <c r="AH164" s="852"/>
      <c r="AI164" s="852"/>
      <c r="AJ164" s="852"/>
      <c r="AK164" s="852"/>
      <c r="AL164" s="852"/>
      <c r="AM164" s="852"/>
      <c r="AN164" s="852"/>
      <c r="AO164" s="852"/>
      <c r="AP164" s="852"/>
      <c r="AQ164" s="852"/>
      <c r="AR164" s="852"/>
      <c r="AS164" s="852"/>
      <c r="AT164" s="852"/>
      <c r="AU164" s="852"/>
      <c r="AV164" s="852"/>
      <c r="AW164" s="852"/>
      <c r="AX164" s="849"/>
      <c r="AY164" s="847"/>
      <c r="AZ164" s="847"/>
      <c r="BA164" s="847"/>
      <c r="BB164" s="847"/>
      <c r="BC164" s="853"/>
      <c r="BD164" s="854"/>
      <c r="BE164" s="854"/>
      <c r="BF164" s="854"/>
      <c r="BG164" s="854"/>
      <c r="BH164" s="854"/>
      <c r="BI164" s="854"/>
      <c r="BJ164" s="854"/>
      <c r="BK164" s="854"/>
      <c r="BL164" s="854"/>
      <c r="BM164" s="854"/>
      <c r="BN164" s="854"/>
      <c r="BO164" s="854"/>
      <c r="BP164" s="854"/>
      <c r="BQ164" s="854"/>
      <c r="BR164" s="854"/>
      <c r="BS164" s="854"/>
      <c r="BT164" s="854"/>
      <c r="BU164" s="870">
        <v>115</v>
      </c>
      <c r="BV164" s="860" t="s">
        <v>277</v>
      </c>
      <c r="BW164" s="854"/>
      <c r="BX164" s="871">
        <v>0</v>
      </c>
      <c r="BY164" s="872">
        <f ca="1">IF(BJ$299=0,0,BX164/BJ$299*100)</f>
        <v>0</v>
      </c>
      <c r="BZ164" s="871">
        <v>0</v>
      </c>
      <c r="CA164" s="872">
        <f ca="1">IF(BL$299=0,0,BZ164/BL$299*100)</f>
        <v>0</v>
      </c>
      <c r="CB164" s="871">
        <v>0</v>
      </c>
      <c r="CC164" s="872">
        <f ca="1">IF(BN$299=0,0,CB164/BN$299*100)</f>
        <v>0</v>
      </c>
      <c r="CD164" s="871">
        <v>0</v>
      </c>
      <c r="CE164" s="872">
        <f ca="1">IF(BP$299=0,0,CD164/BP$299*100)</f>
        <v>0</v>
      </c>
      <c r="CF164" s="854"/>
      <c r="CG164" s="854" t="s">
        <v>45</v>
      </c>
    </row>
    <row r="165" spans="1:85" ht="15.75" customHeight="1">
      <c r="A165" s="847"/>
      <c r="B165" s="1180">
        <v>1</v>
      </c>
      <c r="C165" s="1181" t="s">
        <v>278</v>
      </c>
      <c r="D165" s="1146"/>
      <c r="E165" s="1293"/>
      <c r="F165" s="1294"/>
      <c r="G165" s="1199">
        <f>+G26</f>
        <v>110100</v>
      </c>
      <c r="H165" s="1183"/>
      <c r="I165" s="1184">
        <f>+I26</f>
        <v>110200</v>
      </c>
      <c r="J165" s="1183"/>
      <c r="K165" s="1199">
        <f>+K26</f>
        <v>110300</v>
      </c>
      <c r="L165" s="1185"/>
      <c r="M165" s="848"/>
      <c r="N165" s="849"/>
      <c r="O165" s="850"/>
      <c r="P165" s="850"/>
      <c r="Q165" s="850"/>
      <c r="R165" s="850"/>
      <c r="S165" s="850"/>
      <c r="T165" s="851"/>
      <c r="U165" s="851"/>
      <c r="V165" s="851"/>
      <c r="W165" s="851"/>
      <c r="X165" s="851"/>
      <c r="Y165" s="851"/>
      <c r="Z165" s="851"/>
      <c r="AA165" s="851"/>
      <c r="AB165" s="851"/>
      <c r="AC165" s="851"/>
      <c r="AD165" s="851"/>
      <c r="AE165" s="851"/>
      <c r="AF165" s="851"/>
      <c r="AG165" s="851"/>
      <c r="AH165" s="852"/>
      <c r="AI165" s="852"/>
      <c r="AJ165" s="852"/>
      <c r="AK165" s="852"/>
      <c r="AL165" s="852"/>
      <c r="AM165" s="852"/>
      <c r="AN165" s="852"/>
      <c r="AO165" s="852"/>
      <c r="AP165" s="852"/>
      <c r="AQ165" s="852"/>
      <c r="AR165" s="852"/>
      <c r="AS165" s="852"/>
      <c r="AT165" s="852"/>
      <c r="AU165" s="852"/>
      <c r="AV165" s="852"/>
      <c r="AW165" s="852"/>
      <c r="AX165" s="849"/>
      <c r="AY165" s="847"/>
      <c r="AZ165" s="847"/>
      <c r="BA165" s="847"/>
      <c r="BB165" s="847"/>
      <c r="BC165" s="853"/>
      <c r="BD165" s="854"/>
      <c r="BE165" s="854"/>
      <c r="BF165" s="854"/>
      <c r="BG165" s="854"/>
      <c r="BH165" s="854"/>
      <c r="BI165" s="854"/>
      <c r="BJ165" s="854"/>
      <c r="BK165" s="854"/>
      <c r="BL165" s="854"/>
      <c r="BM165" s="854"/>
      <c r="BN165" s="854"/>
      <c r="BO165" s="854"/>
      <c r="BP165" s="854"/>
      <c r="BQ165" s="854"/>
      <c r="BR165" s="854"/>
      <c r="BS165" s="854"/>
      <c r="BT165" s="854"/>
      <c r="BU165" s="870">
        <v>116</v>
      </c>
      <c r="BV165" s="860" t="s">
        <v>279</v>
      </c>
      <c r="BW165" s="854"/>
      <c r="BX165" s="871">
        <v>0</v>
      </c>
      <c r="BY165" s="872">
        <f ca="1">IF(BJ$299=0,0,BX165/BJ$299*100)</f>
        <v>0</v>
      </c>
      <c r="BZ165" s="871">
        <v>0</v>
      </c>
      <c r="CA165" s="872">
        <f ca="1">IF(BL$299=0,0,BZ165/BL$299*100)</f>
        <v>0</v>
      </c>
      <c r="CB165" s="871">
        <v>0</v>
      </c>
      <c r="CC165" s="872">
        <f ca="1">IF(BN$299=0,0,CB165/BN$299*100)</f>
        <v>0</v>
      </c>
      <c r="CD165" s="871">
        <v>0</v>
      </c>
      <c r="CE165" s="872">
        <f ca="1">IF(BP$299=0,0,CD165/BP$299*100)</f>
        <v>0</v>
      </c>
      <c r="CF165" s="854"/>
      <c r="CG165" s="854" t="s">
        <v>45</v>
      </c>
    </row>
    <row r="166" spans="1:85" ht="15.75" customHeight="1">
      <c r="A166" s="847"/>
      <c r="B166" s="1154">
        <v>2</v>
      </c>
      <c r="C166" s="1186" t="s">
        <v>280</v>
      </c>
      <c r="D166" s="1155"/>
      <c r="E166" s="1295"/>
      <c r="F166" s="1296"/>
      <c r="G166" s="1200">
        <f>G110</f>
        <v>2100</v>
      </c>
      <c r="H166" s="1189"/>
      <c r="I166" s="1190">
        <f>I110</f>
        <v>2200</v>
      </c>
      <c r="J166" s="1189"/>
      <c r="K166" s="1200">
        <f>K110</f>
        <v>2300</v>
      </c>
      <c r="L166" s="1191"/>
      <c r="M166" s="889"/>
      <c r="N166" s="849"/>
      <c r="O166" s="850"/>
      <c r="P166" s="850"/>
      <c r="Q166" s="850"/>
      <c r="R166" s="850"/>
      <c r="S166" s="850"/>
      <c r="T166" s="851"/>
      <c r="U166" s="851"/>
      <c r="V166" s="851"/>
      <c r="W166" s="851"/>
      <c r="X166" s="851"/>
      <c r="Y166" s="851"/>
      <c r="Z166" s="851"/>
      <c r="AA166" s="851"/>
      <c r="AB166" s="851"/>
      <c r="AC166" s="851"/>
      <c r="AD166" s="851"/>
      <c r="AE166" s="851"/>
      <c r="AF166" s="851"/>
      <c r="AG166" s="851"/>
      <c r="AH166" s="852"/>
      <c r="AI166" s="852"/>
      <c r="AJ166" s="852"/>
      <c r="AK166" s="852"/>
      <c r="AL166" s="852"/>
      <c r="AM166" s="852"/>
      <c r="AN166" s="852"/>
      <c r="AO166" s="852"/>
      <c r="AP166" s="852"/>
      <c r="AQ166" s="852"/>
      <c r="AR166" s="852"/>
      <c r="AS166" s="852"/>
      <c r="AT166" s="852"/>
      <c r="AU166" s="852"/>
      <c r="AV166" s="852"/>
      <c r="AW166" s="852"/>
      <c r="AX166" s="849"/>
      <c r="AY166" s="847"/>
      <c r="AZ166" s="847"/>
      <c r="BA166" s="847"/>
      <c r="BB166" s="847"/>
      <c r="BC166" s="853"/>
      <c r="BD166" s="854"/>
      <c r="BE166" s="854"/>
      <c r="BF166" s="854"/>
      <c r="BG166" s="854"/>
      <c r="BH166" s="854"/>
      <c r="BI166" s="854"/>
      <c r="BJ166" s="854"/>
      <c r="BK166" s="854"/>
      <c r="BL166" s="854"/>
      <c r="BM166" s="854"/>
      <c r="BN166" s="854"/>
      <c r="BO166" s="854"/>
      <c r="BP166" s="854"/>
      <c r="BQ166" s="854"/>
      <c r="BR166" s="854"/>
      <c r="BS166" s="854"/>
      <c r="BT166" s="854"/>
      <c r="BU166" s="870">
        <v>117</v>
      </c>
      <c r="BV166" s="860" t="s">
        <v>114</v>
      </c>
      <c r="BW166" s="854"/>
      <c r="BX166" s="871">
        <v>0</v>
      </c>
      <c r="BY166" s="872">
        <f ca="1">IF(BJ$299=0,0,BX166/BJ$299*100)</f>
        <v>0</v>
      </c>
      <c r="BZ166" s="871">
        <v>0</v>
      </c>
      <c r="CA166" s="872">
        <f ca="1">IF(BL$299=0,0,BZ166/BL$299*100)</f>
        <v>0</v>
      </c>
      <c r="CB166" s="871">
        <v>0</v>
      </c>
      <c r="CC166" s="872">
        <f ca="1">IF(BN$299=0,0,CB166/BN$299*100)</f>
        <v>0</v>
      </c>
      <c r="CD166" s="871">
        <v>0</v>
      </c>
      <c r="CE166" s="872">
        <f ca="1">IF(BP$299=0,0,CD166/BP$299*100)</f>
        <v>0</v>
      </c>
      <c r="CF166" s="854"/>
      <c r="CG166" s="854" t="s">
        <v>45</v>
      </c>
    </row>
    <row r="167" spans="1:85" ht="29.25" customHeight="1">
      <c r="A167" s="847"/>
      <c r="B167" s="1154">
        <v>3</v>
      </c>
      <c r="C167" s="1186" t="s">
        <v>281</v>
      </c>
      <c r="D167" s="1155"/>
      <c r="E167" s="1295"/>
      <c r="F167" s="1296"/>
      <c r="G167" s="1200">
        <f>E26</f>
        <v>110000</v>
      </c>
      <c r="H167" s="1189"/>
      <c r="I167" s="1190">
        <f>G26</f>
        <v>110100</v>
      </c>
      <c r="J167" s="1189"/>
      <c r="K167" s="1200">
        <f>I26</f>
        <v>110200</v>
      </c>
      <c r="L167" s="1191"/>
      <c r="M167" s="862"/>
      <c r="N167" s="849"/>
      <c r="O167" s="850"/>
      <c r="P167" s="850"/>
      <c r="Q167" s="850"/>
      <c r="R167" s="850"/>
      <c r="S167" s="850"/>
      <c r="T167" s="851"/>
      <c r="U167" s="851"/>
      <c r="V167" s="851"/>
      <c r="W167" s="851"/>
      <c r="X167" s="851"/>
      <c r="Y167" s="851"/>
      <c r="Z167" s="851"/>
      <c r="AA167" s="851"/>
      <c r="AB167" s="851"/>
      <c r="AC167" s="851"/>
      <c r="AD167" s="851"/>
      <c r="AE167" s="851"/>
      <c r="AF167" s="851"/>
      <c r="AG167" s="851"/>
      <c r="AH167" s="852"/>
      <c r="AI167" s="852"/>
      <c r="AJ167" s="852"/>
      <c r="AK167" s="852"/>
      <c r="AL167" s="852"/>
      <c r="AM167" s="852"/>
      <c r="AN167" s="852"/>
      <c r="AO167" s="852"/>
      <c r="AP167" s="852"/>
      <c r="AQ167" s="852"/>
      <c r="AR167" s="852"/>
      <c r="AS167" s="852"/>
      <c r="AT167" s="852"/>
      <c r="AU167" s="852"/>
      <c r="AV167" s="852"/>
      <c r="AW167" s="852"/>
      <c r="AX167" s="849"/>
      <c r="AY167" s="847"/>
      <c r="AZ167" s="847"/>
      <c r="BA167" s="847"/>
      <c r="BB167" s="847"/>
      <c r="BC167" s="853"/>
      <c r="BD167" s="854"/>
      <c r="BE167" s="854"/>
      <c r="BF167" s="854"/>
      <c r="BG167" s="854"/>
      <c r="BH167" s="854"/>
      <c r="BI167" s="854"/>
      <c r="BJ167" s="854"/>
      <c r="BK167" s="854"/>
      <c r="BL167" s="854"/>
      <c r="BM167" s="854"/>
      <c r="BN167" s="854"/>
      <c r="BO167" s="854"/>
      <c r="BP167" s="854"/>
      <c r="BQ167" s="854"/>
      <c r="BR167" s="854"/>
      <c r="BS167" s="854"/>
      <c r="BT167" s="854"/>
      <c r="BU167" s="870">
        <v>118</v>
      </c>
      <c r="BV167" s="860" t="s">
        <v>282</v>
      </c>
      <c r="BW167" s="854"/>
      <c r="BX167" s="871">
        <v>0</v>
      </c>
      <c r="BY167" s="872">
        <f ca="1">IF(BJ$299=0,0,BX167/BJ$299*100)</f>
        <v>0</v>
      </c>
      <c r="BZ167" s="871">
        <v>0</v>
      </c>
      <c r="CA167" s="872">
        <f ca="1">IF(BL$299=0,0,BZ167/BL$299*100)</f>
        <v>0</v>
      </c>
      <c r="CB167" s="871">
        <v>0</v>
      </c>
      <c r="CC167" s="872">
        <f ca="1">IF(BN$299=0,0,CB167/BN$299*100)</f>
        <v>0</v>
      </c>
      <c r="CD167" s="871">
        <v>0</v>
      </c>
      <c r="CE167" s="872">
        <f ca="1">IF(BP$299=0,0,CD167/BP$299*100)</f>
        <v>0</v>
      </c>
      <c r="CF167" s="854"/>
      <c r="CG167" s="854" t="s">
        <v>45</v>
      </c>
    </row>
    <row r="168" spans="1:85" ht="15.75" customHeight="1">
      <c r="A168" s="847"/>
      <c r="B168" s="1154">
        <v>4</v>
      </c>
      <c r="C168" s="1186" t="s">
        <v>283</v>
      </c>
      <c r="D168" s="1155"/>
      <c r="E168" s="1295"/>
      <c r="F168" s="1296"/>
      <c r="G168" s="1200">
        <f>IF((G165+G166-G167)&gt;0,G165+G166-G167,0)</f>
        <v>2200</v>
      </c>
      <c r="H168" s="1189"/>
      <c r="I168" s="1190">
        <f>IF((I165+I166-I167)&gt;0,I165+I166-I167,0)</f>
        <v>2300</v>
      </c>
      <c r="J168" s="1189"/>
      <c r="K168" s="1200">
        <f>IF((K165+K166-K167)&gt;0,K165+K166-K167,0)</f>
        <v>2400</v>
      </c>
      <c r="L168" s="1191"/>
      <c r="M168" s="863"/>
      <c r="N168" s="849"/>
      <c r="O168" s="850"/>
      <c r="P168" s="850"/>
      <c r="Q168" s="850"/>
      <c r="R168" s="850"/>
      <c r="S168" s="850"/>
      <c r="T168" s="851"/>
      <c r="U168" s="851"/>
      <c r="V168" s="851"/>
      <c r="W168" s="851"/>
      <c r="X168" s="851"/>
      <c r="Y168" s="851"/>
      <c r="Z168" s="851"/>
      <c r="AA168" s="851"/>
      <c r="AB168" s="851"/>
      <c r="AC168" s="851"/>
      <c r="AD168" s="851"/>
      <c r="AE168" s="851"/>
      <c r="AF168" s="851"/>
      <c r="AG168" s="851"/>
      <c r="AH168" s="852"/>
      <c r="AI168" s="852"/>
      <c r="AJ168" s="852"/>
      <c r="AK168" s="852"/>
      <c r="AL168" s="852"/>
      <c r="AM168" s="852"/>
      <c r="AN168" s="852"/>
      <c r="AO168" s="852"/>
      <c r="AP168" s="852"/>
      <c r="AQ168" s="852"/>
      <c r="AR168" s="852"/>
      <c r="AS168" s="852"/>
      <c r="AT168" s="852"/>
      <c r="AU168" s="852"/>
      <c r="AV168" s="852"/>
      <c r="AW168" s="852"/>
      <c r="AX168" s="849"/>
      <c r="AY168" s="847"/>
      <c r="AZ168" s="847"/>
      <c r="BA168" s="847"/>
      <c r="BB168" s="847"/>
      <c r="BC168" s="853"/>
      <c r="BD168" s="854"/>
      <c r="BE168" s="854"/>
      <c r="BF168" s="854"/>
      <c r="BG168" s="870">
        <v>119</v>
      </c>
      <c r="BH168" s="860" t="s">
        <v>45</v>
      </c>
      <c r="BI168" s="854"/>
      <c r="BJ168" s="878"/>
      <c r="BK168" s="872">
        <f t="shared" ref="BK168:BK176" ca="1" si="54">IF(BJ$299=0,0,BJ168/BJ$299*100)</f>
        <v>0</v>
      </c>
      <c r="BL168" s="878"/>
      <c r="BM168" s="872">
        <f t="shared" ref="BM168:BM176" ca="1" si="55">IF(BL$299=0,0,BL168/BL$299*100)</f>
        <v>0</v>
      </c>
      <c r="BN168" s="878"/>
      <c r="BO168" s="872">
        <f t="shared" ref="BO168:BO176" ca="1" si="56">IF(BN$299=0,0,BN168/BN$299*100)</f>
        <v>0</v>
      </c>
      <c r="BP168" s="878"/>
      <c r="BQ168" s="872">
        <f t="shared" ref="BQ168:BQ176" ca="1" si="57">IF(BP$299=0,0,BP168/BP$299*100)</f>
        <v>0</v>
      </c>
      <c r="BR168" s="854"/>
      <c r="BS168" s="854"/>
      <c r="BT168" s="854"/>
      <c r="BU168" s="854"/>
      <c r="BV168" s="854"/>
      <c r="BW168" s="854"/>
      <c r="BX168" s="854"/>
      <c r="BY168" s="854"/>
      <c r="BZ168" s="854"/>
      <c r="CA168" s="854"/>
      <c r="CB168" s="854"/>
      <c r="CC168" s="854"/>
      <c r="CD168" s="854"/>
      <c r="CE168" s="854"/>
      <c r="CF168" s="854"/>
      <c r="CG168" s="854" t="s">
        <v>45</v>
      </c>
    </row>
    <row r="169" spans="1:85" ht="12.75" customHeight="1">
      <c r="A169" s="847"/>
      <c r="B169" s="1154">
        <v>5</v>
      </c>
      <c r="C169" s="1186" t="s">
        <v>284</v>
      </c>
      <c r="D169" s="1155"/>
      <c r="E169" s="1295"/>
      <c r="F169" s="1296"/>
      <c r="G169" s="1200">
        <f>IF((G167-G166-G165)&gt;0,G167-G166-G165,0)</f>
        <v>0</v>
      </c>
      <c r="H169" s="1189"/>
      <c r="I169" s="1190">
        <f>IF((I167-I166-I165)&gt;0,I167-I166-I165,0)</f>
        <v>0</v>
      </c>
      <c r="J169" s="1189"/>
      <c r="K169" s="1200">
        <f>IF((K167-K166-K165)&gt;0,K167-K166-K165,0)</f>
        <v>0</v>
      </c>
      <c r="L169" s="1191"/>
      <c r="M169" s="863"/>
      <c r="N169" s="849"/>
      <c r="O169" s="850"/>
      <c r="P169" s="850"/>
      <c r="Q169" s="850"/>
      <c r="R169" s="850"/>
      <c r="S169" s="850"/>
      <c r="T169" s="851"/>
      <c r="U169" s="851"/>
      <c r="V169" s="851"/>
      <c r="W169" s="851"/>
      <c r="X169" s="851"/>
      <c r="Y169" s="851"/>
      <c r="Z169" s="851"/>
      <c r="AA169" s="851"/>
      <c r="AB169" s="851"/>
      <c r="AC169" s="851"/>
      <c r="AD169" s="851"/>
      <c r="AE169" s="851"/>
      <c r="AF169" s="851"/>
      <c r="AG169" s="851"/>
      <c r="AH169" s="852"/>
      <c r="AI169" s="852"/>
      <c r="AJ169" s="852"/>
      <c r="AK169" s="852"/>
      <c r="AL169" s="852"/>
      <c r="AM169" s="852"/>
      <c r="AN169" s="852"/>
      <c r="AO169" s="852"/>
      <c r="AP169" s="852"/>
      <c r="AQ169" s="852"/>
      <c r="AR169" s="852"/>
      <c r="AS169" s="852"/>
      <c r="AT169" s="852"/>
      <c r="AU169" s="852"/>
      <c r="AV169" s="852"/>
      <c r="AW169" s="852"/>
      <c r="AX169" s="849"/>
      <c r="AY169" s="847"/>
      <c r="AZ169" s="847"/>
      <c r="BA169" s="847"/>
      <c r="BB169" s="847"/>
      <c r="BC169" s="853"/>
      <c r="BD169" s="854"/>
      <c r="BE169" s="854"/>
      <c r="BF169" s="854"/>
      <c r="BG169" s="870">
        <v>120</v>
      </c>
      <c r="BH169" s="860" t="s">
        <v>45</v>
      </c>
      <c r="BI169" s="854"/>
      <c r="BJ169" s="871">
        <v>0</v>
      </c>
      <c r="BK169" s="872">
        <f t="shared" ca="1" si="54"/>
        <v>0</v>
      </c>
      <c r="BL169" s="871">
        <v>0</v>
      </c>
      <c r="BM169" s="872">
        <f t="shared" ca="1" si="55"/>
        <v>0</v>
      </c>
      <c r="BN169" s="871">
        <v>0</v>
      </c>
      <c r="BO169" s="872">
        <f t="shared" ca="1" si="56"/>
        <v>0</v>
      </c>
      <c r="BP169" s="871">
        <v>0</v>
      </c>
      <c r="BQ169" s="872">
        <f t="shared" ca="1" si="57"/>
        <v>0</v>
      </c>
      <c r="BR169" s="854"/>
      <c r="BS169" s="854"/>
      <c r="BT169" s="854"/>
      <c r="BU169" s="854"/>
      <c r="BV169" s="854"/>
      <c r="BW169" s="854"/>
      <c r="BX169" s="854"/>
      <c r="BY169" s="854"/>
      <c r="BZ169" s="854"/>
      <c r="CA169" s="854"/>
      <c r="CB169" s="854"/>
      <c r="CC169" s="854"/>
      <c r="CD169" s="854"/>
      <c r="CE169" s="854"/>
      <c r="CF169" s="854"/>
      <c r="CG169" s="854" t="s">
        <v>45</v>
      </c>
    </row>
    <row r="170" spans="1:85" ht="13.5" customHeight="1">
      <c r="A170" s="847"/>
      <c r="B170" s="1157">
        <v>6</v>
      </c>
      <c r="C170" s="1301" t="s">
        <v>285</v>
      </c>
      <c r="D170" s="1159"/>
      <c r="E170" s="1297"/>
      <c r="F170" s="1298"/>
      <c r="G170" s="1203">
        <f>IF(G168&gt;0,G168+G169,0)</f>
        <v>2200</v>
      </c>
      <c r="H170" s="1197"/>
      <c r="I170" s="1203">
        <f>IF(I168&gt;0,I168+I169,0)</f>
        <v>2300</v>
      </c>
      <c r="J170" s="1197"/>
      <c r="K170" s="1203">
        <f>IF(K168&gt;0,K168+K169,0)</f>
        <v>2400</v>
      </c>
      <c r="L170" s="1198"/>
      <c r="M170" s="866"/>
      <c r="N170" s="849"/>
      <c r="O170" s="850"/>
      <c r="P170" s="850"/>
      <c r="Q170" s="850"/>
      <c r="R170" s="850"/>
      <c r="S170" s="850"/>
      <c r="T170" s="851"/>
      <c r="U170" s="851"/>
      <c r="V170" s="851"/>
      <c r="W170" s="851"/>
      <c r="X170" s="851"/>
      <c r="Y170" s="851"/>
      <c r="Z170" s="851"/>
      <c r="AA170" s="851"/>
      <c r="AB170" s="851"/>
      <c r="AC170" s="851"/>
      <c r="AD170" s="851"/>
      <c r="AE170" s="851"/>
      <c r="AF170" s="851"/>
      <c r="AG170" s="851"/>
      <c r="AH170" s="852"/>
      <c r="AI170" s="852"/>
      <c r="AJ170" s="852"/>
      <c r="AK170" s="852"/>
      <c r="AL170" s="852"/>
      <c r="AM170" s="852"/>
      <c r="AN170" s="852"/>
      <c r="AO170" s="852"/>
      <c r="AP170" s="852"/>
      <c r="AQ170" s="852"/>
      <c r="AR170" s="852"/>
      <c r="AS170" s="852"/>
      <c r="AT170" s="852"/>
      <c r="AU170" s="852"/>
      <c r="AV170" s="852"/>
      <c r="AW170" s="852"/>
      <c r="AX170" s="849"/>
      <c r="AY170" s="847"/>
      <c r="AZ170" s="847"/>
      <c r="BA170" s="847"/>
      <c r="BB170" s="847"/>
      <c r="BC170" s="853"/>
      <c r="BD170" s="854"/>
      <c r="BE170" s="854"/>
      <c r="BF170" s="854"/>
      <c r="BG170" s="870">
        <v>121</v>
      </c>
      <c r="BH170" s="860" t="s">
        <v>45</v>
      </c>
      <c r="BI170" s="854"/>
      <c r="BJ170" s="871">
        <v>0</v>
      </c>
      <c r="BK170" s="872">
        <f t="shared" ca="1" si="54"/>
        <v>0</v>
      </c>
      <c r="BL170" s="871">
        <v>0</v>
      </c>
      <c r="BM170" s="872">
        <f t="shared" ca="1" si="55"/>
        <v>0</v>
      </c>
      <c r="BN170" s="871">
        <v>0</v>
      </c>
      <c r="BO170" s="872">
        <f t="shared" ca="1" si="56"/>
        <v>0</v>
      </c>
      <c r="BP170" s="871">
        <v>0</v>
      </c>
      <c r="BQ170" s="872">
        <f t="shared" ca="1" si="57"/>
        <v>0</v>
      </c>
      <c r="BR170" s="854"/>
      <c r="BS170" s="854"/>
      <c r="BT170" s="854"/>
      <c r="BU170" s="854"/>
      <c r="BV170" s="854"/>
      <c r="BW170" s="854"/>
      <c r="BX170" s="854"/>
      <c r="BY170" s="854"/>
      <c r="BZ170" s="854"/>
      <c r="CA170" s="854"/>
      <c r="CB170" s="854"/>
      <c r="CC170" s="854"/>
      <c r="CD170" s="854"/>
      <c r="CE170" s="854"/>
      <c r="CF170" s="854"/>
      <c r="CG170" s="854" t="s">
        <v>45</v>
      </c>
    </row>
    <row r="171" spans="1:85" ht="16.5" customHeight="1">
      <c r="A171" s="847"/>
      <c r="B171" s="1236"/>
      <c r="C171" s="1236"/>
      <c r="D171" s="1236"/>
      <c r="E171" s="1236"/>
      <c r="F171" s="1236"/>
      <c r="G171" s="1236"/>
      <c r="H171" s="1236"/>
      <c r="I171" s="1236"/>
      <c r="J171" s="1236"/>
      <c r="K171" s="1236"/>
      <c r="L171" s="1126"/>
      <c r="M171" s="848"/>
      <c r="N171" s="849"/>
      <c r="O171" s="850"/>
      <c r="P171" s="850"/>
      <c r="Q171" s="850"/>
      <c r="R171" s="850"/>
      <c r="S171" s="850"/>
      <c r="T171" s="851"/>
      <c r="U171" s="851"/>
      <c r="V171" s="851"/>
      <c r="W171" s="851"/>
      <c r="X171" s="851"/>
      <c r="Y171" s="851"/>
      <c r="Z171" s="851"/>
      <c r="AA171" s="851"/>
      <c r="AB171" s="851"/>
      <c r="AC171" s="851"/>
      <c r="AD171" s="851"/>
      <c r="AE171" s="851"/>
      <c r="AF171" s="851"/>
      <c r="AG171" s="851"/>
      <c r="AH171" s="852"/>
      <c r="AI171" s="852"/>
      <c r="AJ171" s="852"/>
      <c r="AK171" s="852"/>
      <c r="AL171" s="852"/>
      <c r="AM171" s="852"/>
      <c r="AN171" s="852"/>
      <c r="AO171" s="852"/>
      <c r="AP171" s="852"/>
      <c r="AQ171" s="852"/>
      <c r="AR171" s="852"/>
      <c r="AS171" s="852"/>
      <c r="AT171" s="852"/>
      <c r="AU171" s="852"/>
      <c r="AV171" s="852"/>
      <c r="AW171" s="852"/>
      <c r="AX171" s="849"/>
      <c r="AY171" s="847"/>
      <c r="AZ171" s="847"/>
      <c r="BA171" s="847"/>
      <c r="BB171" s="847"/>
      <c r="BC171" s="853"/>
      <c r="BD171" s="854"/>
      <c r="BE171" s="854"/>
      <c r="BF171" s="854"/>
      <c r="BG171" s="870">
        <v>122</v>
      </c>
      <c r="BH171" s="860" t="s">
        <v>45</v>
      </c>
      <c r="BI171" s="854"/>
      <c r="BJ171" s="871">
        <v>0</v>
      </c>
      <c r="BK171" s="872">
        <f t="shared" ca="1" si="54"/>
        <v>0</v>
      </c>
      <c r="BL171" s="871">
        <v>0</v>
      </c>
      <c r="BM171" s="872">
        <f t="shared" ca="1" si="55"/>
        <v>0</v>
      </c>
      <c r="BN171" s="871">
        <v>0</v>
      </c>
      <c r="BO171" s="872">
        <f t="shared" ca="1" si="56"/>
        <v>0</v>
      </c>
      <c r="BP171" s="871">
        <v>0</v>
      </c>
      <c r="BQ171" s="872">
        <f t="shared" ca="1" si="57"/>
        <v>0</v>
      </c>
      <c r="BR171" s="854"/>
      <c r="BS171" s="854"/>
      <c r="BT171" s="854"/>
      <c r="BU171" s="854"/>
      <c r="BV171" s="854"/>
      <c r="BW171" s="854"/>
      <c r="BX171" s="854"/>
      <c r="BY171" s="854"/>
      <c r="BZ171" s="854"/>
      <c r="CA171" s="854"/>
      <c r="CB171" s="854"/>
      <c r="CC171" s="854"/>
      <c r="CD171" s="854"/>
      <c r="CE171" s="854"/>
      <c r="CF171" s="854"/>
      <c r="CG171" s="854" t="s">
        <v>45</v>
      </c>
    </row>
    <row r="172" spans="1:85" ht="16.5" customHeight="1">
      <c r="A172" s="847"/>
      <c r="B172" s="1464" t="s">
        <v>286</v>
      </c>
      <c r="C172" s="1495"/>
      <c r="D172" s="1495"/>
      <c r="E172" s="1495"/>
      <c r="F172" s="1495"/>
      <c r="G172" s="1495"/>
      <c r="H172" s="1495"/>
      <c r="I172" s="1495"/>
      <c r="J172" s="1495"/>
      <c r="K172" s="1495"/>
      <c r="L172" s="1496"/>
      <c r="M172" s="848"/>
      <c r="N172" s="849"/>
      <c r="O172" s="850"/>
      <c r="P172" s="850"/>
      <c r="Q172" s="850"/>
      <c r="R172" s="850"/>
      <c r="S172" s="850"/>
      <c r="T172" s="851"/>
      <c r="U172" s="851"/>
      <c r="V172" s="851"/>
      <c r="W172" s="851"/>
      <c r="X172" s="851"/>
      <c r="Y172" s="851"/>
      <c r="Z172" s="851"/>
      <c r="AA172" s="851"/>
      <c r="AB172" s="851"/>
      <c r="AC172" s="851"/>
      <c r="AD172" s="851"/>
      <c r="AE172" s="851"/>
      <c r="AF172" s="851"/>
      <c r="AG172" s="851"/>
      <c r="AH172" s="852"/>
      <c r="AI172" s="852"/>
      <c r="AJ172" s="852"/>
      <c r="AK172" s="852"/>
      <c r="AL172" s="852"/>
      <c r="AM172" s="852"/>
      <c r="AN172" s="852"/>
      <c r="AO172" s="852"/>
      <c r="AP172" s="852"/>
      <c r="AQ172" s="852"/>
      <c r="AR172" s="852"/>
      <c r="AS172" s="852"/>
      <c r="AT172" s="852"/>
      <c r="AU172" s="852"/>
      <c r="AV172" s="852"/>
      <c r="AW172" s="852"/>
      <c r="AX172" s="849"/>
      <c r="AY172" s="847"/>
      <c r="AZ172" s="847"/>
      <c r="BA172" s="847"/>
      <c r="BB172" s="847"/>
      <c r="BC172" s="853"/>
      <c r="BD172" s="854"/>
      <c r="BE172" s="854"/>
      <c r="BF172" s="854"/>
      <c r="BG172" s="870">
        <v>123</v>
      </c>
      <c r="BH172" s="860" t="s">
        <v>45</v>
      </c>
      <c r="BI172" s="854"/>
      <c r="BJ172" s="871">
        <v>0</v>
      </c>
      <c r="BK172" s="872">
        <f t="shared" ca="1" si="54"/>
        <v>0</v>
      </c>
      <c r="BL172" s="871">
        <v>0</v>
      </c>
      <c r="BM172" s="872">
        <f t="shared" ca="1" si="55"/>
        <v>0</v>
      </c>
      <c r="BN172" s="871">
        <v>0</v>
      </c>
      <c r="BO172" s="872">
        <f t="shared" ca="1" si="56"/>
        <v>0</v>
      </c>
      <c r="BP172" s="871">
        <v>0</v>
      </c>
      <c r="BQ172" s="872">
        <f t="shared" ca="1" si="57"/>
        <v>0</v>
      </c>
      <c r="BR172" s="854"/>
      <c r="BS172" s="854"/>
      <c r="BT172" s="854"/>
      <c r="BU172" s="854"/>
      <c r="BV172" s="854"/>
      <c r="BW172" s="854"/>
      <c r="BX172" s="854"/>
      <c r="BY172" s="854"/>
      <c r="BZ172" s="854"/>
      <c r="CA172" s="854"/>
      <c r="CB172" s="854"/>
      <c r="CC172" s="854"/>
      <c r="CD172" s="854"/>
      <c r="CE172" s="854"/>
      <c r="CF172" s="854"/>
      <c r="CG172" s="854" t="s">
        <v>45</v>
      </c>
    </row>
    <row r="173" spans="1:85" ht="16.5" customHeight="1">
      <c r="A173" s="847"/>
      <c r="B173" s="1497" t="s">
        <v>198</v>
      </c>
      <c r="C173" s="1498"/>
      <c r="D173" s="1498"/>
      <c r="E173" s="1503" t="s">
        <v>79</v>
      </c>
      <c r="F173" s="1504"/>
      <c r="G173" s="1504"/>
      <c r="H173" s="1504"/>
      <c r="I173" s="1504"/>
      <c r="J173" s="1504"/>
      <c r="K173" s="1504"/>
      <c r="L173" s="1505"/>
      <c r="M173" s="848"/>
      <c r="N173" s="849"/>
      <c r="O173" s="850"/>
      <c r="P173" s="850"/>
      <c r="Q173" s="850"/>
      <c r="R173" s="850"/>
      <c r="S173" s="850"/>
      <c r="T173" s="851"/>
      <c r="U173" s="851"/>
      <c r="V173" s="851"/>
      <c r="W173" s="851"/>
      <c r="X173" s="851"/>
      <c r="Y173" s="851"/>
      <c r="Z173" s="851"/>
      <c r="AA173" s="851"/>
      <c r="AB173" s="851"/>
      <c r="AC173" s="851"/>
      <c r="AD173" s="851"/>
      <c r="AE173" s="851"/>
      <c r="AF173" s="851"/>
      <c r="AG173" s="851"/>
      <c r="AH173" s="852"/>
      <c r="AI173" s="852"/>
      <c r="AJ173" s="852"/>
      <c r="AK173" s="852"/>
      <c r="AL173" s="852"/>
      <c r="AM173" s="852"/>
      <c r="AN173" s="852"/>
      <c r="AO173" s="852"/>
      <c r="AP173" s="852"/>
      <c r="AQ173" s="852"/>
      <c r="AR173" s="852"/>
      <c r="AS173" s="852"/>
      <c r="AT173" s="852"/>
      <c r="AU173" s="852"/>
      <c r="AV173" s="852"/>
      <c r="AW173" s="852"/>
      <c r="AX173" s="849"/>
      <c r="AY173" s="847"/>
      <c r="AZ173" s="847"/>
      <c r="BA173" s="847"/>
      <c r="BB173" s="847"/>
      <c r="BC173" s="853"/>
      <c r="BD173" s="854"/>
      <c r="BE173" s="854"/>
      <c r="BF173" s="854"/>
      <c r="BG173" s="870">
        <v>124</v>
      </c>
      <c r="BH173" s="860" t="s">
        <v>287</v>
      </c>
      <c r="BI173" s="854"/>
      <c r="BJ173" s="871">
        <v>0</v>
      </c>
      <c r="BK173" s="872">
        <f t="shared" ca="1" si="54"/>
        <v>0</v>
      </c>
      <c r="BL173" s="871">
        <v>0</v>
      </c>
      <c r="BM173" s="872">
        <f t="shared" ca="1" si="55"/>
        <v>0</v>
      </c>
      <c r="BN173" s="871">
        <v>0</v>
      </c>
      <c r="BO173" s="872">
        <f t="shared" ca="1" si="56"/>
        <v>0</v>
      </c>
      <c r="BP173" s="871">
        <v>0</v>
      </c>
      <c r="BQ173" s="872">
        <f t="shared" ca="1" si="57"/>
        <v>0</v>
      </c>
      <c r="BR173" s="854"/>
      <c r="BS173" s="854"/>
      <c r="BT173" s="854"/>
      <c r="BU173" s="854"/>
      <c r="BV173" s="854"/>
      <c r="BW173" s="854"/>
      <c r="BX173" s="854"/>
      <c r="BY173" s="854"/>
      <c r="BZ173" s="854"/>
      <c r="CA173" s="854"/>
      <c r="CB173" s="854"/>
      <c r="CC173" s="854"/>
      <c r="CD173" s="854"/>
      <c r="CE173" s="854"/>
      <c r="CF173" s="854"/>
      <c r="CG173" s="854" t="s">
        <v>45</v>
      </c>
    </row>
    <row r="174" spans="1:85" ht="15.75" customHeight="1">
      <c r="A174" s="847"/>
      <c r="B174" s="1499"/>
      <c r="C174" s="1500"/>
      <c r="D174" s="1500"/>
      <c r="E174" s="1506">
        <v>42004</v>
      </c>
      <c r="F174" s="1507"/>
      <c r="G174" s="1508">
        <v>42369</v>
      </c>
      <c r="H174" s="1507"/>
      <c r="I174" s="1508">
        <v>42735</v>
      </c>
      <c r="J174" s="1509"/>
      <c r="K174" s="1506">
        <v>43100</v>
      </c>
      <c r="L174" s="1510"/>
      <c r="M174" s="848"/>
      <c r="N174" s="849"/>
      <c r="O174" s="850"/>
      <c r="P174" s="850"/>
      <c r="Q174" s="850"/>
      <c r="R174" s="850"/>
      <c r="S174" s="850"/>
      <c r="T174" s="851"/>
      <c r="U174" s="851"/>
      <c r="V174" s="851"/>
      <c r="W174" s="851"/>
      <c r="X174" s="851"/>
      <c r="Y174" s="851"/>
      <c r="Z174" s="851"/>
      <c r="AA174" s="851"/>
      <c r="AB174" s="851"/>
      <c r="AC174" s="851"/>
      <c r="AD174" s="851"/>
      <c r="AE174" s="851"/>
      <c r="AF174" s="851"/>
      <c r="AG174" s="851"/>
      <c r="AH174" s="852"/>
      <c r="AI174" s="852"/>
      <c r="AJ174" s="852"/>
      <c r="AK174" s="852"/>
      <c r="AL174" s="852"/>
      <c r="AM174" s="852"/>
      <c r="AN174" s="852"/>
      <c r="AO174" s="852"/>
      <c r="AP174" s="852"/>
      <c r="AQ174" s="852"/>
      <c r="AR174" s="852"/>
      <c r="AS174" s="852"/>
      <c r="AT174" s="852"/>
      <c r="AU174" s="852"/>
      <c r="AV174" s="852"/>
      <c r="AW174" s="852"/>
      <c r="AX174" s="849"/>
      <c r="AY174" s="847"/>
      <c r="AZ174" s="847"/>
      <c r="BA174" s="847"/>
      <c r="BB174" s="847"/>
      <c r="BC174" s="853"/>
      <c r="BD174" s="854"/>
      <c r="BE174" s="854"/>
      <c r="BF174" s="854"/>
      <c r="BG174" s="870">
        <v>125</v>
      </c>
      <c r="BH174" s="860" t="s">
        <v>288</v>
      </c>
      <c r="BI174" s="854"/>
      <c r="BJ174" s="871">
        <v>0</v>
      </c>
      <c r="BK174" s="872">
        <f t="shared" ca="1" si="54"/>
        <v>0</v>
      </c>
      <c r="BL174" s="871">
        <v>14371.196001</v>
      </c>
      <c r="BM174" s="872">
        <f t="shared" ca="1" si="55"/>
        <v>64.155865298320947</v>
      </c>
      <c r="BN174" s="871">
        <v>20511.068942000002</v>
      </c>
      <c r="BO174" s="872">
        <f t="shared" ca="1" si="56"/>
        <v>70.710416615810573</v>
      </c>
      <c r="BP174" s="871">
        <v>196308.04788599999</v>
      </c>
      <c r="BQ174" s="872">
        <f t="shared" ca="1" si="57"/>
        <v>50.920306194717732</v>
      </c>
      <c r="BR174" s="854"/>
      <c r="BS174" s="854"/>
      <c r="BT174" s="854"/>
      <c r="BU174" s="854"/>
      <c r="BV174" s="854"/>
      <c r="BW174" s="854"/>
      <c r="BX174" s="854"/>
      <c r="BY174" s="854"/>
      <c r="BZ174" s="854"/>
      <c r="CA174" s="854"/>
      <c r="CB174" s="854"/>
      <c r="CC174" s="854"/>
      <c r="CD174" s="854"/>
      <c r="CE174" s="854"/>
      <c r="CF174" s="854"/>
      <c r="CG174" s="854" t="s">
        <v>45</v>
      </c>
    </row>
    <row r="175" spans="1:85" ht="16.5" customHeight="1">
      <c r="A175" s="847"/>
      <c r="B175" s="1501"/>
      <c r="C175" s="1502"/>
      <c r="D175" s="1502"/>
      <c r="E175" s="1462" t="s">
        <v>85</v>
      </c>
      <c r="F175" s="1463"/>
      <c r="G175" s="1462" t="s">
        <v>85</v>
      </c>
      <c r="H175" s="1463"/>
      <c r="I175" s="1462" t="s">
        <v>85</v>
      </c>
      <c r="J175" s="1463"/>
      <c r="K175" s="1462" t="s">
        <v>85</v>
      </c>
      <c r="L175" s="1463"/>
      <c r="M175" s="848"/>
      <c r="N175" s="849"/>
      <c r="O175" s="850"/>
      <c r="P175" s="850"/>
      <c r="Q175" s="850"/>
      <c r="R175" s="850"/>
      <c r="S175" s="850"/>
      <c r="T175" s="851"/>
      <c r="U175" s="851"/>
      <c r="V175" s="851"/>
      <c r="W175" s="851"/>
      <c r="X175" s="851"/>
      <c r="Y175" s="851"/>
      <c r="Z175" s="851"/>
      <c r="AA175" s="851"/>
      <c r="AB175" s="851"/>
      <c r="AC175" s="851"/>
      <c r="AD175" s="851"/>
      <c r="AE175" s="851"/>
      <c r="AF175" s="851"/>
      <c r="AG175" s="851"/>
      <c r="AH175" s="852"/>
      <c r="AI175" s="852"/>
      <c r="AJ175" s="852"/>
      <c r="AK175" s="852"/>
      <c r="AL175" s="852"/>
      <c r="AM175" s="852"/>
      <c r="AN175" s="852"/>
      <c r="AO175" s="852"/>
      <c r="AP175" s="852"/>
      <c r="AQ175" s="852"/>
      <c r="AR175" s="852"/>
      <c r="AS175" s="852"/>
      <c r="AT175" s="852"/>
      <c r="AU175" s="852"/>
      <c r="AV175" s="852"/>
      <c r="AW175" s="852"/>
      <c r="AX175" s="849"/>
      <c r="AY175" s="847"/>
      <c r="AZ175" s="847"/>
      <c r="BA175" s="847"/>
      <c r="BB175" s="847"/>
      <c r="BC175" s="853"/>
      <c r="BD175" s="854"/>
      <c r="BE175" s="854"/>
      <c r="BF175" s="854"/>
      <c r="BG175" s="870">
        <v>126</v>
      </c>
      <c r="BH175" s="860" t="s">
        <v>289</v>
      </c>
      <c r="BI175" s="854"/>
      <c r="BJ175" s="871">
        <v>0</v>
      </c>
      <c r="BK175" s="872">
        <f t="shared" ca="1" si="54"/>
        <v>0</v>
      </c>
      <c r="BL175" s="871">
        <v>175</v>
      </c>
      <c r="BM175" s="872">
        <f t="shared" ca="1" si="55"/>
        <v>0.78123466038769007</v>
      </c>
      <c r="BN175" s="871">
        <v>639.82638399999996</v>
      </c>
      <c r="BO175" s="872">
        <f t="shared" ca="1" si="56"/>
        <v>2.2057548683767472</v>
      </c>
      <c r="BP175" s="871">
        <v>147805.57902199999</v>
      </c>
      <c r="BQ175" s="872">
        <f t="shared" ca="1" si="57"/>
        <v>38.339260270462596</v>
      </c>
      <c r="BR175" s="854"/>
      <c r="BS175" s="854"/>
      <c r="BT175" s="854"/>
      <c r="BU175" s="854"/>
      <c r="BV175" s="854"/>
      <c r="BW175" s="854"/>
      <c r="BX175" s="854"/>
      <c r="BY175" s="854"/>
      <c r="BZ175" s="854"/>
      <c r="CA175" s="854"/>
      <c r="CB175" s="854"/>
      <c r="CC175" s="854"/>
      <c r="CD175" s="854"/>
      <c r="CE175" s="854"/>
      <c r="CF175" s="854"/>
      <c r="CG175" s="854" t="s">
        <v>45</v>
      </c>
    </row>
    <row r="176" spans="1:85" ht="15.75" customHeight="1">
      <c r="A176" s="847"/>
      <c r="B176" s="1302"/>
      <c r="C176" s="1303" t="str">
        <f>C122</f>
        <v>Earnings After Tax (EAT)</v>
      </c>
      <c r="D176" s="1304"/>
      <c r="E176" s="1305"/>
      <c r="F176" s="1306"/>
      <c r="G176" s="1307">
        <f>+G122</f>
        <v>13935</v>
      </c>
      <c r="H176" s="1308"/>
      <c r="I176" s="1307">
        <f>+I122</f>
        <v>19400</v>
      </c>
      <c r="J176" s="1308"/>
      <c r="K176" s="1307">
        <f>+K122</f>
        <v>19105</v>
      </c>
      <c r="L176" s="1308"/>
      <c r="M176" s="848"/>
      <c r="N176" s="849"/>
      <c r="O176" s="850"/>
      <c r="P176" s="850"/>
      <c r="Q176" s="850"/>
      <c r="R176" s="850"/>
      <c r="S176" s="850"/>
      <c r="T176" s="851"/>
      <c r="U176" s="851"/>
      <c r="V176" s="851"/>
      <c r="W176" s="851"/>
      <c r="X176" s="851"/>
      <c r="Y176" s="851"/>
      <c r="Z176" s="851"/>
      <c r="AA176" s="851"/>
      <c r="AB176" s="851"/>
      <c r="AC176" s="851"/>
      <c r="AD176" s="851"/>
      <c r="AE176" s="851"/>
      <c r="AF176" s="851"/>
      <c r="AG176" s="851"/>
      <c r="AH176" s="852"/>
      <c r="AI176" s="852"/>
      <c r="AJ176" s="852"/>
      <c r="AK176" s="852"/>
      <c r="AL176" s="852"/>
      <c r="AM176" s="852"/>
      <c r="AN176" s="852"/>
      <c r="AO176" s="852"/>
      <c r="AP176" s="852"/>
      <c r="AQ176" s="852"/>
      <c r="AR176" s="852"/>
      <c r="AS176" s="852"/>
      <c r="AT176" s="852"/>
      <c r="AU176" s="852"/>
      <c r="AV176" s="852"/>
      <c r="AW176" s="852"/>
      <c r="AX176" s="849"/>
      <c r="AY176" s="847"/>
      <c r="AZ176" s="847"/>
      <c r="BA176" s="847"/>
      <c r="BB176" s="847"/>
      <c r="BC176" s="853"/>
      <c r="BD176" s="854"/>
      <c r="BE176" s="854"/>
      <c r="BF176" s="854"/>
      <c r="BG176" s="870">
        <v>127</v>
      </c>
      <c r="BH176" s="860" t="s">
        <v>45</v>
      </c>
      <c r="BI176" s="854"/>
      <c r="BJ176" s="871">
        <v>0</v>
      </c>
      <c r="BK176" s="872">
        <f t="shared" ca="1" si="54"/>
        <v>0</v>
      </c>
      <c r="BL176" s="871">
        <v>0</v>
      </c>
      <c r="BM176" s="872">
        <f t="shared" ca="1" si="55"/>
        <v>0</v>
      </c>
      <c r="BN176" s="871">
        <v>0</v>
      </c>
      <c r="BO176" s="872">
        <f t="shared" ca="1" si="56"/>
        <v>0</v>
      </c>
      <c r="BP176" s="871">
        <v>0</v>
      </c>
      <c r="BQ176" s="872">
        <f t="shared" ca="1" si="57"/>
        <v>0</v>
      </c>
      <c r="BR176" s="854"/>
      <c r="BS176" s="854"/>
      <c r="BT176" s="854"/>
      <c r="BU176" s="854"/>
      <c r="BV176" s="854"/>
      <c r="BW176" s="854"/>
      <c r="BX176" s="854"/>
      <c r="BY176" s="854"/>
      <c r="BZ176" s="854"/>
      <c r="CA176" s="854"/>
      <c r="CB176" s="854"/>
      <c r="CC176" s="854"/>
      <c r="CD176" s="854"/>
      <c r="CE176" s="854"/>
      <c r="CF176" s="854"/>
      <c r="CG176" s="854" t="s">
        <v>45</v>
      </c>
    </row>
    <row r="177" spans="1:85" ht="15.75" customHeight="1">
      <c r="A177" s="847"/>
      <c r="B177" s="1309"/>
      <c r="C177" s="1310" t="str">
        <f>C110</f>
        <v>Depreciation</v>
      </c>
      <c r="D177" s="1311"/>
      <c r="E177" s="1312"/>
      <c r="F177" s="1313"/>
      <c r="G177" s="1314">
        <f>G110</f>
        <v>2100</v>
      </c>
      <c r="H177" s="1315"/>
      <c r="I177" s="1314">
        <f>I110</f>
        <v>2200</v>
      </c>
      <c r="J177" s="1315"/>
      <c r="K177" s="1314">
        <f>K110</f>
        <v>2300</v>
      </c>
      <c r="L177" s="1315"/>
      <c r="M177" s="848"/>
      <c r="N177" s="849"/>
      <c r="O177" s="850"/>
      <c r="P177" s="850"/>
      <c r="Q177" s="850"/>
      <c r="R177" s="850"/>
      <c r="S177" s="850"/>
      <c r="T177" s="851"/>
      <c r="U177" s="851"/>
      <c r="V177" s="851"/>
      <c r="W177" s="851"/>
      <c r="X177" s="851"/>
      <c r="Y177" s="851"/>
      <c r="Z177" s="851"/>
      <c r="AA177" s="851"/>
      <c r="AB177" s="851"/>
      <c r="AC177" s="851"/>
      <c r="AD177" s="851"/>
      <c r="AE177" s="851"/>
      <c r="AF177" s="851"/>
      <c r="AG177" s="851"/>
      <c r="AH177" s="852"/>
      <c r="AI177" s="852"/>
      <c r="AJ177" s="852"/>
      <c r="AK177" s="852"/>
      <c r="AL177" s="852"/>
      <c r="AM177" s="852"/>
      <c r="AN177" s="852"/>
      <c r="AO177" s="852"/>
      <c r="AP177" s="852"/>
      <c r="AQ177" s="852"/>
      <c r="AR177" s="852"/>
      <c r="AS177" s="852"/>
      <c r="AT177" s="852"/>
      <c r="AU177" s="852"/>
      <c r="AV177" s="852"/>
      <c r="AW177" s="852"/>
      <c r="AX177" s="849"/>
      <c r="AY177" s="847"/>
      <c r="AZ177" s="847"/>
      <c r="BA177" s="847"/>
      <c r="BB177" s="847"/>
      <c r="BC177" s="853"/>
      <c r="BD177" s="854"/>
      <c r="BE177" s="854"/>
      <c r="BF177" s="854"/>
      <c r="BG177" s="870"/>
      <c r="BH177" s="860"/>
      <c r="BI177" s="854"/>
      <c r="BJ177" s="871"/>
      <c r="BK177" s="872"/>
      <c r="BL177" s="871"/>
      <c r="BM177" s="872"/>
      <c r="BN177" s="871"/>
      <c r="BO177" s="872"/>
      <c r="BP177" s="871"/>
      <c r="BQ177" s="872"/>
      <c r="BR177" s="854"/>
      <c r="BS177" s="854"/>
      <c r="BT177" s="854"/>
      <c r="BU177" s="854"/>
      <c r="BV177" s="854"/>
      <c r="BW177" s="854"/>
      <c r="BX177" s="854"/>
      <c r="BY177" s="854"/>
      <c r="BZ177" s="854"/>
      <c r="CA177" s="854"/>
      <c r="CB177" s="854"/>
      <c r="CC177" s="854"/>
      <c r="CD177" s="854"/>
      <c r="CE177" s="854"/>
      <c r="CF177" s="854"/>
      <c r="CG177" s="854"/>
    </row>
    <row r="178" spans="1:85" ht="16.5" customHeight="1">
      <c r="A178" s="847"/>
      <c r="B178" s="1316"/>
      <c r="C178" s="1317" t="s">
        <v>290</v>
      </c>
      <c r="D178" s="1318"/>
      <c r="E178" s="1319"/>
      <c r="F178" s="1320"/>
      <c r="G178" s="1321">
        <f>G111+G114+G116</f>
        <v>88</v>
      </c>
      <c r="H178" s="1322"/>
      <c r="I178" s="1321">
        <f>I111+I114+I116</f>
        <v>144</v>
      </c>
      <c r="J178" s="1322"/>
      <c r="K178" s="1321">
        <f>K111+K114+K116</f>
        <v>104</v>
      </c>
      <c r="L178" s="1322"/>
      <c r="M178" s="848"/>
      <c r="N178" s="849"/>
      <c r="O178" s="850"/>
      <c r="P178" s="850"/>
      <c r="Q178" s="850"/>
      <c r="R178" s="850"/>
      <c r="S178" s="850"/>
      <c r="T178" s="851"/>
      <c r="U178" s="851"/>
      <c r="V178" s="851"/>
      <c r="W178" s="851"/>
      <c r="X178" s="851"/>
      <c r="Y178" s="851"/>
      <c r="Z178" s="851"/>
      <c r="AA178" s="851"/>
      <c r="AB178" s="851"/>
      <c r="AC178" s="851"/>
      <c r="AD178" s="851"/>
      <c r="AE178" s="851"/>
      <c r="AF178" s="851"/>
      <c r="AG178" s="851"/>
      <c r="AH178" s="852"/>
      <c r="AI178" s="852"/>
      <c r="AJ178" s="852"/>
      <c r="AK178" s="852"/>
      <c r="AL178" s="852"/>
      <c r="AM178" s="852"/>
      <c r="AN178" s="852"/>
      <c r="AO178" s="852"/>
      <c r="AP178" s="852"/>
      <c r="AQ178" s="852"/>
      <c r="AR178" s="852"/>
      <c r="AS178" s="852"/>
      <c r="AT178" s="852"/>
      <c r="AU178" s="852"/>
      <c r="AV178" s="852"/>
      <c r="AW178" s="852"/>
      <c r="AX178" s="849"/>
      <c r="AY178" s="847"/>
      <c r="AZ178" s="847"/>
      <c r="BA178" s="847"/>
      <c r="BB178" s="847"/>
      <c r="BC178" s="853"/>
      <c r="BD178" s="854"/>
      <c r="BE178" s="854"/>
      <c r="BF178" s="854"/>
      <c r="BG178" s="870">
        <v>128</v>
      </c>
      <c r="BH178" s="860" t="s">
        <v>45</v>
      </c>
      <c r="BI178" s="854"/>
      <c r="BJ178" s="871">
        <v>0</v>
      </c>
      <c r="BK178" s="872">
        <f ca="1">IF(BJ$299=0,0,BJ178/BJ$299*100)</f>
        <v>0</v>
      </c>
      <c r="BL178" s="871">
        <v>0</v>
      </c>
      <c r="BM178" s="872">
        <f ca="1">IF(BL$299=0,0,BL178/BL$299*100)</f>
        <v>0</v>
      </c>
      <c r="BN178" s="871">
        <v>0</v>
      </c>
      <c r="BO178" s="872">
        <f ca="1">IF(BN$299=0,0,BN178/BN$299*100)</f>
        <v>0</v>
      </c>
      <c r="BP178" s="871">
        <v>0</v>
      </c>
      <c r="BQ178" s="872">
        <f ca="1">IF(BP$299=0,0,BP178/BP$299*100)</f>
        <v>0</v>
      </c>
      <c r="BR178" s="854"/>
      <c r="BS178" s="854"/>
      <c r="BT178" s="854"/>
      <c r="BU178" s="854"/>
      <c r="BV178" s="854"/>
      <c r="BW178" s="854"/>
      <c r="BX178" s="854"/>
      <c r="BY178" s="854"/>
      <c r="BZ178" s="854"/>
      <c r="CA178" s="854"/>
      <c r="CB178" s="854"/>
      <c r="CC178" s="854"/>
      <c r="CD178" s="854"/>
      <c r="CE178" s="854"/>
      <c r="CF178" s="854"/>
      <c r="CG178" s="854" t="s">
        <v>45</v>
      </c>
    </row>
    <row r="179" spans="1:85" ht="16.5" customHeight="1">
      <c r="A179" s="847"/>
      <c r="B179" s="1323"/>
      <c r="C179" s="1324" t="s">
        <v>291</v>
      </c>
      <c r="D179" s="1325"/>
      <c r="E179" s="1326"/>
      <c r="F179" s="1327"/>
      <c r="G179" s="1328">
        <f>SUM(G176:G178)</f>
        <v>16123</v>
      </c>
      <c r="H179" s="1329"/>
      <c r="I179" s="1328">
        <f>SUM(I176:I178)</f>
        <v>21744</v>
      </c>
      <c r="J179" s="1329"/>
      <c r="K179" s="1328">
        <f>SUM(K176:K178)</f>
        <v>21509</v>
      </c>
      <c r="L179" s="1329"/>
      <c r="M179" s="848"/>
      <c r="N179" s="849"/>
      <c r="O179" s="850"/>
      <c r="P179" s="850"/>
      <c r="Q179" s="850"/>
      <c r="R179" s="850"/>
      <c r="S179" s="850"/>
      <c r="T179" s="851"/>
      <c r="U179" s="851"/>
      <c r="V179" s="851"/>
      <c r="W179" s="851"/>
      <c r="X179" s="851"/>
      <c r="Y179" s="851"/>
      <c r="Z179" s="851"/>
      <c r="AA179" s="851"/>
      <c r="AB179" s="851"/>
      <c r="AC179" s="851"/>
      <c r="AD179" s="851"/>
      <c r="AE179" s="851"/>
      <c r="AF179" s="851"/>
      <c r="AG179" s="851"/>
      <c r="AH179" s="852"/>
      <c r="AI179" s="852"/>
      <c r="AJ179" s="852"/>
      <c r="AK179" s="852"/>
      <c r="AL179" s="852"/>
      <c r="AM179" s="852"/>
      <c r="AN179" s="852"/>
      <c r="AO179" s="852"/>
      <c r="AP179" s="852"/>
      <c r="AQ179" s="852"/>
      <c r="AR179" s="852"/>
      <c r="AS179" s="852"/>
      <c r="AT179" s="852"/>
      <c r="AU179" s="852"/>
      <c r="AV179" s="852"/>
      <c r="AW179" s="852"/>
      <c r="AX179" s="849"/>
      <c r="AY179" s="847"/>
      <c r="AZ179" s="847"/>
      <c r="BA179" s="847"/>
      <c r="BB179" s="847"/>
      <c r="BC179" s="853"/>
      <c r="BD179" s="854"/>
      <c r="BE179" s="854"/>
      <c r="BF179" s="854"/>
      <c r="BG179" s="870">
        <v>129</v>
      </c>
      <c r="BH179" s="860" t="s">
        <v>45</v>
      </c>
      <c r="BI179" s="854"/>
      <c r="BJ179" s="871">
        <v>0</v>
      </c>
      <c r="BK179" s="872">
        <f ca="1">IF(BJ$299=0,0,BJ179/BJ$299*100)</f>
        <v>0</v>
      </c>
      <c r="BL179" s="871">
        <v>0</v>
      </c>
      <c r="BM179" s="872">
        <f ca="1">IF(BL$299=0,0,BL179/BL$299*100)</f>
        <v>0</v>
      </c>
      <c r="BN179" s="871">
        <v>0</v>
      </c>
      <c r="BO179" s="872">
        <f ca="1">IF(BN$299=0,0,BN179/BN$299*100)</f>
        <v>0</v>
      </c>
      <c r="BP179" s="871">
        <v>0</v>
      </c>
      <c r="BQ179" s="872">
        <f ca="1">IF(BP$299=0,0,BP179/BP$299*100)</f>
        <v>0</v>
      </c>
      <c r="BR179" s="854"/>
      <c r="BS179" s="854"/>
      <c r="BT179" s="854"/>
      <c r="BU179" s="854"/>
      <c r="BV179" s="854"/>
      <c r="BW179" s="854"/>
      <c r="BX179" s="854"/>
      <c r="BY179" s="854"/>
      <c r="BZ179" s="854"/>
      <c r="CA179" s="854"/>
      <c r="CB179" s="854"/>
      <c r="CC179" s="854"/>
      <c r="CD179" s="854"/>
      <c r="CE179" s="854"/>
      <c r="CF179" s="854"/>
      <c r="CG179" s="854" t="s">
        <v>45</v>
      </c>
    </row>
    <row r="180" spans="1:85" ht="15.75" customHeight="1">
      <c r="A180" s="847"/>
      <c r="B180" s="1302"/>
      <c r="C180" s="1330" t="str">
        <f t="shared" ref="C180:C187" si="58">"Decrease in "&amp;+C17</f>
        <v>Decrease in Restricted Cash</v>
      </c>
      <c r="D180" s="1304"/>
      <c r="E180" s="1305"/>
      <c r="F180" s="1306"/>
      <c r="G180" s="1307">
        <f t="shared" ref="G180:G187" si="59">IF(G17&lt;E17,E17-G17,0)</f>
        <v>0</v>
      </c>
      <c r="H180" s="1308"/>
      <c r="I180" s="1307">
        <f t="shared" ref="I180:I187" si="60">IF(I17&lt;G17,G17-I17,0)</f>
        <v>0</v>
      </c>
      <c r="J180" s="1308"/>
      <c r="K180" s="1307">
        <f t="shared" ref="K180:K187" si="61">IF(K17&lt;I17,I17-K17,0)</f>
        <v>0</v>
      </c>
      <c r="L180" s="1308"/>
      <c r="M180" s="848"/>
      <c r="N180" s="849"/>
      <c r="O180" s="850"/>
      <c r="P180" s="850"/>
      <c r="Q180" s="850"/>
      <c r="R180" s="850"/>
      <c r="S180" s="850"/>
      <c r="T180" s="851"/>
      <c r="U180" s="851"/>
      <c r="V180" s="851"/>
      <c r="W180" s="851"/>
      <c r="X180" s="851"/>
      <c r="Y180" s="851"/>
      <c r="Z180" s="851"/>
      <c r="AA180" s="851"/>
      <c r="AB180" s="851"/>
      <c r="AC180" s="851"/>
      <c r="AD180" s="851"/>
      <c r="AE180" s="851"/>
      <c r="AF180" s="851"/>
      <c r="AG180" s="851"/>
      <c r="AH180" s="852"/>
      <c r="AI180" s="852"/>
      <c r="AJ180" s="852"/>
      <c r="AK180" s="852"/>
      <c r="AL180" s="852"/>
      <c r="AM180" s="852"/>
      <c r="AN180" s="852"/>
      <c r="AO180" s="852"/>
      <c r="AP180" s="852"/>
      <c r="AQ180" s="852"/>
      <c r="AR180" s="852"/>
      <c r="AS180" s="852"/>
      <c r="AT180" s="852"/>
      <c r="AU180" s="852"/>
      <c r="AV180" s="852"/>
      <c r="AW180" s="852"/>
      <c r="AX180" s="849"/>
      <c r="AY180" s="847"/>
      <c r="AZ180" s="847"/>
      <c r="BA180" s="847"/>
      <c r="BB180" s="847"/>
      <c r="BC180" s="853"/>
      <c r="BD180" s="854"/>
      <c r="BE180" s="854"/>
      <c r="BF180" s="854"/>
      <c r="BG180" s="870">
        <v>130</v>
      </c>
      <c r="BH180" s="860" t="s">
        <v>45</v>
      </c>
      <c r="BI180" s="854"/>
      <c r="BJ180" s="871">
        <v>0</v>
      </c>
      <c r="BK180" s="872">
        <f ca="1">IF(BJ$299=0,0,BJ180/BJ$299*100)</f>
        <v>0</v>
      </c>
      <c r="BL180" s="871">
        <v>0</v>
      </c>
      <c r="BM180" s="872">
        <f ca="1">IF(BL$299=0,0,BL180/BL$299*100)</f>
        <v>0</v>
      </c>
      <c r="BN180" s="871">
        <v>0</v>
      </c>
      <c r="BO180" s="872">
        <f ca="1">IF(BN$299=0,0,BN180/BN$299*100)</f>
        <v>0</v>
      </c>
      <c r="BP180" s="871">
        <v>0</v>
      </c>
      <c r="BQ180" s="872">
        <f ca="1">IF(BP$299=0,0,BP180/BP$299*100)</f>
        <v>0</v>
      </c>
      <c r="BR180" s="854"/>
      <c r="BS180" s="854"/>
      <c r="BT180" s="854"/>
      <c r="BU180" s="854"/>
      <c r="BV180" s="854"/>
      <c r="BW180" s="854"/>
      <c r="BX180" s="854"/>
      <c r="BY180" s="854"/>
      <c r="BZ180" s="854"/>
      <c r="CA180" s="854"/>
      <c r="CB180" s="854"/>
      <c r="CC180" s="854"/>
      <c r="CD180" s="854"/>
      <c r="CE180" s="854"/>
      <c r="CF180" s="854"/>
      <c r="CG180" s="854" t="s">
        <v>45</v>
      </c>
    </row>
    <row r="181" spans="1:85" ht="15.75" customHeight="1">
      <c r="A181" s="847"/>
      <c r="B181" s="1302"/>
      <c r="C181" s="1330" t="str">
        <f t="shared" si="58"/>
        <v>Decrease in Short Term Investments</v>
      </c>
      <c r="D181" s="1304"/>
      <c r="E181" s="1305"/>
      <c r="F181" s="1306"/>
      <c r="G181" s="1307">
        <f t="shared" si="59"/>
        <v>0</v>
      </c>
      <c r="H181" s="1308"/>
      <c r="I181" s="1307">
        <f t="shared" si="60"/>
        <v>0</v>
      </c>
      <c r="J181" s="1308"/>
      <c r="K181" s="1307">
        <f t="shared" si="61"/>
        <v>0</v>
      </c>
      <c r="L181" s="1308"/>
      <c r="M181" s="848"/>
      <c r="N181" s="849"/>
      <c r="O181" s="850"/>
      <c r="P181" s="850"/>
      <c r="Q181" s="850"/>
      <c r="R181" s="850"/>
      <c r="S181" s="850"/>
      <c r="T181" s="851"/>
      <c r="U181" s="851"/>
      <c r="V181" s="851"/>
      <c r="W181" s="851"/>
      <c r="X181" s="851"/>
      <c r="Y181" s="851"/>
      <c r="Z181" s="851"/>
      <c r="AA181" s="851"/>
      <c r="AB181" s="851"/>
      <c r="AC181" s="851"/>
      <c r="AD181" s="851"/>
      <c r="AE181" s="851"/>
      <c r="AF181" s="851"/>
      <c r="AG181" s="851"/>
      <c r="AH181" s="852"/>
      <c r="AI181" s="852"/>
      <c r="AJ181" s="852"/>
      <c r="AK181" s="852"/>
      <c r="AL181" s="852"/>
      <c r="AM181" s="852"/>
      <c r="AN181" s="852"/>
      <c r="AO181" s="852"/>
      <c r="AP181" s="852"/>
      <c r="AQ181" s="852"/>
      <c r="AR181" s="852"/>
      <c r="AS181" s="852"/>
      <c r="AT181" s="852"/>
      <c r="AU181" s="852"/>
      <c r="AV181" s="852"/>
      <c r="AW181" s="852"/>
      <c r="AX181" s="849"/>
      <c r="AY181" s="847"/>
      <c r="AZ181" s="847"/>
      <c r="BA181" s="847"/>
      <c r="BB181" s="847"/>
      <c r="BC181" s="853"/>
      <c r="BD181" s="854"/>
      <c r="BE181" s="854"/>
      <c r="BF181" s="854"/>
      <c r="BG181" s="870">
        <v>131</v>
      </c>
      <c r="BH181" s="860" t="s">
        <v>45</v>
      </c>
      <c r="BI181" s="854"/>
      <c r="BJ181" s="871">
        <v>0</v>
      </c>
      <c r="BK181" s="872">
        <f ca="1">IF(BJ$299=0,0,BJ181/BJ$299*100)</f>
        <v>0</v>
      </c>
      <c r="BL181" s="871">
        <v>0</v>
      </c>
      <c r="BM181" s="872">
        <f ca="1">IF(BL$299=0,0,BL181/BL$299*100)</f>
        <v>0</v>
      </c>
      <c r="BN181" s="871">
        <v>0</v>
      </c>
      <c r="BO181" s="872">
        <f ca="1">IF(BN$299=0,0,BN181/BN$299*100)</f>
        <v>0</v>
      </c>
      <c r="BP181" s="871">
        <v>0</v>
      </c>
      <c r="BQ181" s="872">
        <f ca="1">IF(BP$299=0,0,BP181/BP$299*100)</f>
        <v>0</v>
      </c>
      <c r="BR181" s="854"/>
      <c r="BS181" s="854"/>
      <c r="BT181" s="854"/>
      <c r="BU181" s="854"/>
      <c r="BV181" s="854"/>
      <c r="BW181" s="854"/>
      <c r="BX181" s="854"/>
      <c r="BY181" s="854"/>
      <c r="BZ181" s="854"/>
      <c r="CA181" s="854"/>
      <c r="CB181" s="854"/>
      <c r="CC181" s="854"/>
      <c r="CD181" s="854"/>
      <c r="CE181" s="854"/>
      <c r="CF181" s="854"/>
      <c r="CG181" s="854" t="s">
        <v>45</v>
      </c>
    </row>
    <row r="182" spans="1:85" ht="15.75" customHeight="1">
      <c r="A182" s="847"/>
      <c r="B182" s="1302"/>
      <c r="C182" s="1330" t="str">
        <f t="shared" si="58"/>
        <v>Decrease in Account Receivables</v>
      </c>
      <c r="D182" s="1304"/>
      <c r="E182" s="1305"/>
      <c r="F182" s="1306"/>
      <c r="G182" s="1307">
        <f t="shared" si="59"/>
        <v>0</v>
      </c>
      <c r="H182" s="1308"/>
      <c r="I182" s="1307">
        <f t="shared" si="60"/>
        <v>0</v>
      </c>
      <c r="J182" s="1308"/>
      <c r="K182" s="1307">
        <f t="shared" si="61"/>
        <v>0</v>
      </c>
      <c r="L182" s="1308"/>
      <c r="M182" s="862"/>
      <c r="N182" s="849"/>
      <c r="O182" s="850"/>
      <c r="P182" s="850"/>
      <c r="Q182" s="850"/>
      <c r="R182" s="850"/>
      <c r="S182" s="850"/>
      <c r="T182" s="851"/>
      <c r="U182" s="851"/>
      <c r="V182" s="851"/>
      <c r="W182" s="851"/>
      <c r="X182" s="851"/>
      <c r="Y182" s="851"/>
      <c r="Z182" s="851"/>
      <c r="AA182" s="851"/>
      <c r="AB182" s="851"/>
      <c r="AC182" s="851"/>
      <c r="AD182" s="851"/>
      <c r="AE182" s="851"/>
      <c r="AF182" s="851"/>
      <c r="AG182" s="851"/>
      <c r="AH182" s="852"/>
      <c r="AI182" s="852"/>
      <c r="AJ182" s="852"/>
      <c r="AK182" s="852"/>
      <c r="AL182" s="852"/>
      <c r="AM182" s="852"/>
      <c r="AN182" s="852"/>
      <c r="AO182" s="852"/>
      <c r="AP182" s="852"/>
      <c r="AQ182" s="852"/>
      <c r="AR182" s="852"/>
      <c r="AS182" s="852"/>
      <c r="AT182" s="852"/>
      <c r="AU182" s="852"/>
      <c r="AV182" s="852"/>
      <c r="AW182" s="852"/>
      <c r="AX182" s="849"/>
      <c r="AY182" s="847"/>
      <c r="AZ182" s="847"/>
      <c r="BA182" s="847"/>
      <c r="BB182" s="847"/>
      <c r="BC182" s="853"/>
      <c r="BD182" s="854"/>
      <c r="BE182" s="854"/>
      <c r="BF182" s="854"/>
      <c r="BG182" s="870">
        <v>132</v>
      </c>
      <c r="BH182" s="860" t="s">
        <v>45</v>
      </c>
      <c r="BI182" s="854"/>
      <c r="BJ182" s="871">
        <v>0</v>
      </c>
      <c r="BK182" s="872">
        <f ca="1">IF(BJ$299=0,0,BJ182/BJ$299*100)</f>
        <v>0</v>
      </c>
      <c r="BL182" s="871">
        <v>0</v>
      </c>
      <c r="BM182" s="872">
        <f ca="1">IF(BL$299=0,0,BL182/BL$299*100)</f>
        <v>0</v>
      </c>
      <c r="BN182" s="871">
        <v>0</v>
      </c>
      <c r="BO182" s="872">
        <f ca="1">IF(BN$299=0,0,BN182/BN$299*100)</f>
        <v>0</v>
      </c>
      <c r="BP182" s="871">
        <v>0</v>
      </c>
      <c r="BQ182" s="872">
        <f ca="1">IF(BP$299=0,0,BP182/BP$299*100)</f>
        <v>0</v>
      </c>
      <c r="BR182" s="854"/>
      <c r="BS182" s="854"/>
      <c r="BT182" s="854"/>
      <c r="BU182" s="854"/>
      <c r="BV182" s="854"/>
      <c r="BW182" s="854"/>
      <c r="BX182" s="854"/>
      <c r="BY182" s="854"/>
      <c r="BZ182" s="854"/>
      <c r="CA182" s="854"/>
      <c r="CB182" s="854"/>
      <c r="CC182" s="854"/>
      <c r="CD182" s="854"/>
      <c r="CE182" s="854"/>
      <c r="CF182" s="854"/>
      <c r="CG182" s="854" t="s">
        <v>45</v>
      </c>
    </row>
    <row r="183" spans="1:85" ht="15.75" customHeight="1">
      <c r="A183" s="847"/>
      <c r="B183" s="1302"/>
      <c r="C183" s="1330" t="str">
        <f t="shared" si="58"/>
        <v>Decrease in Inventories</v>
      </c>
      <c r="D183" s="1304"/>
      <c r="E183" s="1305"/>
      <c r="F183" s="1306"/>
      <c r="G183" s="1307">
        <f t="shared" si="59"/>
        <v>0</v>
      </c>
      <c r="H183" s="1308"/>
      <c r="I183" s="1307">
        <f t="shared" si="60"/>
        <v>0</v>
      </c>
      <c r="J183" s="1308"/>
      <c r="K183" s="1307">
        <f t="shared" si="61"/>
        <v>0</v>
      </c>
      <c r="L183" s="1308"/>
      <c r="M183" s="862"/>
      <c r="N183" s="849"/>
      <c r="O183" s="850"/>
      <c r="P183" s="850"/>
      <c r="Q183" s="850"/>
      <c r="R183" s="850"/>
      <c r="S183" s="850"/>
      <c r="T183" s="851"/>
      <c r="U183" s="851"/>
      <c r="V183" s="851"/>
      <c r="W183" s="851"/>
      <c r="X183" s="851"/>
      <c r="Y183" s="851"/>
      <c r="Z183" s="851"/>
      <c r="AA183" s="851"/>
      <c r="AB183" s="851"/>
      <c r="AC183" s="851"/>
      <c r="AD183" s="851"/>
      <c r="AE183" s="851"/>
      <c r="AF183" s="851"/>
      <c r="AG183" s="851"/>
      <c r="AH183" s="852"/>
      <c r="AI183" s="852"/>
      <c r="AJ183" s="852"/>
      <c r="AK183" s="852"/>
      <c r="AL183" s="852"/>
      <c r="AM183" s="852"/>
      <c r="AN183" s="852"/>
      <c r="AO183" s="852"/>
      <c r="AP183" s="852"/>
      <c r="AQ183" s="852"/>
      <c r="AR183" s="852"/>
      <c r="AS183" s="852"/>
      <c r="AT183" s="852"/>
      <c r="AU183" s="852"/>
      <c r="AV183" s="852"/>
      <c r="AW183" s="852"/>
      <c r="AX183" s="849"/>
      <c r="AY183" s="847"/>
      <c r="AZ183" s="847"/>
      <c r="BA183" s="847"/>
      <c r="BB183" s="847"/>
      <c r="BC183" s="853"/>
      <c r="BD183" s="854"/>
      <c r="BE183" s="854"/>
      <c r="BF183" s="854"/>
      <c r="BG183" s="870"/>
      <c r="BH183" s="860"/>
      <c r="BI183" s="854"/>
      <c r="BJ183" s="871"/>
      <c r="BK183" s="872"/>
      <c r="BL183" s="871"/>
      <c r="BM183" s="872"/>
      <c r="BN183" s="871"/>
      <c r="BO183" s="872"/>
      <c r="BP183" s="871"/>
      <c r="BQ183" s="872"/>
      <c r="BR183" s="854"/>
      <c r="BS183" s="854"/>
      <c r="BT183" s="854"/>
      <c r="BU183" s="854"/>
      <c r="BV183" s="854"/>
      <c r="BW183" s="854"/>
      <c r="BX183" s="854"/>
      <c r="BY183" s="854"/>
      <c r="BZ183" s="854"/>
      <c r="CA183" s="854"/>
      <c r="CB183" s="854"/>
      <c r="CC183" s="854"/>
      <c r="CD183" s="854"/>
      <c r="CE183" s="854"/>
      <c r="CF183" s="854"/>
      <c r="CG183" s="854"/>
    </row>
    <row r="184" spans="1:85" ht="15.75" customHeight="1">
      <c r="A184" s="847"/>
      <c r="B184" s="1302"/>
      <c r="C184" s="1330" t="str">
        <f t="shared" si="58"/>
        <v>Decrease in Prepaid Taxes</v>
      </c>
      <c r="D184" s="1304"/>
      <c r="E184" s="1305"/>
      <c r="F184" s="1306"/>
      <c r="G184" s="1307">
        <f t="shared" si="59"/>
        <v>0</v>
      </c>
      <c r="H184" s="1308"/>
      <c r="I184" s="1307">
        <f t="shared" si="60"/>
        <v>0</v>
      </c>
      <c r="J184" s="1308"/>
      <c r="K184" s="1307">
        <f t="shared" si="61"/>
        <v>0</v>
      </c>
      <c r="L184" s="1308"/>
      <c r="M184" s="862"/>
      <c r="N184" s="849"/>
      <c r="O184" s="850"/>
      <c r="P184" s="850"/>
      <c r="Q184" s="850"/>
      <c r="R184" s="850"/>
      <c r="S184" s="850"/>
      <c r="T184" s="851"/>
      <c r="U184" s="851"/>
      <c r="V184" s="851"/>
      <c r="W184" s="851"/>
      <c r="X184" s="851"/>
      <c r="Y184" s="851"/>
      <c r="Z184" s="851"/>
      <c r="AA184" s="851"/>
      <c r="AB184" s="851"/>
      <c r="AC184" s="851"/>
      <c r="AD184" s="851"/>
      <c r="AE184" s="851"/>
      <c r="AF184" s="851"/>
      <c r="AG184" s="851"/>
      <c r="AH184" s="852"/>
      <c r="AI184" s="852"/>
      <c r="AJ184" s="852"/>
      <c r="AK184" s="852"/>
      <c r="AL184" s="852"/>
      <c r="AM184" s="852"/>
      <c r="AN184" s="852"/>
      <c r="AO184" s="852"/>
      <c r="AP184" s="852"/>
      <c r="AQ184" s="852"/>
      <c r="AR184" s="852"/>
      <c r="AS184" s="852"/>
      <c r="AT184" s="852"/>
      <c r="AU184" s="852"/>
      <c r="AV184" s="852"/>
      <c r="AW184" s="852"/>
      <c r="AX184" s="849"/>
      <c r="AY184" s="847"/>
      <c r="AZ184" s="847"/>
      <c r="BA184" s="847"/>
      <c r="BB184" s="847"/>
      <c r="BC184" s="853"/>
      <c r="BD184" s="854"/>
      <c r="BE184" s="854"/>
      <c r="BF184" s="854"/>
      <c r="BG184" s="870"/>
      <c r="BH184" s="860"/>
      <c r="BI184" s="854"/>
      <c r="BJ184" s="871"/>
      <c r="BK184" s="872"/>
      <c r="BL184" s="871"/>
      <c r="BM184" s="872"/>
      <c r="BN184" s="871"/>
      <c r="BO184" s="872"/>
      <c r="BP184" s="871"/>
      <c r="BQ184" s="872"/>
      <c r="BR184" s="854"/>
      <c r="BS184" s="854"/>
      <c r="BT184" s="854"/>
      <c r="BU184" s="854"/>
      <c r="BV184" s="854"/>
      <c r="BW184" s="854"/>
      <c r="BX184" s="854"/>
      <c r="BY184" s="854"/>
      <c r="BZ184" s="854"/>
      <c r="CA184" s="854"/>
      <c r="CB184" s="854"/>
      <c r="CC184" s="854"/>
      <c r="CD184" s="854"/>
      <c r="CE184" s="854"/>
      <c r="CF184" s="854"/>
      <c r="CG184" s="854"/>
    </row>
    <row r="185" spans="1:85" ht="15.75" customHeight="1">
      <c r="A185" s="847"/>
      <c r="B185" s="1302"/>
      <c r="C185" s="1330" t="str">
        <f t="shared" si="58"/>
        <v>Decrease in Prepaid Expenses</v>
      </c>
      <c r="D185" s="1304"/>
      <c r="E185" s="1305"/>
      <c r="F185" s="1306"/>
      <c r="G185" s="1307">
        <f t="shared" si="59"/>
        <v>0</v>
      </c>
      <c r="H185" s="1308"/>
      <c r="I185" s="1307">
        <f t="shared" si="60"/>
        <v>0</v>
      </c>
      <c r="J185" s="1308"/>
      <c r="K185" s="1307">
        <f t="shared" si="61"/>
        <v>0</v>
      </c>
      <c r="L185" s="1308"/>
      <c r="M185" s="863"/>
      <c r="N185" s="849"/>
      <c r="O185" s="850"/>
      <c r="P185" s="850"/>
      <c r="Q185" s="850"/>
      <c r="R185" s="850"/>
      <c r="S185" s="850"/>
      <c r="T185" s="851"/>
      <c r="U185" s="851"/>
      <c r="V185" s="851"/>
      <c r="W185" s="851"/>
      <c r="X185" s="851"/>
      <c r="Y185" s="851"/>
      <c r="Z185" s="851"/>
      <c r="AA185" s="851"/>
      <c r="AB185" s="851"/>
      <c r="AC185" s="851"/>
      <c r="AD185" s="851"/>
      <c r="AE185" s="851"/>
      <c r="AF185" s="851"/>
      <c r="AG185" s="851"/>
      <c r="AH185" s="852"/>
      <c r="AI185" s="852"/>
      <c r="AJ185" s="852"/>
      <c r="AK185" s="852"/>
      <c r="AL185" s="852"/>
      <c r="AM185" s="852"/>
      <c r="AN185" s="852"/>
      <c r="AO185" s="852"/>
      <c r="AP185" s="852"/>
      <c r="AQ185" s="852"/>
      <c r="AR185" s="852"/>
      <c r="AS185" s="852"/>
      <c r="AT185" s="852"/>
      <c r="AU185" s="852"/>
      <c r="AV185" s="852"/>
      <c r="AW185" s="852"/>
      <c r="AX185" s="849"/>
      <c r="AY185" s="847"/>
      <c r="AZ185" s="847"/>
      <c r="BA185" s="847"/>
      <c r="BB185" s="847"/>
      <c r="BC185" s="853"/>
      <c r="BD185" s="854"/>
      <c r="BE185" s="854"/>
      <c r="BF185" s="854"/>
      <c r="BG185" s="870">
        <v>133</v>
      </c>
      <c r="BH185" s="860" t="s">
        <v>45</v>
      </c>
      <c r="BI185" s="854"/>
      <c r="BJ185" s="871">
        <v>0</v>
      </c>
      <c r="BK185" s="872">
        <f ca="1">IF(BJ$299=0,0,BJ185/BJ$299*100)</f>
        <v>0</v>
      </c>
      <c r="BL185" s="871">
        <v>0</v>
      </c>
      <c r="BM185" s="872">
        <f ca="1">IF(BL$299=0,0,BL185/BL$299*100)</f>
        <v>0</v>
      </c>
      <c r="BN185" s="871">
        <v>0</v>
      </c>
      <c r="BO185" s="872">
        <f ca="1">IF(BN$299=0,0,BN185/BN$299*100)</f>
        <v>0</v>
      </c>
      <c r="BP185" s="871">
        <v>0</v>
      </c>
      <c r="BQ185" s="872">
        <f ca="1">IF(BP$299=0,0,BP185/BP$299*100)</f>
        <v>0</v>
      </c>
      <c r="BR185" s="854"/>
      <c r="BS185" s="854"/>
      <c r="BT185" s="854"/>
      <c r="BU185" s="854"/>
      <c r="BV185" s="854"/>
      <c r="BW185" s="854"/>
      <c r="BX185" s="854"/>
      <c r="BY185" s="854"/>
      <c r="BZ185" s="854"/>
      <c r="CA185" s="854"/>
      <c r="CB185" s="854"/>
      <c r="CC185" s="854"/>
      <c r="CD185" s="854"/>
      <c r="CE185" s="854"/>
      <c r="CF185" s="854"/>
      <c r="CG185" s="854" t="s">
        <v>45</v>
      </c>
    </row>
    <row r="186" spans="1:85" ht="15.75" customHeight="1">
      <c r="A186" s="847"/>
      <c r="B186" s="1302"/>
      <c r="C186" s="1330" t="str">
        <f t="shared" si="58"/>
        <v>Decrease in Advance Payments</v>
      </c>
      <c r="D186" s="1304"/>
      <c r="E186" s="1305"/>
      <c r="F186" s="1306"/>
      <c r="G186" s="1307">
        <f t="shared" si="59"/>
        <v>0</v>
      </c>
      <c r="H186" s="1308"/>
      <c r="I186" s="1307">
        <f t="shared" si="60"/>
        <v>0</v>
      </c>
      <c r="J186" s="1308"/>
      <c r="K186" s="1307">
        <f t="shared" si="61"/>
        <v>0</v>
      </c>
      <c r="L186" s="1308"/>
      <c r="M186" s="863"/>
      <c r="N186" s="849"/>
      <c r="O186" s="850"/>
      <c r="P186" s="850"/>
      <c r="Q186" s="850"/>
      <c r="R186" s="850"/>
      <c r="S186" s="850"/>
      <c r="T186" s="851"/>
      <c r="U186" s="851"/>
      <c r="V186" s="851"/>
      <c r="W186" s="851"/>
      <c r="X186" s="851"/>
      <c r="Y186" s="851"/>
      <c r="Z186" s="851"/>
      <c r="AA186" s="851"/>
      <c r="AB186" s="851"/>
      <c r="AC186" s="851"/>
      <c r="AD186" s="851"/>
      <c r="AE186" s="851"/>
      <c r="AF186" s="851"/>
      <c r="AG186" s="851"/>
      <c r="AH186" s="852"/>
      <c r="AI186" s="852"/>
      <c r="AJ186" s="852"/>
      <c r="AK186" s="852"/>
      <c r="AL186" s="852"/>
      <c r="AM186" s="852"/>
      <c r="AN186" s="852"/>
      <c r="AO186" s="852"/>
      <c r="AP186" s="852"/>
      <c r="AQ186" s="852"/>
      <c r="AR186" s="852"/>
      <c r="AS186" s="852"/>
      <c r="AT186" s="852"/>
      <c r="AU186" s="852"/>
      <c r="AV186" s="852"/>
      <c r="AW186" s="852"/>
      <c r="AX186" s="849"/>
      <c r="AY186" s="847"/>
      <c r="AZ186" s="847"/>
      <c r="BA186" s="847"/>
      <c r="BB186" s="847"/>
      <c r="BC186" s="853"/>
      <c r="BD186" s="854"/>
      <c r="BE186" s="854"/>
      <c r="BF186" s="854"/>
      <c r="BG186" s="870">
        <v>134</v>
      </c>
      <c r="BH186" s="860" t="s">
        <v>45</v>
      </c>
      <c r="BI186" s="854"/>
      <c r="BJ186" s="871">
        <v>0</v>
      </c>
      <c r="BK186" s="872">
        <f ca="1">IF(BJ$299=0,0,BJ186/BJ$299*100)</f>
        <v>0</v>
      </c>
      <c r="BL186" s="871">
        <v>0</v>
      </c>
      <c r="BM186" s="872">
        <f ca="1">IF(BL$299=0,0,BL186/BL$299*100)</f>
        <v>0</v>
      </c>
      <c r="BN186" s="871">
        <v>0</v>
      </c>
      <c r="BO186" s="872">
        <f ca="1">IF(BN$299=0,0,BN186/BN$299*100)</f>
        <v>0</v>
      </c>
      <c r="BP186" s="871">
        <v>0</v>
      </c>
      <c r="BQ186" s="872">
        <f ca="1">IF(BP$299=0,0,BP186/BP$299*100)</f>
        <v>0</v>
      </c>
      <c r="BR186" s="854"/>
      <c r="BS186" s="854"/>
      <c r="BT186" s="854"/>
      <c r="BU186" s="854"/>
      <c r="BV186" s="854"/>
      <c r="BW186" s="854"/>
      <c r="BX186" s="854"/>
      <c r="BY186" s="854"/>
      <c r="BZ186" s="854"/>
      <c r="CA186" s="854"/>
      <c r="CB186" s="854"/>
      <c r="CC186" s="854"/>
      <c r="CD186" s="854"/>
      <c r="CE186" s="854"/>
      <c r="CF186" s="854"/>
      <c r="CG186" s="854" t="s">
        <v>45</v>
      </c>
    </row>
    <row r="187" spans="1:85" ht="15.75" customHeight="1">
      <c r="A187" s="847"/>
      <c r="B187" s="1302"/>
      <c r="C187" s="1330" t="str">
        <f t="shared" si="58"/>
        <v>Decrease in Other Current Assets</v>
      </c>
      <c r="D187" s="1304"/>
      <c r="E187" s="1305"/>
      <c r="F187" s="1306"/>
      <c r="G187" s="1307">
        <f t="shared" si="59"/>
        <v>0</v>
      </c>
      <c r="H187" s="1308"/>
      <c r="I187" s="1307">
        <f t="shared" si="60"/>
        <v>0</v>
      </c>
      <c r="J187" s="1308"/>
      <c r="K187" s="1307">
        <f t="shared" si="61"/>
        <v>0</v>
      </c>
      <c r="L187" s="1308"/>
      <c r="M187" s="863"/>
      <c r="N187" s="849"/>
      <c r="O187" s="850"/>
      <c r="P187" s="850"/>
      <c r="Q187" s="850"/>
      <c r="R187" s="850"/>
      <c r="S187" s="850"/>
      <c r="T187" s="851"/>
      <c r="U187" s="851"/>
      <c r="V187" s="851"/>
      <c r="W187" s="851"/>
      <c r="X187" s="851"/>
      <c r="Y187" s="851"/>
      <c r="Z187" s="851"/>
      <c r="AA187" s="851"/>
      <c r="AB187" s="851"/>
      <c r="AC187" s="851"/>
      <c r="AD187" s="851"/>
      <c r="AE187" s="851"/>
      <c r="AF187" s="851"/>
      <c r="AG187" s="851"/>
      <c r="AH187" s="852"/>
      <c r="AI187" s="852"/>
      <c r="AJ187" s="852"/>
      <c r="AK187" s="852"/>
      <c r="AL187" s="852"/>
      <c r="AM187" s="852"/>
      <c r="AN187" s="852"/>
      <c r="AO187" s="852"/>
      <c r="AP187" s="852"/>
      <c r="AQ187" s="852"/>
      <c r="AR187" s="852"/>
      <c r="AS187" s="852"/>
      <c r="AT187" s="852"/>
      <c r="AU187" s="852"/>
      <c r="AV187" s="852"/>
      <c r="AW187" s="852"/>
      <c r="AX187" s="849"/>
      <c r="AY187" s="847"/>
      <c r="AZ187" s="847"/>
      <c r="BA187" s="847"/>
      <c r="BB187" s="847"/>
      <c r="BC187" s="853"/>
      <c r="BD187" s="854"/>
      <c r="BE187" s="854"/>
      <c r="BF187" s="854"/>
      <c r="BG187" s="870"/>
      <c r="BH187" s="860"/>
      <c r="BI187" s="854"/>
      <c r="BJ187" s="871"/>
      <c r="BK187" s="872"/>
      <c r="BL187" s="871"/>
      <c r="BM187" s="872"/>
      <c r="BN187" s="871"/>
      <c r="BO187" s="872"/>
      <c r="BP187" s="871"/>
      <c r="BQ187" s="872"/>
      <c r="BR187" s="854"/>
      <c r="BS187" s="854"/>
      <c r="BT187" s="854"/>
      <c r="BU187" s="854"/>
      <c r="BV187" s="854"/>
      <c r="BW187" s="854"/>
      <c r="BX187" s="854"/>
      <c r="BY187" s="854"/>
      <c r="BZ187" s="854"/>
      <c r="CA187" s="854"/>
      <c r="CB187" s="854"/>
      <c r="CC187" s="854"/>
      <c r="CD187" s="854"/>
      <c r="CE187" s="854"/>
      <c r="CF187" s="854"/>
      <c r="CG187" s="854"/>
    </row>
    <row r="188" spans="1:85" ht="15.75" customHeight="1">
      <c r="A188" s="847"/>
      <c r="B188" s="1302"/>
      <c r="C188" s="1303" t="str">
        <f>"Decrease in "&amp;C30</f>
        <v>Decrease in Deferred Taxes</v>
      </c>
      <c r="D188" s="1304"/>
      <c r="E188" s="1305"/>
      <c r="F188" s="1306"/>
      <c r="G188" s="1307">
        <f>IF(G30&lt;E30,E30-G30,0)</f>
        <v>0</v>
      </c>
      <c r="H188" s="1308"/>
      <c r="I188" s="1307">
        <f>IF(I30&lt;G30,G30-I30,0)</f>
        <v>0</v>
      </c>
      <c r="J188" s="1308"/>
      <c r="K188" s="1307">
        <f>IF(K30&lt;I30,I30-K30,0)</f>
        <v>0</v>
      </c>
      <c r="L188" s="1308"/>
      <c r="M188" s="848"/>
      <c r="N188" s="849"/>
      <c r="O188" s="850"/>
      <c r="P188" s="850"/>
      <c r="Q188" s="850"/>
      <c r="R188" s="850"/>
      <c r="S188" s="850"/>
      <c r="T188" s="851"/>
      <c r="U188" s="851"/>
      <c r="V188" s="851"/>
      <c r="W188" s="851"/>
      <c r="X188" s="851"/>
      <c r="Y188" s="851"/>
      <c r="Z188" s="851"/>
      <c r="AA188" s="851"/>
      <c r="AB188" s="851"/>
      <c r="AC188" s="851"/>
      <c r="AD188" s="851"/>
      <c r="AE188" s="851"/>
      <c r="AF188" s="851"/>
      <c r="AG188" s="851"/>
      <c r="AH188" s="852"/>
      <c r="AI188" s="852"/>
      <c r="AJ188" s="852"/>
      <c r="AK188" s="852"/>
      <c r="AL188" s="852"/>
      <c r="AM188" s="852"/>
      <c r="AN188" s="852"/>
      <c r="AO188" s="852"/>
      <c r="AP188" s="852"/>
      <c r="AQ188" s="852"/>
      <c r="AR188" s="852"/>
      <c r="AS188" s="852"/>
      <c r="AT188" s="852"/>
      <c r="AU188" s="852"/>
      <c r="AV188" s="852"/>
      <c r="AW188" s="852"/>
      <c r="AX188" s="849"/>
      <c r="AY188" s="847"/>
      <c r="AZ188" s="847"/>
      <c r="BA188" s="847"/>
      <c r="BB188" s="847"/>
      <c r="BC188" s="853"/>
      <c r="BD188" s="854"/>
      <c r="BE188" s="854"/>
      <c r="BF188" s="854"/>
      <c r="BG188" s="870">
        <f>BG263+1</f>
        <v>188</v>
      </c>
      <c r="BH188" s="883" t="s">
        <v>292</v>
      </c>
      <c r="BI188" s="854"/>
      <c r="BJ188" s="901">
        <f ca="1">BJ196+BJ263</f>
        <v>221.64596299999999</v>
      </c>
      <c r="BK188" s="872">
        <f ca="1">IF(BJ$299=0,0,BJ188/BJ$299*100)</f>
        <v>15.590798888654108</v>
      </c>
      <c r="BL188" s="901">
        <f ca="1">BL196+BL263</f>
        <v>21200.439826000002</v>
      </c>
      <c r="BM188" s="872">
        <f ca="1">IF(BL$299=0,0,BL188/BL$299*100)</f>
        <v>94.642962328770125</v>
      </c>
      <c r="BN188" s="901">
        <f ca="1">BN196+BN263</f>
        <v>27805.139151000003</v>
      </c>
      <c r="BO188" s="872">
        <f ca="1">IF(BN$299=0,0,BN188/BN$299*100)</f>
        <v>95.856192526457534</v>
      </c>
      <c r="BP188" s="901">
        <f ca="1">BP196+BP263</f>
        <v>384348.163872</v>
      </c>
      <c r="BQ188" s="872">
        <f ca="1">IF(BP$299=0,0,BP188/BP$299*100)</f>
        <v>99.695995148936206</v>
      </c>
      <c r="BR188" s="854"/>
      <c r="BS188" s="854"/>
      <c r="BT188" s="854"/>
      <c r="BU188" s="854"/>
      <c r="BV188" s="854"/>
      <c r="BW188" s="854"/>
      <c r="BX188" s="854"/>
      <c r="BY188" s="854"/>
      <c r="BZ188" s="854"/>
      <c r="CA188" s="854"/>
      <c r="CB188" s="854"/>
      <c r="CC188" s="854"/>
      <c r="CD188" s="854"/>
      <c r="CE188" s="854"/>
      <c r="CF188" s="854"/>
      <c r="CG188" s="854" t="s">
        <v>45</v>
      </c>
    </row>
    <row r="189" spans="1:85" ht="15.75" customHeight="1">
      <c r="A189" s="847"/>
      <c r="B189" s="1302"/>
      <c r="C189" s="1330" t="str">
        <f>"Increase in "&amp;+C39</f>
        <v>Increase in Account Payables</v>
      </c>
      <c r="D189" s="1304"/>
      <c r="E189" s="1305"/>
      <c r="F189" s="1306"/>
      <c r="G189" s="1307">
        <f>IF(G39&gt;E39,G39-E39,0)</f>
        <v>1</v>
      </c>
      <c r="H189" s="1308"/>
      <c r="I189" s="1307">
        <f>IF(I39&gt;G39,I39-G39,0)</f>
        <v>1</v>
      </c>
      <c r="J189" s="1308"/>
      <c r="K189" s="1307">
        <f>IF(K39&gt;I39,K39-I39,0)</f>
        <v>1</v>
      </c>
      <c r="L189" s="1308"/>
      <c r="M189" s="863"/>
      <c r="N189" s="849"/>
      <c r="O189" s="850"/>
      <c r="P189" s="850"/>
      <c r="Q189" s="850"/>
      <c r="R189" s="850"/>
      <c r="S189" s="850"/>
      <c r="T189" s="851"/>
      <c r="U189" s="851"/>
      <c r="V189" s="851"/>
      <c r="W189" s="851"/>
      <c r="X189" s="851"/>
      <c r="Y189" s="851"/>
      <c r="Z189" s="851"/>
      <c r="AA189" s="851"/>
      <c r="AB189" s="851"/>
      <c r="AC189" s="851"/>
      <c r="AD189" s="851"/>
      <c r="AE189" s="851"/>
      <c r="AF189" s="851"/>
      <c r="AG189" s="851"/>
      <c r="AH189" s="852"/>
      <c r="AI189" s="852"/>
      <c r="AJ189" s="852"/>
      <c r="AK189" s="852"/>
      <c r="AL189" s="852"/>
      <c r="AM189" s="852"/>
      <c r="AN189" s="852"/>
      <c r="AO189" s="852"/>
      <c r="AP189" s="852"/>
      <c r="AQ189" s="852"/>
      <c r="AR189" s="852"/>
      <c r="AS189" s="852"/>
      <c r="AT189" s="852"/>
      <c r="AU189" s="852"/>
      <c r="AV189" s="852"/>
      <c r="AW189" s="852"/>
      <c r="AX189" s="849"/>
      <c r="AY189" s="847"/>
      <c r="AZ189" s="847"/>
      <c r="BA189" s="847"/>
      <c r="BB189" s="847"/>
      <c r="BC189" s="853"/>
      <c r="BD189" s="854"/>
      <c r="BE189" s="854"/>
      <c r="BF189" s="854"/>
      <c r="BG189" s="870"/>
      <c r="BH189" s="860"/>
      <c r="BI189" s="854"/>
      <c r="BJ189" s="871"/>
      <c r="BK189" s="872"/>
      <c r="BL189" s="871"/>
      <c r="BM189" s="872"/>
      <c r="BN189" s="871"/>
      <c r="BO189" s="872"/>
      <c r="BP189" s="871"/>
      <c r="BQ189" s="872"/>
      <c r="BR189" s="854"/>
      <c r="BS189" s="854"/>
      <c r="BT189" s="854"/>
      <c r="BU189" s="854"/>
      <c r="BV189" s="854"/>
      <c r="BW189" s="854"/>
      <c r="BX189" s="854"/>
      <c r="BY189" s="854"/>
      <c r="BZ189" s="854"/>
      <c r="CA189" s="854"/>
      <c r="CB189" s="854"/>
      <c r="CC189" s="854"/>
      <c r="CD189" s="854"/>
      <c r="CE189" s="854"/>
      <c r="CF189" s="854"/>
      <c r="CG189" s="854"/>
    </row>
    <row r="190" spans="1:85" ht="15.75" customHeight="1">
      <c r="A190" s="847"/>
      <c r="B190" s="1302"/>
      <c r="C190" s="1330" t="str">
        <f>"Increase in "&amp;+C40</f>
        <v>Increase in Tax Payables</v>
      </c>
      <c r="D190" s="1304"/>
      <c r="E190" s="1305"/>
      <c r="F190" s="1306"/>
      <c r="G190" s="1307">
        <f>IF(G40&gt;E40,G40-E40,0)</f>
        <v>1</v>
      </c>
      <c r="H190" s="1308"/>
      <c r="I190" s="1307">
        <f>IF(I40&gt;G40,I40-G40,0)</f>
        <v>1</v>
      </c>
      <c r="J190" s="1308"/>
      <c r="K190" s="1307">
        <f>IF(K40&gt;I40,K40-I40,0)</f>
        <v>1</v>
      </c>
      <c r="L190" s="1308"/>
      <c r="M190" s="863"/>
      <c r="N190" s="849"/>
      <c r="O190" s="850"/>
      <c r="P190" s="850"/>
      <c r="Q190" s="850"/>
      <c r="R190" s="850"/>
      <c r="S190" s="850"/>
      <c r="T190" s="851"/>
      <c r="U190" s="851"/>
      <c r="V190" s="851"/>
      <c r="W190" s="851"/>
      <c r="X190" s="851"/>
      <c r="Y190" s="851"/>
      <c r="Z190" s="851"/>
      <c r="AA190" s="851"/>
      <c r="AB190" s="851"/>
      <c r="AC190" s="851"/>
      <c r="AD190" s="851"/>
      <c r="AE190" s="851"/>
      <c r="AF190" s="851"/>
      <c r="AG190" s="851"/>
      <c r="AH190" s="852"/>
      <c r="AI190" s="852"/>
      <c r="AJ190" s="852"/>
      <c r="AK190" s="852"/>
      <c r="AL190" s="852"/>
      <c r="AM190" s="852"/>
      <c r="AN190" s="852"/>
      <c r="AO190" s="852"/>
      <c r="AP190" s="852"/>
      <c r="AQ190" s="852"/>
      <c r="AR190" s="852"/>
      <c r="AS190" s="852"/>
      <c r="AT190" s="852"/>
      <c r="AU190" s="852"/>
      <c r="AV190" s="852"/>
      <c r="AW190" s="852"/>
      <c r="AX190" s="849"/>
      <c r="AY190" s="847"/>
      <c r="AZ190" s="847"/>
      <c r="BA190" s="847"/>
      <c r="BB190" s="847"/>
      <c r="BC190" s="853"/>
      <c r="BD190" s="854"/>
      <c r="BE190" s="854"/>
      <c r="BF190" s="854"/>
      <c r="BG190" s="870"/>
      <c r="BH190" s="860"/>
      <c r="BI190" s="854"/>
      <c r="BJ190" s="871"/>
      <c r="BK190" s="872"/>
      <c r="BL190" s="871"/>
      <c r="BM190" s="872"/>
      <c r="BN190" s="871"/>
      <c r="BO190" s="872"/>
      <c r="BP190" s="871"/>
      <c r="BQ190" s="872"/>
      <c r="BR190" s="854"/>
      <c r="BS190" s="854"/>
      <c r="BT190" s="854"/>
      <c r="BU190" s="854"/>
      <c r="BV190" s="854"/>
      <c r="BW190" s="854"/>
      <c r="BX190" s="854"/>
      <c r="BY190" s="854"/>
      <c r="BZ190" s="854"/>
      <c r="CA190" s="854"/>
      <c r="CB190" s="854"/>
      <c r="CC190" s="854"/>
      <c r="CD190" s="854"/>
      <c r="CE190" s="854"/>
      <c r="CF190" s="854"/>
      <c r="CG190" s="854"/>
    </row>
    <row r="191" spans="1:85" ht="15.75" customHeight="1">
      <c r="A191" s="847"/>
      <c r="B191" s="1302"/>
      <c r="C191" s="1330" t="str">
        <f>"Increase in "&amp;+C42</f>
        <v>Increase in Accrued Expenses</v>
      </c>
      <c r="D191" s="1304"/>
      <c r="E191" s="1305"/>
      <c r="F191" s="1306"/>
      <c r="G191" s="1307">
        <f>IF(G42&gt;E42,G42-E42,0)</f>
        <v>1</v>
      </c>
      <c r="H191" s="1308"/>
      <c r="I191" s="1307">
        <f>IF(I42&gt;G42,I42-G42,0)</f>
        <v>1</v>
      </c>
      <c r="J191" s="1308"/>
      <c r="K191" s="1307">
        <f>IF(K42&gt;I42,K42-I42,0)</f>
        <v>1</v>
      </c>
      <c r="L191" s="1308"/>
      <c r="M191" s="863"/>
      <c r="N191" s="849"/>
      <c r="O191" s="850"/>
      <c r="P191" s="850"/>
      <c r="Q191" s="850"/>
      <c r="R191" s="850"/>
      <c r="S191" s="850"/>
      <c r="T191" s="851"/>
      <c r="U191" s="851"/>
      <c r="V191" s="851"/>
      <c r="W191" s="851"/>
      <c r="X191" s="851"/>
      <c r="Y191" s="851"/>
      <c r="Z191" s="851"/>
      <c r="AA191" s="851"/>
      <c r="AB191" s="851"/>
      <c r="AC191" s="851"/>
      <c r="AD191" s="851"/>
      <c r="AE191" s="851"/>
      <c r="AF191" s="851"/>
      <c r="AG191" s="851"/>
      <c r="AH191" s="852"/>
      <c r="AI191" s="852"/>
      <c r="AJ191" s="852"/>
      <c r="AK191" s="852"/>
      <c r="AL191" s="852"/>
      <c r="AM191" s="852"/>
      <c r="AN191" s="852"/>
      <c r="AO191" s="852"/>
      <c r="AP191" s="852"/>
      <c r="AQ191" s="852"/>
      <c r="AR191" s="852"/>
      <c r="AS191" s="852"/>
      <c r="AT191" s="852"/>
      <c r="AU191" s="852"/>
      <c r="AV191" s="852"/>
      <c r="AW191" s="852"/>
      <c r="AX191" s="849"/>
      <c r="AY191" s="847"/>
      <c r="AZ191" s="847"/>
      <c r="BA191" s="847"/>
      <c r="BB191" s="847"/>
      <c r="BC191" s="853"/>
      <c r="BD191" s="854"/>
      <c r="BE191" s="854"/>
      <c r="BF191" s="854"/>
      <c r="BG191" s="870"/>
      <c r="BH191" s="860"/>
      <c r="BI191" s="854"/>
      <c r="BJ191" s="871"/>
      <c r="BK191" s="872"/>
      <c r="BL191" s="871"/>
      <c r="BM191" s="872"/>
      <c r="BN191" s="871"/>
      <c r="BO191" s="872"/>
      <c r="BP191" s="871"/>
      <c r="BQ191" s="872"/>
      <c r="BR191" s="854"/>
      <c r="BS191" s="854"/>
      <c r="BT191" s="854"/>
      <c r="BU191" s="854"/>
      <c r="BV191" s="854"/>
      <c r="BW191" s="854"/>
      <c r="BX191" s="854"/>
      <c r="BY191" s="854"/>
      <c r="BZ191" s="854"/>
      <c r="CA191" s="854"/>
      <c r="CB191" s="854"/>
      <c r="CC191" s="854"/>
      <c r="CD191" s="854"/>
      <c r="CE191" s="854"/>
      <c r="CF191" s="854"/>
      <c r="CG191" s="854"/>
    </row>
    <row r="192" spans="1:85" ht="15.75" customHeight="1">
      <c r="A192" s="847"/>
      <c r="B192" s="1302"/>
      <c r="C192" s="1330" t="str">
        <f>"Increase in "&amp;+C43</f>
        <v>Increase in Customer Advances</v>
      </c>
      <c r="D192" s="1304"/>
      <c r="E192" s="1305"/>
      <c r="F192" s="1306"/>
      <c r="G192" s="1307">
        <f>IF(G43&gt;E43,G43-E43,0)</f>
        <v>1</v>
      </c>
      <c r="H192" s="1308"/>
      <c r="I192" s="1307">
        <f>IF(I43&gt;G43,I43-G43,0)</f>
        <v>1</v>
      </c>
      <c r="J192" s="1308"/>
      <c r="K192" s="1307">
        <f>IF(K43&gt;I43,K43-I43,0)</f>
        <v>1</v>
      </c>
      <c r="L192" s="1308"/>
      <c r="M192" s="863"/>
      <c r="N192" s="849"/>
      <c r="O192" s="850"/>
      <c r="P192" s="850"/>
      <c r="Q192" s="850"/>
      <c r="R192" s="850"/>
      <c r="S192" s="850"/>
      <c r="T192" s="851"/>
      <c r="U192" s="851"/>
      <c r="V192" s="851"/>
      <c r="W192" s="851"/>
      <c r="X192" s="851"/>
      <c r="Y192" s="851"/>
      <c r="Z192" s="851"/>
      <c r="AA192" s="851"/>
      <c r="AB192" s="851"/>
      <c r="AC192" s="851"/>
      <c r="AD192" s="851"/>
      <c r="AE192" s="851"/>
      <c r="AF192" s="851"/>
      <c r="AG192" s="851"/>
      <c r="AH192" s="852"/>
      <c r="AI192" s="852"/>
      <c r="AJ192" s="852"/>
      <c r="AK192" s="852"/>
      <c r="AL192" s="852"/>
      <c r="AM192" s="852"/>
      <c r="AN192" s="852"/>
      <c r="AO192" s="852"/>
      <c r="AP192" s="852"/>
      <c r="AQ192" s="852"/>
      <c r="AR192" s="852"/>
      <c r="AS192" s="852"/>
      <c r="AT192" s="852"/>
      <c r="AU192" s="852"/>
      <c r="AV192" s="852"/>
      <c r="AW192" s="852"/>
      <c r="AX192" s="849"/>
      <c r="AY192" s="847"/>
      <c r="AZ192" s="847"/>
      <c r="BA192" s="847"/>
      <c r="BB192" s="847"/>
      <c r="BC192" s="853"/>
      <c r="BD192" s="854"/>
      <c r="BE192" s="854"/>
      <c r="BF192" s="854"/>
      <c r="BG192" s="870"/>
      <c r="BH192" s="860"/>
      <c r="BI192" s="854"/>
      <c r="BJ192" s="871"/>
      <c r="BK192" s="872"/>
      <c r="BL192" s="871"/>
      <c r="BM192" s="872"/>
      <c r="BN192" s="871"/>
      <c r="BO192" s="872"/>
      <c r="BP192" s="871"/>
      <c r="BQ192" s="872"/>
      <c r="BR192" s="854"/>
      <c r="BS192" s="854"/>
      <c r="BT192" s="854"/>
      <c r="BU192" s="854"/>
      <c r="BV192" s="854"/>
      <c r="BW192" s="854"/>
      <c r="BX192" s="854"/>
      <c r="BY192" s="854"/>
      <c r="BZ192" s="854"/>
      <c r="CA192" s="854"/>
      <c r="CB192" s="854"/>
      <c r="CC192" s="854"/>
      <c r="CD192" s="854"/>
      <c r="CE192" s="854"/>
      <c r="CF192" s="854"/>
      <c r="CG192" s="854"/>
    </row>
    <row r="193" spans="1:85" ht="15.75" customHeight="1">
      <c r="A193" s="847"/>
      <c r="B193" s="1302"/>
      <c r="C193" s="1330" t="str">
        <f>"Increase in "&amp;+C44</f>
        <v>Increase in Deferred Liabilities</v>
      </c>
      <c r="D193" s="1304"/>
      <c r="E193" s="1305"/>
      <c r="F193" s="1306"/>
      <c r="G193" s="1307">
        <f>IF(G44&gt;E44,G44-E44,0)</f>
        <v>1</v>
      </c>
      <c r="H193" s="1308"/>
      <c r="I193" s="1307">
        <f>IF(I44&gt;G44,I44-G44,0)</f>
        <v>1</v>
      </c>
      <c r="J193" s="1308"/>
      <c r="K193" s="1307">
        <f>IF(K44&gt;I44,K44-I44,0)</f>
        <v>1</v>
      </c>
      <c r="L193" s="1308"/>
      <c r="M193" s="863"/>
      <c r="N193" s="849"/>
      <c r="O193" s="850"/>
      <c r="P193" s="850"/>
      <c r="Q193" s="850"/>
      <c r="R193" s="850"/>
      <c r="S193" s="850"/>
      <c r="T193" s="851"/>
      <c r="U193" s="851"/>
      <c r="V193" s="851"/>
      <c r="W193" s="851"/>
      <c r="X193" s="851"/>
      <c r="Y193" s="851"/>
      <c r="Z193" s="851"/>
      <c r="AA193" s="851"/>
      <c r="AB193" s="851"/>
      <c r="AC193" s="851"/>
      <c r="AD193" s="851"/>
      <c r="AE193" s="851"/>
      <c r="AF193" s="851"/>
      <c r="AG193" s="851"/>
      <c r="AH193" s="852"/>
      <c r="AI193" s="852"/>
      <c r="AJ193" s="852"/>
      <c r="AK193" s="852"/>
      <c r="AL193" s="852"/>
      <c r="AM193" s="852"/>
      <c r="AN193" s="852"/>
      <c r="AO193" s="852"/>
      <c r="AP193" s="852"/>
      <c r="AQ193" s="852"/>
      <c r="AR193" s="852"/>
      <c r="AS193" s="852"/>
      <c r="AT193" s="852"/>
      <c r="AU193" s="852"/>
      <c r="AV193" s="852"/>
      <c r="AW193" s="852"/>
      <c r="AX193" s="849"/>
      <c r="AY193" s="847"/>
      <c r="AZ193" s="847"/>
      <c r="BA193" s="847"/>
      <c r="BB193" s="847"/>
      <c r="BC193" s="853"/>
      <c r="BD193" s="854"/>
      <c r="BE193" s="854"/>
      <c r="BF193" s="854"/>
      <c r="BG193" s="870"/>
      <c r="BH193" s="860"/>
      <c r="BI193" s="854"/>
      <c r="BJ193" s="871"/>
      <c r="BK193" s="872"/>
      <c r="BL193" s="871"/>
      <c r="BM193" s="872"/>
      <c r="BN193" s="871"/>
      <c r="BO193" s="872"/>
      <c r="BP193" s="871"/>
      <c r="BQ193" s="872"/>
      <c r="BR193" s="854"/>
      <c r="BS193" s="854"/>
      <c r="BT193" s="854"/>
      <c r="BU193" s="854"/>
      <c r="BV193" s="854"/>
      <c r="BW193" s="854"/>
      <c r="BX193" s="854"/>
      <c r="BY193" s="854"/>
      <c r="BZ193" s="854"/>
      <c r="CA193" s="854"/>
      <c r="CB193" s="854"/>
      <c r="CC193" s="854"/>
      <c r="CD193" s="854"/>
      <c r="CE193" s="854"/>
      <c r="CF193" s="854"/>
      <c r="CG193" s="854"/>
    </row>
    <row r="194" spans="1:85" ht="16.5" customHeight="1">
      <c r="A194" s="847"/>
      <c r="B194" s="1302"/>
      <c r="C194" s="1330" t="str">
        <f>"Increase in "&amp;+C45</f>
        <v>Increase in Other Current Liabilities</v>
      </c>
      <c r="D194" s="1304"/>
      <c r="E194" s="1305"/>
      <c r="F194" s="1306"/>
      <c r="G194" s="1307">
        <f>IF(G45&gt;E45,G45-E45,0)</f>
        <v>1</v>
      </c>
      <c r="H194" s="1308"/>
      <c r="I194" s="1307">
        <f>IF(I45&gt;G45,I45-G45,0)</f>
        <v>1</v>
      </c>
      <c r="J194" s="1308"/>
      <c r="K194" s="1307">
        <f>IF(K45&gt;I45,K45-I45,0)</f>
        <v>1</v>
      </c>
      <c r="L194" s="1308"/>
      <c r="M194" s="866"/>
      <c r="N194" s="849"/>
      <c r="O194" s="850"/>
      <c r="P194" s="850"/>
      <c r="Q194" s="850"/>
      <c r="R194" s="850"/>
      <c r="S194" s="850"/>
      <c r="T194" s="851"/>
      <c r="U194" s="851"/>
      <c r="V194" s="851"/>
      <c r="W194" s="851"/>
      <c r="X194" s="851"/>
      <c r="Y194" s="851"/>
      <c r="Z194" s="851"/>
      <c r="AA194" s="851"/>
      <c r="AB194" s="851"/>
      <c r="AC194" s="851"/>
      <c r="AD194" s="851"/>
      <c r="AE194" s="851"/>
      <c r="AF194" s="851"/>
      <c r="AG194" s="851"/>
      <c r="AH194" s="852"/>
      <c r="AI194" s="852"/>
      <c r="AJ194" s="852"/>
      <c r="AK194" s="852"/>
      <c r="AL194" s="852"/>
      <c r="AM194" s="852"/>
      <c r="AN194" s="852"/>
      <c r="AO194" s="852"/>
      <c r="AP194" s="852"/>
      <c r="AQ194" s="852"/>
      <c r="AR194" s="852"/>
      <c r="AS194" s="852"/>
      <c r="AT194" s="852"/>
      <c r="AU194" s="852"/>
      <c r="AV194" s="852"/>
      <c r="AW194" s="852"/>
      <c r="AX194" s="849"/>
      <c r="AY194" s="847"/>
      <c r="AZ194" s="847"/>
      <c r="BA194" s="847"/>
      <c r="BB194" s="847"/>
      <c r="BC194" s="853"/>
      <c r="BD194" s="854"/>
      <c r="BE194" s="854"/>
      <c r="BF194" s="854"/>
      <c r="BG194" s="870">
        <v>135</v>
      </c>
      <c r="BH194" s="860" t="s">
        <v>45</v>
      </c>
      <c r="BI194" s="854"/>
      <c r="BJ194" s="871">
        <v>0</v>
      </c>
      <c r="BK194" s="872">
        <f t="shared" ref="BK194:BK199" ca="1" si="62">IF(BJ$299=0,0,BJ194/BJ$299*100)</f>
        <v>0</v>
      </c>
      <c r="BL194" s="871">
        <v>0</v>
      </c>
      <c r="BM194" s="872">
        <f t="shared" ref="BM194:BM199" ca="1" si="63">IF(BL$299=0,0,BL194/BL$299*100)</f>
        <v>0</v>
      </c>
      <c r="BN194" s="871">
        <v>0</v>
      </c>
      <c r="BO194" s="872">
        <f t="shared" ref="BO194:BO199" ca="1" si="64">IF(BN$299=0,0,BN194/BN$299*100)</f>
        <v>0</v>
      </c>
      <c r="BP194" s="871">
        <v>0</v>
      </c>
      <c r="BQ194" s="872">
        <f t="shared" ref="BQ194:BQ199" ca="1" si="65">IF(BP$299=0,0,BP194/BP$299*100)</f>
        <v>0</v>
      </c>
      <c r="BR194" s="854"/>
      <c r="BS194" s="854"/>
      <c r="BT194" s="854"/>
      <c r="BU194" s="854"/>
      <c r="BV194" s="854"/>
      <c r="BW194" s="854"/>
      <c r="BX194" s="854"/>
      <c r="BY194" s="854"/>
      <c r="BZ194" s="854"/>
      <c r="CA194" s="854"/>
      <c r="CB194" s="854"/>
      <c r="CC194" s="854"/>
      <c r="CD194" s="854"/>
      <c r="CE194" s="854"/>
      <c r="CF194" s="854"/>
      <c r="CG194" s="854" t="s">
        <v>45</v>
      </c>
    </row>
    <row r="195" spans="1:85" ht="16.5" customHeight="1">
      <c r="A195" s="847"/>
      <c r="B195" s="1302"/>
      <c r="C195" s="1330" t="str">
        <f>"Additions in "&amp;+C55</f>
        <v>Additions in Employee Benefit Liabilities</v>
      </c>
      <c r="D195" s="1304"/>
      <c r="E195" s="1305"/>
      <c r="F195" s="1306"/>
      <c r="G195" s="1307">
        <f>IF(G55&gt;E55,G55-E55,0)</f>
        <v>1</v>
      </c>
      <c r="H195" s="1308"/>
      <c r="I195" s="1307">
        <f>IF(I55&gt;G55,I55-G55,0)</f>
        <v>1</v>
      </c>
      <c r="J195" s="1308"/>
      <c r="K195" s="1307">
        <f>IF(K55&gt;I55,K55-I55,0)</f>
        <v>1</v>
      </c>
      <c r="L195" s="1308"/>
      <c r="M195" s="848"/>
      <c r="N195" s="849"/>
      <c r="O195" s="850"/>
      <c r="P195" s="850"/>
      <c r="Q195" s="850"/>
      <c r="R195" s="850"/>
      <c r="S195" s="850"/>
      <c r="T195" s="851"/>
      <c r="U195" s="851"/>
      <c r="V195" s="851"/>
      <c r="W195" s="851"/>
      <c r="X195" s="851"/>
      <c r="Y195" s="851"/>
      <c r="Z195" s="851"/>
      <c r="AA195" s="851"/>
      <c r="AB195" s="851"/>
      <c r="AC195" s="851"/>
      <c r="AD195" s="851"/>
      <c r="AE195" s="851"/>
      <c r="AF195" s="851"/>
      <c r="AG195" s="851"/>
      <c r="AH195" s="852"/>
      <c r="AI195" s="852"/>
      <c r="AJ195" s="852"/>
      <c r="AK195" s="852"/>
      <c r="AL195" s="852"/>
      <c r="AM195" s="852"/>
      <c r="AN195" s="852"/>
      <c r="AO195" s="852"/>
      <c r="AP195" s="852"/>
      <c r="AQ195" s="852"/>
      <c r="AR195" s="852"/>
      <c r="AS195" s="852"/>
      <c r="AT195" s="852"/>
      <c r="AU195" s="852"/>
      <c r="AV195" s="852"/>
      <c r="AW195" s="852"/>
      <c r="AX195" s="849"/>
      <c r="AY195" s="847"/>
      <c r="AZ195" s="847"/>
      <c r="BA195" s="847"/>
      <c r="BB195" s="847"/>
      <c r="BC195" s="853"/>
      <c r="BD195" s="854"/>
      <c r="BE195" s="854"/>
      <c r="BF195" s="854"/>
      <c r="BG195" s="870">
        <v>136</v>
      </c>
      <c r="BH195" s="860" t="s">
        <v>45</v>
      </c>
      <c r="BI195" s="854"/>
      <c r="BJ195" s="871">
        <v>0</v>
      </c>
      <c r="BK195" s="872">
        <f t="shared" ca="1" si="62"/>
        <v>0</v>
      </c>
      <c r="BL195" s="871">
        <v>0</v>
      </c>
      <c r="BM195" s="872">
        <f t="shared" ca="1" si="63"/>
        <v>0</v>
      </c>
      <c r="BN195" s="871">
        <v>0</v>
      </c>
      <c r="BO195" s="872">
        <f t="shared" ca="1" si="64"/>
        <v>0</v>
      </c>
      <c r="BP195" s="871">
        <v>0</v>
      </c>
      <c r="BQ195" s="872">
        <f t="shared" ca="1" si="65"/>
        <v>0</v>
      </c>
      <c r="BR195" s="854"/>
      <c r="BS195" s="854"/>
      <c r="BT195" s="854"/>
      <c r="BU195" s="854"/>
      <c r="BV195" s="854"/>
      <c r="BW195" s="854"/>
      <c r="BX195" s="854"/>
      <c r="BY195" s="854"/>
      <c r="BZ195" s="854"/>
      <c r="CA195" s="854"/>
      <c r="CB195" s="854"/>
      <c r="CC195" s="854"/>
      <c r="CD195" s="854"/>
      <c r="CE195" s="854"/>
      <c r="CF195" s="854"/>
      <c r="CG195" s="854" t="s">
        <v>45</v>
      </c>
    </row>
    <row r="196" spans="1:85" ht="15.75" customHeight="1">
      <c r="A196" s="847"/>
      <c r="B196" s="1302"/>
      <c r="C196" s="1303" t="str">
        <f>"Additions to "&amp;C56</f>
        <v>Additions to Long Term Tax Payables</v>
      </c>
      <c r="D196" s="1304"/>
      <c r="E196" s="1305"/>
      <c r="F196" s="1306"/>
      <c r="G196" s="1307">
        <f>IF(G56&gt;E56,G56-E56,0)</f>
        <v>1</v>
      </c>
      <c r="H196" s="1308"/>
      <c r="I196" s="1307">
        <f>IF(I56&gt;G56,I56-G56,0)</f>
        <v>1</v>
      </c>
      <c r="J196" s="1308"/>
      <c r="K196" s="1307">
        <f>IF(K56&gt;I56,K56-I56,0)</f>
        <v>1</v>
      </c>
      <c r="L196" s="1308"/>
      <c r="M196" s="848"/>
      <c r="N196" s="849"/>
      <c r="O196" s="850"/>
      <c r="P196" s="850"/>
      <c r="Q196" s="850"/>
      <c r="R196" s="850"/>
      <c r="S196" s="850"/>
      <c r="T196" s="851"/>
      <c r="U196" s="851"/>
      <c r="V196" s="851"/>
      <c r="W196" s="851"/>
      <c r="X196" s="851"/>
      <c r="Y196" s="851"/>
      <c r="Z196" s="851"/>
      <c r="AA196" s="851"/>
      <c r="AB196" s="851"/>
      <c r="AC196" s="851"/>
      <c r="AD196" s="851"/>
      <c r="AE196" s="851"/>
      <c r="AF196" s="851"/>
      <c r="AG196" s="851"/>
      <c r="AH196" s="852"/>
      <c r="AI196" s="852"/>
      <c r="AJ196" s="852"/>
      <c r="AK196" s="852"/>
      <c r="AL196" s="852"/>
      <c r="AM196" s="852"/>
      <c r="AN196" s="852"/>
      <c r="AO196" s="852"/>
      <c r="AP196" s="852"/>
      <c r="AQ196" s="852"/>
      <c r="AR196" s="852"/>
      <c r="AS196" s="852"/>
      <c r="AT196" s="852"/>
      <c r="AU196" s="852"/>
      <c r="AV196" s="852"/>
      <c r="AW196" s="852"/>
      <c r="AX196" s="849"/>
      <c r="AY196" s="847"/>
      <c r="AZ196" s="847"/>
      <c r="BA196" s="847"/>
      <c r="BB196" s="847"/>
      <c r="BC196" s="853"/>
      <c r="BD196" s="854"/>
      <c r="BE196" s="854"/>
      <c r="BF196" s="854"/>
      <c r="BG196" s="870">
        <v>156</v>
      </c>
      <c r="BH196" s="883" t="s">
        <v>293</v>
      </c>
      <c r="BI196" s="884"/>
      <c r="BJ196" s="885">
        <f ca="1">SUM(BJ158:BJ224)</f>
        <v>221.64596299999999</v>
      </c>
      <c r="BK196" s="886">
        <f t="shared" ca="1" si="62"/>
        <v>15.590798888654108</v>
      </c>
      <c r="BL196" s="885">
        <f ca="1">SUM(BL158:BL224)</f>
        <v>14546.196001</v>
      </c>
      <c r="BM196" s="886">
        <f t="shared" ca="1" si="63"/>
        <v>64.937099958708629</v>
      </c>
      <c r="BN196" s="885">
        <f ca="1">SUM(BN158:BN224)</f>
        <v>21150.895326000002</v>
      </c>
      <c r="BO196" s="886">
        <f t="shared" ca="1" si="64"/>
        <v>72.916171484187316</v>
      </c>
      <c r="BP196" s="885">
        <f ca="1">SUM(BP158:BP224)</f>
        <v>377693.920048</v>
      </c>
      <c r="BQ196" s="886">
        <f t="shared" ca="1" si="65"/>
        <v>97.969952143255867</v>
      </c>
      <c r="BR196" s="854"/>
      <c r="BS196" s="854"/>
      <c r="BT196" s="854"/>
      <c r="BU196" s="854"/>
      <c r="BV196" s="854"/>
      <c r="BW196" s="854"/>
      <c r="BX196" s="854"/>
      <c r="BY196" s="854"/>
      <c r="BZ196" s="854"/>
      <c r="CA196" s="854"/>
      <c r="CB196" s="854"/>
      <c r="CC196" s="854"/>
      <c r="CD196" s="854"/>
      <c r="CE196" s="854"/>
      <c r="CF196" s="854"/>
      <c r="CG196" s="854" t="s">
        <v>45</v>
      </c>
    </row>
    <row r="197" spans="1:85" ht="15.75" customHeight="1">
      <c r="A197" s="847"/>
      <c r="B197" s="1331"/>
      <c r="C197" s="1271" t="s">
        <v>294</v>
      </c>
      <c r="D197" s="1332"/>
      <c r="E197" s="1333"/>
      <c r="F197" s="1334"/>
      <c r="G197" s="1335">
        <f>SUM(G180:G196)</f>
        <v>8</v>
      </c>
      <c r="H197" s="1336"/>
      <c r="I197" s="1335">
        <f>SUM(I180:I196)</f>
        <v>8</v>
      </c>
      <c r="J197" s="1336"/>
      <c r="K197" s="1335">
        <f>SUM(K180:K196)</f>
        <v>8</v>
      </c>
      <c r="L197" s="1336"/>
      <c r="M197" s="848"/>
      <c r="N197" s="849"/>
      <c r="O197" s="850"/>
      <c r="P197" s="850"/>
      <c r="Q197" s="850"/>
      <c r="R197" s="850"/>
      <c r="S197" s="850"/>
      <c r="T197" s="851"/>
      <c r="U197" s="851"/>
      <c r="V197" s="851"/>
      <c r="W197" s="851"/>
      <c r="X197" s="851"/>
      <c r="Y197" s="851"/>
      <c r="Z197" s="851"/>
      <c r="AA197" s="851"/>
      <c r="AB197" s="851"/>
      <c r="AC197" s="851"/>
      <c r="AD197" s="851"/>
      <c r="AE197" s="851"/>
      <c r="AF197" s="851"/>
      <c r="AG197" s="851"/>
      <c r="AH197" s="852"/>
      <c r="AI197" s="852"/>
      <c r="AJ197" s="852"/>
      <c r="AK197" s="852"/>
      <c r="AL197" s="852"/>
      <c r="AM197" s="852"/>
      <c r="AN197" s="852"/>
      <c r="AO197" s="852"/>
      <c r="AP197" s="852"/>
      <c r="AQ197" s="852"/>
      <c r="AR197" s="852"/>
      <c r="AS197" s="852"/>
      <c r="AT197" s="852"/>
      <c r="AU197" s="852"/>
      <c r="AV197" s="852"/>
      <c r="AW197" s="852"/>
      <c r="AX197" s="849"/>
      <c r="AY197" s="847"/>
      <c r="AZ197" s="847"/>
      <c r="BA197" s="847"/>
      <c r="BB197" s="847"/>
      <c r="BC197" s="853"/>
      <c r="BD197" s="854"/>
      <c r="BE197" s="854"/>
      <c r="BF197" s="854"/>
      <c r="BG197" s="870">
        <v>137</v>
      </c>
      <c r="BH197" s="860" t="s">
        <v>45</v>
      </c>
      <c r="BI197" s="854"/>
      <c r="BJ197" s="871">
        <v>0</v>
      </c>
      <c r="BK197" s="872">
        <f t="shared" ca="1" si="62"/>
        <v>0</v>
      </c>
      <c r="BL197" s="871">
        <v>0</v>
      </c>
      <c r="BM197" s="872">
        <f t="shared" ca="1" si="63"/>
        <v>0</v>
      </c>
      <c r="BN197" s="871">
        <v>0</v>
      </c>
      <c r="BO197" s="872">
        <f t="shared" ca="1" si="64"/>
        <v>0</v>
      </c>
      <c r="BP197" s="871">
        <v>0</v>
      </c>
      <c r="BQ197" s="872">
        <f t="shared" ca="1" si="65"/>
        <v>0</v>
      </c>
      <c r="BR197" s="854"/>
      <c r="BS197" s="854"/>
      <c r="BT197" s="854"/>
      <c r="BU197" s="854"/>
      <c r="BV197" s="854"/>
      <c r="BW197" s="854"/>
      <c r="BX197" s="854"/>
      <c r="BY197" s="854"/>
      <c r="BZ197" s="854"/>
      <c r="CA197" s="854"/>
      <c r="CB197" s="854"/>
      <c r="CC197" s="854"/>
      <c r="CD197" s="854"/>
      <c r="CE197" s="854"/>
      <c r="CF197" s="854"/>
      <c r="CG197" s="854" t="s">
        <v>45</v>
      </c>
    </row>
    <row r="198" spans="1:85" ht="15.75" customHeight="1">
      <c r="A198" s="847"/>
      <c r="B198" s="1302"/>
      <c r="C198" s="1330" t="str">
        <f t="shared" ref="C198:C205" si="66">"Increase in "&amp;+C17</f>
        <v>Increase in Restricted Cash</v>
      </c>
      <c r="D198" s="1304"/>
      <c r="E198" s="1305"/>
      <c r="F198" s="1306"/>
      <c r="G198" s="1307">
        <f t="shared" ref="G198:G205" si="67">IF(G17&gt;E17,G17-E17,0)</f>
        <v>1</v>
      </c>
      <c r="H198" s="1308"/>
      <c r="I198" s="1307">
        <f t="shared" ref="I198:I205" si="68">IF(I17&gt;G17,I17-G17,0)</f>
        <v>1</v>
      </c>
      <c r="J198" s="1308"/>
      <c r="K198" s="1307">
        <f t="shared" ref="K198:K205" si="69">IF(K17&gt;I17,K17-I17,0)</f>
        <v>1</v>
      </c>
      <c r="L198" s="1308"/>
      <c r="M198" s="848"/>
      <c r="N198" s="849"/>
      <c r="O198" s="850"/>
      <c r="P198" s="850"/>
      <c r="Q198" s="850"/>
      <c r="R198" s="850"/>
      <c r="S198" s="850"/>
      <c r="T198" s="851"/>
      <c r="U198" s="851"/>
      <c r="V198" s="851"/>
      <c r="W198" s="851"/>
      <c r="X198" s="851"/>
      <c r="Y198" s="851"/>
      <c r="Z198" s="851"/>
      <c r="AA198" s="851"/>
      <c r="AB198" s="851"/>
      <c r="AC198" s="851"/>
      <c r="AD198" s="851"/>
      <c r="AE198" s="851"/>
      <c r="AF198" s="851"/>
      <c r="AG198" s="851"/>
      <c r="AH198" s="852"/>
      <c r="AI198" s="852"/>
      <c r="AJ198" s="852"/>
      <c r="AK198" s="852"/>
      <c r="AL198" s="852"/>
      <c r="AM198" s="852"/>
      <c r="AN198" s="852"/>
      <c r="AO198" s="852"/>
      <c r="AP198" s="852"/>
      <c r="AQ198" s="852"/>
      <c r="AR198" s="852"/>
      <c r="AS198" s="852"/>
      <c r="AT198" s="852"/>
      <c r="AU198" s="852"/>
      <c r="AV198" s="852"/>
      <c r="AW198" s="852"/>
      <c r="AX198" s="849"/>
      <c r="AY198" s="847"/>
      <c r="AZ198" s="847"/>
      <c r="BA198" s="847"/>
      <c r="BB198" s="847"/>
      <c r="BC198" s="853"/>
      <c r="BD198" s="854"/>
      <c r="BE198" s="854"/>
      <c r="BF198" s="854"/>
      <c r="BG198" s="870">
        <v>138</v>
      </c>
      <c r="BH198" s="860" t="s">
        <v>45</v>
      </c>
      <c r="BI198" s="854"/>
      <c r="BJ198" s="871">
        <v>0</v>
      </c>
      <c r="BK198" s="872">
        <f t="shared" ca="1" si="62"/>
        <v>0</v>
      </c>
      <c r="BL198" s="871">
        <v>0</v>
      </c>
      <c r="BM198" s="872">
        <f t="shared" ca="1" si="63"/>
        <v>0</v>
      </c>
      <c r="BN198" s="871">
        <v>0</v>
      </c>
      <c r="BO198" s="872">
        <f t="shared" ca="1" si="64"/>
        <v>0</v>
      </c>
      <c r="BP198" s="871">
        <v>0</v>
      </c>
      <c r="BQ198" s="872">
        <f t="shared" ca="1" si="65"/>
        <v>0</v>
      </c>
      <c r="BR198" s="854"/>
      <c r="BS198" s="854"/>
      <c r="BT198" s="854"/>
      <c r="BU198" s="854"/>
      <c r="BV198" s="854"/>
      <c r="BW198" s="854"/>
      <c r="BX198" s="854"/>
      <c r="BY198" s="854"/>
      <c r="BZ198" s="854"/>
      <c r="CA198" s="854"/>
      <c r="CB198" s="854"/>
      <c r="CC198" s="854"/>
      <c r="CD198" s="854"/>
      <c r="CE198" s="854"/>
      <c r="CF198" s="854"/>
      <c r="CG198" s="854" t="s">
        <v>45</v>
      </c>
    </row>
    <row r="199" spans="1:85" ht="15.75" customHeight="1">
      <c r="A199" s="847"/>
      <c r="B199" s="1302"/>
      <c r="C199" s="1330" t="str">
        <f t="shared" si="66"/>
        <v>Increase in Short Term Investments</v>
      </c>
      <c r="D199" s="1304"/>
      <c r="E199" s="1305"/>
      <c r="F199" s="1306"/>
      <c r="G199" s="1307">
        <f t="shared" si="67"/>
        <v>1</v>
      </c>
      <c r="H199" s="1308"/>
      <c r="I199" s="1307">
        <f t="shared" si="68"/>
        <v>1</v>
      </c>
      <c r="J199" s="1308"/>
      <c r="K199" s="1307">
        <f t="shared" si="69"/>
        <v>1</v>
      </c>
      <c r="L199" s="1308"/>
      <c r="M199" s="848"/>
      <c r="N199" s="849"/>
      <c r="O199" s="850"/>
      <c r="P199" s="850"/>
      <c r="Q199" s="850"/>
      <c r="R199" s="850"/>
      <c r="S199" s="850"/>
      <c r="T199" s="851"/>
      <c r="U199" s="851"/>
      <c r="V199" s="851"/>
      <c r="W199" s="851"/>
      <c r="X199" s="851"/>
      <c r="Y199" s="851"/>
      <c r="Z199" s="851"/>
      <c r="AA199" s="851"/>
      <c r="AB199" s="851"/>
      <c r="AC199" s="851"/>
      <c r="AD199" s="851"/>
      <c r="AE199" s="851"/>
      <c r="AF199" s="851"/>
      <c r="AG199" s="851"/>
      <c r="AH199" s="852"/>
      <c r="AI199" s="852"/>
      <c r="AJ199" s="852"/>
      <c r="AK199" s="852"/>
      <c r="AL199" s="852"/>
      <c r="AM199" s="852"/>
      <c r="AN199" s="852"/>
      <c r="AO199" s="852"/>
      <c r="AP199" s="852"/>
      <c r="AQ199" s="852"/>
      <c r="AR199" s="852"/>
      <c r="AS199" s="852"/>
      <c r="AT199" s="852"/>
      <c r="AU199" s="852"/>
      <c r="AV199" s="852"/>
      <c r="AW199" s="852"/>
      <c r="AX199" s="849"/>
      <c r="AY199" s="847"/>
      <c r="AZ199" s="847"/>
      <c r="BA199" s="847"/>
      <c r="BB199" s="847"/>
      <c r="BC199" s="853"/>
      <c r="BD199" s="854"/>
      <c r="BE199" s="854"/>
      <c r="BF199" s="854"/>
      <c r="BG199" s="870">
        <v>139</v>
      </c>
      <c r="BH199" s="860" t="s">
        <v>295</v>
      </c>
      <c r="BI199" s="854"/>
      <c r="BJ199" s="871">
        <v>221.64596299999999</v>
      </c>
      <c r="BK199" s="872">
        <f t="shared" ca="1" si="62"/>
        <v>15.590798888654108</v>
      </c>
      <c r="BL199" s="871">
        <v>0</v>
      </c>
      <c r="BM199" s="872">
        <f t="shared" ca="1" si="63"/>
        <v>0</v>
      </c>
      <c r="BN199" s="871">
        <v>0</v>
      </c>
      <c r="BO199" s="872">
        <f t="shared" ca="1" si="64"/>
        <v>0</v>
      </c>
      <c r="BP199" s="871">
        <v>33580.293140000002</v>
      </c>
      <c r="BQ199" s="872">
        <f t="shared" ca="1" si="65"/>
        <v>8.7103856780755304</v>
      </c>
      <c r="BR199" s="854"/>
      <c r="BS199" s="854"/>
      <c r="BT199" s="854"/>
      <c r="BU199" s="854"/>
      <c r="BV199" s="854"/>
      <c r="BW199" s="854"/>
      <c r="BX199" s="854"/>
      <c r="BY199" s="854"/>
      <c r="BZ199" s="854"/>
      <c r="CA199" s="854"/>
      <c r="CB199" s="854"/>
      <c r="CC199" s="854"/>
      <c r="CD199" s="854"/>
      <c r="CE199" s="854"/>
      <c r="CF199" s="854"/>
      <c r="CG199" s="854" t="s">
        <v>45</v>
      </c>
    </row>
    <row r="200" spans="1:85" ht="15.75" customHeight="1">
      <c r="A200" s="847"/>
      <c r="B200" s="1302"/>
      <c r="C200" s="1330" t="str">
        <f t="shared" si="66"/>
        <v>Increase in Account Receivables</v>
      </c>
      <c r="D200" s="1304"/>
      <c r="E200" s="1305"/>
      <c r="F200" s="1306"/>
      <c r="G200" s="1307">
        <f t="shared" si="67"/>
        <v>1</v>
      </c>
      <c r="H200" s="1308"/>
      <c r="I200" s="1307">
        <f t="shared" si="68"/>
        <v>1</v>
      </c>
      <c r="J200" s="1308"/>
      <c r="K200" s="1307">
        <f t="shared" si="69"/>
        <v>1</v>
      </c>
      <c r="L200" s="1308"/>
      <c r="M200" s="848"/>
      <c r="N200" s="849"/>
      <c r="O200" s="850"/>
      <c r="P200" s="850"/>
      <c r="Q200" s="850"/>
      <c r="R200" s="850"/>
      <c r="S200" s="850"/>
      <c r="T200" s="851"/>
      <c r="U200" s="851"/>
      <c r="V200" s="851"/>
      <c r="W200" s="851"/>
      <c r="X200" s="851"/>
      <c r="Y200" s="851"/>
      <c r="Z200" s="851"/>
      <c r="AA200" s="851"/>
      <c r="AB200" s="851"/>
      <c r="AC200" s="851"/>
      <c r="AD200" s="851"/>
      <c r="AE200" s="851"/>
      <c r="AF200" s="851"/>
      <c r="AG200" s="851"/>
      <c r="AH200" s="852"/>
      <c r="AI200" s="852"/>
      <c r="AJ200" s="852"/>
      <c r="AK200" s="852"/>
      <c r="AL200" s="852"/>
      <c r="AM200" s="852"/>
      <c r="AN200" s="852"/>
      <c r="AO200" s="852"/>
      <c r="AP200" s="852"/>
      <c r="AQ200" s="852"/>
      <c r="AR200" s="852"/>
      <c r="AS200" s="852"/>
      <c r="AT200" s="852"/>
      <c r="AU200" s="852"/>
      <c r="AV200" s="852"/>
      <c r="AW200" s="852"/>
      <c r="AX200" s="849"/>
      <c r="AY200" s="847"/>
      <c r="AZ200" s="847"/>
      <c r="BA200" s="847"/>
      <c r="BB200" s="847"/>
      <c r="BC200" s="853"/>
      <c r="BD200" s="854"/>
      <c r="BE200" s="854"/>
      <c r="BF200" s="854"/>
      <c r="BG200" s="854"/>
      <c r="BH200" s="854"/>
      <c r="BI200" s="854"/>
      <c r="BJ200" s="854"/>
      <c r="BK200" s="854"/>
      <c r="BL200" s="854"/>
      <c r="BM200" s="854"/>
      <c r="BN200" s="854"/>
      <c r="BO200" s="854"/>
      <c r="BP200" s="854"/>
      <c r="BQ200" s="854"/>
      <c r="BR200" s="854"/>
      <c r="BS200" s="854"/>
      <c r="BT200" s="854"/>
      <c r="BU200" s="870">
        <v>140</v>
      </c>
      <c r="BV200" s="860" t="s">
        <v>296</v>
      </c>
      <c r="BW200" s="854"/>
      <c r="BX200" s="871">
        <v>210.771861</v>
      </c>
      <c r="BY200" s="872">
        <f ca="1">IF(BJ$299=0,0,BX200/BJ$299*100)</f>
        <v>14.825903669801368</v>
      </c>
      <c r="BZ200" s="871">
        <v>58.815480999999998</v>
      </c>
      <c r="CA200" s="872">
        <f ca="1">IF(BL$299=0,0,BZ200/BL$299*100)</f>
        <v>0.26256395614042083</v>
      </c>
      <c r="CB200" s="871">
        <v>142.21021099999999</v>
      </c>
      <c r="CC200" s="872">
        <f ca="1">IF(BN$299=0,0,CB200/BN$299*100)</f>
        <v>0.49025934705145641</v>
      </c>
      <c r="CD200" s="871">
        <v>0</v>
      </c>
      <c r="CE200" s="872">
        <f ca="1">IF(BP$299=0,0,CD200/BP$299*100)</f>
        <v>0</v>
      </c>
      <c r="CF200" s="854"/>
      <c r="CG200" s="854" t="s">
        <v>45</v>
      </c>
    </row>
    <row r="201" spans="1:85" ht="15.75" customHeight="1">
      <c r="A201" s="847"/>
      <c r="B201" s="1302"/>
      <c r="C201" s="1330" t="str">
        <f t="shared" si="66"/>
        <v>Increase in Inventories</v>
      </c>
      <c r="D201" s="1304"/>
      <c r="E201" s="1305"/>
      <c r="F201" s="1306"/>
      <c r="G201" s="1307">
        <f t="shared" si="67"/>
        <v>1</v>
      </c>
      <c r="H201" s="1308"/>
      <c r="I201" s="1307">
        <f t="shared" si="68"/>
        <v>1</v>
      </c>
      <c r="J201" s="1308"/>
      <c r="K201" s="1307">
        <f t="shared" si="69"/>
        <v>1</v>
      </c>
      <c r="L201" s="1308"/>
      <c r="M201" s="848"/>
      <c r="N201" s="849"/>
      <c r="O201" s="850"/>
      <c r="P201" s="850"/>
      <c r="Q201" s="850"/>
      <c r="R201" s="850"/>
      <c r="S201" s="850"/>
      <c r="T201" s="851"/>
      <c r="U201" s="851"/>
      <c r="V201" s="851"/>
      <c r="W201" s="851"/>
      <c r="X201" s="851"/>
      <c r="Y201" s="851"/>
      <c r="Z201" s="851"/>
      <c r="AA201" s="851"/>
      <c r="AB201" s="851"/>
      <c r="AC201" s="851"/>
      <c r="AD201" s="851"/>
      <c r="AE201" s="851"/>
      <c r="AF201" s="851"/>
      <c r="AG201" s="851"/>
      <c r="AH201" s="852"/>
      <c r="AI201" s="852"/>
      <c r="AJ201" s="852"/>
      <c r="AK201" s="852"/>
      <c r="AL201" s="852"/>
      <c r="AM201" s="852"/>
      <c r="AN201" s="852"/>
      <c r="AO201" s="852"/>
      <c r="AP201" s="852"/>
      <c r="AQ201" s="852"/>
      <c r="AR201" s="852"/>
      <c r="AS201" s="852"/>
      <c r="AT201" s="852"/>
      <c r="AU201" s="852"/>
      <c r="AV201" s="852"/>
      <c r="AW201" s="852"/>
      <c r="AX201" s="849"/>
      <c r="AY201" s="847"/>
      <c r="AZ201" s="847"/>
      <c r="BA201" s="847"/>
      <c r="BB201" s="847"/>
      <c r="BC201" s="853"/>
      <c r="BD201" s="854"/>
      <c r="BE201" s="854"/>
      <c r="BF201" s="854"/>
      <c r="BG201" s="854"/>
      <c r="BH201" s="854"/>
      <c r="BI201" s="854"/>
      <c r="BJ201" s="854"/>
      <c r="BK201" s="854"/>
      <c r="BL201" s="854"/>
      <c r="BM201" s="854"/>
      <c r="BN201" s="854"/>
      <c r="BO201" s="854"/>
      <c r="BP201" s="854"/>
      <c r="BQ201" s="854"/>
      <c r="BR201" s="854"/>
      <c r="BS201" s="854"/>
      <c r="BT201" s="854"/>
      <c r="BU201" s="870">
        <v>141</v>
      </c>
      <c r="BV201" s="860" t="s">
        <v>297</v>
      </c>
      <c r="BW201" s="854"/>
      <c r="BX201" s="871">
        <v>7269.7283230000003</v>
      </c>
      <c r="BY201" s="872">
        <f ca="1">IF(BJ$299=0,0,BX201/BJ$299*100)</f>
        <v>511.35996670079527</v>
      </c>
      <c r="BZ201" s="871">
        <v>233.387721</v>
      </c>
      <c r="CA201" s="872">
        <f ca="1">IF(BL$299=0,0,BZ201/BL$299*100)</f>
        <v>1.0418890111662398</v>
      </c>
      <c r="CB201" s="871">
        <v>3.5208170000000001</v>
      </c>
      <c r="CC201" s="872">
        <f ca="1">IF(BN$299=0,0,CB201/BN$299*100)</f>
        <v>1.2137760230927917E-2</v>
      </c>
      <c r="CD201" s="871">
        <v>6.3820110000000003</v>
      </c>
      <c r="CE201" s="872">
        <f ca="1">IF(BP$299=0,0,CD201/BP$299*100)</f>
        <v>1.6554285866403993E-3</v>
      </c>
      <c r="CF201" s="854"/>
      <c r="CG201" s="854" t="s">
        <v>45</v>
      </c>
    </row>
    <row r="202" spans="1:85" ht="15.75" customHeight="1">
      <c r="A202" s="847"/>
      <c r="B202" s="1302"/>
      <c r="C202" s="1330" t="str">
        <f t="shared" si="66"/>
        <v>Increase in Prepaid Taxes</v>
      </c>
      <c r="D202" s="1304"/>
      <c r="E202" s="1305"/>
      <c r="F202" s="1306"/>
      <c r="G202" s="1307">
        <f t="shared" si="67"/>
        <v>1</v>
      </c>
      <c r="H202" s="1308"/>
      <c r="I202" s="1307">
        <f t="shared" si="68"/>
        <v>1</v>
      </c>
      <c r="J202" s="1308"/>
      <c r="K202" s="1307">
        <f t="shared" si="69"/>
        <v>1</v>
      </c>
      <c r="L202" s="1308"/>
      <c r="M202" s="848"/>
      <c r="N202" s="849"/>
      <c r="O202" s="850"/>
      <c r="P202" s="850"/>
      <c r="Q202" s="850"/>
      <c r="R202" s="850"/>
      <c r="S202" s="850"/>
      <c r="T202" s="851"/>
      <c r="U202" s="851"/>
      <c r="V202" s="851"/>
      <c r="W202" s="851"/>
      <c r="X202" s="851"/>
      <c r="Y202" s="851"/>
      <c r="Z202" s="851"/>
      <c r="AA202" s="851"/>
      <c r="AB202" s="851"/>
      <c r="AC202" s="851"/>
      <c r="AD202" s="851"/>
      <c r="AE202" s="851"/>
      <c r="AF202" s="851"/>
      <c r="AG202" s="851"/>
      <c r="AH202" s="852"/>
      <c r="AI202" s="852"/>
      <c r="AJ202" s="852"/>
      <c r="AK202" s="852"/>
      <c r="AL202" s="852"/>
      <c r="AM202" s="852"/>
      <c r="AN202" s="852"/>
      <c r="AO202" s="852"/>
      <c r="AP202" s="852"/>
      <c r="AQ202" s="852"/>
      <c r="AR202" s="852"/>
      <c r="AS202" s="852"/>
      <c r="AT202" s="852"/>
      <c r="AU202" s="852"/>
      <c r="AV202" s="852"/>
      <c r="AW202" s="852"/>
      <c r="AX202" s="849"/>
      <c r="AY202" s="847"/>
      <c r="AZ202" s="847"/>
      <c r="BA202" s="847"/>
      <c r="BB202" s="847"/>
      <c r="BC202" s="853"/>
      <c r="BD202" s="854"/>
      <c r="BE202" s="854"/>
      <c r="BF202" s="854"/>
      <c r="BG202" s="854"/>
      <c r="BH202" s="854"/>
      <c r="BI202" s="854"/>
      <c r="BJ202" s="854"/>
      <c r="BK202" s="854"/>
      <c r="BL202" s="854"/>
      <c r="BM202" s="854"/>
      <c r="BN202" s="854"/>
      <c r="BO202" s="854"/>
      <c r="BP202" s="854"/>
      <c r="BQ202" s="854"/>
      <c r="BR202" s="854"/>
      <c r="BS202" s="854"/>
      <c r="BT202" s="854"/>
      <c r="BU202" s="870"/>
      <c r="BV202" s="860"/>
      <c r="BW202" s="854"/>
      <c r="BX202" s="871"/>
      <c r="BY202" s="872"/>
      <c r="BZ202" s="871"/>
      <c r="CA202" s="872"/>
      <c r="CB202" s="871"/>
      <c r="CC202" s="872"/>
      <c r="CD202" s="871"/>
      <c r="CE202" s="872"/>
      <c r="CF202" s="854"/>
      <c r="CG202" s="854"/>
    </row>
    <row r="203" spans="1:85" ht="15.75" customHeight="1">
      <c r="A203" s="847"/>
      <c r="B203" s="1302"/>
      <c r="C203" s="1330" t="str">
        <f t="shared" si="66"/>
        <v>Increase in Prepaid Expenses</v>
      </c>
      <c r="D203" s="1304"/>
      <c r="E203" s="1305"/>
      <c r="F203" s="1306"/>
      <c r="G203" s="1307">
        <f t="shared" si="67"/>
        <v>1</v>
      </c>
      <c r="H203" s="1308"/>
      <c r="I203" s="1307">
        <f t="shared" si="68"/>
        <v>1</v>
      </c>
      <c r="J203" s="1308"/>
      <c r="K203" s="1307">
        <f t="shared" si="69"/>
        <v>1</v>
      </c>
      <c r="L203" s="1308"/>
      <c r="M203" s="848"/>
      <c r="N203" s="849"/>
      <c r="O203" s="850"/>
      <c r="P203" s="850"/>
      <c r="Q203" s="850"/>
      <c r="R203" s="850"/>
      <c r="S203" s="850"/>
      <c r="T203" s="851"/>
      <c r="U203" s="851"/>
      <c r="V203" s="851"/>
      <c r="W203" s="851"/>
      <c r="X203" s="851"/>
      <c r="Y203" s="851"/>
      <c r="Z203" s="851"/>
      <c r="AA203" s="851"/>
      <c r="AB203" s="851"/>
      <c r="AC203" s="851"/>
      <c r="AD203" s="851"/>
      <c r="AE203" s="851"/>
      <c r="AF203" s="851"/>
      <c r="AG203" s="851"/>
      <c r="AH203" s="852"/>
      <c r="AI203" s="852"/>
      <c r="AJ203" s="852"/>
      <c r="AK203" s="852"/>
      <c r="AL203" s="852"/>
      <c r="AM203" s="852"/>
      <c r="AN203" s="852"/>
      <c r="AO203" s="852"/>
      <c r="AP203" s="852"/>
      <c r="AQ203" s="852"/>
      <c r="AR203" s="852"/>
      <c r="AS203" s="852"/>
      <c r="AT203" s="852"/>
      <c r="AU203" s="852"/>
      <c r="AV203" s="852"/>
      <c r="AW203" s="852"/>
      <c r="AX203" s="849"/>
      <c r="AY203" s="847"/>
      <c r="AZ203" s="847"/>
      <c r="BA203" s="847"/>
      <c r="BB203" s="847"/>
      <c r="BC203" s="853"/>
      <c r="BD203" s="854"/>
      <c r="BE203" s="854"/>
      <c r="BF203" s="854"/>
      <c r="BG203" s="854"/>
      <c r="BH203" s="854"/>
      <c r="BI203" s="854"/>
      <c r="BJ203" s="854"/>
      <c r="BK203" s="854"/>
      <c r="BL203" s="854"/>
      <c r="BM203" s="854"/>
      <c r="BN203" s="854"/>
      <c r="BO203" s="854"/>
      <c r="BP203" s="854"/>
      <c r="BQ203" s="854"/>
      <c r="BR203" s="854"/>
      <c r="BS203" s="854"/>
      <c r="BT203" s="854"/>
      <c r="BU203" s="870"/>
      <c r="BV203" s="860"/>
      <c r="BW203" s="854"/>
      <c r="BX203" s="871"/>
      <c r="BY203" s="872"/>
      <c r="BZ203" s="871"/>
      <c r="CA203" s="872"/>
      <c r="CB203" s="871"/>
      <c r="CC203" s="872"/>
      <c r="CD203" s="871"/>
      <c r="CE203" s="872"/>
      <c r="CF203" s="854"/>
      <c r="CG203" s="854"/>
    </row>
    <row r="204" spans="1:85" ht="15.75" customHeight="1">
      <c r="A204" s="847"/>
      <c r="B204" s="1302"/>
      <c r="C204" s="1330" t="str">
        <f t="shared" si="66"/>
        <v>Increase in Advance Payments</v>
      </c>
      <c r="D204" s="1304"/>
      <c r="E204" s="1305"/>
      <c r="F204" s="1306"/>
      <c r="G204" s="1307">
        <f t="shared" si="67"/>
        <v>1</v>
      </c>
      <c r="H204" s="1308"/>
      <c r="I204" s="1307">
        <f t="shared" si="68"/>
        <v>1</v>
      </c>
      <c r="J204" s="1308"/>
      <c r="K204" s="1307">
        <f t="shared" si="69"/>
        <v>1</v>
      </c>
      <c r="L204" s="1308"/>
      <c r="M204" s="848"/>
      <c r="N204" s="849"/>
      <c r="O204" s="850"/>
      <c r="P204" s="850"/>
      <c r="Q204" s="850"/>
      <c r="R204" s="850"/>
      <c r="S204" s="850"/>
      <c r="T204" s="851"/>
      <c r="U204" s="851"/>
      <c r="V204" s="851"/>
      <c r="W204" s="851"/>
      <c r="X204" s="851"/>
      <c r="Y204" s="851"/>
      <c r="Z204" s="851"/>
      <c r="AA204" s="851"/>
      <c r="AB204" s="851"/>
      <c r="AC204" s="851"/>
      <c r="AD204" s="851"/>
      <c r="AE204" s="851"/>
      <c r="AF204" s="851"/>
      <c r="AG204" s="851"/>
      <c r="AH204" s="852"/>
      <c r="AI204" s="852"/>
      <c r="AJ204" s="852"/>
      <c r="AK204" s="852"/>
      <c r="AL204" s="852"/>
      <c r="AM204" s="852"/>
      <c r="AN204" s="852"/>
      <c r="AO204" s="852"/>
      <c r="AP204" s="852"/>
      <c r="AQ204" s="852"/>
      <c r="AR204" s="852"/>
      <c r="AS204" s="852"/>
      <c r="AT204" s="852"/>
      <c r="AU204" s="852"/>
      <c r="AV204" s="852"/>
      <c r="AW204" s="852"/>
      <c r="AX204" s="849"/>
      <c r="AY204" s="847"/>
      <c r="AZ204" s="847"/>
      <c r="BA204" s="847"/>
      <c r="BB204" s="847"/>
      <c r="BC204" s="853"/>
      <c r="BD204" s="854"/>
      <c r="BE204" s="854"/>
      <c r="BF204" s="854"/>
      <c r="BG204" s="854"/>
      <c r="BH204" s="854"/>
      <c r="BI204" s="854"/>
      <c r="BJ204" s="854"/>
      <c r="BK204" s="854"/>
      <c r="BL204" s="854"/>
      <c r="BM204" s="854"/>
      <c r="BN204" s="854"/>
      <c r="BO204" s="854"/>
      <c r="BP204" s="854"/>
      <c r="BQ204" s="854"/>
      <c r="BR204" s="854"/>
      <c r="BS204" s="854"/>
      <c r="BT204" s="854"/>
      <c r="BU204" s="870"/>
      <c r="BV204" s="860"/>
      <c r="BW204" s="854"/>
      <c r="BX204" s="871"/>
      <c r="BY204" s="872"/>
      <c r="BZ204" s="871"/>
      <c r="CA204" s="872"/>
      <c r="CB204" s="871"/>
      <c r="CC204" s="872"/>
      <c r="CD204" s="871"/>
      <c r="CE204" s="872"/>
      <c r="CF204" s="854"/>
      <c r="CG204" s="854"/>
    </row>
    <row r="205" spans="1:85" ht="15.75" customHeight="1">
      <c r="A205" s="847"/>
      <c r="B205" s="1302"/>
      <c r="C205" s="1330" t="str">
        <f t="shared" si="66"/>
        <v>Increase in Other Current Assets</v>
      </c>
      <c r="D205" s="1304"/>
      <c r="E205" s="1305"/>
      <c r="F205" s="1306"/>
      <c r="G205" s="1307">
        <f t="shared" si="67"/>
        <v>1</v>
      </c>
      <c r="H205" s="1308"/>
      <c r="I205" s="1307">
        <f t="shared" si="68"/>
        <v>1</v>
      </c>
      <c r="J205" s="1308"/>
      <c r="K205" s="1307">
        <f t="shared" si="69"/>
        <v>1</v>
      </c>
      <c r="L205" s="1308"/>
      <c r="M205" s="848"/>
      <c r="N205" s="849"/>
      <c r="O205" s="850"/>
      <c r="P205" s="850"/>
      <c r="Q205" s="850"/>
      <c r="R205" s="850"/>
      <c r="S205" s="850"/>
      <c r="T205" s="851"/>
      <c r="U205" s="851"/>
      <c r="V205" s="851"/>
      <c r="W205" s="851"/>
      <c r="X205" s="851"/>
      <c r="Y205" s="851"/>
      <c r="Z205" s="851"/>
      <c r="AA205" s="851"/>
      <c r="AB205" s="851"/>
      <c r="AC205" s="851"/>
      <c r="AD205" s="851"/>
      <c r="AE205" s="851"/>
      <c r="AF205" s="851"/>
      <c r="AG205" s="851"/>
      <c r="AH205" s="852"/>
      <c r="AI205" s="852"/>
      <c r="AJ205" s="852"/>
      <c r="AK205" s="852"/>
      <c r="AL205" s="852"/>
      <c r="AM205" s="852"/>
      <c r="AN205" s="852"/>
      <c r="AO205" s="852"/>
      <c r="AP205" s="852"/>
      <c r="AQ205" s="852"/>
      <c r="AR205" s="852"/>
      <c r="AS205" s="852"/>
      <c r="AT205" s="852"/>
      <c r="AU205" s="852"/>
      <c r="AV205" s="852"/>
      <c r="AW205" s="852"/>
      <c r="AX205" s="849"/>
      <c r="AY205" s="847"/>
      <c r="AZ205" s="847"/>
      <c r="BA205" s="847"/>
      <c r="BB205" s="847"/>
      <c r="BC205" s="853"/>
      <c r="BD205" s="854"/>
      <c r="BE205" s="854"/>
      <c r="BF205" s="854"/>
      <c r="BG205" s="854"/>
      <c r="BH205" s="854"/>
      <c r="BI205" s="854"/>
      <c r="BJ205" s="854"/>
      <c r="BK205" s="854"/>
      <c r="BL205" s="854"/>
      <c r="BM205" s="854"/>
      <c r="BN205" s="854"/>
      <c r="BO205" s="854"/>
      <c r="BP205" s="854"/>
      <c r="BQ205" s="854"/>
      <c r="BR205" s="854"/>
      <c r="BS205" s="854"/>
      <c r="BT205" s="854"/>
      <c r="BU205" s="870"/>
      <c r="BV205" s="860"/>
      <c r="BW205" s="854"/>
      <c r="BX205" s="871"/>
      <c r="BY205" s="872"/>
      <c r="BZ205" s="871"/>
      <c r="CA205" s="872"/>
      <c r="CB205" s="871"/>
      <c r="CC205" s="872"/>
      <c r="CD205" s="871"/>
      <c r="CE205" s="872"/>
      <c r="CF205" s="854"/>
      <c r="CG205" s="854"/>
    </row>
    <row r="206" spans="1:85" ht="15.75" customHeight="1">
      <c r="A206" s="847"/>
      <c r="B206" s="1302"/>
      <c r="C206" s="1303" t="str">
        <f>"Increase in "&amp;C30</f>
        <v>Increase in Deferred Taxes</v>
      </c>
      <c r="D206" s="1304"/>
      <c r="E206" s="1305"/>
      <c r="F206" s="1306"/>
      <c r="G206" s="1307">
        <f>IF(G30&gt;E30,G30-E30,0)</f>
        <v>1</v>
      </c>
      <c r="H206" s="1308"/>
      <c r="I206" s="1307">
        <f>IF(I30&gt;G30,I30-G30,0)</f>
        <v>1</v>
      </c>
      <c r="J206" s="1308"/>
      <c r="K206" s="1307">
        <f>IF(K30&gt;I30,K30-I30,0)</f>
        <v>1</v>
      </c>
      <c r="L206" s="1308"/>
      <c r="M206" s="848"/>
      <c r="N206" s="849"/>
      <c r="O206" s="850"/>
      <c r="P206" s="850"/>
      <c r="Q206" s="850"/>
      <c r="R206" s="850"/>
      <c r="S206" s="850"/>
      <c r="T206" s="851"/>
      <c r="U206" s="851"/>
      <c r="V206" s="851"/>
      <c r="W206" s="851"/>
      <c r="X206" s="851"/>
      <c r="Y206" s="851"/>
      <c r="Z206" s="851"/>
      <c r="AA206" s="851"/>
      <c r="AB206" s="851"/>
      <c r="AC206" s="851"/>
      <c r="AD206" s="851"/>
      <c r="AE206" s="851"/>
      <c r="AF206" s="851"/>
      <c r="AG206" s="851"/>
      <c r="AH206" s="852"/>
      <c r="AI206" s="852"/>
      <c r="AJ206" s="852"/>
      <c r="AK206" s="852"/>
      <c r="AL206" s="852"/>
      <c r="AM206" s="852"/>
      <c r="AN206" s="852"/>
      <c r="AO206" s="852"/>
      <c r="AP206" s="852"/>
      <c r="AQ206" s="852"/>
      <c r="AR206" s="852"/>
      <c r="AS206" s="852"/>
      <c r="AT206" s="852"/>
      <c r="AU206" s="852"/>
      <c r="AV206" s="852"/>
      <c r="AW206" s="852"/>
      <c r="AX206" s="849"/>
      <c r="AY206" s="847"/>
      <c r="AZ206" s="847"/>
      <c r="BA206" s="847"/>
      <c r="BB206" s="847"/>
      <c r="BC206" s="853"/>
      <c r="BD206" s="854"/>
      <c r="BE206" s="854"/>
      <c r="BF206" s="854"/>
      <c r="BG206" s="870">
        <f>BG270+1</f>
        <v>195</v>
      </c>
      <c r="BH206" s="860" t="s">
        <v>45</v>
      </c>
      <c r="BI206" s="854"/>
      <c r="BJ206" s="871">
        <v>0</v>
      </c>
      <c r="BK206" s="872">
        <f ca="1">IF(BJ$299=0,0,BJ206/BJ$299*100)</f>
        <v>0</v>
      </c>
      <c r="BL206" s="871">
        <v>0</v>
      </c>
      <c r="BM206" s="872">
        <f ca="1">IF(BL$299=0,0,BL206/BL$299*100)</f>
        <v>0</v>
      </c>
      <c r="BN206" s="871">
        <v>0</v>
      </c>
      <c r="BO206" s="872">
        <f ca="1">IF(BN$299=0,0,BN206/BN$299*100)</f>
        <v>0</v>
      </c>
      <c r="BP206" s="871">
        <v>0</v>
      </c>
      <c r="BQ206" s="872">
        <f ca="1">IF(BP$299=0,0,BP206/BP$299*100)</f>
        <v>0</v>
      </c>
      <c r="BR206" s="854"/>
      <c r="BS206" s="854"/>
      <c r="BT206" s="854"/>
      <c r="BU206" s="854"/>
      <c r="BV206" s="854"/>
      <c r="BW206" s="854"/>
      <c r="BX206" s="854"/>
      <c r="BY206" s="854"/>
      <c r="BZ206" s="854"/>
      <c r="CA206" s="854"/>
      <c r="CB206" s="854"/>
      <c r="CC206" s="854"/>
      <c r="CD206" s="854"/>
      <c r="CE206" s="854"/>
      <c r="CF206" s="854"/>
      <c r="CG206" s="854" t="s">
        <v>45</v>
      </c>
    </row>
    <row r="207" spans="1:85" ht="15.75" customHeight="1">
      <c r="A207" s="847"/>
      <c r="B207" s="1302"/>
      <c r="C207" s="1330" t="str">
        <f>"Decrease in "&amp;+C39</f>
        <v>Decrease in Account Payables</v>
      </c>
      <c r="D207" s="1304"/>
      <c r="E207" s="1305"/>
      <c r="F207" s="1306"/>
      <c r="G207" s="1307">
        <f>IF(G39&lt;E39,E39-G39,0)</f>
        <v>0</v>
      </c>
      <c r="H207" s="1308"/>
      <c r="I207" s="1307">
        <f>IF(I39&lt;G39,G39-I39,0)</f>
        <v>0</v>
      </c>
      <c r="J207" s="1308"/>
      <c r="K207" s="1307">
        <f>IF(K39&lt;I39,I39-K39,0)</f>
        <v>0</v>
      </c>
      <c r="L207" s="1308"/>
      <c r="M207" s="848"/>
      <c r="N207" s="849"/>
      <c r="O207" s="850"/>
      <c r="P207" s="850"/>
      <c r="Q207" s="850"/>
      <c r="R207" s="850"/>
      <c r="S207" s="850"/>
      <c r="T207" s="851"/>
      <c r="U207" s="851"/>
      <c r="V207" s="851"/>
      <c r="W207" s="851"/>
      <c r="X207" s="851"/>
      <c r="Y207" s="851"/>
      <c r="Z207" s="851"/>
      <c r="AA207" s="851"/>
      <c r="AB207" s="851"/>
      <c r="AC207" s="851"/>
      <c r="AD207" s="851"/>
      <c r="AE207" s="851"/>
      <c r="AF207" s="851"/>
      <c r="AG207" s="851"/>
      <c r="AH207" s="852"/>
      <c r="AI207" s="852"/>
      <c r="AJ207" s="852"/>
      <c r="AK207" s="852"/>
      <c r="AL207" s="852"/>
      <c r="AM207" s="852"/>
      <c r="AN207" s="852"/>
      <c r="AO207" s="852"/>
      <c r="AP207" s="852"/>
      <c r="AQ207" s="852"/>
      <c r="AR207" s="852"/>
      <c r="AS207" s="852"/>
      <c r="AT207" s="852"/>
      <c r="AU207" s="852"/>
      <c r="AV207" s="852"/>
      <c r="AW207" s="852"/>
      <c r="AX207" s="849"/>
      <c r="AY207" s="847"/>
      <c r="AZ207" s="847"/>
      <c r="BA207" s="847"/>
      <c r="BB207" s="847"/>
      <c r="BC207" s="853"/>
      <c r="BD207" s="854"/>
      <c r="BE207" s="854"/>
      <c r="BF207" s="854"/>
      <c r="BG207" s="854"/>
      <c r="BH207" s="854"/>
      <c r="BI207" s="854"/>
      <c r="BJ207" s="854"/>
      <c r="BK207" s="854"/>
      <c r="BL207" s="854"/>
      <c r="BM207" s="854"/>
      <c r="BN207" s="854"/>
      <c r="BO207" s="854"/>
      <c r="BP207" s="854"/>
      <c r="BQ207" s="854"/>
      <c r="BR207" s="854"/>
      <c r="BS207" s="854"/>
      <c r="BT207" s="854"/>
      <c r="BU207" s="870"/>
      <c r="BV207" s="860"/>
      <c r="BW207" s="854"/>
      <c r="BX207" s="871"/>
      <c r="BY207" s="872"/>
      <c r="BZ207" s="871"/>
      <c r="CA207" s="872"/>
      <c r="CB207" s="871"/>
      <c r="CC207" s="872"/>
      <c r="CD207" s="871"/>
      <c r="CE207" s="872"/>
      <c r="CF207" s="854"/>
      <c r="CG207" s="854"/>
    </row>
    <row r="208" spans="1:85" ht="15.75" customHeight="1">
      <c r="A208" s="847"/>
      <c r="B208" s="1302"/>
      <c r="C208" s="1330" t="str">
        <f>"Decrease in "&amp;+C40</f>
        <v>Decrease in Tax Payables</v>
      </c>
      <c r="D208" s="1304"/>
      <c r="E208" s="1305"/>
      <c r="F208" s="1306"/>
      <c r="G208" s="1307">
        <f>IF(G40&lt;E40,E40-G40,0)</f>
        <v>0</v>
      </c>
      <c r="H208" s="1308"/>
      <c r="I208" s="1307">
        <f>IF(I40&lt;G40,G40-I40,0)</f>
        <v>0</v>
      </c>
      <c r="J208" s="1308"/>
      <c r="K208" s="1307">
        <f>IF(K40&lt;I40,I40-K40,0)</f>
        <v>0</v>
      </c>
      <c r="L208" s="1308"/>
      <c r="M208" s="848"/>
      <c r="N208" s="849"/>
      <c r="O208" s="850"/>
      <c r="P208" s="850"/>
      <c r="Q208" s="850"/>
      <c r="R208" s="850"/>
      <c r="S208" s="850"/>
      <c r="T208" s="851"/>
      <c r="U208" s="851"/>
      <c r="V208" s="851"/>
      <c r="W208" s="851"/>
      <c r="X208" s="851"/>
      <c r="Y208" s="851"/>
      <c r="Z208" s="851"/>
      <c r="AA208" s="851"/>
      <c r="AB208" s="851"/>
      <c r="AC208" s="851"/>
      <c r="AD208" s="851"/>
      <c r="AE208" s="851"/>
      <c r="AF208" s="851"/>
      <c r="AG208" s="851"/>
      <c r="AH208" s="852"/>
      <c r="AI208" s="852"/>
      <c r="AJ208" s="852"/>
      <c r="AK208" s="852"/>
      <c r="AL208" s="852"/>
      <c r="AM208" s="852"/>
      <c r="AN208" s="852"/>
      <c r="AO208" s="852"/>
      <c r="AP208" s="852"/>
      <c r="AQ208" s="852"/>
      <c r="AR208" s="852"/>
      <c r="AS208" s="852"/>
      <c r="AT208" s="852"/>
      <c r="AU208" s="852"/>
      <c r="AV208" s="852"/>
      <c r="AW208" s="852"/>
      <c r="AX208" s="849"/>
      <c r="AY208" s="847"/>
      <c r="AZ208" s="847"/>
      <c r="BA208" s="847"/>
      <c r="BB208" s="847"/>
      <c r="BC208" s="853"/>
      <c r="BD208" s="854"/>
      <c r="BE208" s="854"/>
      <c r="BF208" s="854"/>
      <c r="BG208" s="854"/>
      <c r="BH208" s="854"/>
      <c r="BI208" s="854"/>
      <c r="BJ208" s="854"/>
      <c r="BK208" s="854"/>
      <c r="BL208" s="854"/>
      <c r="BM208" s="854"/>
      <c r="BN208" s="854"/>
      <c r="BO208" s="854"/>
      <c r="BP208" s="854"/>
      <c r="BQ208" s="854"/>
      <c r="BR208" s="854"/>
      <c r="BS208" s="854"/>
      <c r="BT208" s="854"/>
      <c r="BU208" s="870"/>
      <c r="BV208" s="860"/>
      <c r="BW208" s="854"/>
      <c r="BX208" s="871"/>
      <c r="BY208" s="872"/>
      <c r="BZ208" s="871"/>
      <c r="CA208" s="872"/>
      <c r="CB208" s="871"/>
      <c r="CC208" s="872"/>
      <c r="CD208" s="871"/>
      <c r="CE208" s="872"/>
      <c r="CF208" s="854"/>
      <c r="CG208" s="854"/>
    </row>
    <row r="209" spans="1:85" ht="15.75" customHeight="1">
      <c r="A209" s="847"/>
      <c r="B209" s="1302"/>
      <c r="C209" s="1330" t="str">
        <f>"Decrease in "&amp;+C42</f>
        <v>Decrease in Accrued Expenses</v>
      </c>
      <c r="D209" s="1304"/>
      <c r="E209" s="1305"/>
      <c r="F209" s="1306"/>
      <c r="G209" s="1307">
        <f>IF(G42&lt;E42,E42-G42,0)</f>
        <v>0</v>
      </c>
      <c r="H209" s="1308"/>
      <c r="I209" s="1307">
        <f>IF(I42&lt;G42,G42-I42,0)</f>
        <v>0</v>
      </c>
      <c r="J209" s="1308"/>
      <c r="K209" s="1307">
        <f>IF(K42&lt;I42,I42-K42,0)</f>
        <v>0</v>
      </c>
      <c r="L209" s="1308"/>
      <c r="M209" s="848"/>
      <c r="N209" s="849"/>
      <c r="O209" s="850"/>
      <c r="P209" s="850"/>
      <c r="Q209" s="850"/>
      <c r="R209" s="850"/>
      <c r="S209" s="850"/>
      <c r="T209" s="851"/>
      <c r="U209" s="851"/>
      <c r="V209" s="851"/>
      <c r="W209" s="851"/>
      <c r="X209" s="851"/>
      <c r="Y209" s="851"/>
      <c r="Z209" s="851"/>
      <c r="AA209" s="851"/>
      <c r="AB209" s="851"/>
      <c r="AC209" s="851"/>
      <c r="AD209" s="851"/>
      <c r="AE209" s="851"/>
      <c r="AF209" s="851"/>
      <c r="AG209" s="851"/>
      <c r="AH209" s="852"/>
      <c r="AI209" s="852"/>
      <c r="AJ209" s="852"/>
      <c r="AK209" s="852"/>
      <c r="AL209" s="852"/>
      <c r="AM209" s="852"/>
      <c r="AN209" s="852"/>
      <c r="AO209" s="852"/>
      <c r="AP209" s="852"/>
      <c r="AQ209" s="852"/>
      <c r="AR209" s="852"/>
      <c r="AS209" s="852"/>
      <c r="AT209" s="852"/>
      <c r="AU209" s="852"/>
      <c r="AV209" s="852"/>
      <c r="AW209" s="852"/>
      <c r="AX209" s="849"/>
      <c r="AY209" s="847"/>
      <c r="AZ209" s="847"/>
      <c r="BA209" s="847"/>
      <c r="BB209" s="847"/>
      <c r="BC209" s="853"/>
      <c r="BD209" s="854"/>
      <c r="BE209" s="854"/>
      <c r="BF209" s="854"/>
      <c r="BG209" s="854"/>
      <c r="BH209" s="854"/>
      <c r="BI209" s="854"/>
      <c r="BJ209" s="854"/>
      <c r="BK209" s="854"/>
      <c r="BL209" s="854"/>
      <c r="BM209" s="854"/>
      <c r="BN209" s="854"/>
      <c r="BO209" s="854"/>
      <c r="BP209" s="854"/>
      <c r="BQ209" s="854"/>
      <c r="BR209" s="854"/>
      <c r="BS209" s="854"/>
      <c r="BT209" s="854"/>
      <c r="BU209" s="870"/>
      <c r="BV209" s="860"/>
      <c r="BW209" s="854"/>
      <c r="BX209" s="871"/>
      <c r="BY209" s="872"/>
      <c r="BZ209" s="871"/>
      <c r="CA209" s="872"/>
      <c r="CB209" s="871"/>
      <c r="CC209" s="872"/>
      <c r="CD209" s="871"/>
      <c r="CE209" s="872"/>
      <c r="CF209" s="854"/>
      <c r="CG209" s="854"/>
    </row>
    <row r="210" spans="1:85" ht="15.75" customHeight="1">
      <c r="A210" s="847"/>
      <c r="B210" s="1302"/>
      <c r="C210" s="1330" t="str">
        <f>"Decrease in "&amp;+C43</f>
        <v>Decrease in Customer Advances</v>
      </c>
      <c r="D210" s="1304"/>
      <c r="E210" s="1305"/>
      <c r="F210" s="1306"/>
      <c r="G210" s="1307">
        <f>IF(G43&lt;E43,E43-G43,0)</f>
        <v>0</v>
      </c>
      <c r="H210" s="1308"/>
      <c r="I210" s="1307">
        <f>IF(I43&lt;G43,G43-I43,0)</f>
        <v>0</v>
      </c>
      <c r="J210" s="1308"/>
      <c r="K210" s="1307">
        <f>IF(K43&lt;I43,I43-K43,0)</f>
        <v>0</v>
      </c>
      <c r="L210" s="1308"/>
      <c r="M210" s="848"/>
      <c r="N210" s="849"/>
      <c r="O210" s="850"/>
      <c r="P210" s="850"/>
      <c r="Q210" s="850"/>
      <c r="R210" s="850"/>
      <c r="S210" s="850"/>
      <c r="T210" s="851"/>
      <c r="U210" s="851"/>
      <c r="V210" s="851"/>
      <c r="W210" s="851"/>
      <c r="X210" s="851"/>
      <c r="Y210" s="851"/>
      <c r="Z210" s="851"/>
      <c r="AA210" s="851"/>
      <c r="AB210" s="851"/>
      <c r="AC210" s="851"/>
      <c r="AD210" s="851"/>
      <c r="AE210" s="851"/>
      <c r="AF210" s="851"/>
      <c r="AG210" s="851"/>
      <c r="AH210" s="852"/>
      <c r="AI210" s="852"/>
      <c r="AJ210" s="852"/>
      <c r="AK210" s="852"/>
      <c r="AL210" s="852"/>
      <c r="AM210" s="852"/>
      <c r="AN210" s="852"/>
      <c r="AO210" s="852"/>
      <c r="AP210" s="852"/>
      <c r="AQ210" s="852"/>
      <c r="AR210" s="852"/>
      <c r="AS210" s="852"/>
      <c r="AT210" s="852"/>
      <c r="AU210" s="852"/>
      <c r="AV210" s="852"/>
      <c r="AW210" s="852"/>
      <c r="AX210" s="849"/>
      <c r="AY210" s="847"/>
      <c r="AZ210" s="847"/>
      <c r="BA210" s="847"/>
      <c r="BB210" s="847"/>
      <c r="BC210" s="853"/>
      <c r="BD210" s="854"/>
      <c r="BE210" s="854"/>
      <c r="BF210" s="854"/>
      <c r="BG210" s="854"/>
      <c r="BH210" s="854"/>
      <c r="BI210" s="854"/>
      <c r="BJ210" s="854"/>
      <c r="BK210" s="854"/>
      <c r="BL210" s="854"/>
      <c r="BM210" s="854"/>
      <c r="BN210" s="854"/>
      <c r="BO210" s="854"/>
      <c r="BP210" s="854"/>
      <c r="BQ210" s="854"/>
      <c r="BR210" s="854"/>
      <c r="BS210" s="854"/>
      <c r="BT210" s="854"/>
      <c r="BU210" s="870"/>
      <c r="BV210" s="860"/>
      <c r="BW210" s="854"/>
      <c r="BX210" s="871"/>
      <c r="BY210" s="872"/>
      <c r="BZ210" s="871"/>
      <c r="CA210" s="872"/>
      <c r="CB210" s="871"/>
      <c r="CC210" s="872"/>
      <c r="CD210" s="871"/>
      <c r="CE210" s="872"/>
      <c r="CF210" s="854"/>
      <c r="CG210" s="854"/>
    </row>
    <row r="211" spans="1:85" ht="16.5" customHeight="1">
      <c r="A211" s="847"/>
      <c r="B211" s="1302"/>
      <c r="C211" s="1330" t="str">
        <f>"Decrease in "&amp;+C44</f>
        <v>Decrease in Deferred Liabilities</v>
      </c>
      <c r="D211" s="1304"/>
      <c r="E211" s="1305"/>
      <c r="F211" s="1306"/>
      <c r="G211" s="1307">
        <f>IF(G44&lt;E44,E44-G44,0)</f>
        <v>0</v>
      </c>
      <c r="H211" s="1308"/>
      <c r="I211" s="1307">
        <f>IF(I44&lt;G44,G44-I44,0)</f>
        <v>0</v>
      </c>
      <c r="J211" s="1308"/>
      <c r="K211" s="1307">
        <f>IF(K44&lt;I44,I44-K44,0)</f>
        <v>0</v>
      </c>
      <c r="L211" s="1308"/>
      <c r="M211" s="848"/>
      <c r="N211" s="849"/>
      <c r="O211" s="850"/>
      <c r="P211" s="850"/>
      <c r="Q211" s="850"/>
      <c r="R211" s="850"/>
      <c r="S211" s="850"/>
      <c r="T211" s="851"/>
      <c r="U211" s="851"/>
      <c r="V211" s="851"/>
      <c r="W211" s="851"/>
      <c r="X211" s="851"/>
      <c r="Y211" s="851"/>
      <c r="Z211" s="851"/>
      <c r="AA211" s="851"/>
      <c r="AB211" s="851"/>
      <c r="AC211" s="851"/>
      <c r="AD211" s="851"/>
      <c r="AE211" s="851"/>
      <c r="AF211" s="851"/>
      <c r="AG211" s="851"/>
      <c r="AH211" s="852"/>
      <c r="AI211" s="852"/>
      <c r="AJ211" s="852"/>
      <c r="AK211" s="852"/>
      <c r="AL211" s="852"/>
      <c r="AM211" s="852"/>
      <c r="AN211" s="852"/>
      <c r="AO211" s="852"/>
      <c r="AP211" s="852"/>
      <c r="AQ211" s="852"/>
      <c r="AR211" s="852"/>
      <c r="AS211" s="852"/>
      <c r="AT211" s="852"/>
      <c r="AU211" s="852"/>
      <c r="AV211" s="852"/>
      <c r="AW211" s="852"/>
      <c r="AX211" s="849"/>
      <c r="AY211" s="847"/>
      <c r="AZ211" s="847"/>
      <c r="BA211" s="847"/>
      <c r="BB211" s="847"/>
      <c r="BC211" s="853"/>
      <c r="BD211" s="854"/>
      <c r="BE211" s="854"/>
      <c r="BF211" s="854"/>
      <c r="BG211" s="870">
        <v>142</v>
      </c>
      <c r="BH211" s="860" t="s">
        <v>298</v>
      </c>
      <c r="BI211" s="854"/>
      <c r="BJ211" s="871">
        <v>0</v>
      </c>
      <c r="BK211" s="872">
        <f ca="1">IF(BJ$299=0,0,BJ211/BJ$299*100)</f>
        <v>0</v>
      </c>
      <c r="BL211" s="871">
        <v>0</v>
      </c>
      <c r="BM211" s="872">
        <f ca="1">IF(BL$299=0,0,BL211/BL$299*100)</f>
        <v>0</v>
      </c>
      <c r="BN211" s="871">
        <v>0</v>
      </c>
      <c r="BO211" s="872">
        <f ca="1">IF(BN$299=0,0,BN211/BN$299*100)</f>
        <v>0</v>
      </c>
      <c r="BP211" s="871">
        <v>0</v>
      </c>
      <c r="BQ211" s="872">
        <f ca="1">IF(BP$299=0,0,BP211/BP$299*100)</f>
        <v>0</v>
      </c>
      <c r="BR211" s="854"/>
      <c r="BS211" s="854"/>
      <c r="BT211" s="854"/>
      <c r="BU211" s="854"/>
      <c r="BV211" s="854"/>
      <c r="BW211" s="854"/>
      <c r="BX211" s="854"/>
      <c r="BY211" s="854"/>
      <c r="BZ211" s="854"/>
      <c r="CA211" s="854"/>
      <c r="CB211" s="854"/>
      <c r="CC211" s="854"/>
      <c r="CD211" s="854"/>
      <c r="CE211" s="854"/>
      <c r="CF211" s="854"/>
      <c r="CG211" s="854" t="s">
        <v>45</v>
      </c>
    </row>
    <row r="212" spans="1:85" ht="14.45">
      <c r="A212" s="847"/>
      <c r="B212" s="1302"/>
      <c r="C212" s="1330" t="str">
        <f>"Decrease in "&amp;+C45</f>
        <v>Decrease in Other Current Liabilities</v>
      </c>
      <c r="D212" s="1304"/>
      <c r="E212" s="1305"/>
      <c r="F212" s="1306"/>
      <c r="G212" s="1307">
        <f>IF(G45&lt;E45,E45-G45,0)</f>
        <v>0</v>
      </c>
      <c r="H212" s="1308"/>
      <c r="I212" s="1307">
        <f>IF(I45&lt;G45,G45-I45,0)</f>
        <v>0</v>
      </c>
      <c r="J212" s="1308"/>
      <c r="K212" s="1307">
        <f>IF(K45&lt;I45,I45-K45,0)</f>
        <v>0</v>
      </c>
      <c r="L212" s="1308"/>
      <c r="M212" s="862"/>
      <c r="N212" s="849"/>
      <c r="O212" s="850"/>
      <c r="P212" s="850"/>
      <c r="Q212" s="850"/>
      <c r="R212" s="850"/>
      <c r="S212" s="850"/>
      <c r="T212" s="851"/>
      <c r="U212" s="851"/>
      <c r="V212" s="851"/>
      <c r="W212" s="851"/>
      <c r="X212" s="851"/>
      <c r="Y212" s="851"/>
      <c r="Z212" s="851"/>
      <c r="AA212" s="851"/>
      <c r="AB212" s="851"/>
      <c r="AC212" s="851"/>
      <c r="AD212" s="851"/>
      <c r="AE212" s="851"/>
      <c r="AF212" s="851"/>
      <c r="AG212" s="851"/>
      <c r="AH212" s="852"/>
      <c r="AI212" s="852"/>
      <c r="AJ212" s="852"/>
      <c r="AK212" s="852"/>
      <c r="AL212" s="852"/>
      <c r="AM212" s="852"/>
      <c r="AN212" s="852"/>
      <c r="AO212" s="852"/>
      <c r="AP212" s="852"/>
      <c r="AQ212" s="852"/>
      <c r="AR212" s="852"/>
      <c r="AS212" s="852"/>
      <c r="AT212" s="852"/>
      <c r="AU212" s="852"/>
      <c r="AV212" s="852"/>
      <c r="AW212" s="852"/>
      <c r="AX212" s="849"/>
      <c r="AY212" s="847"/>
      <c r="AZ212" s="847"/>
      <c r="BA212" s="847"/>
      <c r="BB212" s="847"/>
      <c r="BC212" s="853"/>
      <c r="BD212" s="854"/>
      <c r="BE212" s="854"/>
      <c r="BF212" s="854"/>
      <c r="BG212" s="870">
        <v>143</v>
      </c>
      <c r="BH212" s="860" t="s">
        <v>299</v>
      </c>
      <c r="BI212" s="854"/>
      <c r="BJ212" s="871">
        <v>0</v>
      </c>
      <c r="BK212" s="872">
        <f ca="1">IF(BJ$299=0,0,BJ212/BJ$299*100)</f>
        <v>0</v>
      </c>
      <c r="BL212" s="871">
        <v>0</v>
      </c>
      <c r="BM212" s="872">
        <f ca="1">IF(BL$299=0,0,BL212/BL$299*100)</f>
        <v>0</v>
      </c>
      <c r="BN212" s="871">
        <v>0</v>
      </c>
      <c r="BO212" s="872">
        <f ca="1">IF(BN$299=0,0,BN212/BN$299*100)</f>
        <v>0</v>
      </c>
      <c r="BP212" s="871">
        <v>0</v>
      </c>
      <c r="BQ212" s="872">
        <f ca="1">IF(BP$299=0,0,BP212/BP$299*100)</f>
        <v>0</v>
      </c>
      <c r="BR212" s="854"/>
      <c r="BS212" s="854"/>
      <c r="BT212" s="854"/>
      <c r="BU212" s="854"/>
      <c r="BV212" s="854"/>
      <c r="BW212" s="854"/>
      <c r="BX212" s="854"/>
      <c r="BY212" s="854"/>
      <c r="BZ212" s="854"/>
      <c r="CA212" s="854"/>
      <c r="CB212" s="854"/>
      <c r="CC212" s="854"/>
      <c r="CD212" s="854"/>
      <c r="CE212" s="854"/>
      <c r="CF212" s="854"/>
      <c r="CG212" s="854" t="s">
        <v>45</v>
      </c>
    </row>
    <row r="213" spans="1:85" ht="16.5" customHeight="1">
      <c r="A213" s="847"/>
      <c r="B213" s="1302"/>
      <c r="C213" s="1330" t="str">
        <f>"Payments of "&amp;+C55</f>
        <v>Payments of Employee Benefit Liabilities</v>
      </c>
      <c r="D213" s="1304"/>
      <c r="E213" s="1305"/>
      <c r="F213" s="1306"/>
      <c r="G213" s="1307">
        <f>IF(G55&lt;E55,E55-G55,0)</f>
        <v>0</v>
      </c>
      <c r="H213" s="1308"/>
      <c r="I213" s="1307">
        <f>IF(I55&lt;G55,G55-I55,0)</f>
        <v>0</v>
      </c>
      <c r="J213" s="1308"/>
      <c r="K213" s="1307">
        <f>IF(K55&lt;I55,I55-K55,0)</f>
        <v>0</v>
      </c>
      <c r="L213" s="1308"/>
      <c r="M213" s="863"/>
      <c r="N213" s="849"/>
      <c r="O213" s="850"/>
      <c r="P213" s="850"/>
      <c r="Q213" s="850"/>
      <c r="R213" s="850"/>
      <c r="S213" s="850"/>
      <c r="T213" s="851"/>
      <c r="U213" s="851"/>
      <c r="V213" s="851"/>
      <c r="W213" s="851"/>
      <c r="X213" s="851"/>
      <c r="Y213" s="851"/>
      <c r="Z213" s="851"/>
      <c r="AA213" s="851"/>
      <c r="AB213" s="851"/>
      <c r="AC213" s="851"/>
      <c r="AD213" s="851"/>
      <c r="AE213" s="851"/>
      <c r="AF213" s="851"/>
      <c r="AG213" s="851"/>
      <c r="AH213" s="852"/>
      <c r="AI213" s="852"/>
      <c r="AJ213" s="852"/>
      <c r="AK213" s="852"/>
      <c r="AL213" s="852"/>
      <c r="AM213" s="852"/>
      <c r="AN213" s="852"/>
      <c r="AO213" s="852"/>
      <c r="AP213" s="852"/>
      <c r="AQ213" s="852"/>
      <c r="AR213" s="852"/>
      <c r="AS213" s="852"/>
      <c r="AT213" s="852"/>
      <c r="AU213" s="852"/>
      <c r="AV213" s="852"/>
      <c r="AW213" s="852"/>
      <c r="AX213" s="849"/>
      <c r="AY213" s="847"/>
      <c r="AZ213" s="847"/>
      <c r="BA213" s="847"/>
      <c r="BB213" s="847"/>
      <c r="BC213" s="853"/>
      <c r="BD213" s="854"/>
      <c r="BE213" s="854"/>
      <c r="BF213" s="854"/>
      <c r="BG213" s="870">
        <v>144</v>
      </c>
      <c r="BH213" s="860" t="s">
        <v>300</v>
      </c>
      <c r="BI213" s="854"/>
      <c r="BJ213" s="871">
        <v>0</v>
      </c>
      <c r="BK213" s="872">
        <f ca="1">IF(BJ$299=0,0,BJ213/BJ$299*100)</f>
        <v>0</v>
      </c>
      <c r="BL213" s="871">
        <v>0</v>
      </c>
      <c r="BM213" s="872">
        <f ca="1">IF(BL$299=0,0,BL213/BL$299*100)</f>
        <v>0</v>
      </c>
      <c r="BN213" s="871">
        <v>0</v>
      </c>
      <c r="BO213" s="872">
        <f ca="1">IF(BN$299=0,0,BN213/BN$299*100)</f>
        <v>0</v>
      </c>
      <c r="BP213" s="871">
        <v>0</v>
      </c>
      <c r="BQ213" s="872">
        <f ca="1">IF(BP$299=0,0,BP213/BP$299*100)</f>
        <v>0</v>
      </c>
      <c r="BR213" s="854"/>
      <c r="BS213" s="854"/>
      <c r="BT213" s="854"/>
      <c r="BU213" s="854"/>
      <c r="BV213" s="854"/>
      <c r="BW213" s="854"/>
      <c r="BX213" s="854"/>
      <c r="BY213" s="854"/>
      <c r="BZ213" s="854"/>
      <c r="CA213" s="854"/>
      <c r="CB213" s="854"/>
      <c r="CC213" s="854"/>
      <c r="CD213" s="854"/>
      <c r="CE213" s="854"/>
      <c r="CF213" s="854"/>
      <c r="CG213" s="854" t="s">
        <v>45</v>
      </c>
    </row>
    <row r="214" spans="1:85" ht="15.75" customHeight="1">
      <c r="A214" s="847"/>
      <c r="B214" s="1302"/>
      <c r="C214" s="1303" t="str">
        <f>"Payments of "&amp;C56</f>
        <v>Payments of Long Term Tax Payables</v>
      </c>
      <c r="D214" s="1304"/>
      <c r="E214" s="1305"/>
      <c r="F214" s="1306"/>
      <c r="G214" s="1307">
        <f>IF(G56&lt;E56,E56-G56,0)</f>
        <v>0</v>
      </c>
      <c r="H214" s="1308"/>
      <c r="I214" s="1307">
        <f>IF(I56&lt;G56,G56-I56,0)</f>
        <v>0</v>
      </c>
      <c r="J214" s="1308"/>
      <c r="K214" s="1307">
        <f>IF(K56&lt;I56,I56-K56,0)</f>
        <v>0</v>
      </c>
      <c r="L214" s="1308"/>
      <c r="M214" s="902"/>
      <c r="N214" s="849"/>
      <c r="O214" s="850"/>
      <c r="P214" s="850"/>
      <c r="Q214" s="850"/>
      <c r="R214" s="850"/>
      <c r="S214" s="850"/>
      <c r="T214" s="851"/>
      <c r="U214" s="851"/>
      <c r="V214" s="851"/>
      <c r="W214" s="851"/>
      <c r="X214" s="851"/>
      <c r="Y214" s="851"/>
      <c r="Z214" s="851"/>
      <c r="AA214" s="851"/>
      <c r="AB214" s="851"/>
      <c r="AC214" s="851"/>
      <c r="AD214" s="851"/>
      <c r="AE214" s="851"/>
      <c r="AF214" s="851"/>
      <c r="AG214" s="851"/>
      <c r="AH214" s="852"/>
      <c r="AI214" s="852"/>
      <c r="AJ214" s="852"/>
      <c r="AK214" s="852"/>
      <c r="AL214" s="852"/>
      <c r="AM214" s="852"/>
      <c r="AN214" s="852"/>
      <c r="AO214" s="852"/>
      <c r="AP214" s="852"/>
      <c r="AQ214" s="852"/>
      <c r="AR214" s="852"/>
      <c r="AS214" s="852"/>
      <c r="AT214" s="852"/>
      <c r="AU214" s="852"/>
      <c r="AV214" s="852"/>
      <c r="AW214" s="852"/>
      <c r="AX214" s="849"/>
      <c r="AY214" s="847"/>
      <c r="AZ214" s="847"/>
      <c r="BA214" s="847"/>
      <c r="BB214" s="847"/>
      <c r="BC214" s="853"/>
      <c r="BD214" s="854"/>
      <c r="BE214" s="854"/>
      <c r="BF214" s="854"/>
      <c r="BG214" s="854"/>
      <c r="BH214" s="854"/>
      <c r="BI214" s="854"/>
      <c r="BJ214" s="854"/>
      <c r="BK214" s="854"/>
      <c r="BL214" s="854"/>
      <c r="BM214" s="854"/>
      <c r="BN214" s="854"/>
      <c r="BO214" s="854"/>
      <c r="BP214" s="854"/>
      <c r="BQ214" s="854"/>
      <c r="BR214" s="854"/>
      <c r="BS214" s="854"/>
      <c r="BT214" s="854"/>
      <c r="BU214" s="870">
        <f>BG245+1</f>
        <v>174</v>
      </c>
      <c r="BV214" s="860" t="s">
        <v>301</v>
      </c>
      <c r="BW214" s="854"/>
      <c r="BX214" s="871">
        <v>0</v>
      </c>
      <c r="BY214" s="872">
        <f ca="1">IF(BJ$299=0,0,BX214/BJ$299*100)</f>
        <v>0</v>
      </c>
      <c r="BZ214" s="871">
        <v>0</v>
      </c>
      <c r="CA214" s="872">
        <f ca="1">IF(BL$299=0,0,BZ214/BL$299*100)</f>
        <v>0</v>
      </c>
      <c r="CB214" s="871">
        <v>0</v>
      </c>
      <c r="CC214" s="872">
        <f ca="1">IF(BN$299=0,0,CB214/BN$299*100)</f>
        <v>0</v>
      </c>
      <c r="CD214" s="871">
        <v>0</v>
      </c>
      <c r="CE214" s="872">
        <f ca="1">IF(BP$299=0,0,CD214/BP$299*100)</f>
        <v>0</v>
      </c>
      <c r="CF214" s="854"/>
      <c r="CG214" s="854" t="s">
        <v>45</v>
      </c>
    </row>
    <row r="215" spans="1:85" ht="15.75" customHeight="1">
      <c r="A215" s="847"/>
      <c r="B215" s="1331"/>
      <c r="C215" s="1271" t="s">
        <v>302</v>
      </c>
      <c r="D215" s="1332"/>
      <c r="E215" s="1333"/>
      <c r="F215" s="1334"/>
      <c r="G215" s="1335">
        <f>SUM(G198:G214)</f>
        <v>9</v>
      </c>
      <c r="H215" s="1336"/>
      <c r="I215" s="1335">
        <f>SUM(I198:I214)</f>
        <v>9</v>
      </c>
      <c r="J215" s="1336"/>
      <c r="K215" s="1335">
        <f>SUM(K198:K214)</f>
        <v>9</v>
      </c>
      <c r="L215" s="1337"/>
      <c r="M215" s="863"/>
      <c r="N215" s="849"/>
      <c r="O215" s="850"/>
      <c r="P215" s="850"/>
      <c r="Q215" s="850"/>
      <c r="R215" s="850"/>
      <c r="S215" s="850"/>
      <c r="T215" s="851"/>
      <c r="U215" s="851"/>
      <c r="V215" s="851"/>
      <c r="W215" s="851"/>
      <c r="X215" s="851"/>
      <c r="Y215" s="851"/>
      <c r="Z215" s="851"/>
      <c r="AA215" s="851"/>
      <c r="AB215" s="851"/>
      <c r="AC215" s="851"/>
      <c r="AD215" s="851"/>
      <c r="AE215" s="851"/>
      <c r="AF215" s="851"/>
      <c r="AG215" s="851"/>
      <c r="AH215" s="852"/>
      <c r="AI215" s="852"/>
      <c r="AJ215" s="852"/>
      <c r="AK215" s="852"/>
      <c r="AL215" s="852"/>
      <c r="AM215" s="852"/>
      <c r="AN215" s="852"/>
      <c r="AO215" s="852"/>
      <c r="AP215" s="852"/>
      <c r="AQ215" s="852"/>
      <c r="AR215" s="852"/>
      <c r="AS215" s="852"/>
      <c r="AT215" s="852"/>
      <c r="AU215" s="852"/>
      <c r="AV215" s="852"/>
      <c r="AW215" s="852"/>
      <c r="AX215" s="849"/>
      <c r="AY215" s="847"/>
      <c r="AZ215" s="847"/>
      <c r="BA215" s="847"/>
      <c r="BB215" s="847"/>
      <c r="BC215" s="853"/>
      <c r="BD215" s="854"/>
      <c r="BE215" s="854"/>
      <c r="BF215" s="854"/>
      <c r="BG215" s="870">
        <v>145</v>
      </c>
      <c r="BH215" s="860" t="s">
        <v>303</v>
      </c>
      <c r="BI215" s="854"/>
      <c r="BJ215" s="871">
        <v>0</v>
      </c>
      <c r="BK215" s="872">
        <f ca="1">IF(BJ$299=0,0,BJ215/BJ$299*100)</f>
        <v>0</v>
      </c>
      <c r="BL215" s="871">
        <v>0</v>
      </c>
      <c r="BM215" s="872">
        <f ca="1">IF(BL$299=0,0,BL215/BL$299*100)</f>
        <v>0</v>
      </c>
      <c r="BN215" s="871">
        <v>0</v>
      </c>
      <c r="BO215" s="872">
        <f ca="1">IF(BN$299=0,0,BN215/BN$299*100)</f>
        <v>0</v>
      </c>
      <c r="BP215" s="871">
        <v>0</v>
      </c>
      <c r="BQ215" s="872">
        <f ca="1">IF(BP$299=0,0,BP215/BP$299*100)</f>
        <v>0</v>
      </c>
      <c r="BR215" s="854"/>
      <c r="BS215" s="854"/>
      <c r="BT215" s="854"/>
      <c r="BU215" s="854"/>
      <c r="BV215" s="854"/>
      <c r="BW215" s="854"/>
      <c r="BX215" s="854"/>
      <c r="BY215" s="854"/>
      <c r="BZ215" s="854"/>
      <c r="CA215" s="854"/>
      <c r="CB215" s="854"/>
      <c r="CC215" s="854"/>
      <c r="CD215" s="854"/>
      <c r="CE215" s="854"/>
      <c r="CF215" s="854"/>
      <c r="CG215" s="854" t="s">
        <v>45</v>
      </c>
    </row>
    <row r="216" spans="1:85" ht="15.75" customHeight="1">
      <c r="A216" s="847"/>
      <c r="B216" s="1323"/>
      <c r="C216" s="1324" t="s">
        <v>304</v>
      </c>
      <c r="D216" s="1325"/>
      <c r="E216" s="1326"/>
      <c r="F216" s="1327"/>
      <c r="G216" s="1328">
        <f>G179+G197-G215</f>
        <v>16122</v>
      </c>
      <c r="H216" s="1329"/>
      <c r="I216" s="1328">
        <f>I179+I197-I215</f>
        <v>21743</v>
      </c>
      <c r="J216" s="1329"/>
      <c r="K216" s="1328">
        <f>K179+K197-K215</f>
        <v>21508</v>
      </c>
      <c r="L216" s="1329"/>
      <c r="M216" s="866"/>
      <c r="N216" s="849"/>
      <c r="O216" s="850"/>
      <c r="P216" s="850"/>
      <c r="Q216" s="850"/>
      <c r="R216" s="850"/>
      <c r="S216" s="850"/>
      <c r="T216" s="851"/>
      <c r="U216" s="851"/>
      <c r="V216" s="851"/>
      <c r="W216" s="851"/>
      <c r="X216" s="851"/>
      <c r="Y216" s="851"/>
      <c r="Z216" s="851"/>
      <c r="AA216" s="851"/>
      <c r="AB216" s="851"/>
      <c r="AC216" s="851"/>
      <c r="AD216" s="851"/>
      <c r="AE216" s="851"/>
      <c r="AF216" s="851"/>
      <c r="AG216" s="851"/>
      <c r="AH216" s="852"/>
      <c r="AI216" s="852"/>
      <c r="AJ216" s="852"/>
      <c r="AK216" s="852"/>
      <c r="AL216" s="852"/>
      <c r="AM216" s="852"/>
      <c r="AN216" s="852"/>
      <c r="AO216" s="852"/>
      <c r="AP216" s="852"/>
      <c r="AQ216" s="852"/>
      <c r="AR216" s="852"/>
      <c r="AS216" s="852"/>
      <c r="AT216" s="852"/>
      <c r="AU216" s="852"/>
      <c r="AV216" s="852"/>
      <c r="AW216" s="852"/>
      <c r="AX216" s="849"/>
      <c r="AY216" s="847"/>
      <c r="AZ216" s="847"/>
      <c r="BA216" s="847"/>
      <c r="BB216" s="847"/>
      <c r="BC216" s="853"/>
      <c r="BD216" s="854"/>
      <c r="BE216" s="854"/>
      <c r="BF216" s="854"/>
      <c r="BG216" s="870">
        <v>146</v>
      </c>
      <c r="BH216" s="860" t="s">
        <v>305</v>
      </c>
      <c r="BI216" s="854"/>
      <c r="BJ216" s="871">
        <v>0</v>
      </c>
      <c r="BK216" s="872">
        <f ca="1">IF(BJ$299=0,0,BJ216/BJ$299*100)</f>
        <v>0</v>
      </c>
      <c r="BL216" s="871">
        <v>0</v>
      </c>
      <c r="BM216" s="872">
        <f ca="1">IF(BL$299=0,0,BL216/BL$299*100)</f>
        <v>0</v>
      </c>
      <c r="BN216" s="871">
        <v>0</v>
      </c>
      <c r="BO216" s="872">
        <f ca="1">IF(BN$299=0,0,BN216/BN$299*100)</f>
        <v>0</v>
      </c>
      <c r="BP216" s="871">
        <v>0</v>
      </c>
      <c r="BQ216" s="872">
        <f ca="1">IF(BP$299=0,0,BP216/BP$299*100)</f>
        <v>0</v>
      </c>
      <c r="BR216" s="854"/>
      <c r="BS216" s="854"/>
      <c r="BT216" s="854"/>
      <c r="BU216" s="854"/>
      <c r="BV216" s="854"/>
      <c r="BW216" s="854"/>
      <c r="BX216" s="854"/>
      <c r="BY216" s="854"/>
      <c r="BZ216" s="854"/>
      <c r="CA216" s="854"/>
      <c r="CB216" s="854"/>
      <c r="CC216" s="854"/>
      <c r="CD216" s="854"/>
      <c r="CE216" s="854"/>
      <c r="CF216" s="854"/>
      <c r="CG216" s="854" t="s">
        <v>45</v>
      </c>
    </row>
    <row r="217" spans="1:85" ht="15.75" customHeight="1">
      <c r="A217" s="847"/>
      <c r="B217" s="1302"/>
      <c r="C217" s="1303" t="str">
        <f>"Additions to "&amp;C35</f>
        <v>Additions to Short-Term Bank Loan - BNI</v>
      </c>
      <c r="D217" s="1304"/>
      <c r="E217" s="1305"/>
      <c r="F217" s="1306"/>
      <c r="G217" s="1307">
        <f>IF(G35&gt;E35,G35-E35,0)</f>
        <v>1</v>
      </c>
      <c r="H217" s="1308"/>
      <c r="I217" s="1307">
        <f>IF(I35&gt;G35,I35-G35,0)</f>
        <v>1</v>
      </c>
      <c r="J217" s="1308"/>
      <c r="K217" s="1307">
        <f>IF(K35&gt;I35,K35-I35,0)</f>
        <v>1</v>
      </c>
      <c r="L217" s="1308"/>
      <c r="M217" s="848"/>
      <c r="N217" s="849"/>
      <c r="O217" s="850"/>
      <c r="P217" s="850"/>
      <c r="Q217" s="850"/>
      <c r="R217" s="850"/>
      <c r="S217" s="850"/>
      <c r="T217" s="851"/>
      <c r="U217" s="851"/>
      <c r="V217" s="851"/>
      <c r="W217" s="851"/>
      <c r="X217" s="851"/>
      <c r="Y217" s="851"/>
      <c r="Z217" s="851"/>
      <c r="AA217" s="851"/>
      <c r="AB217" s="851"/>
      <c r="AC217" s="851"/>
      <c r="AD217" s="851"/>
      <c r="AE217" s="851"/>
      <c r="AF217" s="851"/>
      <c r="AG217" s="851"/>
      <c r="AH217" s="852"/>
      <c r="AI217" s="852"/>
      <c r="AJ217" s="852"/>
      <c r="AK217" s="852"/>
      <c r="AL217" s="852"/>
      <c r="AM217" s="852"/>
      <c r="AN217" s="852"/>
      <c r="AO217" s="852"/>
      <c r="AP217" s="852"/>
      <c r="AQ217" s="852"/>
      <c r="AR217" s="852"/>
      <c r="AS217" s="852"/>
      <c r="AT217" s="852"/>
      <c r="AU217" s="852"/>
      <c r="AV217" s="852"/>
      <c r="AW217" s="852"/>
      <c r="AX217" s="849"/>
      <c r="AY217" s="847"/>
      <c r="AZ217" s="847"/>
      <c r="BA217" s="847"/>
      <c r="BB217" s="847"/>
      <c r="BC217" s="853"/>
      <c r="BD217" s="854"/>
      <c r="BE217" s="854"/>
      <c r="BF217" s="854"/>
      <c r="BG217" s="870">
        <v>147</v>
      </c>
      <c r="BH217" s="860" t="s">
        <v>306</v>
      </c>
      <c r="BI217" s="854"/>
      <c r="BJ217" s="871">
        <v>0</v>
      </c>
      <c r="BK217" s="872">
        <f ca="1">IF(BJ$299=0,0,BJ217/BJ$299*100)</f>
        <v>0</v>
      </c>
      <c r="BL217" s="871">
        <v>0</v>
      </c>
      <c r="BM217" s="872">
        <f ca="1">IF(BL$299=0,0,BL217/BL$299*100)</f>
        <v>0</v>
      </c>
      <c r="BN217" s="871">
        <v>0</v>
      </c>
      <c r="BO217" s="872">
        <f ca="1">IF(BN$299=0,0,BN217/BN$299*100)</f>
        <v>0</v>
      </c>
      <c r="BP217" s="871">
        <v>0</v>
      </c>
      <c r="BQ217" s="872">
        <f ca="1">IF(BP$299=0,0,BP217/BP$299*100)</f>
        <v>0</v>
      </c>
      <c r="BR217" s="854"/>
      <c r="BS217" s="854"/>
      <c r="BT217" s="854"/>
      <c r="BU217" s="854"/>
      <c r="BV217" s="854"/>
      <c r="BW217" s="854"/>
      <c r="BX217" s="854"/>
      <c r="BY217" s="854"/>
      <c r="BZ217" s="854"/>
      <c r="CA217" s="854"/>
      <c r="CB217" s="854"/>
      <c r="CC217" s="854"/>
      <c r="CD217" s="854"/>
      <c r="CE217" s="854"/>
      <c r="CF217" s="854"/>
      <c r="CG217" s="854" t="s">
        <v>45</v>
      </c>
    </row>
    <row r="218" spans="1:85" ht="15.75" customHeight="1">
      <c r="A218" s="847"/>
      <c r="B218" s="1302"/>
      <c r="C218" s="1303" t="str">
        <f>"Additions to "&amp;C36</f>
        <v>Additions to Short-Term Bank Loan - Other Banks</v>
      </c>
      <c r="D218" s="1304"/>
      <c r="E218" s="1305"/>
      <c r="F218" s="1306"/>
      <c r="G218" s="1307">
        <f>IF(G36&gt;E36,G36-E36,0)</f>
        <v>1</v>
      </c>
      <c r="H218" s="1308"/>
      <c r="I218" s="1307">
        <f>IF(I36&gt;G36,I36-G36,0)</f>
        <v>1</v>
      </c>
      <c r="J218" s="1308"/>
      <c r="K218" s="1307">
        <f>IF(K36&gt;I36,K36-I36,0)</f>
        <v>1</v>
      </c>
      <c r="L218" s="1308"/>
      <c r="M218" s="848"/>
      <c r="N218" s="849"/>
      <c r="O218" s="850"/>
      <c r="P218" s="850"/>
      <c r="Q218" s="850"/>
      <c r="R218" s="850"/>
      <c r="S218" s="850"/>
      <c r="T218" s="851"/>
      <c r="U218" s="851"/>
      <c r="V218" s="851"/>
      <c r="W218" s="851"/>
      <c r="X218" s="851"/>
      <c r="Y218" s="851"/>
      <c r="Z218" s="851"/>
      <c r="AA218" s="851"/>
      <c r="AB218" s="851"/>
      <c r="AC218" s="851"/>
      <c r="AD218" s="851"/>
      <c r="AE218" s="851"/>
      <c r="AF218" s="851"/>
      <c r="AG218" s="851"/>
      <c r="AH218" s="852"/>
      <c r="AI218" s="852"/>
      <c r="AJ218" s="852"/>
      <c r="AK218" s="852"/>
      <c r="AL218" s="852"/>
      <c r="AM218" s="852"/>
      <c r="AN218" s="852"/>
      <c r="AO218" s="852"/>
      <c r="AP218" s="852"/>
      <c r="AQ218" s="852"/>
      <c r="AR218" s="852"/>
      <c r="AS218" s="852"/>
      <c r="AT218" s="852"/>
      <c r="AU218" s="852"/>
      <c r="AV218" s="852"/>
      <c r="AW218" s="852"/>
      <c r="AX218" s="849"/>
      <c r="AY218" s="847"/>
      <c r="AZ218" s="847"/>
      <c r="BA218" s="847"/>
      <c r="BB218" s="847"/>
      <c r="BC218" s="853"/>
      <c r="BD218" s="854"/>
      <c r="BE218" s="854"/>
      <c r="BF218" s="854"/>
      <c r="BG218" s="870">
        <v>148</v>
      </c>
      <c r="BH218" s="860" t="s">
        <v>307</v>
      </c>
      <c r="BI218" s="854"/>
      <c r="BJ218" s="871">
        <v>0</v>
      </c>
      <c r="BK218" s="872">
        <f ca="1">IF(BJ$299=0,0,BJ218/BJ$299*100)</f>
        <v>0</v>
      </c>
      <c r="BL218" s="871">
        <v>0</v>
      </c>
      <c r="BM218" s="872">
        <f ca="1">IF(BL$299=0,0,BL218/BL$299*100)</f>
        <v>0</v>
      </c>
      <c r="BN218" s="871">
        <v>0</v>
      </c>
      <c r="BO218" s="872">
        <f ca="1">IF(BN$299=0,0,BN218/BN$299*100)</f>
        <v>0</v>
      </c>
      <c r="BP218" s="871">
        <v>0</v>
      </c>
      <c r="BQ218" s="872">
        <f ca="1">IF(BP$299=0,0,BP218/BP$299*100)</f>
        <v>0</v>
      </c>
      <c r="BR218" s="854"/>
      <c r="BS218" s="854"/>
      <c r="BT218" s="854"/>
      <c r="BU218" s="854"/>
      <c r="BV218" s="854"/>
      <c r="BW218" s="854"/>
      <c r="BX218" s="854"/>
      <c r="BY218" s="854"/>
      <c r="BZ218" s="854"/>
      <c r="CA218" s="854"/>
      <c r="CB218" s="854"/>
      <c r="CC218" s="854"/>
      <c r="CD218" s="854"/>
      <c r="CE218" s="854"/>
      <c r="CF218" s="854"/>
      <c r="CG218" s="854" t="s">
        <v>45</v>
      </c>
    </row>
    <row r="219" spans="1:85" ht="15.75" customHeight="1">
      <c r="A219" s="847"/>
      <c r="B219" s="1302"/>
      <c r="C219" s="1303" t="str">
        <f>"Additions to "&amp;C37</f>
        <v>Additions to LC / TR - BNI</v>
      </c>
      <c r="D219" s="1304"/>
      <c r="E219" s="1305"/>
      <c r="F219" s="1306"/>
      <c r="G219" s="1307">
        <f>IF(G37&gt;E37,G37-E37,0)</f>
        <v>1</v>
      </c>
      <c r="H219" s="1308"/>
      <c r="I219" s="1307">
        <f>IF(I37&gt;G37,I37-G37,0)</f>
        <v>1</v>
      </c>
      <c r="J219" s="1308"/>
      <c r="K219" s="1307">
        <f>IF(K37&gt;I37,K37-I37,0)</f>
        <v>1</v>
      </c>
      <c r="L219" s="1308"/>
      <c r="M219" s="848"/>
      <c r="N219" s="849"/>
      <c r="O219" s="850"/>
      <c r="P219" s="850"/>
      <c r="Q219" s="850"/>
      <c r="R219" s="850"/>
      <c r="S219" s="850"/>
      <c r="T219" s="851"/>
      <c r="U219" s="851"/>
      <c r="V219" s="851"/>
      <c r="W219" s="851"/>
      <c r="X219" s="851"/>
      <c r="Y219" s="851"/>
      <c r="Z219" s="851"/>
      <c r="AA219" s="851"/>
      <c r="AB219" s="851"/>
      <c r="AC219" s="851"/>
      <c r="AD219" s="851"/>
      <c r="AE219" s="851"/>
      <c r="AF219" s="851"/>
      <c r="AG219" s="851"/>
      <c r="AH219" s="852"/>
      <c r="AI219" s="852"/>
      <c r="AJ219" s="852"/>
      <c r="AK219" s="852"/>
      <c r="AL219" s="852"/>
      <c r="AM219" s="852"/>
      <c r="AN219" s="852"/>
      <c r="AO219" s="852"/>
      <c r="AP219" s="852"/>
      <c r="AQ219" s="852"/>
      <c r="AR219" s="852"/>
      <c r="AS219" s="852"/>
      <c r="AT219" s="852"/>
      <c r="AU219" s="852"/>
      <c r="AV219" s="852"/>
      <c r="AW219" s="852"/>
      <c r="AX219" s="849"/>
      <c r="AY219" s="847"/>
      <c r="AZ219" s="847"/>
      <c r="BA219" s="847"/>
      <c r="BB219" s="847"/>
      <c r="BC219" s="853"/>
      <c r="BD219" s="854"/>
      <c r="BE219" s="854"/>
      <c r="BF219" s="854"/>
      <c r="BG219" s="870"/>
      <c r="BH219" s="861"/>
      <c r="BI219" s="854"/>
      <c r="BJ219" s="878"/>
      <c r="BK219" s="872"/>
      <c r="BL219" s="878"/>
      <c r="BM219" s="872"/>
      <c r="BN219" s="878"/>
      <c r="BO219" s="872"/>
      <c r="BP219" s="878"/>
      <c r="BQ219" s="872"/>
      <c r="BR219" s="854"/>
      <c r="BS219" s="854"/>
      <c r="BT219" s="854"/>
      <c r="BU219" s="854"/>
      <c r="BV219" s="854"/>
      <c r="BW219" s="854"/>
      <c r="BX219" s="854"/>
      <c r="BY219" s="854"/>
      <c r="BZ219" s="854"/>
      <c r="CA219" s="854"/>
      <c r="CB219" s="854"/>
      <c r="CC219" s="854"/>
      <c r="CD219" s="854"/>
      <c r="CE219" s="854"/>
      <c r="CF219" s="854"/>
      <c r="CG219" s="854"/>
    </row>
    <row r="220" spans="1:85" ht="15.75" customHeight="1">
      <c r="A220" s="847"/>
      <c r="B220" s="1302"/>
      <c r="C220" s="1303" t="str">
        <f>"Additions to "&amp;C38</f>
        <v>Additions to LC / TR - Other Banks</v>
      </c>
      <c r="E220" s="1305"/>
      <c r="F220" s="1306"/>
      <c r="G220" s="1307">
        <f>IF(G38&gt;E38,G38-E38,0)</f>
        <v>1</v>
      </c>
      <c r="H220" s="1308"/>
      <c r="I220" s="1307">
        <f>IF(I38&gt;G38,I38-G38,0)</f>
        <v>1</v>
      </c>
      <c r="J220" s="1308"/>
      <c r="K220" s="1307">
        <f>IF(K38&gt;I38,K38-I38,0)</f>
        <v>1</v>
      </c>
      <c r="L220" s="1308"/>
      <c r="M220" s="902"/>
      <c r="N220" s="849"/>
      <c r="O220" s="850"/>
      <c r="P220" s="850"/>
      <c r="Q220" s="850"/>
      <c r="R220" s="850"/>
      <c r="S220" s="850"/>
      <c r="T220" s="851"/>
      <c r="U220" s="851"/>
      <c r="V220" s="851"/>
      <c r="W220" s="851"/>
      <c r="X220" s="851"/>
      <c r="Y220" s="851"/>
      <c r="Z220" s="851"/>
      <c r="AA220" s="851"/>
      <c r="AB220" s="851"/>
      <c r="AC220" s="851"/>
      <c r="AD220" s="851"/>
      <c r="AE220" s="851"/>
      <c r="AF220" s="851"/>
      <c r="AG220" s="851"/>
      <c r="AH220" s="852"/>
      <c r="AI220" s="852"/>
      <c r="AJ220" s="852"/>
      <c r="AK220" s="852"/>
      <c r="AL220" s="852"/>
      <c r="AM220" s="852"/>
      <c r="AN220" s="852"/>
      <c r="AO220" s="852"/>
      <c r="AP220" s="852"/>
      <c r="AQ220" s="852"/>
      <c r="AR220" s="852"/>
      <c r="AS220" s="852"/>
      <c r="AT220" s="852"/>
      <c r="AU220" s="852"/>
      <c r="AV220" s="852"/>
      <c r="AW220" s="852"/>
      <c r="AX220" s="849"/>
      <c r="AY220" s="847"/>
      <c r="AZ220" s="847"/>
      <c r="BA220" s="847"/>
      <c r="BB220" s="847"/>
      <c r="BC220" s="853"/>
      <c r="BD220" s="854"/>
      <c r="BE220" s="854"/>
      <c r="BF220" s="854"/>
      <c r="BG220" s="870">
        <v>149</v>
      </c>
      <c r="BH220" s="860" t="s">
        <v>308</v>
      </c>
      <c r="BI220" s="854"/>
      <c r="BJ220" s="871">
        <v>0</v>
      </c>
      <c r="BK220" s="872">
        <f ca="1">IF(BJ$299=0,0,BJ220/BJ$299*100)</f>
        <v>0</v>
      </c>
      <c r="BL220" s="871">
        <v>0</v>
      </c>
      <c r="BM220" s="872">
        <f ca="1">IF(BL$299=0,0,BL220/BL$299*100)</f>
        <v>0</v>
      </c>
      <c r="BN220" s="871">
        <v>0</v>
      </c>
      <c r="BO220" s="872">
        <f ca="1">IF(BN$299=0,0,BN220/BN$299*100)</f>
        <v>0</v>
      </c>
      <c r="BP220" s="871">
        <v>0</v>
      </c>
      <c r="BQ220" s="872">
        <f ca="1">IF(BP$299=0,0,BP220/BP$299*100)</f>
        <v>0</v>
      </c>
      <c r="BR220" s="854"/>
      <c r="BS220" s="854"/>
      <c r="BT220" s="854"/>
      <c r="BU220" s="854"/>
      <c r="BV220" s="854"/>
      <c r="BW220" s="854"/>
      <c r="BX220" s="854"/>
      <c r="BY220" s="854"/>
      <c r="BZ220" s="854"/>
      <c r="CA220" s="854"/>
      <c r="CB220" s="854"/>
      <c r="CC220" s="854"/>
      <c r="CD220" s="854"/>
      <c r="CE220" s="854"/>
      <c r="CF220" s="854"/>
      <c r="CG220" s="854" t="s">
        <v>45</v>
      </c>
    </row>
    <row r="221" spans="1:85" ht="15.75" customHeight="1">
      <c r="A221" s="847"/>
      <c r="B221" s="1302"/>
      <c r="C221" s="1303" t="str">
        <f>"Additions to "&amp;C51</f>
        <v>Additions to Long-Term Bank Loans - BNI</v>
      </c>
      <c r="D221" s="1304"/>
      <c r="E221" s="1305"/>
      <c r="F221" s="1306"/>
      <c r="G221" s="1307">
        <f>IF((G46+G51)&gt;(E46+E51),(G46+G51)-(E46+E51),0)</f>
        <v>2</v>
      </c>
      <c r="H221" s="1308"/>
      <c r="I221" s="1307">
        <f>IF((I46+I51)&gt;(G46+G51),(I46+I51)-(G46+G51),0)</f>
        <v>2</v>
      </c>
      <c r="J221" s="1308"/>
      <c r="K221" s="1307">
        <f>IF((K46+K51)&gt;(I46+I51),(K46+K51)-(I46+I51),0)</f>
        <v>2</v>
      </c>
      <c r="L221" s="1308"/>
      <c r="M221" s="848"/>
      <c r="N221" s="849"/>
      <c r="O221" s="850"/>
      <c r="P221" s="850"/>
      <c r="Q221" s="850"/>
      <c r="R221" s="850"/>
      <c r="S221" s="850"/>
      <c r="T221" s="851"/>
      <c r="U221" s="851"/>
      <c r="V221" s="851"/>
      <c r="W221" s="851"/>
      <c r="X221" s="851"/>
      <c r="Y221" s="851"/>
      <c r="Z221" s="851"/>
      <c r="AA221" s="851"/>
      <c r="AB221" s="851"/>
      <c r="AC221" s="851"/>
      <c r="AD221" s="851"/>
      <c r="AE221" s="851"/>
      <c r="AF221" s="851"/>
      <c r="AG221" s="851"/>
      <c r="AH221" s="852"/>
      <c r="AI221" s="852"/>
      <c r="AJ221" s="852"/>
      <c r="AK221" s="852"/>
      <c r="AL221" s="852"/>
      <c r="AM221" s="852"/>
      <c r="AN221" s="852"/>
      <c r="AO221" s="852"/>
      <c r="AP221" s="852"/>
      <c r="AQ221" s="852"/>
      <c r="AR221" s="852"/>
      <c r="AS221" s="852"/>
      <c r="AT221" s="852"/>
      <c r="AU221" s="852"/>
      <c r="AV221" s="852"/>
      <c r="AW221" s="852"/>
      <c r="AX221" s="849"/>
      <c r="AY221" s="847"/>
      <c r="AZ221" s="847"/>
      <c r="BA221" s="847"/>
      <c r="BB221" s="847"/>
      <c r="BC221" s="853"/>
      <c r="BD221" s="854"/>
      <c r="BE221" s="854"/>
      <c r="BF221" s="854"/>
      <c r="BG221" s="870">
        <v>151</v>
      </c>
      <c r="BH221" s="860" t="s">
        <v>309</v>
      </c>
      <c r="BI221" s="854"/>
      <c r="BJ221" s="871">
        <v>0</v>
      </c>
      <c r="BK221" s="872">
        <f ca="1">IF(BJ$299=0,0,BJ221/BJ$299*100)</f>
        <v>0</v>
      </c>
      <c r="BL221" s="871">
        <v>0</v>
      </c>
      <c r="BM221" s="872">
        <f ca="1">IF(BL$299=0,0,BL221/BL$299*100)</f>
        <v>0</v>
      </c>
      <c r="BN221" s="871">
        <v>0</v>
      </c>
      <c r="BO221" s="872">
        <f ca="1">IF(BN$299=0,0,BN221/BN$299*100)</f>
        <v>0</v>
      </c>
      <c r="BP221" s="871">
        <v>0</v>
      </c>
      <c r="BQ221" s="872">
        <f ca="1">IF(BP$299=0,0,BP221/BP$299*100)</f>
        <v>0</v>
      </c>
      <c r="BR221" s="854"/>
      <c r="BS221" s="854"/>
      <c r="BT221" s="854"/>
      <c r="BU221" s="854"/>
      <c r="BV221" s="854"/>
      <c r="BW221" s="854"/>
      <c r="BX221" s="854"/>
      <c r="BY221" s="854"/>
      <c r="BZ221" s="854"/>
      <c r="CA221" s="854"/>
      <c r="CB221" s="854"/>
      <c r="CC221" s="854"/>
      <c r="CD221" s="854"/>
      <c r="CE221" s="854"/>
      <c r="CF221" s="854"/>
      <c r="CG221" s="854" t="s">
        <v>45</v>
      </c>
    </row>
    <row r="222" spans="1:85" ht="15.75" customHeight="1">
      <c r="A222" s="847"/>
      <c r="B222" s="1302"/>
      <c r="C222" s="1303" t="str">
        <f>"Additions to "&amp;C52</f>
        <v>Additions to Long-Term Bank Loans  - Other Banks</v>
      </c>
      <c r="D222" s="1304"/>
      <c r="E222" s="1305"/>
      <c r="F222" s="1306"/>
      <c r="G222" s="1307">
        <f>IF((G47+G52)&gt;(E47+E52),(G47+G52)-(E47+E52),0)</f>
        <v>2</v>
      </c>
      <c r="H222" s="1308"/>
      <c r="I222" s="1307">
        <f>IF((I47+I52)&gt;(G47+G52),(I47+I52)-(G47+G52),0)</f>
        <v>2</v>
      </c>
      <c r="J222" s="1308"/>
      <c r="K222" s="1307">
        <f>IF((K47+K52)&gt;(I47+I52),(K47+K52)-(I47+I52),0)</f>
        <v>2</v>
      </c>
      <c r="L222" s="1308"/>
      <c r="M222" s="848"/>
      <c r="N222" s="849"/>
      <c r="O222" s="850"/>
      <c r="P222" s="850"/>
      <c r="Q222" s="850"/>
      <c r="R222" s="850"/>
      <c r="S222" s="850"/>
      <c r="T222" s="851"/>
      <c r="U222" s="851"/>
      <c r="V222" s="851"/>
      <c r="W222" s="851"/>
      <c r="X222" s="851"/>
      <c r="Y222" s="851"/>
      <c r="Z222" s="851"/>
      <c r="AA222" s="851"/>
      <c r="AB222" s="851"/>
      <c r="AC222" s="851"/>
      <c r="AD222" s="851"/>
      <c r="AE222" s="851"/>
      <c r="AF222" s="851"/>
      <c r="AG222" s="851"/>
      <c r="AH222" s="852"/>
      <c r="AI222" s="852"/>
      <c r="AJ222" s="852"/>
      <c r="AK222" s="852"/>
      <c r="AL222" s="852"/>
      <c r="AM222" s="852"/>
      <c r="AN222" s="852"/>
      <c r="AO222" s="852"/>
      <c r="AP222" s="852"/>
      <c r="AQ222" s="852"/>
      <c r="AR222" s="852"/>
      <c r="AS222" s="852"/>
      <c r="AT222" s="852"/>
      <c r="AU222" s="852"/>
      <c r="AV222" s="852"/>
      <c r="AW222" s="852"/>
      <c r="AX222" s="849"/>
      <c r="AY222" s="847"/>
      <c r="AZ222" s="847"/>
      <c r="BA222" s="847"/>
      <c r="BB222" s="847"/>
      <c r="BC222" s="853"/>
      <c r="BD222" s="854"/>
      <c r="BE222" s="854"/>
      <c r="BF222" s="854"/>
      <c r="BG222" s="870">
        <v>150</v>
      </c>
      <c r="BH222" s="860" t="s">
        <v>310</v>
      </c>
      <c r="BI222" s="854"/>
      <c r="BJ222" s="871">
        <v>0</v>
      </c>
      <c r="BK222" s="872">
        <f ca="1">IF(BJ$299=0,0,BJ222/BJ$299*100)</f>
        <v>0</v>
      </c>
      <c r="BL222" s="871">
        <v>0</v>
      </c>
      <c r="BM222" s="872">
        <f ca="1">IF(BL$299=0,0,BL222/BL$299*100)</f>
        <v>0</v>
      </c>
      <c r="BN222" s="871">
        <v>0</v>
      </c>
      <c r="BO222" s="872">
        <f ca="1">IF(BN$299=0,0,BN222/BN$299*100)</f>
        <v>0</v>
      </c>
      <c r="BP222" s="871">
        <v>0</v>
      </c>
      <c r="BQ222" s="872">
        <f ca="1">IF(BP$299=0,0,BP222/BP$299*100)</f>
        <v>0</v>
      </c>
      <c r="BR222" s="854"/>
      <c r="BS222" s="854"/>
      <c r="BT222" s="854"/>
      <c r="BU222" s="854"/>
      <c r="BV222" s="854"/>
      <c r="BW222" s="854"/>
      <c r="BX222" s="854"/>
      <c r="BY222" s="854"/>
      <c r="BZ222" s="854"/>
      <c r="CA222" s="854"/>
      <c r="CB222" s="854"/>
      <c r="CC222" s="854"/>
      <c r="CD222" s="854"/>
      <c r="CE222" s="854"/>
      <c r="CF222" s="854"/>
      <c r="CG222" s="854" t="s">
        <v>45</v>
      </c>
    </row>
    <row r="223" spans="1:85" ht="15.75" customHeight="1">
      <c r="A223" s="847"/>
      <c r="B223" s="1302"/>
      <c r="C223" s="1303" t="str">
        <f>"Additions to "&amp;C53</f>
        <v>Additions to Lease Liabilities</v>
      </c>
      <c r="D223" s="1304"/>
      <c r="E223" s="1305"/>
      <c r="F223" s="1306"/>
      <c r="G223" s="1307">
        <f>IF((G48+G53)&gt;(E48+E53),(G48+G53)-(E48+E53),0)</f>
        <v>2</v>
      </c>
      <c r="H223" s="1308"/>
      <c r="I223" s="1307">
        <f>IF((I48+I53)&gt;(G48+G53),(I48+I53)-(G48+G53),0)</f>
        <v>2</v>
      </c>
      <c r="J223" s="1308"/>
      <c r="K223" s="1307">
        <f>IF((K48+K53)&gt;(I48+I53),(K48+K53)-(I48+I53),0)</f>
        <v>2</v>
      </c>
      <c r="L223" s="1308"/>
      <c r="M223" s="848"/>
      <c r="N223" s="849"/>
      <c r="O223" s="850"/>
      <c r="P223" s="850"/>
      <c r="Q223" s="850"/>
      <c r="R223" s="850"/>
      <c r="S223" s="850"/>
      <c r="T223" s="851"/>
      <c r="U223" s="851"/>
      <c r="V223" s="851"/>
      <c r="W223" s="851"/>
      <c r="X223" s="851"/>
      <c r="Y223" s="851"/>
      <c r="Z223" s="851"/>
      <c r="AA223" s="851"/>
      <c r="AB223" s="851"/>
      <c r="AC223" s="851"/>
      <c r="AD223" s="851"/>
      <c r="AE223" s="851"/>
      <c r="AF223" s="851"/>
      <c r="AG223" s="851"/>
      <c r="AH223" s="852"/>
      <c r="AI223" s="852"/>
      <c r="AJ223" s="852"/>
      <c r="AK223" s="852"/>
      <c r="AL223" s="852"/>
      <c r="AM223" s="852"/>
      <c r="AN223" s="852"/>
      <c r="AO223" s="852"/>
      <c r="AP223" s="852"/>
      <c r="AQ223" s="852"/>
      <c r="AR223" s="852"/>
      <c r="AS223" s="852"/>
      <c r="AT223" s="852"/>
      <c r="AU223" s="852"/>
      <c r="AV223" s="852"/>
      <c r="AW223" s="852"/>
      <c r="AX223" s="849"/>
      <c r="AY223" s="847"/>
      <c r="AZ223" s="847"/>
      <c r="BA223" s="847"/>
      <c r="BB223" s="847"/>
      <c r="BC223" s="853"/>
      <c r="BD223" s="854"/>
      <c r="BE223" s="854"/>
      <c r="BF223" s="854"/>
      <c r="BG223" s="854"/>
      <c r="BH223" s="854"/>
      <c r="BI223" s="854"/>
      <c r="BJ223" s="854"/>
      <c r="BK223" s="854"/>
      <c r="BL223" s="854"/>
      <c r="BM223" s="854"/>
      <c r="BN223" s="854"/>
      <c r="BO223" s="854"/>
      <c r="BP223" s="854"/>
      <c r="BQ223" s="854"/>
      <c r="BR223" s="854"/>
      <c r="BS223" s="854"/>
      <c r="BT223" s="854"/>
      <c r="BU223" s="870">
        <v>151</v>
      </c>
      <c r="BV223" s="860" t="s">
        <v>311</v>
      </c>
      <c r="BW223" s="854"/>
      <c r="BX223" s="871">
        <v>2083.333333</v>
      </c>
      <c r="BY223" s="872">
        <f ca="1">IF(BJ$299=0,0,BX223/BJ$299*100)</f>
        <v>146.54375190597295</v>
      </c>
      <c r="BZ223" s="871">
        <v>0</v>
      </c>
      <c r="CA223" s="872">
        <f ca="1">IF(BL$299=0,0,BZ223/BL$299*100)</f>
        <v>0</v>
      </c>
      <c r="CB223" s="871">
        <v>0</v>
      </c>
      <c r="CC223" s="872">
        <f ca="1">IF(BN$299=0,0,CB223/BN$299*100)</f>
        <v>0</v>
      </c>
      <c r="CD223" s="871">
        <v>0</v>
      </c>
      <c r="CE223" s="872">
        <f ca="1">IF(BP$299=0,0,CD223/BP$299*100)</f>
        <v>0</v>
      </c>
      <c r="CF223" s="854"/>
      <c r="CG223" s="854" t="s">
        <v>45</v>
      </c>
    </row>
    <row r="224" spans="1:85" ht="15.75" customHeight="1">
      <c r="A224" s="847"/>
      <c r="B224" s="1302"/>
      <c r="C224" s="1303" t="str">
        <f>"Additions to "&amp;C54</f>
        <v>Additions to Long-Term Debts - Bonds/MTN/Securities</v>
      </c>
      <c r="D224" s="1304"/>
      <c r="E224" s="1305"/>
      <c r="F224" s="1306"/>
      <c r="G224" s="1307">
        <f>IF((G49+G54)&gt;(E49+E54),(G49+G54)-(E49+E54),0)</f>
        <v>2</v>
      </c>
      <c r="H224" s="1308"/>
      <c r="I224" s="1307">
        <f>IF((I49+I54)&gt;(G49+G54),(I49+I54)-(G49+G54),0)</f>
        <v>2</v>
      </c>
      <c r="J224" s="1308"/>
      <c r="K224" s="1307">
        <f>IF((K49+K54)&gt;(I49+I54),(K49+K54)-(I49+I54),0)</f>
        <v>2</v>
      </c>
      <c r="L224" s="1308"/>
      <c r="M224" s="848"/>
      <c r="N224" s="849"/>
      <c r="O224" s="850"/>
      <c r="P224" s="850"/>
      <c r="Q224" s="850"/>
      <c r="R224" s="850"/>
      <c r="S224" s="850"/>
      <c r="T224" s="851"/>
      <c r="U224" s="851"/>
      <c r="V224" s="851"/>
      <c r="W224" s="851"/>
      <c r="X224" s="851"/>
      <c r="Y224" s="851"/>
      <c r="Z224" s="851"/>
      <c r="AA224" s="851"/>
      <c r="AB224" s="851"/>
      <c r="AC224" s="851"/>
      <c r="AD224" s="851"/>
      <c r="AE224" s="851"/>
      <c r="AF224" s="851"/>
      <c r="AG224" s="851"/>
      <c r="AH224" s="852"/>
      <c r="AI224" s="852"/>
      <c r="AJ224" s="852"/>
      <c r="AK224" s="852"/>
      <c r="AL224" s="852"/>
      <c r="AM224" s="852"/>
      <c r="AN224" s="852"/>
      <c r="AO224" s="852"/>
      <c r="AP224" s="852"/>
      <c r="AQ224" s="852"/>
      <c r="AR224" s="852"/>
      <c r="AS224" s="852"/>
      <c r="AT224" s="852"/>
      <c r="AU224" s="852"/>
      <c r="AV224" s="852"/>
      <c r="AW224" s="852"/>
      <c r="AX224" s="849"/>
      <c r="AY224" s="847"/>
      <c r="AZ224" s="847"/>
      <c r="BA224" s="847"/>
      <c r="BB224" s="847"/>
      <c r="BC224" s="853"/>
      <c r="BD224" s="854"/>
      <c r="BE224" s="854"/>
      <c r="BF224" s="854"/>
      <c r="BG224" s="854"/>
      <c r="BH224" s="854"/>
      <c r="BI224" s="854"/>
      <c r="BJ224" s="854"/>
      <c r="BK224" s="854"/>
      <c r="BL224" s="854"/>
      <c r="BM224" s="854"/>
      <c r="BN224" s="854"/>
      <c r="BO224" s="854"/>
      <c r="BP224" s="854"/>
      <c r="BQ224" s="854"/>
      <c r="BR224" s="854"/>
      <c r="BS224" s="854"/>
      <c r="BT224" s="854"/>
      <c r="BU224" s="870">
        <f>+BU223+1</f>
        <v>152</v>
      </c>
      <c r="BV224" s="860" t="s">
        <v>312</v>
      </c>
      <c r="BW224" s="854"/>
      <c r="BX224" s="871">
        <v>87735.701042999994</v>
      </c>
      <c r="BY224" s="872">
        <f ca="1">IF(BJ$299=0,0,BX224/BJ$299*100)</f>
        <v>6171.4170283195881</v>
      </c>
      <c r="BZ224" s="871">
        <v>182523.53704200001</v>
      </c>
      <c r="CA224" s="872">
        <f ca="1">IF(BL$299=0,0,BZ224/BL$299*100)</f>
        <v>814.82121985009644</v>
      </c>
      <c r="CB224" s="871">
        <v>181993.53704200001</v>
      </c>
      <c r="CC224" s="872">
        <f ca="1">IF(BN$299=0,0,CB224/BN$299*100)</f>
        <v>627.40946666478101</v>
      </c>
      <c r="CD224" s="871">
        <v>87735.701042999994</v>
      </c>
      <c r="CE224" s="872">
        <f ca="1">IF(BP$299=0,0,CD224/BP$299*100)</f>
        <v>22.757746355422775</v>
      </c>
      <c r="CF224" s="854"/>
      <c r="CG224" s="854" t="s">
        <v>45</v>
      </c>
    </row>
    <row r="225" spans="1:85" ht="15.75" customHeight="1">
      <c r="A225" s="847"/>
      <c r="B225" s="1302"/>
      <c r="C225" s="1303" t="str">
        <f>"Additions to "&amp;C41</f>
        <v>Additions to Shareholder &amp; Related Parties Loans- Short Term</v>
      </c>
      <c r="D225" s="1304"/>
      <c r="E225" s="1305"/>
      <c r="F225" s="1306"/>
      <c r="G225" s="1307">
        <f>IF((G41)&gt;(E41),(G41)-(E41),0)</f>
        <v>1</v>
      </c>
      <c r="H225" s="1308"/>
      <c r="I225" s="1307">
        <f>IF((I41)&gt;(G41),(I41)-(G41),0)</f>
        <v>1</v>
      </c>
      <c r="J225" s="1308"/>
      <c r="K225" s="1307">
        <f>IF((K41)&gt;(I41),(K41)-(I41),0)</f>
        <v>1</v>
      </c>
      <c r="L225" s="1308"/>
      <c r="M225" s="848"/>
      <c r="N225" s="849"/>
      <c r="O225" s="850"/>
      <c r="P225" s="850"/>
      <c r="Q225" s="850"/>
      <c r="R225" s="850"/>
      <c r="S225" s="850"/>
      <c r="T225" s="851"/>
      <c r="U225" s="851"/>
      <c r="V225" s="851"/>
      <c r="W225" s="851"/>
      <c r="X225" s="851"/>
      <c r="Y225" s="851"/>
      <c r="Z225" s="851"/>
      <c r="AA225" s="851"/>
      <c r="AB225" s="851"/>
      <c r="AC225" s="851"/>
      <c r="AD225" s="851"/>
      <c r="AE225" s="851"/>
      <c r="AF225" s="851"/>
      <c r="AG225" s="851"/>
      <c r="AH225" s="852"/>
      <c r="AI225" s="852"/>
      <c r="AJ225" s="852"/>
      <c r="AK225" s="852"/>
      <c r="AL225" s="852"/>
      <c r="AM225" s="852"/>
      <c r="AN225" s="852"/>
      <c r="AO225" s="852"/>
      <c r="AP225" s="852"/>
      <c r="AQ225" s="852"/>
      <c r="AR225" s="852"/>
      <c r="AS225" s="852"/>
      <c r="AT225" s="852"/>
      <c r="AU225" s="852"/>
      <c r="AV225" s="852"/>
      <c r="AW225" s="852"/>
      <c r="AX225" s="849"/>
      <c r="AY225" s="847"/>
      <c r="AZ225" s="847"/>
      <c r="BA225" s="847"/>
      <c r="BB225" s="847"/>
      <c r="BC225" s="853"/>
      <c r="BD225" s="854"/>
      <c r="BE225" s="854"/>
      <c r="BF225" s="854"/>
      <c r="BG225" s="870">
        <v>157</v>
      </c>
      <c r="BH225" s="860" t="s">
        <v>313</v>
      </c>
      <c r="BI225" s="884"/>
      <c r="BJ225" s="871">
        <v>0</v>
      </c>
      <c r="BK225" s="872">
        <f ca="1">IF(BJ$299=0,0,BJ225/BJ$299*100)</f>
        <v>0</v>
      </c>
      <c r="BL225" s="871">
        <v>0</v>
      </c>
      <c r="BM225" s="872">
        <f ca="1">IF(BL$299=0,0,BZ254/BL$299*100)</f>
        <v>0</v>
      </c>
      <c r="BN225" s="871">
        <v>0</v>
      </c>
      <c r="BO225" s="872">
        <f ca="1">IF(BN$299=0,0,CB254/BN$299*100)</f>
        <v>0</v>
      </c>
      <c r="BP225" s="871">
        <v>0</v>
      </c>
      <c r="BQ225" s="872">
        <f ca="1">IF(BP$299=0,0,CD254/BP$299*100)</f>
        <v>0</v>
      </c>
      <c r="BR225" s="854"/>
      <c r="BS225" s="854"/>
      <c r="BT225" s="854"/>
      <c r="BU225" s="854"/>
      <c r="BV225" s="854"/>
      <c r="BW225" s="854"/>
      <c r="BX225" s="854"/>
      <c r="BY225" s="854"/>
      <c r="BZ225" s="854"/>
      <c r="CA225" s="854"/>
      <c r="CB225" s="854"/>
      <c r="CC225" s="854"/>
      <c r="CD225" s="854"/>
      <c r="CE225" s="854"/>
      <c r="CF225" s="854"/>
      <c r="CG225" s="854" t="s">
        <v>45</v>
      </c>
    </row>
    <row r="226" spans="1:85" ht="15.75" customHeight="1">
      <c r="A226" s="847"/>
      <c r="B226" s="1302"/>
      <c r="C226" s="1303" t="str">
        <f>"Additions to "&amp;C57</f>
        <v>Additions to Shareholders &amp; Related Parties Loan- Long Term</v>
      </c>
      <c r="D226" s="1304"/>
      <c r="E226" s="1305"/>
      <c r="F226" s="1306"/>
      <c r="G226" s="1307">
        <f>IF((G57)&gt;(E57),(G57)-(E57),0)</f>
        <v>1</v>
      </c>
      <c r="H226" s="1308"/>
      <c r="I226" s="1307">
        <f>IF((I57)&gt;(G57),(I57)-(G57),0)</f>
        <v>1</v>
      </c>
      <c r="J226" s="1308"/>
      <c r="K226" s="1307">
        <f>IF((K57)&gt;(I57),(K57)-(I57),0)</f>
        <v>1</v>
      </c>
      <c r="L226" s="1308"/>
      <c r="M226" s="848"/>
      <c r="N226" s="849"/>
      <c r="O226" s="850"/>
      <c r="P226" s="850"/>
      <c r="Q226" s="850"/>
      <c r="R226" s="850"/>
      <c r="S226" s="850"/>
      <c r="T226" s="851"/>
      <c r="U226" s="851"/>
      <c r="V226" s="851"/>
      <c r="W226" s="851"/>
      <c r="X226" s="851"/>
      <c r="Y226" s="851"/>
      <c r="Z226" s="851"/>
      <c r="AA226" s="851"/>
      <c r="AB226" s="851"/>
      <c r="AC226" s="851"/>
      <c r="AD226" s="851"/>
      <c r="AE226" s="851"/>
      <c r="AF226" s="851"/>
      <c r="AG226" s="851"/>
      <c r="AH226" s="852"/>
      <c r="AI226" s="852"/>
      <c r="AJ226" s="852"/>
      <c r="AK226" s="852"/>
      <c r="AL226" s="852"/>
      <c r="AM226" s="852"/>
      <c r="AN226" s="852"/>
      <c r="AO226" s="852"/>
      <c r="AP226" s="852"/>
      <c r="AQ226" s="852"/>
      <c r="AR226" s="852"/>
      <c r="AS226" s="852"/>
      <c r="AT226" s="852"/>
      <c r="AU226" s="852"/>
      <c r="AV226" s="852"/>
      <c r="AW226" s="852"/>
      <c r="AX226" s="849"/>
      <c r="AY226" s="847"/>
      <c r="AZ226" s="847"/>
      <c r="BA226" s="847"/>
      <c r="BB226" s="847"/>
      <c r="BC226" s="853"/>
      <c r="BD226" s="854"/>
      <c r="BE226" s="854"/>
      <c r="BF226" s="854"/>
      <c r="BG226" s="870">
        <v>157</v>
      </c>
      <c r="BH226" s="860" t="s">
        <v>313</v>
      </c>
      <c r="BI226" s="884"/>
      <c r="BJ226" s="871">
        <v>0</v>
      </c>
      <c r="BK226" s="872">
        <f ca="1">IF(BJ$299=0,0,BJ226/BJ$299*100)</f>
        <v>0</v>
      </c>
      <c r="BL226" s="871">
        <v>0</v>
      </c>
      <c r="BM226" s="872">
        <f ca="1">IF(BL$299=0,0,BZ255/BL$299*100)</f>
        <v>0</v>
      </c>
      <c r="BN226" s="871">
        <v>0</v>
      </c>
      <c r="BO226" s="872">
        <f ca="1">IF(BN$299=0,0,CB255/BN$299*100)</f>
        <v>0</v>
      </c>
      <c r="BP226" s="871">
        <v>0</v>
      </c>
      <c r="BQ226" s="872">
        <f ca="1">IF(BP$299=0,0,CD255/BP$299*100)</f>
        <v>0</v>
      </c>
      <c r="BR226" s="854"/>
      <c r="BS226" s="854"/>
      <c r="BT226" s="854"/>
      <c r="BU226" s="854"/>
      <c r="BV226" s="854"/>
      <c r="BW226" s="854"/>
      <c r="BX226" s="854"/>
      <c r="BY226" s="854"/>
      <c r="BZ226" s="854"/>
      <c r="CA226" s="854"/>
      <c r="CB226" s="854"/>
      <c r="CC226" s="854"/>
      <c r="CD226" s="854"/>
      <c r="CE226" s="854"/>
      <c r="CF226" s="854"/>
      <c r="CG226" s="854" t="s">
        <v>45</v>
      </c>
    </row>
    <row r="227" spans="1:85" ht="15.75" customHeight="1">
      <c r="A227" s="847"/>
      <c r="B227" s="1302"/>
      <c r="C227" s="1303" t="str">
        <f>"Additions to "&amp;C65</f>
        <v>Additions to Additional Paid-In Capital</v>
      </c>
      <c r="D227" s="1304"/>
      <c r="E227" s="1305"/>
      <c r="F227" s="1306"/>
      <c r="G227" s="1307">
        <f>IF(G65&gt;E65,G65-E65,0)</f>
        <v>1</v>
      </c>
      <c r="H227" s="1308"/>
      <c r="I227" s="1307">
        <f>IF(I65&gt;G65,I65-G65,0)</f>
        <v>1</v>
      </c>
      <c r="J227" s="1308"/>
      <c r="K227" s="1307">
        <f>IF(K65&gt;I65,K65-I65,0)</f>
        <v>1</v>
      </c>
      <c r="L227" s="1308"/>
      <c r="M227" s="848"/>
      <c r="N227" s="849"/>
      <c r="O227" s="850"/>
      <c r="P227" s="850"/>
      <c r="Q227" s="850"/>
      <c r="R227" s="850"/>
      <c r="S227" s="850"/>
      <c r="T227" s="851"/>
      <c r="U227" s="851"/>
      <c r="V227" s="851"/>
      <c r="W227" s="851"/>
      <c r="X227" s="851"/>
      <c r="Y227" s="851"/>
      <c r="Z227" s="851"/>
      <c r="AA227" s="851"/>
      <c r="AB227" s="851"/>
      <c r="AC227" s="851"/>
      <c r="AD227" s="851"/>
      <c r="AE227" s="851"/>
      <c r="AF227" s="851"/>
      <c r="AG227" s="851"/>
      <c r="AH227" s="852"/>
      <c r="AI227" s="852"/>
      <c r="AJ227" s="852"/>
      <c r="AK227" s="852"/>
      <c r="AL227" s="852"/>
      <c r="AM227" s="852"/>
      <c r="AN227" s="852"/>
      <c r="AO227" s="852"/>
      <c r="AP227" s="852"/>
      <c r="AQ227" s="852"/>
      <c r="AR227" s="852"/>
      <c r="AS227" s="852"/>
      <c r="AT227" s="852"/>
      <c r="AU227" s="852"/>
      <c r="AV227" s="852"/>
      <c r="AW227" s="852"/>
      <c r="AX227" s="849"/>
      <c r="AY227" s="847"/>
      <c r="AZ227" s="847"/>
      <c r="BA227" s="847"/>
      <c r="BB227" s="847"/>
      <c r="BC227" s="853"/>
      <c r="BD227" s="854"/>
      <c r="BE227" s="854"/>
      <c r="BF227" s="854"/>
      <c r="BG227" s="854"/>
      <c r="BH227" s="854"/>
      <c r="BI227" s="854"/>
      <c r="BJ227" s="854"/>
      <c r="BK227" s="854"/>
      <c r="BL227" s="854"/>
      <c r="BM227" s="854"/>
      <c r="BN227" s="854"/>
      <c r="BO227" s="854"/>
      <c r="BP227" s="854"/>
      <c r="BQ227" s="854"/>
      <c r="BR227" s="854"/>
      <c r="BS227" s="854"/>
      <c r="BT227" s="854"/>
      <c r="BU227" s="870">
        <f>+BU233+1</f>
        <v>163</v>
      </c>
      <c r="BV227" s="860" t="s">
        <v>314</v>
      </c>
      <c r="BW227" s="854"/>
      <c r="BX227" s="871">
        <v>0</v>
      </c>
      <c r="BY227" s="872">
        <f ca="1">IF(BJ$299=0,0,BX227/BJ$299*100)</f>
        <v>0</v>
      </c>
      <c r="BZ227" s="871">
        <v>0</v>
      </c>
      <c r="CA227" s="872">
        <f ca="1">IF(BL$299=0,0,BZ256/BL$299*100)</f>
        <v>0</v>
      </c>
      <c r="CB227" s="871">
        <v>0</v>
      </c>
      <c r="CC227" s="872">
        <f ca="1">IF(BN$299=0,0,CB256/BN$299*100)</f>
        <v>0</v>
      </c>
      <c r="CD227" s="871">
        <v>0</v>
      </c>
      <c r="CE227" s="872">
        <f ca="1">IF(BP$299=0,0,CD256/BP$299*100)</f>
        <v>0</v>
      </c>
      <c r="CF227" s="854"/>
      <c r="CG227" s="854" t="s">
        <v>45</v>
      </c>
    </row>
    <row r="228" spans="1:85" ht="15.75" customHeight="1">
      <c r="A228" s="847"/>
      <c r="B228" s="1302"/>
      <c r="C228" s="1303" t="str">
        <f>"Additions to "&amp;C58</f>
        <v>Additions to Other Non-Current Liabilities</v>
      </c>
      <c r="D228" s="1304"/>
      <c r="E228" s="1305"/>
      <c r="F228" s="1306"/>
      <c r="G228" s="1307">
        <f>IF(G58&gt;E58,G58-E58,0)</f>
        <v>1</v>
      </c>
      <c r="H228" s="1308"/>
      <c r="I228" s="1307">
        <f>IF(I58&gt;G58,I58-G58,0)</f>
        <v>1</v>
      </c>
      <c r="J228" s="1308"/>
      <c r="K228" s="1307">
        <f>IF(K58&gt;I58,K58-I58,0)</f>
        <v>1</v>
      </c>
      <c r="L228" s="1308"/>
      <c r="M228" s="848"/>
      <c r="N228" s="849"/>
      <c r="O228" s="850"/>
      <c r="P228" s="850"/>
      <c r="Q228" s="850"/>
      <c r="R228" s="850"/>
      <c r="S228" s="850"/>
      <c r="T228" s="851"/>
      <c r="U228" s="851"/>
      <c r="V228" s="851"/>
      <c r="W228" s="851"/>
      <c r="X228" s="851"/>
      <c r="Y228" s="851"/>
      <c r="Z228" s="851"/>
      <c r="AA228" s="851"/>
      <c r="AB228" s="851"/>
      <c r="AC228" s="851"/>
      <c r="AD228" s="851"/>
      <c r="AE228" s="851"/>
      <c r="AF228" s="851"/>
      <c r="AG228" s="851"/>
      <c r="AH228" s="852"/>
      <c r="AI228" s="852"/>
      <c r="AJ228" s="852"/>
      <c r="AK228" s="852"/>
      <c r="AL228" s="852"/>
      <c r="AM228" s="852"/>
      <c r="AN228" s="852"/>
      <c r="AO228" s="852"/>
      <c r="AP228" s="852"/>
      <c r="AQ228" s="852"/>
      <c r="AR228" s="852"/>
      <c r="AS228" s="852"/>
      <c r="AT228" s="852"/>
      <c r="AU228" s="852"/>
      <c r="AV228" s="852"/>
      <c r="AW228" s="852"/>
      <c r="AX228" s="849"/>
      <c r="AY228" s="847"/>
      <c r="AZ228" s="847"/>
      <c r="BA228" s="847"/>
      <c r="BB228" s="847"/>
      <c r="BC228" s="853"/>
      <c r="BD228" s="854"/>
      <c r="BE228" s="854"/>
      <c r="BF228" s="854"/>
      <c r="BG228" s="870">
        <v>159</v>
      </c>
      <c r="BH228" s="903" t="s">
        <v>315</v>
      </c>
      <c r="BI228" s="884"/>
      <c r="BJ228" s="871">
        <v>0</v>
      </c>
      <c r="BK228" s="872">
        <f ca="1">IF(BJ$299=0,0,BJ228/BJ$299*100)</f>
        <v>0</v>
      </c>
      <c r="BL228" s="871">
        <v>0</v>
      </c>
      <c r="BM228" s="872">
        <f ca="1">IF(BL$299=0,0,BL258/BL$299*100)</f>
        <v>0</v>
      </c>
      <c r="BN228" s="871">
        <v>0</v>
      </c>
      <c r="BO228" s="872">
        <f ca="1">IF(BN$299=0,0,BN258/BN$299*100)</f>
        <v>0</v>
      </c>
      <c r="BP228" s="871">
        <v>0</v>
      </c>
      <c r="BQ228" s="872">
        <f ca="1">IF(BP$299=0,0,BP258/BP$299*100)</f>
        <v>0</v>
      </c>
      <c r="BR228" s="854"/>
      <c r="BS228" s="854"/>
      <c r="BT228" s="854"/>
      <c r="BU228" s="854"/>
      <c r="BV228" s="854"/>
      <c r="BW228" s="854"/>
      <c r="BX228" s="854"/>
      <c r="BY228" s="854"/>
      <c r="BZ228" s="854"/>
      <c r="CA228" s="854"/>
      <c r="CB228" s="854"/>
      <c r="CC228" s="854"/>
      <c r="CD228" s="854"/>
      <c r="CE228" s="854"/>
      <c r="CF228" s="854"/>
      <c r="CG228" s="854" t="s">
        <v>45</v>
      </c>
    </row>
    <row r="229" spans="1:85" ht="15.75" customHeight="1">
      <c r="A229" s="847"/>
      <c r="B229" s="1302"/>
      <c r="C229" s="1303" t="str">
        <f>"Additions to "&amp;C61</f>
        <v>Additions to Preference Shares</v>
      </c>
      <c r="D229" s="1304"/>
      <c r="E229" s="1305"/>
      <c r="F229" s="1306"/>
      <c r="G229" s="1307">
        <f>IF(G61&gt;E61,G61-E61,0)</f>
        <v>1</v>
      </c>
      <c r="H229" s="1308"/>
      <c r="I229" s="1307">
        <f>IF(I61&gt;G61,I61-G61,0)</f>
        <v>1</v>
      </c>
      <c r="J229" s="1308"/>
      <c r="K229" s="1307">
        <f>IF(K61&gt;I61,K61-I61,0)</f>
        <v>1</v>
      </c>
      <c r="L229" s="1308"/>
      <c r="M229" s="848"/>
      <c r="N229" s="849"/>
      <c r="O229" s="850"/>
      <c r="P229" s="850"/>
      <c r="Q229" s="850"/>
      <c r="R229" s="850"/>
      <c r="S229" s="850"/>
      <c r="T229" s="851"/>
      <c r="U229" s="851"/>
      <c r="V229" s="851"/>
      <c r="W229" s="851"/>
      <c r="X229" s="851"/>
      <c r="Y229" s="851"/>
      <c r="Z229" s="851"/>
      <c r="AA229" s="851"/>
      <c r="AB229" s="851"/>
      <c r="AC229" s="851"/>
      <c r="AD229" s="851"/>
      <c r="AE229" s="851"/>
      <c r="AF229" s="851"/>
      <c r="AG229" s="851"/>
      <c r="AH229" s="852"/>
      <c r="AI229" s="852"/>
      <c r="AJ229" s="852"/>
      <c r="AK229" s="852"/>
      <c r="AL229" s="852"/>
      <c r="AM229" s="852"/>
      <c r="AN229" s="852"/>
      <c r="AO229" s="852"/>
      <c r="AP229" s="852"/>
      <c r="AQ229" s="852"/>
      <c r="AR229" s="852"/>
      <c r="AS229" s="852"/>
      <c r="AT229" s="852"/>
      <c r="AU229" s="852"/>
      <c r="AV229" s="852"/>
      <c r="AW229" s="852"/>
      <c r="AX229" s="849"/>
      <c r="AY229" s="847"/>
      <c r="AZ229" s="847"/>
      <c r="BA229" s="847"/>
      <c r="BB229" s="847"/>
      <c r="BC229" s="853"/>
      <c r="BD229" s="854"/>
      <c r="BE229" s="854"/>
      <c r="BF229" s="854"/>
      <c r="BG229" s="870"/>
      <c r="BH229" s="903"/>
      <c r="BI229" s="884"/>
      <c r="BJ229" s="871"/>
      <c r="BK229" s="872"/>
      <c r="BL229" s="871"/>
      <c r="BM229" s="872"/>
      <c r="BN229" s="871"/>
      <c r="BO229" s="872"/>
      <c r="BP229" s="871"/>
      <c r="BQ229" s="872"/>
      <c r="BR229" s="854"/>
      <c r="BS229" s="854"/>
      <c r="BT229" s="854"/>
      <c r="BU229" s="854"/>
      <c r="BV229" s="854"/>
      <c r="BW229" s="854"/>
      <c r="BX229" s="854"/>
      <c r="BY229" s="854"/>
      <c r="BZ229" s="854"/>
      <c r="CA229" s="854"/>
      <c r="CB229" s="854"/>
      <c r="CC229" s="854"/>
      <c r="CD229" s="854"/>
      <c r="CE229" s="854"/>
      <c r="CF229" s="854"/>
      <c r="CG229" s="854"/>
    </row>
    <row r="230" spans="1:85" ht="15.75" customHeight="1">
      <c r="A230" s="847"/>
      <c r="B230" s="1302"/>
      <c r="C230" s="1303" t="str">
        <f>"Additions to "&amp;C62</f>
        <v>Additions to Common Shares</v>
      </c>
      <c r="D230" s="1304"/>
      <c r="E230" s="1305"/>
      <c r="F230" s="1306"/>
      <c r="G230" s="1307">
        <f>IF(G62&gt;E62,G62-E62,0)</f>
        <v>1</v>
      </c>
      <c r="H230" s="1308"/>
      <c r="I230" s="1307">
        <f>IF(I62&gt;G62,I62-G62,0)</f>
        <v>1</v>
      </c>
      <c r="J230" s="1308"/>
      <c r="K230" s="1307">
        <f>IF(K62&gt;I62,K62-I62,0)</f>
        <v>1</v>
      </c>
      <c r="L230" s="1308"/>
      <c r="M230" s="848"/>
      <c r="N230" s="849"/>
      <c r="O230" s="850"/>
      <c r="P230" s="850"/>
      <c r="Q230" s="850"/>
      <c r="R230" s="850"/>
      <c r="S230" s="850"/>
      <c r="T230" s="851"/>
      <c r="U230" s="851"/>
      <c r="V230" s="851"/>
      <c r="W230" s="851"/>
      <c r="X230" s="851"/>
      <c r="Y230" s="851"/>
      <c r="Z230" s="851"/>
      <c r="AA230" s="851"/>
      <c r="AB230" s="851"/>
      <c r="AC230" s="851"/>
      <c r="AD230" s="851"/>
      <c r="AE230" s="851"/>
      <c r="AF230" s="851"/>
      <c r="AG230" s="851"/>
      <c r="AH230" s="852"/>
      <c r="AI230" s="852"/>
      <c r="AJ230" s="852"/>
      <c r="AK230" s="852"/>
      <c r="AL230" s="852"/>
      <c r="AM230" s="852"/>
      <c r="AN230" s="852"/>
      <c r="AO230" s="852"/>
      <c r="AP230" s="852"/>
      <c r="AQ230" s="852"/>
      <c r="AR230" s="852"/>
      <c r="AS230" s="852"/>
      <c r="AT230" s="852"/>
      <c r="AU230" s="852"/>
      <c r="AV230" s="852"/>
      <c r="AW230" s="852"/>
      <c r="AX230" s="849"/>
      <c r="AY230" s="847"/>
      <c r="AZ230" s="847"/>
      <c r="BA230" s="847"/>
      <c r="BB230" s="847"/>
      <c r="BC230" s="853"/>
      <c r="BD230" s="854"/>
      <c r="BE230" s="854"/>
      <c r="BF230" s="854"/>
      <c r="BG230" s="870"/>
      <c r="BH230" s="903"/>
      <c r="BI230" s="884"/>
      <c r="BJ230" s="871"/>
      <c r="BK230" s="872"/>
      <c r="BL230" s="871"/>
      <c r="BM230" s="872"/>
      <c r="BN230" s="871"/>
      <c r="BO230" s="872"/>
      <c r="BP230" s="871"/>
      <c r="BQ230" s="872"/>
      <c r="BR230" s="854"/>
      <c r="BS230" s="854"/>
      <c r="BT230" s="854"/>
      <c r="BU230" s="854"/>
      <c r="BV230" s="854"/>
      <c r="BW230" s="854"/>
      <c r="BX230" s="854"/>
      <c r="BY230" s="854"/>
      <c r="BZ230" s="854"/>
      <c r="CA230" s="854"/>
      <c r="CB230" s="854"/>
      <c r="CC230" s="854"/>
      <c r="CD230" s="854"/>
      <c r="CE230" s="854"/>
      <c r="CF230" s="854"/>
      <c r="CG230" s="854"/>
    </row>
    <row r="231" spans="1:85" ht="16.5" customHeight="1">
      <c r="A231" s="847"/>
      <c r="B231" s="1302"/>
      <c r="C231" s="1303" t="str">
        <f>"Additions to "&amp;C63</f>
        <v>Additions to Treasury Shares</v>
      </c>
      <c r="D231" s="1304"/>
      <c r="E231" s="1305"/>
      <c r="F231" s="1306"/>
      <c r="G231" s="1307">
        <f>IF(G63&gt;E63,G63-E63,0)</f>
        <v>1</v>
      </c>
      <c r="H231" s="1308"/>
      <c r="I231" s="1307">
        <f>IF(I63&gt;G63,I63-G63,0)</f>
        <v>1</v>
      </c>
      <c r="J231" s="1308"/>
      <c r="K231" s="1307">
        <f>IF(K63&gt;I63,K63-I63,0)</f>
        <v>1</v>
      </c>
      <c r="L231" s="1308"/>
      <c r="M231" s="848"/>
      <c r="N231" s="849"/>
      <c r="O231" s="850"/>
      <c r="P231" s="850"/>
      <c r="Q231" s="850"/>
      <c r="R231" s="850"/>
      <c r="S231" s="850"/>
      <c r="T231" s="851"/>
      <c r="U231" s="851"/>
      <c r="V231" s="851"/>
      <c r="W231" s="851"/>
      <c r="X231" s="851"/>
      <c r="Y231" s="851"/>
      <c r="Z231" s="851"/>
      <c r="AA231" s="851"/>
      <c r="AB231" s="851"/>
      <c r="AC231" s="851"/>
      <c r="AD231" s="851"/>
      <c r="AE231" s="851"/>
      <c r="AF231" s="851"/>
      <c r="AG231" s="851"/>
      <c r="AH231" s="852"/>
      <c r="AI231" s="852"/>
      <c r="AJ231" s="852"/>
      <c r="AK231" s="852"/>
      <c r="AL231" s="852"/>
      <c r="AM231" s="852"/>
      <c r="AN231" s="852"/>
      <c r="AO231" s="852"/>
      <c r="AP231" s="852"/>
      <c r="AQ231" s="852"/>
      <c r="AR231" s="852"/>
      <c r="AS231" s="852"/>
      <c r="AT231" s="852"/>
      <c r="AU231" s="852"/>
      <c r="AV231" s="852"/>
      <c r="AW231" s="852"/>
      <c r="AX231" s="849"/>
      <c r="AY231" s="847"/>
      <c r="AZ231" s="847"/>
      <c r="BA231" s="847"/>
      <c r="BB231" s="847"/>
      <c r="BC231" s="853"/>
      <c r="BD231" s="854"/>
      <c r="BE231" s="854"/>
      <c r="BF231" s="854"/>
      <c r="BG231" s="870">
        <v>160</v>
      </c>
      <c r="BH231" s="860" t="s">
        <v>316</v>
      </c>
      <c r="BI231" s="884"/>
      <c r="BJ231" s="871">
        <v>0</v>
      </c>
      <c r="BK231" s="872">
        <f ca="1">IF(BJ$299=0,0,BJ231/BJ$299*100)</f>
        <v>0</v>
      </c>
      <c r="BL231" s="871">
        <v>0</v>
      </c>
      <c r="BM231" s="872">
        <f ca="1">IF(BL$299=0,0,BL259/BL$299*100)</f>
        <v>0</v>
      </c>
      <c r="BN231" s="871">
        <v>0</v>
      </c>
      <c r="BO231" s="872">
        <f ca="1">IF(BN$299=0,0,BN259/BN$299*100)</f>
        <v>0</v>
      </c>
      <c r="BP231" s="871">
        <v>0</v>
      </c>
      <c r="BQ231" s="872">
        <f ca="1">IF(BP$299=0,0,BP259/BP$299*100)</f>
        <v>0</v>
      </c>
      <c r="BR231" s="854"/>
      <c r="BS231" s="854"/>
      <c r="BT231" s="854"/>
      <c r="BU231" s="854"/>
      <c r="BV231" s="854"/>
      <c r="BW231" s="854"/>
      <c r="BX231" s="854"/>
      <c r="BY231" s="854"/>
      <c r="BZ231" s="854"/>
      <c r="CA231" s="854"/>
      <c r="CB231" s="854"/>
      <c r="CC231" s="854"/>
      <c r="CD231" s="854"/>
      <c r="CE231" s="854"/>
      <c r="CF231" s="854"/>
      <c r="CG231" s="854" t="s">
        <v>45</v>
      </c>
    </row>
    <row r="232" spans="1:85" ht="16.5" customHeight="1">
      <c r="A232" s="847"/>
      <c r="B232" s="1302"/>
      <c r="C232" s="1303" t="str">
        <f>"Additions to "&amp;C64</f>
        <v>Additions to Share Premium (Agio Share)</v>
      </c>
      <c r="D232" s="1304"/>
      <c r="E232" s="1305"/>
      <c r="F232" s="1306"/>
      <c r="G232" s="1307">
        <f>IF(G64&gt;E64,G64-E64,0)</f>
        <v>1</v>
      </c>
      <c r="H232" s="1308"/>
      <c r="I232" s="1307">
        <f>IF(I64&gt;G64,I64-G64,0)</f>
        <v>1</v>
      </c>
      <c r="J232" s="1308"/>
      <c r="K232" s="1307">
        <f>IF(K64&gt;I64,K64-I64,0)</f>
        <v>1</v>
      </c>
      <c r="L232" s="1308"/>
      <c r="M232" s="848"/>
      <c r="N232" s="849"/>
      <c r="O232" s="850"/>
      <c r="P232" s="850"/>
      <c r="Q232" s="850"/>
      <c r="R232" s="850"/>
      <c r="S232" s="850"/>
      <c r="T232" s="851"/>
      <c r="U232" s="851"/>
      <c r="V232" s="851"/>
      <c r="W232" s="851"/>
      <c r="X232" s="851"/>
      <c r="Y232" s="851"/>
      <c r="Z232" s="851"/>
      <c r="AA232" s="851"/>
      <c r="AB232" s="851"/>
      <c r="AC232" s="851"/>
      <c r="AD232" s="851"/>
      <c r="AE232" s="851"/>
      <c r="AF232" s="851"/>
      <c r="AG232" s="851"/>
      <c r="AH232" s="852"/>
      <c r="AI232" s="852"/>
      <c r="AJ232" s="852"/>
      <c r="AK232" s="852"/>
      <c r="AL232" s="852"/>
      <c r="AM232" s="852"/>
      <c r="AN232" s="852"/>
      <c r="AO232" s="852"/>
      <c r="AP232" s="852"/>
      <c r="AQ232" s="852"/>
      <c r="AR232" s="852"/>
      <c r="AS232" s="852"/>
      <c r="AT232" s="852"/>
      <c r="AU232" s="852"/>
      <c r="AV232" s="852"/>
      <c r="AW232" s="852"/>
      <c r="AX232" s="849"/>
      <c r="AY232" s="847"/>
      <c r="AZ232" s="847"/>
      <c r="BA232" s="847"/>
      <c r="BB232" s="847"/>
      <c r="BC232" s="853"/>
      <c r="BD232" s="854"/>
      <c r="BE232" s="854"/>
      <c r="BF232" s="854"/>
      <c r="BG232" s="870">
        <v>161</v>
      </c>
      <c r="BH232" s="860" t="s">
        <v>317</v>
      </c>
      <c r="BI232" s="884"/>
      <c r="BJ232" s="871">
        <v>0</v>
      </c>
      <c r="BK232" s="872">
        <f ca="1">IF(BJ$299=0,0,BJ232/BJ$299*100)</f>
        <v>0</v>
      </c>
      <c r="BL232" s="871">
        <v>0</v>
      </c>
      <c r="BM232" s="872">
        <f ca="1">IF(BL$299=0,0,BL260/BL$299*100)</f>
        <v>0</v>
      </c>
      <c r="BN232" s="871">
        <v>0</v>
      </c>
      <c r="BO232" s="872">
        <f ca="1">IF(BN$299=0,0,BN260/BN$299*100)</f>
        <v>0</v>
      </c>
      <c r="BP232" s="871">
        <v>0</v>
      </c>
      <c r="BQ232" s="872">
        <f ca="1">IF(BP$299=0,0,BP260/BP$299*100)</f>
        <v>0</v>
      </c>
      <c r="BR232" s="854"/>
      <c r="BS232" s="854"/>
      <c r="BT232" s="854"/>
      <c r="BU232" s="854"/>
      <c r="BV232" s="854"/>
      <c r="BW232" s="854"/>
      <c r="BX232" s="854"/>
      <c r="BY232" s="854"/>
      <c r="BZ232" s="854"/>
      <c r="CA232" s="854"/>
      <c r="CB232" s="854"/>
      <c r="CC232" s="854"/>
      <c r="CD232" s="854"/>
      <c r="CE232" s="854"/>
      <c r="CF232" s="854"/>
      <c r="CG232" s="854" t="s">
        <v>45</v>
      </c>
    </row>
    <row r="233" spans="1:85" ht="15.75" customHeight="1">
      <c r="A233" s="847"/>
      <c r="B233" s="1302"/>
      <c r="C233" s="1303" t="str">
        <f>"Additions to "&amp;C66</f>
        <v>Additions to Subordinated Shareholders &amp; Related Parties Loan</v>
      </c>
      <c r="D233" s="1304"/>
      <c r="E233" s="1305"/>
      <c r="F233" s="1306"/>
      <c r="G233" s="1307">
        <f>IF(G66&gt;E66,G66-E66,0)</f>
        <v>1</v>
      </c>
      <c r="H233" s="1308"/>
      <c r="I233" s="1307">
        <f>IF(I66&gt;G66,I66-G66,0)</f>
        <v>1</v>
      </c>
      <c r="J233" s="1308"/>
      <c r="K233" s="1307">
        <f>IF(K66&gt;I66,K66-I66,0)</f>
        <v>1</v>
      </c>
      <c r="L233" s="1308"/>
      <c r="M233" s="902"/>
      <c r="N233" s="849"/>
      <c r="O233" s="850"/>
      <c r="P233" s="850"/>
      <c r="Q233" s="850"/>
      <c r="R233" s="850"/>
      <c r="S233" s="850"/>
      <c r="T233" s="851"/>
      <c r="U233" s="851"/>
      <c r="V233" s="851"/>
      <c r="W233" s="851"/>
      <c r="X233" s="851"/>
      <c r="Y233" s="851"/>
      <c r="Z233" s="851"/>
      <c r="AA233" s="851"/>
      <c r="AB233" s="851"/>
      <c r="AC233" s="851"/>
      <c r="AD233" s="851"/>
      <c r="AE233" s="851"/>
      <c r="AF233" s="851"/>
      <c r="AG233" s="851"/>
      <c r="AH233" s="852"/>
      <c r="AI233" s="852"/>
      <c r="AJ233" s="852"/>
      <c r="AK233" s="852"/>
      <c r="AL233" s="852"/>
      <c r="AM233" s="852"/>
      <c r="AN233" s="852"/>
      <c r="AO233" s="852"/>
      <c r="AP233" s="852"/>
      <c r="AQ233" s="852"/>
      <c r="AR233" s="852"/>
      <c r="AS233" s="852"/>
      <c r="AT233" s="852"/>
      <c r="AU233" s="852"/>
      <c r="AV233" s="852"/>
      <c r="AW233" s="852"/>
      <c r="AX233" s="849"/>
      <c r="AY233" s="847"/>
      <c r="AZ233" s="847"/>
      <c r="BA233" s="847"/>
      <c r="BB233" s="847"/>
      <c r="BC233" s="853"/>
      <c r="BD233" s="854"/>
      <c r="BE233" s="854"/>
      <c r="BF233" s="854"/>
      <c r="BG233" s="854"/>
      <c r="BH233" s="854"/>
      <c r="BI233" s="854"/>
      <c r="BJ233" s="854"/>
      <c r="BK233" s="854"/>
      <c r="BL233" s="854"/>
      <c r="BM233" s="854"/>
      <c r="BN233" s="854"/>
      <c r="BO233" s="854"/>
      <c r="BP233" s="854"/>
      <c r="BQ233" s="854"/>
      <c r="BR233" s="854"/>
      <c r="BS233" s="854"/>
      <c r="BT233" s="854"/>
      <c r="BU233" s="870">
        <v>162</v>
      </c>
      <c r="BV233" s="860" t="s">
        <v>318</v>
      </c>
      <c r="BW233" s="854"/>
      <c r="BX233" s="871">
        <v>0</v>
      </c>
      <c r="BY233" s="872">
        <f ca="1">IF(BJ$299=0,0,BX233/BJ$299*100)</f>
        <v>0</v>
      </c>
      <c r="BZ233" s="871">
        <v>0</v>
      </c>
      <c r="CA233" s="872">
        <f ca="1">IF(BL$299=0,0,BZ255/BL$299*100)</f>
        <v>0</v>
      </c>
      <c r="CB233" s="871">
        <v>0</v>
      </c>
      <c r="CC233" s="872">
        <f ca="1">IF(BN$299=0,0,CB255/BN$299*100)</f>
        <v>0</v>
      </c>
      <c r="CD233" s="871">
        <v>0</v>
      </c>
      <c r="CE233" s="872">
        <f ca="1">IF(BP$299=0,0,CD255/BP$299*100)</f>
        <v>0</v>
      </c>
      <c r="CF233" s="854"/>
      <c r="CG233" s="854" t="s">
        <v>45</v>
      </c>
    </row>
    <row r="234" spans="1:85" ht="15.75" customHeight="1">
      <c r="A234" s="847"/>
      <c r="B234" s="1302"/>
      <c r="C234" s="1303" t="str">
        <f>"Additions to "&amp;C67</f>
        <v>Additions to Difference in Corporate Transactions</v>
      </c>
      <c r="D234" s="1304"/>
      <c r="E234" s="1305"/>
      <c r="F234" s="1306"/>
      <c r="G234" s="1307">
        <f>IF(G67&gt;E67,G67-E67,0)</f>
        <v>1</v>
      </c>
      <c r="H234" s="1308"/>
      <c r="I234" s="1307">
        <f>IF(I67&gt;G67,I67-G67,0)</f>
        <v>1</v>
      </c>
      <c r="J234" s="1308"/>
      <c r="K234" s="1307">
        <f>IF(K67&gt;I67,K67-I67,0)</f>
        <v>1</v>
      </c>
      <c r="L234" s="1308"/>
      <c r="M234" s="848"/>
      <c r="N234" s="849"/>
      <c r="O234" s="850"/>
      <c r="P234" s="850"/>
      <c r="Q234" s="850"/>
      <c r="R234" s="850"/>
      <c r="S234" s="850"/>
      <c r="T234" s="851"/>
      <c r="U234" s="851"/>
      <c r="V234" s="851"/>
      <c r="W234" s="851"/>
      <c r="X234" s="851"/>
      <c r="Y234" s="851"/>
      <c r="Z234" s="851"/>
      <c r="AA234" s="851"/>
      <c r="AB234" s="851"/>
      <c r="AC234" s="851"/>
      <c r="AD234" s="851"/>
      <c r="AE234" s="851"/>
      <c r="AF234" s="851"/>
      <c r="AG234" s="851"/>
      <c r="AH234" s="852"/>
      <c r="AI234" s="852"/>
      <c r="AJ234" s="852"/>
      <c r="AK234" s="852"/>
      <c r="AL234" s="852"/>
      <c r="AM234" s="852"/>
      <c r="AN234" s="852"/>
      <c r="AO234" s="852"/>
      <c r="AP234" s="852"/>
      <c r="AQ234" s="852"/>
      <c r="AR234" s="852"/>
      <c r="AS234" s="852"/>
      <c r="AT234" s="852"/>
      <c r="AU234" s="852"/>
      <c r="AV234" s="852"/>
      <c r="AW234" s="852"/>
      <c r="AX234" s="849"/>
      <c r="AY234" s="847"/>
      <c r="AZ234" s="847"/>
      <c r="BA234" s="847"/>
      <c r="BB234" s="847"/>
      <c r="BC234" s="853"/>
      <c r="BD234" s="854"/>
      <c r="BE234" s="854"/>
      <c r="BF234" s="854"/>
      <c r="BG234" s="854"/>
      <c r="BH234" s="854"/>
      <c r="BI234" s="854"/>
      <c r="BJ234" s="854"/>
      <c r="BK234" s="854"/>
      <c r="BL234" s="854"/>
      <c r="BM234" s="854"/>
      <c r="BN234" s="854"/>
      <c r="BO234" s="854"/>
      <c r="BP234" s="854"/>
      <c r="BQ234" s="854"/>
      <c r="BR234" s="854"/>
      <c r="BS234" s="854"/>
      <c r="BT234" s="854"/>
      <c r="BU234" s="870">
        <v>163</v>
      </c>
      <c r="BV234" s="860" t="s">
        <v>319</v>
      </c>
      <c r="BW234" s="854"/>
      <c r="BX234" s="871">
        <v>0</v>
      </c>
      <c r="BY234" s="872">
        <f ca="1">IF(BJ$299=0,0,BX234/BJ$299*100)</f>
        <v>0</v>
      </c>
      <c r="BZ234" s="871">
        <v>0</v>
      </c>
      <c r="CA234" s="872">
        <f ca="1">IF(BL$299=0,0,BZ256/BL$299*100)</f>
        <v>0</v>
      </c>
      <c r="CB234" s="871">
        <v>0</v>
      </c>
      <c r="CC234" s="872">
        <f ca="1">IF(BN$299=0,0,CB256/BN$299*100)</f>
        <v>0</v>
      </c>
      <c r="CD234" s="871">
        <v>0</v>
      </c>
      <c r="CE234" s="872">
        <f ca="1">IF(BP$299=0,0,CD256/BP$299*100)</f>
        <v>0</v>
      </c>
      <c r="CF234" s="854"/>
      <c r="CG234" s="854" t="s">
        <v>45</v>
      </c>
    </row>
    <row r="235" spans="1:85" ht="15.75" customHeight="1">
      <c r="A235" s="847"/>
      <c r="B235" s="1302"/>
      <c r="C235" s="1303" t="str">
        <f>"Additions to "&amp;C68</f>
        <v>Additions to Other Equity</v>
      </c>
      <c r="D235" s="1304"/>
      <c r="E235" s="1305"/>
      <c r="F235" s="1306"/>
      <c r="G235" s="1307">
        <f>IF(G68&gt;E68,G68-E68,0)</f>
        <v>1</v>
      </c>
      <c r="H235" s="1308"/>
      <c r="I235" s="1307">
        <f>IF(I68&gt;G68,I68-G68,0)</f>
        <v>1</v>
      </c>
      <c r="J235" s="1308"/>
      <c r="K235" s="1307">
        <f>IF(K68&gt;I68,K68-I68,0)</f>
        <v>1</v>
      </c>
      <c r="L235" s="1308"/>
      <c r="M235" s="848"/>
      <c r="N235" s="849"/>
      <c r="O235" s="850"/>
      <c r="P235" s="850"/>
      <c r="Q235" s="850"/>
      <c r="R235" s="850"/>
      <c r="S235" s="850"/>
      <c r="T235" s="851"/>
      <c r="U235" s="851"/>
      <c r="V235" s="851"/>
      <c r="W235" s="851"/>
      <c r="X235" s="851"/>
      <c r="Y235" s="851"/>
      <c r="Z235" s="851"/>
      <c r="AA235" s="851"/>
      <c r="AB235" s="851"/>
      <c r="AC235" s="851"/>
      <c r="AD235" s="851"/>
      <c r="AE235" s="851"/>
      <c r="AF235" s="851"/>
      <c r="AG235" s="851"/>
      <c r="AH235" s="852"/>
      <c r="AI235" s="852"/>
      <c r="AJ235" s="852"/>
      <c r="AK235" s="852"/>
      <c r="AL235" s="852"/>
      <c r="AM235" s="852"/>
      <c r="AN235" s="852"/>
      <c r="AO235" s="852"/>
      <c r="AP235" s="852"/>
      <c r="AQ235" s="852"/>
      <c r="AR235" s="852"/>
      <c r="AS235" s="852"/>
      <c r="AT235" s="852"/>
      <c r="AU235" s="852"/>
      <c r="AV235" s="852"/>
      <c r="AW235" s="852"/>
      <c r="AX235" s="849"/>
      <c r="AY235" s="847"/>
      <c r="AZ235" s="847"/>
      <c r="BA235" s="847"/>
      <c r="BB235" s="847"/>
      <c r="BC235" s="853"/>
      <c r="BD235" s="854"/>
      <c r="BE235" s="854"/>
      <c r="BF235" s="854"/>
      <c r="BG235" s="870">
        <v>164</v>
      </c>
      <c r="BH235" s="860" t="s">
        <v>320</v>
      </c>
      <c r="BI235" s="854"/>
      <c r="BJ235" s="878"/>
      <c r="BK235" s="872">
        <f ca="1">IF(BJ$299=0,0,BJ235/BJ$299*100)</f>
        <v>0</v>
      </c>
      <c r="BL235" s="878"/>
      <c r="BM235" s="872">
        <f ca="1">IF(BL$299=0,0,BL258/BL$299*100)</f>
        <v>0</v>
      </c>
      <c r="BN235" s="878"/>
      <c r="BO235" s="872">
        <f ca="1">IF(BN$299=0,0,BN258/BN$299*100)</f>
        <v>0</v>
      </c>
      <c r="BP235" s="878"/>
      <c r="BQ235" s="872">
        <f ca="1">IF(BP$299=0,0,BP258/BP$299*100)</f>
        <v>0</v>
      </c>
      <c r="BR235" s="854"/>
      <c r="BS235" s="854"/>
      <c r="BT235" s="854"/>
      <c r="BU235" s="854"/>
      <c r="BV235" s="854"/>
      <c r="BW235" s="854"/>
      <c r="BX235" s="854"/>
      <c r="BY235" s="854"/>
      <c r="BZ235" s="854"/>
      <c r="CA235" s="854"/>
      <c r="CB235" s="854"/>
      <c r="CC235" s="854"/>
      <c r="CD235" s="854"/>
      <c r="CE235" s="854"/>
      <c r="CF235" s="854"/>
      <c r="CG235" s="854" t="s">
        <v>45</v>
      </c>
    </row>
    <row r="236" spans="1:85" ht="15.75" customHeight="1">
      <c r="A236" s="847"/>
      <c r="B236" s="1302"/>
      <c r="C236" s="1303" t="str">
        <f>"Additions to "&amp;C71</f>
        <v>Additions to Profit/(Loss) Adjustments</v>
      </c>
      <c r="D236" s="1304"/>
      <c r="E236" s="1305"/>
      <c r="F236" s="1306"/>
      <c r="G236" s="1307">
        <f>G153</f>
        <v>0</v>
      </c>
      <c r="H236" s="1308"/>
      <c r="I236" s="1307">
        <f>I153</f>
        <v>0</v>
      </c>
      <c r="J236" s="1308"/>
      <c r="K236" s="1307">
        <f>K153</f>
        <v>0</v>
      </c>
      <c r="L236" s="1308"/>
      <c r="M236" s="848"/>
      <c r="N236" s="849"/>
      <c r="O236" s="850"/>
      <c r="P236" s="850"/>
      <c r="Q236" s="850"/>
      <c r="R236" s="850"/>
      <c r="S236" s="850"/>
      <c r="T236" s="851"/>
      <c r="U236" s="851"/>
      <c r="V236" s="851"/>
      <c r="W236" s="851"/>
      <c r="X236" s="851"/>
      <c r="Y236" s="851"/>
      <c r="Z236" s="851"/>
      <c r="AA236" s="851"/>
      <c r="AB236" s="851"/>
      <c r="AC236" s="851"/>
      <c r="AD236" s="851"/>
      <c r="AE236" s="851"/>
      <c r="AF236" s="851"/>
      <c r="AG236" s="851"/>
      <c r="AH236" s="852"/>
      <c r="AI236" s="852"/>
      <c r="AJ236" s="852"/>
      <c r="AK236" s="852"/>
      <c r="AL236" s="852"/>
      <c r="AM236" s="852"/>
      <c r="AN236" s="852"/>
      <c r="AO236" s="852"/>
      <c r="AP236" s="852"/>
      <c r="AQ236" s="852"/>
      <c r="AR236" s="852"/>
      <c r="AS236" s="852"/>
      <c r="AT236" s="852"/>
      <c r="AU236" s="852"/>
      <c r="AV236" s="852"/>
      <c r="AW236" s="852"/>
      <c r="AX236" s="849"/>
      <c r="AY236" s="847"/>
      <c r="AZ236" s="847"/>
      <c r="BA236" s="847"/>
      <c r="BB236" s="847"/>
      <c r="BC236" s="853"/>
      <c r="BD236" s="854"/>
      <c r="BE236" s="854"/>
      <c r="BF236" s="854"/>
      <c r="BG236" s="870">
        <v>165</v>
      </c>
      <c r="BH236" s="860" t="s">
        <v>45</v>
      </c>
      <c r="BI236" s="854"/>
      <c r="BJ236" s="871">
        <v>0</v>
      </c>
      <c r="BK236" s="872">
        <f ca="1">IF(BJ$299=0,0,BJ236/BJ$299*100)</f>
        <v>0</v>
      </c>
      <c r="BL236" s="871">
        <v>0</v>
      </c>
      <c r="BM236" s="872">
        <f ca="1">IF(BL$299=0,0,BL259/BL$299*100)</f>
        <v>0</v>
      </c>
      <c r="BN236" s="871">
        <v>0</v>
      </c>
      <c r="BO236" s="872">
        <f ca="1">IF(BN$299=0,0,BN259/BN$299*100)</f>
        <v>0</v>
      </c>
      <c r="BP236" s="871">
        <v>0</v>
      </c>
      <c r="BQ236" s="872">
        <f ca="1">IF(BP$299=0,0,BP259/BP$299*100)</f>
        <v>0</v>
      </c>
      <c r="BR236" s="854"/>
      <c r="BS236" s="854"/>
      <c r="BT236" s="854"/>
      <c r="BU236" s="854"/>
      <c r="BV236" s="854"/>
      <c r="BW236" s="854"/>
      <c r="BX236" s="854"/>
      <c r="BY236" s="854"/>
      <c r="BZ236" s="854"/>
      <c r="CA236" s="854"/>
      <c r="CB236" s="854"/>
      <c r="CC236" s="854"/>
      <c r="CD236" s="854"/>
      <c r="CE236" s="854"/>
      <c r="CF236" s="854"/>
      <c r="CG236" s="854" t="s">
        <v>45</v>
      </c>
    </row>
    <row r="237" spans="1:85" ht="15.75" customHeight="1">
      <c r="A237" s="847"/>
      <c r="B237" s="1331"/>
      <c r="C237" s="1271" t="s">
        <v>321</v>
      </c>
      <c r="D237" s="1332"/>
      <c r="E237" s="1333"/>
      <c r="F237" s="1334"/>
      <c r="G237" s="1335">
        <f>SUM(G217:G236)</f>
        <v>23</v>
      </c>
      <c r="H237" s="1336"/>
      <c r="I237" s="1335">
        <f>SUM(I217:I236)</f>
        <v>23</v>
      </c>
      <c r="J237" s="1336"/>
      <c r="K237" s="1335">
        <f>SUM(K217:K236)</f>
        <v>23</v>
      </c>
      <c r="L237" s="1336"/>
      <c r="M237" s="848"/>
      <c r="N237" s="849"/>
      <c r="O237" s="850"/>
      <c r="P237" s="850"/>
      <c r="Q237" s="850"/>
      <c r="R237" s="850"/>
      <c r="S237" s="850"/>
      <c r="T237" s="851"/>
      <c r="U237" s="851"/>
      <c r="V237" s="851"/>
      <c r="W237" s="851"/>
      <c r="X237" s="851"/>
      <c r="Y237" s="851"/>
      <c r="Z237" s="851"/>
      <c r="AA237" s="851"/>
      <c r="AB237" s="851"/>
      <c r="AC237" s="851"/>
      <c r="AD237" s="851"/>
      <c r="AE237" s="851"/>
      <c r="AF237" s="851"/>
      <c r="AG237" s="851"/>
      <c r="AH237" s="852"/>
      <c r="AI237" s="852"/>
      <c r="AJ237" s="852"/>
      <c r="AK237" s="852"/>
      <c r="AL237" s="852"/>
      <c r="AM237" s="852"/>
      <c r="AN237" s="852"/>
      <c r="AO237" s="852"/>
      <c r="AP237" s="852"/>
      <c r="AQ237" s="852"/>
      <c r="AR237" s="852"/>
      <c r="AS237" s="852"/>
      <c r="AT237" s="852"/>
      <c r="AU237" s="852"/>
      <c r="AV237" s="852"/>
      <c r="AW237" s="852"/>
      <c r="AX237" s="849"/>
      <c r="AY237" s="847"/>
      <c r="AZ237" s="847"/>
      <c r="BA237" s="847"/>
      <c r="BB237" s="847"/>
      <c r="BC237" s="853"/>
      <c r="BD237" s="854"/>
      <c r="BE237" s="854"/>
      <c r="BF237" s="854"/>
      <c r="BG237" s="870">
        <v>166</v>
      </c>
      <c r="BH237" s="860" t="s">
        <v>45</v>
      </c>
      <c r="BI237" s="854"/>
      <c r="BJ237" s="871">
        <v>0</v>
      </c>
      <c r="BK237" s="872">
        <f ca="1">IF(BJ$299=0,0,BJ237/BJ$299*100)</f>
        <v>0</v>
      </c>
      <c r="BL237" s="871">
        <v>0</v>
      </c>
      <c r="BM237" s="872">
        <f ca="1">IF(BL$299=0,0,BL260/BL$299*100)</f>
        <v>0</v>
      </c>
      <c r="BN237" s="871">
        <v>0</v>
      </c>
      <c r="BO237" s="872">
        <f ca="1">IF(BN$299=0,0,BN260/BN$299*100)</f>
        <v>0</v>
      </c>
      <c r="BP237" s="871">
        <v>0</v>
      </c>
      <c r="BQ237" s="872">
        <f ca="1">IF(BP$299=0,0,BP260/BP$299*100)</f>
        <v>0</v>
      </c>
      <c r="BR237" s="854"/>
      <c r="BS237" s="854"/>
      <c r="BT237" s="854"/>
      <c r="BU237" s="854"/>
      <c r="BV237" s="854"/>
      <c r="BW237" s="854"/>
      <c r="BX237" s="854"/>
      <c r="BY237" s="854"/>
      <c r="BZ237" s="854"/>
      <c r="CA237" s="854"/>
      <c r="CB237" s="854"/>
      <c r="CC237" s="854"/>
      <c r="CD237" s="854"/>
      <c r="CE237" s="854"/>
      <c r="CF237" s="854"/>
      <c r="CG237" s="854" t="s">
        <v>45</v>
      </c>
    </row>
    <row r="238" spans="1:85" ht="15.75" customHeight="1">
      <c r="A238" s="847"/>
      <c r="B238" s="1339"/>
      <c r="C238" s="1340" t="str">
        <f>"Payments of "&amp;C35</f>
        <v>Payments of Short-Term Bank Loan - BNI</v>
      </c>
      <c r="D238" s="1341"/>
      <c r="E238" s="1342"/>
      <c r="F238" s="1343"/>
      <c r="G238" s="1344">
        <f>IF(G35&lt;E35,E35-G35,0)</f>
        <v>0</v>
      </c>
      <c r="H238" s="1345"/>
      <c r="I238" s="1344">
        <f>IF(I35&lt;G35,G35-I35,0)</f>
        <v>0</v>
      </c>
      <c r="J238" s="1345"/>
      <c r="K238" s="1344">
        <f>IF(K35&lt;I35,I35-K35,0)</f>
        <v>0</v>
      </c>
      <c r="L238" s="1345"/>
      <c r="M238" s="848"/>
      <c r="N238" s="849"/>
      <c r="O238" s="850"/>
      <c r="P238" s="850"/>
      <c r="Q238" s="850"/>
      <c r="R238" s="850"/>
      <c r="S238" s="850"/>
      <c r="T238" s="851"/>
      <c r="U238" s="851"/>
      <c r="V238" s="851"/>
      <c r="W238" s="851"/>
      <c r="X238" s="851"/>
      <c r="Y238" s="851"/>
      <c r="Z238" s="851"/>
      <c r="AA238" s="851"/>
      <c r="AB238" s="851"/>
      <c r="AC238" s="851"/>
      <c r="AD238" s="851"/>
      <c r="AE238" s="851"/>
      <c r="AF238" s="851"/>
      <c r="AG238" s="851"/>
      <c r="AH238" s="852"/>
      <c r="AI238" s="852"/>
      <c r="AJ238" s="852"/>
      <c r="AK238" s="852"/>
      <c r="AL238" s="852"/>
      <c r="AM238" s="852"/>
      <c r="AN238" s="852"/>
      <c r="AO238" s="852"/>
      <c r="AP238" s="852"/>
      <c r="AQ238" s="852"/>
      <c r="AR238" s="852"/>
      <c r="AS238" s="852"/>
      <c r="AT238" s="852"/>
      <c r="AU238" s="852"/>
      <c r="AV238" s="852"/>
      <c r="AW238" s="852"/>
      <c r="AX238" s="849"/>
      <c r="AY238" s="847"/>
      <c r="AZ238" s="847"/>
      <c r="BA238" s="847"/>
      <c r="BB238" s="847"/>
      <c r="BC238" s="853"/>
      <c r="BD238" s="854"/>
      <c r="BE238" s="854"/>
      <c r="BF238" s="854"/>
      <c r="BG238" s="870"/>
      <c r="BH238" s="861"/>
      <c r="BI238" s="854"/>
      <c r="BJ238" s="878"/>
      <c r="BK238" s="872"/>
      <c r="BL238" s="878"/>
      <c r="BM238" s="872"/>
      <c r="BN238" s="878"/>
      <c r="BO238" s="872"/>
      <c r="BP238" s="878"/>
      <c r="BQ238" s="872"/>
      <c r="BR238" s="854"/>
      <c r="BS238" s="854"/>
      <c r="BT238" s="854"/>
      <c r="BU238" s="854"/>
      <c r="BV238" s="854"/>
      <c r="BW238" s="854"/>
      <c r="BX238" s="854"/>
      <c r="BY238" s="854"/>
      <c r="BZ238" s="854"/>
      <c r="CA238" s="854"/>
      <c r="CB238" s="854"/>
      <c r="CC238" s="854"/>
      <c r="CD238" s="854"/>
      <c r="CE238" s="854"/>
      <c r="CF238" s="854"/>
      <c r="CG238" s="854"/>
    </row>
    <row r="239" spans="1:85" ht="15.75" customHeight="1">
      <c r="A239" s="847"/>
      <c r="B239" s="1302"/>
      <c r="C239" s="1340" t="str">
        <f>"Payments of "&amp;C36</f>
        <v>Payments of Short-Term Bank Loan - Other Banks</v>
      </c>
      <c r="D239" s="1304"/>
      <c r="E239" s="1305"/>
      <c r="F239" s="1306"/>
      <c r="G239" s="1344">
        <f>IF(G36&lt;E36,E36-G36,0)</f>
        <v>0</v>
      </c>
      <c r="H239" s="1308"/>
      <c r="I239" s="1344">
        <f>IF(I36&lt;G36,G36-I36,0)</f>
        <v>0</v>
      </c>
      <c r="J239" s="1308"/>
      <c r="K239" s="1344">
        <f>IF(K36&lt;I36,I36-K36,0)</f>
        <v>0</v>
      </c>
      <c r="L239" s="1308"/>
      <c r="M239" s="848"/>
      <c r="N239" s="849"/>
      <c r="O239" s="850"/>
      <c r="P239" s="850"/>
      <c r="Q239" s="850"/>
      <c r="R239" s="850"/>
      <c r="S239" s="850"/>
      <c r="T239" s="851"/>
      <c r="U239" s="851"/>
      <c r="V239" s="851"/>
      <c r="W239" s="851"/>
      <c r="X239" s="851"/>
      <c r="Y239" s="851"/>
      <c r="Z239" s="851"/>
      <c r="AA239" s="851"/>
      <c r="AB239" s="851"/>
      <c r="AC239" s="851"/>
      <c r="AD239" s="851"/>
      <c r="AE239" s="851"/>
      <c r="AF239" s="851"/>
      <c r="AG239" s="851"/>
      <c r="AH239" s="852"/>
      <c r="AI239" s="852"/>
      <c r="AJ239" s="852"/>
      <c r="AK239" s="852"/>
      <c r="AL239" s="852"/>
      <c r="AM239" s="852"/>
      <c r="AN239" s="852"/>
      <c r="AO239" s="852"/>
      <c r="AP239" s="852"/>
      <c r="AQ239" s="852"/>
      <c r="AR239" s="852"/>
      <c r="AS239" s="852"/>
      <c r="AT239" s="852"/>
      <c r="AU239" s="852"/>
      <c r="AV239" s="852"/>
      <c r="AW239" s="852"/>
      <c r="AX239" s="849"/>
      <c r="AY239" s="847"/>
      <c r="AZ239" s="847"/>
      <c r="BA239" s="847"/>
      <c r="BB239" s="847"/>
      <c r="BC239" s="853"/>
      <c r="BD239" s="854"/>
      <c r="BE239" s="854"/>
      <c r="BF239" s="854"/>
      <c r="BG239" s="870">
        <v>167</v>
      </c>
      <c r="BH239" s="860" t="s">
        <v>45</v>
      </c>
      <c r="BI239" s="854"/>
      <c r="BJ239" s="871">
        <v>0</v>
      </c>
      <c r="BK239" s="872">
        <f t="shared" ref="BK239:BK249" ca="1" si="70">IF(BJ$299=0,0,BJ239/BJ$299*100)</f>
        <v>0</v>
      </c>
      <c r="BL239" s="871">
        <v>0</v>
      </c>
      <c r="BM239" s="872">
        <f ca="1">IF(BL$299=0,0,BL261/BL$299*100)</f>
        <v>0</v>
      </c>
      <c r="BN239" s="871">
        <v>0</v>
      </c>
      <c r="BO239" s="872">
        <f ca="1">IF(BN$299=0,0,BN261/BN$299*100)</f>
        <v>0</v>
      </c>
      <c r="BP239" s="871">
        <v>0</v>
      </c>
      <c r="BQ239" s="872">
        <f ca="1">IF(BP$299=0,0,BP261/BP$299*100)</f>
        <v>0</v>
      </c>
      <c r="BR239" s="854"/>
      <c r="BS239" s="854"/>
      <c r="BT239" s="854"/>
      <c r="BU239" s="854"/>
      <c r="BV239" s="854"/>
      <c r="BW239" s="854"/>
      <c r="BX239" s="854"/>
      <c r="BY239" s="854"/>
      <c r="BZ239" s="854"/>
      <c r="CA239" s="854"/>
      <c r="CB239" s="854"/>
      <c r="CC239" s="854"/>
      <c r="CD239" s="854"/>
      <c r="CE239" s="854"/>
      <c r="CF239" s="854"/>
      <c r="CG239" s="854" t="s">
        <v>45</v>
      </c>
    </row>
    <row r="240" spans="1:85" ht="15.75" customHeight="1">
      <c r="A240" s="847"/>
      <c r="B240" s="1302"/>
      <c r="C240" s="1340" t="str">
        <f>"Payments of "&amp;C37</f>
        <v>Payments of LC / TR - BNI</v>
      </c>
      <c r="D240" s="1304"/>
      <c r="E240" s="1305"/>
      <c r="F240" s="1306"/>
      <c r="G240" s="1344">
        <f>IF(G37&lt;E37,E37-G37,0)</f>
        <v>0</v>
      </c>
      <c r="H240" s="1308"/>
      <c r="I240" s="1344">
        <f>IF(I37&lt;G37,G37-I37,0)</f>
        <v>0</v>
      </c>
      <c r="J240" s="1308"/>
      <c r="K240" s="1344">
        <f>IF(K37&lt;I37,I37-K37,0)</f>
        <v>0</v>
      </c>
      <c r="L240" s="1308"/>
      <c r="M240" s="848"/>
      <c r="N240" s="849"/>
      <c r="O240" s="850"/>
      <c r="P240" s="850"/>
      <c r="Q240" s="850"/>
      <c r="R240" s="850"/>
      <c r="S240" s="850"/>
      <c r="T240" s="851"/>
      <c r="U240" s="851"/>
      <c r="V240" s="851"/>
      <c r="W240" s="851"/>
      <c r="X240" s="851"/>
      <c r="Y240" s="851"/>
      <c r="Z240" s="851"/>
      <c r="AA240" s="851"/>
      <c r="AB240" s="851"/>
      <c r="AC240" s="851"/>
      <c r="AD240" s="851"/>
      <c r="AE240" s="851"/>
      <c r="AF240" s="851"/>
      <c r="AG240" s="851"/>
      <c r="AH240" s="852"/>
      <c r="AI240" s="852"/>
      <c r="AJ240" s="852"/>
      <c r="AK240" s="852"/>
      <c r="AL240" s="852"/>
      <c r="AM240" s="852"/>
      <c r="AN240" s="852"/>
      <c r="AO240" s="852"/>
      <c r="AP240" s="852"/>
      <c r="AQ240" s="852"/>
      <c r="AR240" s="852"/>
      <c r="AS240" s="852"/>
      <c r="AT240" s="852"/>
      <c r="AU240" s="852"/>
      <c r="AV240" s="852"/>
      <c r="AW240" s="852"/>
      <c r="AX240" s="849"/>
      <c r="AY240" s="847"/>
      <c r="AZ240" s="847"/>
      <c r="BA240" s="847"/>
      <c r="BB240" s="847"/>
      <c r="BC240" s="853"/>
      <c r="BD240" s="854"/>
      <c r="BE240" s="854"/>
      <c r="BF240" s="854"/>
      <c r="BG240" s="870">
        <v>168</v>
      </c>
      <c r="BH240" s="860" t="s">
        <v>45</v>
      </c>
      <c r="BI240" s="854"/>
      <c r="BJ240" s="871">
        <v>0</v>
      </c>
      <c r="BK240" s="872">
        <f t="shared" ca="1" si="70"/>
        <v>0</v>
      </c>
      <c r="BL240" s="871">
        <v>0</v>
      </c>
      <c r="BM240" s="872">
        <f ca="1">IF(BL$299=0,0,BL263/BL$299*100)</f>
        <v>29.705862370061482</v>
      </c>
      <c r="BN240" s="871">
        <v>0</v>
      </c>
      <c r="BO240" s="872">
        <f ca="1">IF(BN$299=0,0,BN263/BN$299*100)</f>
        <v>22.940021042270207</v>
      </c>
      <c r="BP240" s="871">
        <v>0</v>
      </c>
      <c r="BQ240" s="872">
        <f ca="1">IF(BP$299=0,0,BP263/BP$299*100)</f>
        <v>1.7260430056803295</v>
      </c>
      <c r="BR240" s="854"/>
      <c r="BS240" s="854"/>
      <c r="BT240" s="854"/>
      <c r="BU240" s="854"/>
      <c r="BV240" s="854"/>
      <c r="BW240" s="854"/>
      <c r="BX240" s="854"/>
      <c r="BY240" s="854"/>
      <c r="BZ240" s="854"/>
      <c r="CA240" s="854"/>
      <c r="CB240" s="854"/>
      <c r="CC240" s="854"/>
      <c r="CD240" s="854"/>
      <c r="CE240" s="854"/>
      <c r="CF240" s="854"/>
      <c r="CG240" s="854" t="s">
        <v>45</v>
      </c>
    </row>
    <row r="241" spans="1:85" ht="15.75" customHeight="1">
      <c r="A241" s="847"/>
      <c r="B241" s="1302"/>
      <c r="C241" s="1340" t="str">
        <f>"Payments of "&amp;C38</f>
        <v>Payments of LC / TR - Other Banks</v>
      </c>
      <c r="D241" s="1304"/>
      <c r="E241" s="1305"/>
      <c r="F241" s="1306"/>
      <c r="G241" s="1344">
        <f>IF(G38&lt;E38,E38-G38,0)</f>
        <v>0</v>
      </c>
      <c r="H241" s="1308"/>
      <c r="I241" s="1344">
        <f>IF(I38&lt;G38,G38-I38,0)</f>
        <v>0</v>
      </c>
      <c r="J241" s="1308"/>
      <c r="K241" s="1344">
        <f>IF(K38&lt;I38,I38-K38,0)</f>
        <v>0</v>
      </c>
      <c r="L241" s="1308"/>
      <c r="M241" s="848"/>
      <c r="N241" s="849"/>
      <c r="O241" s="850"/>
      <c r="P241" s="850"/>
      <c r="Q241" s="850"/>
      <c r="R241" s="850"/>
      <c r="S241" s="850"/>
      <c r="T241" s="851"/>
      <c r="U241" s="851"/>
      <c r="V241" s="851"/>
      <c r="W241" s="851"/>
      <c r="X241" s="851"/>
      <c r="Y241" s="851"/>
      <c r="Z241" s="851"/>
      <c r="AA241" s="851"/>
      <c r="AB241" s="851"/>
      <c r="AC241" s="851"/>
      <c r="AD241" s="851"/>
      <c r="AE241" s="851"/>
      <c r="AF241" s="851"/>
      <c r="AG241" s="851"/>
      <c r="AH241" s="852"/>
      <c r="AI241" s="852"/>
      <c r="AJ241" s="852"/>
      <c r="AK241" s="852"/>
      <c r="AL241" s="852"/>
      <c r="AM241" s="852"/>
      <c r="AN241" s="852"/>
      <c r="AO241" s="852"/>
      <c r="AP241" s="852"/>
      <c r="AQ241" s="852"/>
      <c r="AR241" s="852"/>
      <c r="AS241" s="852"/>
      <c r="AT241" s="852"/>
      <c r="AU241" s="852"/>
      <c r="AV241" s="852"/>
      <c r="AW241" s="852"/>
      <c r="AX241" s="849"/>
      <c r="AY241" s="847"/>
      <c r="AZ241" s="847"/>
      <c r="BA241" s="847"/>
      <c r="BB241" s="847"/>
      <c r="BC241" s="853"/>
      <c r="BD241" s="854"/>
      <c r="BE241" s="854"/>
      <c r="BF241" s="854"/>
      <c r="BG241" s="870">
        <v>169</v>
      </c>
      <c r="BH241" s="860" t="s">
        <v>45</v>
      </c>
      <c r="BI241" s="854"/>
      <c r="BJ241" s="871">
        <v>0</v>
      </c>
      <c r="BK241" s="872">
        <f t="shared" ca="1" si="70"/>
        <v>0</v>
      </c>
      <c r="BL241" s="871">
        <v>0</v>
      </c>
      <c r="BM241" s="872">
        <f ca="1">IF(BL$299=0,0,BL188/BL$299*100)</f>
        <v>94.642962328770125</v>
      </c>
      <c r="BN241" s="871">
        <v>0</v>
      </c>
      <c r="BO241" s="872">
        <f ca="1">IF(BN$299=0,0,BN188/BN$299*100)</f>
        <v>95.856192526457534</v>
      </c>
      <c r="BP241" s="871">
        <v>0</v>
      </c>
      <c r="BQ241" s="872">
        <f ca="1">IF(BP$299=0,0,BP188/BP$299*100)</f>
        <v>99.695995148936206</v>
      </c>
      <c r="BR241" s="854"/>
      <c r="BS241" s="854"/>
      <c r="BT241" s="854"/>
      <c r="BU241" s="854"/>
      <c r="BV241" s="854"/>
      <c r="BW241" s="854"/>
      <c r="BX241" s="854"/>
      <c r="BY241" s="854"/>
      <c r="BZ241" s="854"/>
      <c r="CA241" s="854"/>
      <c r="CB241" s="854"/>
      <c r="CC241" s="854"/>
      <c r="CD241" s="854"/>
      <c r="CE241" s="854"/>
      <c r="CF241" s="854"/>
      <c r="CG241" s="854" t="s">
        <v>45</v>
      </c>
    </row>
    <row r="242" spans="1:85" ht="15.75" customHeight="1">
      <c r="A242" s="847"/>
      <c r="B242" s="1302"/>
      <c r="C242" s="1346" t="str">
        <f>"Payments of "&amp;C51</f>
        <v>Payments of Long-Term Bank Loans - BNI</v>
      </c>
      <c r="D242" s="1304"/>
      <c r="E242" s="1305"/>
      <c r="F242" s="1306"/>
      <c r="G242" s="1307">
        <f>IF((G46+G51)&lt;(E46+E51),(E46+E51)-(G46+G51),0)</f>
        <v>0</v>
      </c>
      <c r="H242" s="1308"/>
      <c r="I242" s="1307">
        <f>IF((I46+I51)&lt;(G46+G51),(G46+G51)-(I46+I51),0)</f>
        <v>0</v>
      </c>
      <c r="J242" s="1308"/>
      <c r="K242" s="1307">
        <f>IF((K46+K51)&lt;(I46+I51),(I46+I51)-(K46+K51),0)</f>
        <v>0</v>
      </c>
      <c r="L242" s="1308"/>
      <c r="M242" s="848"/>
      <c r="N242" s="849"/>
      <c r="O242" s="850"/>
      <c r="P242" s="850"/>
      <c r="Q242" s="850"/>
      <c r="R242" s="850"/>
      <c r="S242" s="850"/>
      <c r="T242" s="851"/>
      <c r="U242" s="851"/>
      <c r="V242" s="851"/>
      <c r="W242" s="851"/>
      <c r="X242" s="851"/>
      <c r="Y242" s="851"/>
      <c r="Z242" s="851"/>
      <c r="AA242" s="851"/>
      <c r="AB242" s="851"/>
      <c r="AC242" s="851"/>
      <c r="AD242" s="851"/>
      <c r="AE242" s="851"/>
      <c r="AF242" s="851"/>
      <c r="AG242" s="851"/>
      <c r="AH242" s="852"/>
      <c r="AI242" s="852"/>
      <c r="AJ242" s="852"/>
      <c r="AK242" s="852"/>
      <c r="AL242" s="852"/>
      <c r="AM242" s="852"/>
      <c r="AN242" s="852"/>
      <c r="AO242" s="852"/>
      <c r="AP242" s="852"/>
      <c r="AQ242" s="852"/>
      <c r="AR242" s="852"/>
      <c r="AS242" s="852"/>
      <c r="AT242" s="852"/>
      <c r="AU242" s="852"/>
      <c r="AV242" s="852"/>
      <c r="AW242" s="852"/>
      <c r="AX242" s="849"/>
      <c r="AY242" s="847"/>
      <c r="AZ242" s="847"/>
      <c r="BA242" s="847"/>
      <c r="BB242" s="847"/>
      <c r="BC242" s="853"/>
      <c r="BD242" s="854"/>
      <c r="BE242" s="854"/>
      <c r="BF242" s="854"/>
      <c r="BG242" s="870">
        <v>170</v>
      </c>
      <c r="BH242" s="860" t="s">
        <v>45</v>
      </c>
      <c r="BI242" s="854"/>
      <c r="BJ242" s="871">
        <v>0</v>
      </c>
      <c r="BK242" s="872">
        <f t="shared" ca="1" si="70"/>
        <v>0</v>
      </c>
      <c r="BL242" s="871">
        <v>0</v>
      </c>
      <c r="BM242" s="872">
        <f ca="1">IF(BL$299=0,0,BL264/BL$299*100)</f>
        <v>5.3570376712298753</v>
      </c>
      <c r="BN242" s="871">
        <v>0</v>
      </c>
      <c r="BO242" s="872">
        <f ca="1">IF(BN$299=0,0,BN264/BN$299*100)</f>
        <v>4.1369126191771679</v>
      </c>
      <c r="BP242" s="871">
        <v>0</v>
      </c>
      <c r="BQ242" s="872">
        <f ca="1">IF(BP$299=0,0,BP264/BP$299*100)</f>
        <v>0.31126776559433678</v>
      </c>
      <c r="BR242" s="854"/>
      <c r="BS242" s="854"/>
      <c r="BT242" s="854"/>
      <c r="BU242" s="854"/>
      <c r="BV242" s="854"/>
      <c r="BW242" s="854"/>
      <c r="BX242" s="854"/>
      <c r="BY242" s="854"/>
      <c r="BZ242" s="854"/>
      <c r="CA242" s="854"/>
      <c r="CB242" s="854"/>
      <c r="CC242" s="854"/>
      <c r="CD242" s="854"/>
      <c r="CE242" s="854"/>
      <c r="CF242" s="854"/>
      <c r="CG242" s="854" t="s">
        <v>45</v>
      </c>
    </row>
    <row r="243" spans="1:85" ht="15.75" customHeight="1">
      <c r="A243" s="847"/>
      <c r="B243" s="1302"/>
      <c r="C243" s="1346" t="str">
        <f>"Payments of "&amp;C52</f>
        <v>Payments of Long-Term Bank Loans  - Other Banks</v>
      </c>
      <c r="D243" s="1304"/>
      <c r="E243" s="1305"/>
      <c r="F243" s="1306"/>
      <c r="G243" s="1307">
        <f>IF((G47+G52)&lt;(E47+E52),(E47+E52)-(G47+G52),0)</f>
        <v>0</v>
      </c>
      <c r="H243" s="1308"/>
      <c r="I243" s="1307">
        <f>IF((I47+I52)&lt;(G47+G52),(G47+G52)-(I47+I52),0)</f>
        <v>0</v>
      </c>
      <c r="J243" s="1308"/>
      <c r="K243" s="1307">
        <f>IF((K47+K52)&lt;(I47+I52),(I47+I52)-(K47+K52),0)</f>
        <v>0</v>
      </c>
      <c r="L243" s="1308"/>
      <c r="M243" s="848"/>
      <c r="N243" s="849"/>
      <c r="O243" s="850"/>
      <c r="P243" s="850"/>
      <c r="Q243" s="850"/>
      <c r="R243" s="850"/>
      <c r="S243" s="850"/>
      <c r="T243" s="851"/>
      <c r="U243" s="851"/>
      <c r="V243" s="851"/>
      <c r="W243" s="851"/>
      <c r="X243" s="851"/>
      <c r="Y243" s="851"/>
      <c r="Z243" s="851"/>
      <c r="AA243" s="851"/>
      <c r="AB243" s="851"/>
      <c r="AC243" s="851"/>
      <c r="AD243" s="851"/>
      <c r="AE243" s="851"/>
      <c r="AF243" s="851"/>
      <c r="AG243" s="851"/>
      <c r="AH243" s="852"/>
      <c r="AI243" s="852"/>
      <c r="AJ243" s="852"/>
      <c r="AK243" s="852"/>
      <c r="AL243" s="852"/>
      <c r="AM243" s="852"/>
      <c r="AN243" s="852"/>
      <c r="AO243" s="852"/>
      <c r="AP243" s="852"/>
      <c r="AQ243" s="852"/>
      <c r="AR243" s="852"/>
      <c r="AS243" s="852"/>
      <c r="AT243" s="852"/>
      <c r="AU243" s="852"/>
      <c r="AV243" s="852"/>
      <c r="AW243" s="852"/>
      <c r="AX243" s="849"/>
      <c r="AY243" s="847"/>
      <c r="AZ243" s="847"/>
      <c r="BA243" s="847"/>
      <c r="BB243" s="847"/>
      <c r="BC243" s="853"/>
      <c r="BD243" s="854"/>
      <c r="BE243" s="854"/>
      <c r="BF243" s="854"/>
      <c r="BG243" s="870">
        <v>171</v>
      </c>
      <c r="BH243" s="860" t="s">
        <v>45</v>
      </c>
      <c r="BI243" s="854"/>
      <c r="BJ243" s="871">
        <v>0</v>
      </c>
      <c r="BK243" s="872">
        <f t="shared" ca="1" si="70"/>
        <v>0</v>
      </c>
      <c r="BL243" s="871">
        <v>0</v>
      </c>
      <c r="BM243" s="872">
        <f ca="1">IF(BL$299=0,0,BZ265/BL$299*100)</f>
        <v>0</v>
      </c>
      <c r="BN243" s="871">
        <v>0</v>
      </c>
      <c r="BO243" s="872">
        <f ca="1">IF(BN$299=0,0,CB265/BN$299*100)</f>
        <v>0</v>
      </c>
      <c r="BP243" s="871">
        <v>0</v>
      </c>
      <c r="BQ243" s="872">
        <f ca="1">IF(BP$299=0,0,CD265/BP$299*100)</f>
        <v>0</v>
      </c>
      <c r="BR243" s="854"/>
      <c r="BS243" s="854"/>
      <c r="BT243" s="854"/>
      <c r="BU243" s="854"/>
      <c r="BV243" s="854"/>
      <c r="BW243" s="854"/>
      <c r="BX243" s="854"/>
      <c r="BY243" s="854"/>
      <c r="BZ243" s="854"/>
      <c r="CA243" s="854"/>
      <c r="CB243" s="854"/>
      <c r="CC243" s="854"/>
      <c r="CD243" s="854"/>
      <c r="CE243" s="854"/>
      <c r="CF243" s="854"/>
      <c r="CG243" s="854" t="s">
        <v>45</v>
      </c>
    </row>
    <row r="244" spans="1:85" ht="15.75" customHeight="1">
      <c r="A244" s="847"/>
      <c r="B244" s="1302"/>
      <c r="C244" s="1346" t="str">
        <f>"Payments of "&amp;C53</f>
        <v>Payments of Lease Liabilities</v>
      </c>
      <c r="D244" s="1304"/>
      <c r="E244" s="1305"/>
      <c r="F244" s="1306"/>
      <c r="G244" s="1307">
        <f>IF((G48+G53)&lt;(E48+E53),(E48+E53)-(G48+G53),0)</f>
        <v>0</v>
      </c>
      <c r="H244" s="1308"/>
      <c r="I244" s="1307">
        <f>IF((I48+I53)&lt;(G48+G53),(G48+G53)-(I48+I53),0)</f>
        <v>0</v>
      </c>
      <c r="J244" s="1308"/>
      <c r="K244" s="1307">
        <f>IF((K48+K53)&lt;(I48+I53),(I48+I53)-(K48+K53),0)</f>
        <v>0</v>
      </c>
      <c r="L244" s="1308"/>
      <c r="M244" s="848"/>
      <c r="N244" s="849"/>
      <c r="O244" s="850"/>
      <c r="P244" s="850"/>
      <c r="Q244" s="850"/>
      <c r="R244" s="850"/>
      <c r="S244" s="850"/>
      <c r="T244" s="851"/>
      <c r="U244" s="851"/>
      <c r="V244" s="851"/>
      <c r="W244" s="851"/>
      <c r="X244" s="851"/>
      <c r="Y244" s="851"/>
      <c r="Z244" s="851"/>
      <c r="AA244" s="851"/>
      <c r="AB244" s="851"/>
      <c r="AC244" s="851"/>
      <c r="AD244" s="851"/>
      <c r="AE244" s="851"/>
      <c r="AF244" s="851"/>
      <c r="AG244" s="851"/>
      <c r="AH244" s="852"/>
      <c r="AI244" s="852"/>
      <c r="AJ244" s="852"/>
      <c r="AK244" s="852"/>
      <c r="AL244" s="852"/>
      <c r="AM244" s="852"/>
      <c r="AN244" s="852"/>
      <c r="AO244" s="852"/>
      <c r="AP244" s="852"/>
      <c r="AQ244" s="852"/>
      <c r="AR244" s="852"/>
      <c r="AS244" s="852"/>
      <c r="AT244" s="852"/>
      <c r="AU244" s="852"/>
      <c r="AV244" s="852"/>
      <c r="AW244" s="852"/>
      <c r="AX244" s="849"/>
      <c r="AY244" s="847"/>
      <c r="AZ244" s="847"/>
      <c r="BA244" s="847"/>
      <c r="BB244" s="847"/>
      <c r="BC244" s="853"/>
      <c r="BD244" s="854"/>
      <c r="BE244" s="854"/>
      <c r="BF244" s="854"/>
      <c r="BG244" s="870">
        <f t="shared" ref="BG244:BG245" si="71">BG243+1</f>
        <v>172</v>
      </c>
      <c r="BH244" s="860" t="s">
        <v>322</v>
      </c>
      <c r="BI244" s="854"/>
      <c r="BJ244" s="871">
        <v>0</v>
      </c>
      <c r="BK244" s="872">
        <f t="shared" ca="1" si="70"/>
        <v>0</v>
      </c>
      <c r="BL244" s="871">
        <v>0</v>
      </c>
      <c r="BM244" s="872">
        <f t="shared" ref="BM244:BM249" ca="1" si="72">IF(BL$299=0,0,BL244/BL$299*100)</f>
        <v>0</v>
      </c>
      <c r="BN244" s="871">
        <v>0</v>
      </c>
      <c r="BO244" s="872">
        <f ca="1">IF(BN$299=0,0,BN244/BN$299*100)</f>
        <v>0</v>
      </c>
      <c r="BP244" s="871">
        <v>0</v>
      </c>
      <c r="BQ244" s="872">
        <f t="shared" ref="BQ244:BQ249" ca="1" si="73">IF(BP$299=0,0,BP244/BP$299*100)</f>
        <v>0</v>
      </c>
      <c r="BR244" s="854"/>
      <c r="BS244" s="854"/>
      <c r="BT244" s="854"/>
      <c r="BU244" s="854"/>
      <c r="BV244" s="854"/>
      <c r="BW244" s="854"/>
      <c r="BX244" s="854"/>
      <c r="BY244" s="854"/>
      <c r="BZ244" s="854"/>
      <c r="CA244" s="854"/>
      <c r="CB244" s="854"/>
      <c r="CC244" s="854"/>
      <c r="CD244" s="854"/>
      <c r="CE244" s="854"/>
      <c r="CF244" s="854"/>
      <c r="CG244" s="854" t="s">
        <v>45</v>
      </c>
    </row>
    <row r="245" spans="1:85" ht="15.75" customHeight="1">
      <c r="A245" s="847"/>
      <c r="B245" s="1302"/>
      <c r="C245" s="1346" t="str">
        <f>"Payments of "&amp;C54</f>
        <v>Payments of Long-Term Debts - Bonds/MTN/Securities</v>
      </c>
      <c r="D245" s="1304"/>
      <c r="E245" s="1305"/>
      <c r="F245" s="1306"/>
      <c r="G245" s="1307">
        <f>IF((G49+G54)&lt;(E49+E54),(E49+E54)-(G49+G54),0)</f>
        <v>0</v>
      </c>
      <c r="H245" s="1308"/>
      <c r="I245" s="1307">
        <f>IF((I49+I54)&lt;(G49+G54),(G49+G54)-(I49+I54),0)</f>
        <v>0</v>
      </c>
      <c r="J245" s="1308"/>
      <c r="K245" s="1307">
        <f>IF((K49+K54)&lt;(I49+I54),(I49+I54)-(K49+K54),0)</f>
        <v>0</v>
      </c>
      <c r="L245" s="1308"/>
      <c r="M245" s="848"/>
      <c r="N245" s="849"/>
      <c r="O245" s="850"/>
      <c r="P245" s="850"/>
      <c r="Q245" s="850"/>
      <c r="R245" s="850"/>
      <c r="S245" s="850"/>
      <c r="T245" s="851"/>
      <c r="U245" s="851"/>
      <c r="V245" s="851"/>
      <c r="W245" s="851"/>
      <c r="X245" s="851"/>
      <c r="Y245" s="851"/>
      <c r="Z245" s="851"/>
      <c r="AA245" s="851"/>
      <c r="AB245" s="851"/>
      <c r="AC245" s="851"/>
      <c r="AD245" s="851"/>
      <c r="AE245" s="851"/>
      <c r="AF245" s="851"/>
      <c r="AG245" s="851"/>
      <c r="AH245" s="852"/>
      <c r="AI245" s="852"/>
      <c r="AJ245" s="852"/>
      <c r="AK245" s="852"/>
      <c r="AL245" s="852"/>
      <c r="AM245" s="852"/>
      <c r="AN245" s="852"/>
      <c r="AO245" s="852"/>
      <c r="AP245" s="852"/>
      <c r="AQ245" s="852"/>
      <c r="AR245" s="852"/>
      <c r="AS245" s="852"/>
      <c r="AT245" s="852"/>
      <c r="AU245" s="852"/>
      <c r="AV245" s="852"/>
      <c r="AW245" s="852"/>
      <c r="AX245" s="849"/>
      <c r="AY245" s="847"/>
      <c r="AZ245" s="847"/>
      <c r="BA245" s="847"/>
      <c r="BB245" s="847"/>
      <c r="BC245" s="853"/>
      <c r="BD245" s="854"/>
      <c r="BE245" s="854"/>
      <c r="BF245" s="854"/>
      <c r="BG245" s="870">
        <f t="shared" si="71"/>
        <v>173</v>
      </c>
      <c r="BH245" s="860" t="s">
        <v>323</v>
      </c>
      <c r="BI245" s="854"/>
      <c r="BJ245" s="871">
        <v>0</v>
      </c>
      <c r="BK245" s="872">
        <f t="shared" ca="1" si="70"/>
        <v>0</v>
      </c>
      <c r="BL245" s="871">
        <v>6654.2438249999996</v>
      </c>
      <c r="BM245" s="872">
        <f t="shared" ca="1" si="72"/>
        <v>29.705862370061482</v>
      </c>
      <c r="BN245" s="871">
        <v>6654.2438249999996</v>
      </c>
      <c r="BO245" s="872">
        <f ca="1">IF(BN$299=0,0,BN245/BN$299*100)</f>
        <v>22.940021042270207</v>
      </c>
      <c r="BP245" s="871">
        <v>6654.2438240000001</v>
      </c>
      <c r="BQ245" s="872">
        <f t="shared" ca="1" si="73"/>
        <v>1.7260430056803295</v>
      </c>
      <c r="BR245" s="854"/>
      <c r="BS245" s="854"/>
      <c r="BT245" s="854"/>
      <c r="BU245" s="854"/>
      <c r="BV245" s="854"/>
      <c r="BW245" s="854"/>
      <c r="BX245" s="854"/>
      <c r="BY245" s="854"/>
      <c r="BZ245" s="854"/>
      <c r="CA245" s="854"/>
      <c r="CB245" s="854"/>
      <c r="CC245" s="854"/>
      <c r="CD245" s="854"/>
      <c r="CE245" s="854"/>
      <c r="CF245" s="854"/>
      <c r="CG245" s="854" t="s">
        <v>45</v>
      </c>
    </row>
    <row r="246" spans="1:85" ht="15.75" customHeight="1">
      <c r="A246" s="847"/>
      <c r="B246" s="1302"/>
      <c r="C246" s="1303" t="str">
        <f>"Payments of "&amp;C41</f>
        <v>Payments of Shareholder &amp; Related Parties Loans- Short Term</v>
      </c>
      <c r="D246" s="1304"/>
      <c r="E246" s="1305"/>
      <c r="F246" s="1306"/>
      <c r="G246" s="1307">
        <f>IF((G41)&lt;(E41),(E41)-(G41),0)</f>
        <v>0</v>
      </c>
      <c r="H246" s="1308"/>
      <c r="I246" s="1307">
        <f>IF((I41)&lt;(G41),(G41)-(I41),0)</f>
        <v>0</v>
      </c>
      <c r="J246" s="1308"/>
      <c r="K246" s="1307">
        <f>IF((K41)&lt;(I41),(I41)-(K41),0)</f>
        <v>0</v>
      </c>
      <c r="L246" s="1308"/>
      <c r="M246" s="848"/>
      <c r="N246" s="849"/>
      <c r="O246" s="850"/>
      <c r="P246" s="850"/>
      <c r="Q246" s="850"/>
      <c r="R246" s="850"/>
      <c r="S246" s="850"/>
      <c r="T246" s="851"/>
      <c r="U246" s="851"/>
      <c r="V246" s="851"/>
      <c r="W246" s="851"/>
      <c r="X246" s="851"/>
      <c r="Y246" s="851"/>
      <c r="Z246" s="851"/>
      <c r="AA246" s="851"/>
      <c r="AB246" s="851"/>
      <c r="AC246" s="851"/>
      <c r="AD246" s="851"/>
      <c r="AE246" s="851"/>
      <c r="AF246" s="851"/>
      <c r="AG246" s="851"/>
      <c r="AH246" s="852"/>
      <c r="AI246" s="852"/>
      <c r="AJ246" s="852"/>
      <c r="AK246" s="852"/>
      <c r="AL246" s="852"/>
      <c r="AM246" s="852"/>
      <c r="AN246" s="852"/>
      <c r="AO246" s="852"/>
      <c r="AP246" s="852"/>
      <c r="AQ246" s="852"/>
      <c r="AR246" s="852"/>
      <c r="AS246" s="852"/>
      <c r="AT246" s="852"/>
      <c r="AU246" s="852"/>
      <c r="AV246" s="852"/>
      <c r="AW246" s="852"/>
      <c r="AX246" s="849"/>
      <c r="AY246" s="847"/>
      <c r="AZ246" s="847"/>
      <c r="BA246" s="847"/>
      <c r="BB246" s="847"/>
      <c r="BC246" s="853"/>
      <c r="BD246" s="854"/>
      <c r="BE246" s="854"/>
      <c r="BF246" s="854"/>
      <c r="BG246" s="870">
        <f>BU245+1</f>
        <v>1</v>
      </c>
      <c r="BH246" s="860" t="s">
        <v>300</v>
      </c>
      <c r="BI246" s="854"/>
      <c r="BJ246" s="871">
        <v>0</v>
      </c>
      <c r="BK246" s="872">
        <f t="shared" ca="1" si="70"/>
        <v>0</v>
      </c>
      <c r="BL246" s="871">
        <v>0</v>
      </c>
      <c r="BM246" s="872">
        <f t="shared" ca="1" si="72"/>
        <v>0</v>
      </c>
      <c r="BN246" s="871">
        <v>0</v>
      </c>
      <c r="BO246" s="872">
        <f ca="1">IF(BN$299=0,0,BN239/BN$299*100)</f>
        <v>0</v>
      </c>
      <c r="BP246" s="871">
        <v>0</v>
      </c>
      <c r="BQ246" s="872">
        <f t="shared" ca="1" si="73"/>
        <v>0</v>
      </c>
      <c r="BR246" s="854"/>
      <c r="BS246" s="854"/>
      <c r="BT246" s="854"/>
      <c r="BU246" s="854"/>
      <c r="BV246" s="854"/>
      <c r="BW246" s="854"/>
      <c r="BX246" s="854"/>
      <c r="BY246" s="854"/>
      <c r="BZ246" s="854"/>
      <c r="CA246" s="854"/>
      <c r="CB246" s="854"/>
      <c r="CC246" s="854"/>
      <c r="CD246" s="854"/>
      <c r="CE246" s="854"/>
      <c r="CF246" s="854"/>
      <c r="CG246" s="854" t="s">
        <v>45</v>
      </c>
    </row>
    <row r="247" spans="1:85" ht="15.75" customHeight="1">
      <c r="A247" s="847"/>
      <c r="B247" s="1302"/>
      <c r="C247" s="1303" t="str">
        <f>"Payments of "&amp;C57</f>
        <v>Payments of Shareholders &amp; Related Parties Loan- Long Term</v>
      </c>
      <c r="D247" s="1304"/>
      <c r="E247" s="1305"/>
      <c r="F247" s="1306"/>
      <c r="G247" s="1307">
        <f>IF((G57)&lt;(E57),(E57)-(G57),0)</f>
        <v>0</v>
      </c>
      <c r="H247" s="1308"/>
      <c r="I247" s="1307">
        <f>IF((I57)&lt;(G57),(G57)-(I57),0)</f>
        <v>0</v>
      </c>
      <c r="J247" s="1308"/>
      <c r="K247" s="1307">
        <f>IF((K57)&lt;(I57),(I57)-(K57),0)</f>
        <v>0</v>
      </c>
      <c r="L247" s="1308"/>
      <c r="M247" s="848"/>
      <c r="N247" s="849"/>
      <c r="O247" s="850"/>
      <c r="P247" s="850"/>
      <c r="Q247" s="850"/>
      <c r="R247" s="850"/>
      <c r="S247" s="850"/>
      <c r="T247" s="851"/>
      <c r="U247" s="851"/>
      <c r="V247" s="851"/>
      <c r="W247" s="851"/>
      <c r="X247" s="851"/>
      <c r="Y247" s="851"/>
      <c r="Z247" s="851"/>
      <c r="AA247" s="851"/>
      <c r="AB247" s="851"/>
      <c r="AC247" s="851"/>
      <c r="AD247" s="851"/>
      <c r="AE247" s="851"/>
      <c r="AF247" s="851"/>
      <c r="AG247" s="851"/>
      <c r="AH247" s="852"/>
      <c r="AI247" s="852"/>
      <c r="AJ247" s="852"/>
      <c r="AK247" s="852"/>
      <c r="AL247" s="852"/>
      <c r="AM247" s="852"/>
      <c r="AN247" s="852"/>
      <c r="AO247" s="852"/>
      <c r="AP247" s="852"/>
      <c r="AQ247" s="852"/>
      <c r="AR247" s="852"/>
      <c r="AS247" s="852"/>
      <c r="AT247" s="852"/>
      <c r="AU247" s="852"/>
      <c r="AV247" s="852"/>
      <c r="AW247" s="852"/>
      <c r="AX247" s="849"/>
      <c r="AY247" s="847"/>
      <c r="AZ247" s="847"/>
      <c r="BA247" s="847"/>
      <c r="BB247" s="847"/>
      <c r="BC247" s="853"/>
      <c r="BD247" s="854"/>
      <c r="BE247" s="854"/>
      <c r="BF247" s="854"/>
      <c r="BG247" s="870">
        <f>BU214+1</f>
        <v>175</v>
      </c>
      <c r="BH247" s="860" t="s">
        <v>300</v>
      </c>
      <c r="BI247" s="854"/>
      <c r="BJ247" s="871">
        <v>0</v>
      </c>
      <c r="BK247" s="872">
        <f t="shared" ca="1" si="70"/>
        <v>0</v>
      </c>
      <c r="BL247" s="871">
        <v>0</v>
      </c>
      <c r="BM247" s="872">
        <f t="shared" ca="1" si="72"/>
        <v>0</v>
      </c>
      <c r="BN247" s="871">
        <v>0</v>
      </c>
      <c r="BO247" s="872">
        <f ca="1">IF(BN$299=0,0,BN240/BN$299*100)</f>
        <v>0</v>
      </c>
      <c r="BP247" s="871">
        <v>0</v>
      </c>
      <c r="BQ247" s="872">
        <f t="shared" ca="1" si="73"/>
        <v>0</v>
      </c>
      <c r="BR247" s="854"/>
      <c r="BS247" s="854"/>
      <c r="BT247" s="854"/>
      <c r="BU247" s="854"/>
      <c r="BV247" s="854"/>
      <c r="BW247" s="854"/>
      <c r="BX247" s="854"/>
      <c r="BY247" s="854"/>
      <c r="BZ247" s="854"/>
      <c r="CA247" s="854"/>
      <c r="CB247" s="854"/>
      <c r="CC247" s="854"/>
      <c r="CD247" s="854"/>
      <c r="CE247" s="854"/>
      <c r="CF247" s="854"/>
      <c r="CG247" s="854" t="s">
        <v>45</v>
      </c>
    </row>
    <row r="248" spans="1:85" ht="16.5" customHeight="1">
      <c r="A248" s="847"/>
      <c r="B248" s="1302"/>
      <c r="C248" s="1303" t="str">
        <f>"Payments of "&amp;C65</f>
        <v>Payments of Additional Paid-In Capital</v>
      </c>
      <c r="D248" s="1304"/>
      <c r="E248" s="1305"/>
      <c r="F248" s="1306"/>
      <c r="G248" s="1307">
        <f>IF(G65&lt;E65,E65-G65,0)</f>
        <v>0</v>
      </c>
      <c r="H248" s="1308"/>
      <c r="I248" s="1307">
        <f>IF(I65&lt;G65,G65-I65,0)</f>
        <v>0</v>
      </c>
      <c r="J248" s="1308"/>
      <c r="K248" s="1307">
        <f>IF(K65&lt;I65,I65-K65,0)</f>
        <v>0</v>
      </c>
      <c r="L248" s="1308"/>
      <c r="M248" s="848"/>
      <c r="N248" s="849"/>
      <c r="O248" s="850"/>
      <c r="P248" s="850"/>
      <c r="Q248" s="850"/>
      <c r="R248" s="850"/>
      <c r="S248" s="850"/>
      <c r="T248" s="851"/>
      <c r="U248" s="851"/>
      <c r="V248" s="851"/>
      <c r="W248" s="851"/>
      <c r="X248" s="851"/>
      <c r="Y248" s="851"/>
      <c r="Z248" s="851"/>
      <c r="AA248" s="851"/>
      <c r="AB248" s="851"/>
      <c r="AC248" s="851"/>
      <c r="AD248" s="851"/>
      <c r="AE248" s="851"/>
      <c r="AF248" s="851"/>
      <c r="AG248" s="851"/>
      <c r="AH248" s="852"/>
      <c r="AI248" s="852"/>
      <c r="AJ248" s="852"/>
      <c r="AK248" s="852"/>
      <c r="AL248" s="852"/>
      <c r="AM248" s="852"/>
      <c r="AN248" s="852"/>
      <c r="AO248" s="852"/>
      <c r="AP248" s="852"/>
      <c r="AQ248" s="852"/>
      <c r="AR248" s="852"/>
      <c r="AS248" s="852"/>
      <c r="AT248" s="852"/>
      <c r="AU248" s="852"/>
      <c r="AV248" s="852"/>
      <c r="AW248" s="852"/>
      <c r="AX248" s="849"/>
      <c r="AY248" s="847"/>
      <c r="AZ248" s="847"/>
      <c r="BA248" s="847"/>
      <c r="BB248" s="847"/>
      <c r="BC248" s="853"/>
      <c r="BD248" s="854"/>
      <c r="BE248" s="854"/>
      <c r="BF248" s="854"/>
      <c r="BG248" s="870">
        <f t="shared" ref="BG248:BG254" si="74">BG247+1</f>
        <v>176</v>
      </c>
      <c r="BH248" s="860" t="s">
        <v>324</v>
      </c>
      <c r="BI248" s="854"/>
      <c r="BJ248" s="871">
        <v>0</v>
      </c>
      <c r="BK248" s="872">
        <f t="shared" ca="1" si="70"/>
        <v>0</v>
      </c>
      <c r="BL248" s="871">
        <v>0</v>
      </c>
      <c r="BM248" s="872">
        <f t="shared" ca="1" si="72"/>
        <v>0</v>
      </c>
      <c r="BN248" s="871">
        <v>0</v>
      </c>
      <c r="BO248" s="872">
        <f ca="1">IF(BN$299=0,0,BN241/BN$299*100)</f>
        <v>0</v>
      </c>
      <c r="BP248" s="871">
        <v>0</v>
      </c>
      <c r="BQ248" s="872">
        <f t="shared" ca="1" si="73"/>
        <v>0</v>
      </c>
      <c r="BR248" s="854"/>
      <c r="BS248" s="854"/>
      <c r="BT248" s="854"/>
      <c r="BU248" s="854"/>
      <c r="BV248" s="854"/>
      <c r="BW248" s="854"/>
      <c r="BX248" s="854"/>
      <c r="BY248" s="854"/>
      <c r="BZ248" s="854"/>
      <c r="CA248" s="854"/>
      <c r="CB248" s="854"/>
      <c r="CC248" s="854"/>
      <c r="CD248" s="854"/>
      <c r="CE248" s="854"/>
      <c r="CF248" s="854"/>
      <c r="CG248" s="854" t="s">
        <v>45</v>
      </c>
    </row>
    <row r="249" spans="1:85" ht="16.5" customHeight="1">
      <c r="A249" s="847"/>
      <c r="B249" s="1302"/>
      <c r="C249" s="1303" t="str">
        <f>"Payments of "&amp;C58</f>
        <v>Payments of Other Non-Current Liabilities</v>
      </c>
      <c r="D249" s="1304"/>
      <c r="E249" s="1305"/>
      <c r="F249" s="1306"/>
      <c r="G249" s="1307">
        <f>IF(G58&lt;E58,E58-G58,0)</f>
        <v>0</v>
      </c>
      <c r="H249" s="1308"/>
      <c r="I249" s="1307">
        <f>IF(I58&lt;G58,G58-I58,0)</f>
        <v>0</v>
      </c>
      <c r="J249" s="1308"/>
      <c r="K249" s="1307">
        <f>IF(K58&lt;I58,I58-K58,0)</f>
        <v>0</v>
      </c>
      <c r="L249" s="1308"/>
      <c r="M249" s="848"/>
      <c r="N249" s="849"/>
      <c r="O249" s="850"/>
      <c r="P249" s="850"/>
      <c r="Q249" s="850"/>
      <c r="R249" s="850"/>
      <c r="S249" s="850"/>
      <c r="T249" s="851"/>
      <c r="U249" s="851"/>
      <c r="V249" s="851"/>
      <c r="W249" s="851"/>
      <c r="X249" s="851"/>
      <c r="Y249" s="851"/>
      <c r="Z249" s="851"/>
      <c r="AA249" s="851"/>
      <c r="AB249" s="851"/>
      <c r="AC249" s="851"/>
      <c r="AD249" s="851"/>
      <c r="AE249" s="851"/>
      <c r="AF249" s="851"/>
      <c r="AG249" s="851"/>
      <c r="AH249" s="852"/>
      <c r="AI249" s="852"/>
      <c r="AJ249" s="852"/>
      <c r="AK249" s="852"/>
      <c r="AL249" s="852"/>
      <c r="AM249" s="852"/>
      <c r="AN249" s="852"/>
      <c r="AO249" s="852"/>
      <c r="AP249" s="852"/>
      <c r="AQ249" s="852"/>
      <c r="AR249" s="852"/>
      <c r="AS249" s="852"/>
      <c r="AT249" s="852"/>
      <c r="AU249" s="852"/>
      <c r="AV249" s="852"/>
      <c r="AW249" s="852"/>
      <c r="AX249" s="849"/>
      <c r="AY249" s="847"/>
      <c r="AZ249" s="847"/>
      <c r="BA249" s="847"/>
      <c r="BB249" s="847"/>
      <c r="BC249" s="853"/>
      <c r="BD249" s="854"/>
      <c r="BE249" s="854"/>
      <c r="BF249" s="854"/>
      <c r="BG249" s="870">
        <f t="shared" si="74"/>
        <v>177</v>
      </c>
      <c r="BH249" s="860" t="s">
        <v>325</v>
      </c>
      <c r="BI249" s="854"/>
      <c r="BJ249" s="871">
        <v>0</v>
      </c>
      <c r="BK249" s="872">
        <f t="shared" ca="1" si="70"/>
        <v>0</v>
      </c>
      <c r="BL249" s="871">
        <v>0</v>
      </c>
      <c r="BM249" s="872">
        <f t="shared" ca="1" si="72"/>
        <v>0</v>
      </c>
      <c r="BN249" s="871">
        <v>0</v>
      </c>
      <c r="BO249" s="872">
        <f ca="1">IF(BN$299=0,0,BN242/BN$299*100)</f>
        <v>0</v>
      </c>
      <c r="BP249" s="871">
        <v>0</v>
      </c>
      <c r="BQ249" s="872">
        <f t="shared" ca="1" si="73"/>
        <v>0</v>
      </c>
      <c r="BR249" s="854"/>
      <c r="BS249" s="854"/>
      <c r="BT249" s="854"/>
      <c r="BU249" s="854"/>
      <c r="BV249" s="854"/>
      <c r="BW249" s="854"/>
      <c r="BX249" s="854"/>
      <c r="BY249" s="854"/>
      <c r="BZ249" s="854"/>
      <c r="CA249" s="854"/>
      <c r="CB249" s="854"/>
      <c r="CC249" s="854"/>
      <c r="CD249" s="854"/>
      <c r="CE249" s="854"/>
      <c r="CF249" s="854"/>
      <c r="CG249" s="854" t="s">
        <v>45</v>
      </c>
    </row>
    <row r="250" spans="1:85" ht="16.5" customHeight="1">
      <c r="A250" s="847"/>
      <c r="B250" s="1302"/>
      <c r="C250" s="1303" t="str">
        <f>"Decrease in "&amp;C61</f>
        <v>Decrease in Preference Shares</v>
      </c>
      <c r="D250" s="1304"/>
      <c r="E250" s="1305"/>
      <c r="F250" s="1306"/>
      <c r="G250" s="1307">
        <f>IF(G61&lt;E61,E61-G61,0)</f>
        <v>0</v>
      </c>
      <c r="H250" s="1308"/>
      <c r="I250" s="1307">
        <f>IF(I61&lt;G61,G61-I61,0)</f>
        <v>0</v>
      </c>
      <c r="J250" s="1308"/>
      <c r="K250" s="1307">
        <f>IF(K61&lt;I61,I61-K61,0)</f>
        <v>0</v>
      </c>
      <c r="L250" s="1308"/>
      <c r="M250" s="848"/>
      <c r="N250" s="849"/>
      <c r="O250" s="850"/>
      <c r="P250" s="850"/>
      <c r="Q250" s="850"/>
      <c r="R250" s="850"/>
      <c r="S250" s="850"/>
      <c r="T250" s="851"/>
      <c r="U250" s="851"/>
      <c r="V250" s="851"/>
      <c r="W250" s="851"/>
      <c r="X250" s="851"/>
      <c r="Y250" s="851"/>
      <c r="Z250" s="851"/>
      <c r="AA250" s="851"/>
      <c r="AB250" s="851"/>
      <c r="AC250" s="851"/>
      <c r="AD250" s="851"/>
      <c r="AE250" s="851"/>
      <c r="AF250" s="851"/>
      <c r="AG250" s="851"/>
      <c r="AH250" s="852"/>
      <c r="AI250" s="852"/>
      <c r="AJ250" s="852"/>
      <c r="AK250" s="852"/>
      <c r="AL250" s="852"/>
      <c r="AM250" s="852"/>
      <c r="AN250" s="852"/>
      <c r="AO250" s="852"/>
      <c r="AP250" s="852"/>
      <c r="AQ250" s="852"/>
      <c r="AR250" s="852"/>
      <c r="AS250" s="852"/>
      <c r="AT250" s="852"/>
      <c r="AU250" s="852"/>
      <c r="AV250" s="852"/>
      <c r="AW250" s="852"/>
      <c r="AX250" s="849"/>
      <c r="AY250" s="847"/>
      <c r="AZ250" s="847"/>
      <c r="BA250" s="847"/>
      <c r="BB250" s="847"/>
      <c r="BC250" s="853"/>
      <c r="BD250" s="854"/>
      <c r="BE250" s="854"/>
      <c r="BF250" s="854"/>
      <c r="BG250" s="870"/>
      <c r="BH250" s="860"/>
      <c r="BI250" s="854"/>
      <c r="BJ250" s="871"/>
      <c r="BK250" s="872"/>
      <c r="BL250" s="871"/>
      <c r="BM250" s="872"/>
      <c r="BN250" s="871"/>
      <c r="BO250" s="872"/>
      <c r="BP250" s="871"/>
      <c r="BQ250" s="872"/>
      <c r="BR250" s="854"/>
      <c r="BS250" s="854"/>
      <c r="BT250" s="854"/>
      <c r="BU250" s="854"/>
      <c r="BV250" s="854"/>
      <c r="BW250" s="854"/>
      <c r="BX250" s="854"/>
      <c r="BY250" s="854"/>
      <c r="BZ250" s="854"/>
      <c r="CA250" s="854"/>
      <c r="CB250" s="854"/>
      <c r="CC250" s="854"/>
      <c r="CD250" s="854"/>
      <c r="CE250" s="854"/>
      <c r="CF250" s="854"/>
      <c r="CG250" s="854"/>
    </row>
    <row r="251" spans="1:85" ht="16.5" customHeight="1">
      <c r="A251" s="847"/>
      <c r="B251" s="1302"/>
      <c r="C251" s="1303" t="str">
        <f>"Decrease in "&amp;C62</f>
        <v>Decrease in Common Shares</v>
      </c>
      <c r="D251" s="1304"/>
      <c r="E251" s="1305"/>
      <c r="F251" s="1306"/>
      <c r="G251" s="1307">
        <f>IF(G62&lt;E62,E62-G62,0)</f>
        <v>0</v>
      </c>
      <c r="H251" s="1308"/>
      <c r="I251" s="1307">
        <f>IF(I62&lt;G62,G62-I62,0)</f>
        <v>0</v>
      </c>
      <c r="J251" s="1308"/>
      <c r="K251" s="1307">
        <f>IF(K62&lt;I62,I62-K62,0)</f>
        <v>0</v>
      </c>
      <c r="L251" s="1308"/>
      <c r="M251" s="848"/>
      <c r="N251" s="849"/>
      <c r="O251" s="850"/>
      <c r="P251" s="850"/>
      <c r="Q251" s="850"/>
      <c r="R251" s="850"/>
      <c r="S251" s="850"/>
      <c r="T251" s="851"/>
      <c r="U251" s="851"/>
      <c r="V251" s="851"/>
      <c r="W251" s="851"/>
      <c r="X251" s="851"/>
      <c r="Y251" s="851"/>
      <c r="Z251" s="851"/>
      <c r="AA251" s="851"/>
      <c r="AB251" s="851"/>
      <c r="AC251" s="851"/>
      <c r="AD251" s="851"/>
      <c r="AE251" s="851"/>
      <c r="AF251" s="851"/>
      <c r="AG251" s="851"/>
      <c r="AH251" s="852"/>
      <c r="AI251" s="852"/>
      <c r="AJ251" s="852"/>
      <c r="AK251" s="852"/>
      <c r="AL251" s="852"/>
      <c r="AM251" s="852"/>
      <c r="AN251" s="852"/>
      <c r="AO251" s="852"/>
      <c r="AP251" s="852"/>
      <c r="AQ251" s="852"/>
      <c r="AR251" s="852"/>
      <c r="AS251" s="852"/>
      <c r="AT251" s="852"/>
      <c r="AU251" s="852"/>
      <c r="AV251" s="852"/>
      <c r="AW251" s="852"/>
      <c r="AX251" s="849"/>
      <c r="AY251" s="847"/>
      <c r="AZ251" s="847"/>
      <c r="BA251" s="847"/>
      <c r="BB251" s="847"/>
      <c r="BC251" s="853"/>
      <c r="BD251" s="854"/>
      <c r="BE251" s="854"/>
      <c r="BF251" s="854"/>
      <c r="BG251" s="870"/>
      <c r="BH251" s="860"/>
      <c r="BI251" s="854"/>
      <c r="BJ251" s="871"/>
      <c r="BK251" s="872"/>
      <c r="BL251" s="871"/>
      <c r="BM251" s="872"/>
      <c r="BN251" s="871"/>
      <c r="BO251" s="872"/>
      <c r="BP251" s="871"/>
      <c r="BQ251" s="872"/>
      <c r="BR251" s="854"/>
      <c r="BS251" s="854"/>
      <c r="BT251" s="854"/>
      <c r="BU251" s="854"/>
      <c r="BV251" s="854"/>
      <c r="BW251" s="854"/>
      <c r="BX251" s="854"/>
      <c r="BY251" s="854"/>
      <c r="BZ251" s="854"/>
      <c r="CA251" s="854"/>
      <c r="CB251" s="854"/>
      <c r="CC251" s="854"/>
      <c r="CD251" s="854"/>
      <c r="CE251" s="854"/>
      <c r="CF251" s="854"/>
      <c r="CG251" s="854"/>
    </row>
    <row r="252" spans="1:85" ht="16.5" customHeight="1">
      <c r="A252" s="847"/>
      <c r="B252" s="1302"/>
      <c r="C252" s="1303" t="str">
        <f>"Decrease in "&amp;C63</f>
        <v>Decrease in Treasury Shares</v>
      </c>
      <c r="D252" s="1304"/>
      <c r="E252" s="1305"/>
      <c r="F252" s="1306"/>
      <c r="G252" s="1307">
        <f>IF(G63&lt;E63,E63-G63,0)</f>
        <v>0</v>
      </c>
      <c r="H252" s="1308"/>
      <c r="I252" s="1307">
        <f>IF(I63&lt;G63,G63-I63,0)</f>
        <v>0</v>
      </c>
      <c r="J252" s="1308"/>
      <c r="K252" s="1307">
        <f>IF(K63&lt;I63,I63-K63,0)</f>
        <v>0</v>
      </c>
      <c r="L252" s="1308"/>
      <c r="M252" s="848"/>
      <c r="N252" s="849"/>
      <c r="O252" s="850"/>
      <c r="P252" s="850"/>
      <c r="Q252" s="850"/>
      <c r="R252" s="850"/>
      <c r="S252" s="850"/>
      <c r="T252" s="851"/>
      <c r="U252" s="851"/>
      <c r="V252" s="851"/>
      <c r="W252" s="851"/>
      <c r="X252" s="851"/>
      <c r="Y252" s="851"/>
      <c r="Z252" s="851"/>
      <c r="AA252" s="851"/>
      <c r="AB252" s="851"/>
      <c r="AC252" s="851"/>
      <c r="AD252" s="851"/>
      <c r="AE252" s="851"/>
      <c r="AF252" s="851"/>
      <c r="AG252" s="851"/>
      <c r="AH252" s="852"/>
      <c r="AI252" s="852"/>
      <c r="AJ252" s="852"/>
      <c r="AK252" s="852"/>
      <c r="AL252" s="852"/>
      <c r="AM252" s="852"/>
      <c r="AN252" s="852"/>
      <c r="AO252" s="852"/>
      <c r="AP252" s="852"/>
      <c r="AQ252" s="852"/>
      <c r="AR252" s="852"/>
      <c r="AS252" s="852"/>
      <c r="AT252" s="852"/>
      <c r="AU252" s="852"/>
      <c r="AV252" s="852"/>
      <c r="AW252" s="852"/>
      <c r="AX252" s="849"/>
      <c r="AY252" s="847"/>
      <c r="AZ252" s="847"/>
      <c r="BA252" s="847"/>
      <c r="BB252" s="847"/>
      <c r="BC252" s="853"/>
      <c r="BD252" s="854"/>
      <c r="BE252" s="854"/>
      <c r="BF252" s="854"/>
      <c r="BG252" s="870">
        <f>BG249+1</f>
        <v>178</v>
      </c>
      <c r="BH252" s="860" t="s">
        <v>326</v>
      </c>
      <c r="BI252" s="854"/>
      <c r="BJ252" s="871">
        <v>0</v>
      </c>
      <c r="BK252" s="872">
        <f ca="1">IF(BJ$299=0,0,BJ252/BJ$299*100)</f>
        <v>0</v>
      </c>
      <c r="BL252" s="871">
        <v>0</v>
      </c>
      <c r="BM252" s="872">
        <f ca="1">IF(BL$299=0,0,BL252/BL$299*100)</f>
        <v>0</v>
      </c>
      <c r="BN252" s="871">
        <v>0</v>
      </c>
      <c r="BO252" s="872">
        <f ca="1">IF(BN$299=0,0,BN243/BN$299*100)</f>
        <v>0</v>
      </c>
      <c r="BP252" s="871">
        <v>0</v>
      </c>
      <c r="BQ252" s="872">
        <f ca="1">IF(BP$299=0,0,BP252/BP$299*100)</f>
        <v>0</v>
      </c>
      <c r="BR252" s="854"/>
      <c r="BS252" s="854"/>
      <c r="BT252" s="854"/>
      <c r="BU252" s="854"/>
      <c r="BV252" s="854"/>
      <c r="BW252" s="854"/>
      <c r="BX252" s="854"/>
      <c r="BY252" s="854"/>
      <c r="BZ252" s="854"/>
      <c r="CA252" s="854"/>
      <c r="CB252" s="854"/>
      <c r="CC252" s="854"/>
      <c r="CD252" s="854"/>
      <c r="CE252" s="854"/>
      <c r="CF252" s="854"/>
      <c r="CG252" s="854" t="s">
        <v>45</v>
      </c>
    </row>
    <row r="253" spans="1:85" ht="16.5" customHeight="1">
      <c r="A253" s="847"/>
      <c r="B253" s="1302"/>
      <c r="C253" s="1303" t="str">
        <f>"Decrease in "&amp;C64</f>
        <v>Decrease in Share Premium (Agio Share)</v>
      </c>
      <c r="D253" s="1304"/>
      <c r="E253" s="1305"/>
      <c r="F253" s="1306"/>
      <c r="G253" s="1307">
        <f>IF(G64&lt;E64,E64-G64,0)</f>
        <v>0</v>
      </c>
      <c r="H253" s="1308"/>
      <c r="I253" s="1307">
        <f>IF(I64&lt;G64,G64-I64,0)</f>
        <v>0</v>
      </c>
      <c r="J253" s="1308"/>
      <c r="K253" s="1307">
        <f>IF(K64&lt;I64,I64-K64,0)</f>
        <v>0</v>
      </c>
      <c r="L253" s="1308"/>
      <c r="M253" s="848"/>
      <c r="N253" s="849"/>
      <c r="O253" s="850"/>
      <c r="P253" s="850"/>
      <c r="Q253" s="850"/>
      <c r="R253" s="850"/>
      <c r="S253" s="850"/>
      <c r="T253" s="851"/>
      <c r="U253" s="851"/>
      <c r="V253" s="851"/>
      <c r="W253" s="851"/>
      <c r="X253" s="851"/>
      <c r="Y253" s="851"/>
      <c r="Z253" s="851"/>
      <c r="AA253" s="851"/>
      <c r="AB253" s="851"/>
      <c r="AC253" s="851"/>
      <c r="AD253" s="851"/>
      <c r="AE253" s="851"/>
      <c r="AF253" s="851"/>
      <c r="AG253" s="851"/>
      <c r="AH253" s="852"/>
      <c r="AI253" s="852"/>
      <c r="AJ253" s="852"/>
      <c r="AK253" s="852"/>
      <c r="AL253" s="852"/>
      <c r="AM253" s="852"/>
      <c r="AN253" s="852"/>
      <c r="AO253" s="852"/>
      <c r="AP253" s="852"/>
      <c r="AQ253" s="852"/>
      <c r="AR253" s="852"/>
      <c r="AS253" s="852"/>
      <c r="AT253" s="852"/>
      <c r="AU253" s="852"/>
      <c r="AV253" s="852"/>
      <c r="AW253" s="852"/>
      <c r="AX253" s="849"/>
      <c r="AY253" s="847"/>
      <c r="AZ253" s="847"/>
      <c r="BA253" s="847"/>
      <c r="BB253" s="847"/>
      <c r="BC253" s="853"/>
      <c r="BD253" s="854"/>
      <c r="BE253" s="854"/>
      <c r="BF253" s="854"/>
      <c r="BG253" s="870">
        <f t="shared" si="74"/>
        <v>179</v>
      </c>
      <c r="BH253" s="860" t="s">
        <v>327</v>
      </c>
      <c r="BI253" s="854"/>
      <c r="BJ253" s="871">
        <v>0</v>
      </c>
      <c r="BK253" s="872">
        <f ca="1">IF(BJ$299=0,0,BJ253/BJ$299*100)</f>
        <v>0</v>
      </c>
      <c r="BL253" s="871">
        <v>0</v>
      </c>
      <c r="BM253" s="872">
        <f ca="1">IF(BL$299=0,0,BL253/BL$299*100)</f>
        <v>0</v>
      </c>
      <c r="BN253" s="871">
        <v>0</v>
      </c>
      <c r="BO253" s="872">
        <f ca="1">IF(BN$299=0,0,BN244/BN$299*100)</f>
        <v>0</v>
      </c>
      <c r="BP253" s="871">
        <v>0</v>
      </c>
      <c r="BQ253" s="872">
        <f ca="1">IF(BP$299=0,0,BP253/BP$299*100)</f>
        <v>0</v>
      </c>
      <c r="BR253" s="854"/>
      <c r="BS253" s="854"/>
      <c r="BT253" s="854"/>
      <c r="BU253" s="854"/>
      <c r="BV253" s="854"/>
      <c r="BW253" s="854"/>
      <c r="BX253" s="854"/>
      <c r="BY253" s="854"/>
      <c r="BZ253" s="854"/>
      <c r="CA253" s="854"/>
      <c r="CB253" s="854"/>
      <c r="CC253" s="854"/>
      <c r="CD253" s="854"/>
      <c r="CE253" s="854"/>
      <c r="CF253" s="854"/>
      <c r="CG253" s="854" t="s">
        <v>45</v>
      </c>
    </row>
    <row r="254" spans="1:85" ht="15.75" customHeight="1">
      <c r="A254" s="847"/>
      <c r="B254" s="1302"/>
      <c r="C254" s="1303" t="str">
        <f>"Decrease in "&amp;C66</f>
        <v>Decrease in Subordinated Shareholders &amp; Related Parties Loan</v>
      </c>
      <c r="D254" s="1304"/>
      <c r="E254" s="1305"/>
      <c r="F254" s="1306"/>
      <c r="G254" s="1307">
        <f>IF(G66&lt;E66,E66-G66,0)</f>
        <v>0</v>
      </c>
      <c r="H254" s="1308"/>
      <c r="I254" s="1307">
        <f>IF(I66&lt;G66,G66-I66,0)</f>
        <v>0</v>
      </c>
      <c r="J254" s="1308"/>
      <c r="K254" s="1307">
        <f>IF(K66&lt;I66,I66-K66,0)</f>
        <v>0</v>
      </c>
      <c r="L254" s="1308"/>
      <c r="M254" s="848"/>
      <c r="N254" s="849"/>
      <c r="O254" s="850"/>
      <c r="P254" s="850"/>
      <c r="Q254" s="850"/>
      <c r="R254" s="850"/>
      <c r="S254" s="850"/>
      <c r="T254" s="851"/>
      <c r="U254" s="851"/>
      <c r="V254" s="851"/>
      <c r="W254" s="851"/>
      <c r="X254" s="851"/>
      <c r="Y254" s="851"/>
      <c r="Z254" s="851"/>
      <c r="AA254" s="851"/>
      <c r="AB254" s="851"/>
      <c r="AC254" s="851"/>
      <c r="AD254" s="851"/>
      <c r="AE254" s="851"/>
      <c r="AF254" s="851"/>
      <c r="AG254" s="851"/>
      <c r="AH254" s="852"/>
      <c r="AI254" s="852"/>
      <c r="AJ254" s="852"/>
      <c r="AK254" s="852"/>
      <c r="AL254" s="852"/>
      <c r="AM254" s="852"/>
      <c r="AN254" s="852"/>
      <c r="AO254" s="852"/>
      <c r="AP254" s="852"/>
      <c r="AQ254" s="852"/>
      <c r="AR254" s="852"/>
      <c r="AS254" s="852"/>
      <c r="AT254" s="852"/>
      <c r="AU254" s="852"/>
      <c r="AV254" s="852"/>
      <c r="AW254" s="852"/>
      <c r="AX254" s="849"/>
      <c r="AY254" s="847"/>
      <c r="AZ254" s="847"/>
      <c r="BA254" s="847"/>
      <c r="BB254" s="847"/>
      <c r="BC254" s="853"/>
      <c r="BD254" s="854"/>
      <c r="BE254" s="854"/>
      <c r="BF254" s="854"/>
      <c r="BG254" s="870">
        <f t="shared" si="74"/>
        <v>180</v>
      </c>
      <c r="BH254" s="860" t="s">
        <v>328</v>
      </c>
      <c r="BI254" s="854"/>
      <c r="BJ254" s="871">
        <v>0</v>
      </c>
      <c r="BK254" s="872">
        <f ca="1">IF(BJ$299=0,0,BJ254/BJ$299*100)</f>
        <v>0</v>
      </c>
      <c r="BL254" s="871">
        <v>0</v>
      </c>
      <c r="BM254" s="872">
        <f ca="1">IF(BL$299=0,0,BL254/BL$299*100)</f>
        <v>0</v>
      </c>
      <c r="BN254" s="871">
        <v>0</v>
      </c>
      <c r="BO254" s="872">
        <f ca="1">IF(BN$299=0,0,BN245/BN$299*100)</f>
        <v>22.940021042270207</v>
      </c>
      <c r="BP254" s="871">
        <v>0</v>
      </c>
      <c r="BQ254" s="872">
        <f ca="1">IF(BP$299=0,0,BP254/BP$299*100)</f>
        <v>0</v>
      </c>
      <c r="BR254" s="854"/>
      <c r="BS254" s="854"/>
      <c r="BT254" s="854"/>
      <c r="BU254" s="854"/>
      <c r="BV254" s="854"/>
      <c r="BW254" s="854"/>
      <c r="BX254" s="854"/>
      <c r="BY254" s="854"/>
      <c r="BZ254" s="854"/>
      <c r="CA254" s="854"/>
      <c r="CB254" s="854"/>
      <c r="CC254" s="854"/>
      <c r="CD254" s="854"/>
      <c r="CE254" s="854"/>
      <c r="CF254" s="854"/>
      <c r="CG254" s="854" t="s">
        <v>45</v>
      </c>
    </row>
    <row r="255" spans="1:85" ht="16.5" customHeight="1">
      <c r="A255" s="847"/>
      <c r="B255" s="1302"/>
      <c r="C255" s="1303" t="str">
        <f>"Decrease in "&amp;C67</f>
        <v>Decrease in Difference in Corporate Transactions</v>
      </c>
      <c r="D255" s="1304"/>
      <c r="E255" s="1305"/>
      <c r="F255" s="1306"/>
      <c r="G255" s="1307">
        <f>IF(G67&lt;E67,E67-G67,0)</f>
        <v>0</v>
      </c>
      <c r="H255" s="1308"/>
      <c r="I255" s="1307">
        <f>IF(I67&lt;G67,G67-I67,0)</f>
        <v>0</v>
      </c>
      <c r="J255" s="1308"/>
      <c r="K255" s="1307">
        <f>IF(K67&lt;I67,I67-K67,0)</f>
        <v>0</v>
      </c>
      <c r="L255" s="1308"/>
      <c r="M255" s="848"/>
      <c r="N255" s="849"/>
      <c r="O255" s="850"/>
      <c r="P255" s="850"/>
      <c r="Q255" s="850"/>
      <c r="R255" s="850"/>
      <c r="S255" s="850"/>
      <c r="T255" s="851"/>
      <c r="U255" s="851"/>
      <c r="V255" s="851"/>
      <c r="W255" s="851"/>
      <c r="X255" s="851"/>
      <c r="Y255" s="851"/>
      <c r="Z255" s="851"/>
      <c r="AA255" s="851"/>
      <c r="AB255" s="851"/>
      <c r="AC255" s="851"/>
      <c r="AD255" s="851"/>
      <c r="AE255" s="851"/>
      <c r="AF255" s="851"/>
      <c r="AG255" s="851"/>
      <c r="AH255" s="852"/>
      <c r="AI255" s="852"/>
      <c r="AJ255" s="852"/>
      <c r="AK255" s="852"/>
      <c r="AL255" s="852"/>
      <c r="AM255" s="852"/>
      <c r="AN255" s="852"/>
      <c r="AO255" s="852"/>
      <c r="AP255" s="852"/>
      <c r="AQ255" s="852"/>
      <c r="AR255" s="852"/>
      <c r="AS255" s="852"/>
      <c r="AT255" s="852"/>
      <c r="AU255" s="852"/>
      <c r="AV255" s="852"/>
      <c r="AW255" s="852"/>
      <c r="AX255" s="849"/>
      <c r="AY255" s="847"/>
      <c r="AZ255" s="847"/>
      <c r="BA255" s="847"/>
      <c r="BB255" s="847"/>
      <c r="BC255" s="853"/>
      <c r="BD255" s="854"/>
      <c r="BE255" s="854"/>
      <c r="BF255" s="854"/>
      <c r="BG255" s="854"/>
      <c r="BH255" s="854"/>
      <c r="BI255" s="854"/>
      <c r="BJ255" s="854"/>
      <c r="BK255" s="854"/>
      <c r="BL255" s="854"/>
      <c r="BM255" s="854"/>
      <c r="BN255" s="854"/>
      <c r="BO255" s="854"/>
      <c r="BP255" s="854"/>
      <c r="BQ255" s="854"/>
      <c r="BR255" s="854"/>
      <c r="BS255" s="854"/>
      <c r="BT255" s="854"/>
      <c r="BU255" s="870">
        <f>BG254+1</f>
        <v>181</v>
      </c>
      <c r="BV255" s="860" t="s">
        <v>329</v>
      </c>
      <c r="BW255" s="854"/>
      <c r="BX255" s="871">
        <v>0</v>
      </c>
      <c r="BY255" s="872">
        <f ca="1">IF(BJ$299=0,0,BX255/BJ$299*100)</f>
        <v>0</v>
      </c>
      <c r="BZ255" s="871">
        <v>0</v>
      </c>
      <c r="CA255" s="872">
        <f ca="1">IF(BL$299=0,0,BZ214/BL$299*100)</f>
        <v>0</v>
      </c>
      <c r="CB255" s="871">
        <v>0</v>
      </c>
      <c r="CC255" s="872">
        <f ca="1">IF(BN$299=0,0,CB214/BN$299*100)</f>
        <v>0</v>
      </c>
      <c r="CD255" s="871">
        <v>0</v>
      </c>
      <c r="CE255" s="872">
        <f ca="1">IF(BP$299=0,0,CD214/BP$299*100)</f>
        <v>0</v>
      </c>
      <c r="CF255" s="854"/>
      <c r="CG255" s="854" t="s">
        <v>45</v>
      </c>
    </row>
    <row r="256" spans="1:85" ht="15.75" customHeight="1">
      <c r="A256" s="847"/>
      <c r="B256" s="1302"/>
      <c r="C256" s="1303" t="str">
        <f>"Decrease in "&amp;C68</f>
        <v>Decrease in Other Equity</v>
      </c>
      <c r="D256" s="1304"/>
      <c r="E256" s="1305"/>
      <c r="F256" s="1306"/>
      <c r="G256" s="1307">
        <f>IF(G68&lt;E68,E68-G68,0)</f>
        <v>0</v>
      </c>
      <c r="H256" s="1308"/>
      <c r="I256" s="1307">
        <f>IF(I68&lt;G68,G68-I68,0)</f>
        <v>0</v>
      </c>
      <c r="J256" s="1308"/>
      <c r="K256" s="1307">
        <f>IF(K68&lt;I68,I68-K68,0)</f>
        <v>0</v>
      </c>
      <c r="L256" s="1308"/>
      <c r="M256" s="848"/>
      <c r="N256" s="849"/>
      <c r="O256" s="850"/>
      <c r="P256" s="850"/>
      <c r="Q256" s="850"/>
      <c r="R256" s="850"/>
      <c r="S256" s="850"/>
      <c r="T256" s="851"/>
      <c r="U256" s="851"/>
      <c r="V256" s="851"/>
      <c r="W256" s="851"/>
      <c r="X256" s="851"/>
      <c r="Y256" s="851"/>
      <c r="Z256" s="851"/>
      <c r="AA256" s="851"/>
      <c r="AB256" s="851"/>
      <c r="AC256" s="851"/>
      <c r="AD256" s="851"/>
      <c r="AE256" s="851"/>
      <c r="AF256" s="851"/>
      <c r="AG256" s="851"/>
      <c r="AH256" s="852"/>
      <c r="AI256" s="852"/>
      <c r="AJ256" s="852"/>
      <c r="AK256" s="852"/>
      <c r="AL256" s="852"/>
      <c r="AM256" s="852"/>
      <c r="AN256" s="852"/>
      <c r="AO256" s="852"/>
      <c r="AP256" s="852"/>
      <c r="AQ256" s="852"/>
      <c r="AR256" s="852"/>
      <c r="AS256" s="852"/>
      <c r="AT256" s="852"/>
      <c r="AU256" s="852"/>
      <c r="AV256" s="852"/>
      <c r="AW256" s="852"/>
      <c r="AX256" s="849"/>
      <c r="AY256" s="847"/>
      <c r="AZ256" s="847"/>
      <c r="BA256" s="847"/>
      <c r="BB256" s="847"/>
      <c r="BC256" s="853"/>
      <c r="BD256" s="854"/>
      <c r="BE256" s="854"/>
      <c r="BF256" s="854"/>
      <c r="BG256" s="854"/>
      <c r="BH256" s="854"/>
      <c r="BI256" s="854"/>
      <c r="BJ256" s="854"/>
      <c r="BK256" s="854"/>
      <c r="BL256" s="854"/>
      <c r="BM256" s="854"/>
      <c r="BN256" s="854"/>
      <c r="BO256" s="854"/>
      <c r="BP256" s="854"/>
      <c r="BQ256" s="854"/>
      <c r="BR256" s="854"/>
      <c r="BS256" s="854"/>
      <c r="BT256" s="854"/>
      <c r="BU256" s="870">
        <f>BU255+1</f>
        <v>182</v>
      </c>
      <c r="BV256" s="860" t="s">
        <v>330</v>
      </c>
      <c r="BW256" s="854"/>
      <c r="BX256" s="871">
        <v>0</v>
      </c>
      <c r="BY256" s="872">
        <f ca="1">IF(BJ$299=0,0,BX256/BJ$299*100)</f>
        <v>0</v>
      </c>
      <c r="BZ256" s="871">
        <v>0</v>
      </c>
      <c r="CA256" s="872"/>
      <c r="CB256" s="871">
        <v>0</v>
      </c>
      <c r="CC256" s="872"/>
      <c r="CD256" s="871">
        <v>0</v>
      </c>
      <c r="CE256" s="872"/>
      <c r="CF256" s="854"/>
      <c r="CG256" s="854" t="s">
        <v>45</v>
      </c>
    </row>
    <row r="257" spans="1:85" ht="15.75" customHeight="1">
      <c r="A257" s="847"/>
      <c r="B257" s="1302"/>
      <c r="C257" s="1303" t="str">
        <f>C123</f>
        <v>Dividend Payments</v>
      </c>
      <c r="D257" s="1304"/>
      <c r="E257" s="1305"/>
      <c r="F257" s="1306"/>
      <c r="G257" s="1307">
        <f>G123</f>
        <v>300</v>
      </c>
      <c r="H257" s="1308"/>
      <c r="I257" s="1307">
        <f>I123</f>
        <v>400</v>
      </c>
      <c r="J257" s="1308"/>
      <c r="K257" s="1307">
        <f>K123</f>
        <v>500</v>
      </c>
      <c r="L257" s="1308"/>
      <c r="M257" s="848"/>
      <c r="N257" s="849"/>
      <c r="O257" s="850"/>
      <c r="P257" s="850"/>
      <c r="Q257" s="850"/>
      <c r="R257" s="850"/>
      <c r="S257" s="850"/>
      <c r="T257" s="851"/>
      <c r="U257" s="851"/>
      <c r="V257" s="851"/>
      <c r="W257" s="851"/>
      <c r="X257" s="851"/>
      <c r="Y257" s="851"/>
      <c r="Z257" s="851"/>
      <c r="AA257" s="851"/>
      <c r="AB257" s="851"/>
      <c r="AC257" s="851"/>
      <c r="AD257" s="851"/>
      <c r="AE257" s="851"/>
      <c r="AF257" s="851"/>
      <c r="AG257" s="851"/>
      <c r="AH257" s="852"/>
      <c r="AI257" s="852"/>
      <c r="AJ257" s="852"/>
      <c r="AK257" s="852"/>
      <c r="AL257" s="852"/>
      <c r="AM257" s="852"/>
      <c r="AN257" s="852"/>
      <c r="AO257" s="852"/>
      <c r="AP257" s="852"/>
      <c r="AQ257" s="852"/>
      <c r="AR257" s="852"/>
      <c r="AS257" s="852"/>
      <c r="AT257" s="852"/>
      <c r="AU257" s="852"/>
      <c r="AV257" s="852"/>
      <c r="AW257" s="852"/>
      <c r="AX257" s="849"/>
      <c r="AY257" s="847"/>
      <c r="AZ257" s="847"/>
      <c r="BA257" s="847"/>
      <c r="BB257" s="847"/>
      <c r="BC257" s="853"/>
      <c r="BD257" s="854"/>
      <c r="BE257" s="854"/>
      <c r="BF257" s="854"/>
      <c r="BG257" s="854"/>
      <c r="BH257" s="854"/>
      <c r="BI257" s="854"/>
      <c r="BJ257" s="854"/>
      <c r="BK257" s="854"/>
      <c r="BL257" s="854"/>
      <c r="BM257" s="854"/>
      <c r="BN257" s="854"/>
      <c r="BO257" s="854"/>
      <c r="BP257" s="854"/>
      <c r="BQ257" s="854"/>
      <c r="BR257" s="854"/>
      <c r="BS257" s="854"/>
      <c r="BT257" s="854"/>
      <c r="BU257" s="870"/>
      <c r="BV257" s="860"/>
      <c r="BW257" s="854"/>
      <c r="BX257" s="871"/>
      <c r="BY257" s="872"/>
      <c r="BZ257" s="871"/>
      <c r="CA257" s="872"/>
      <c r="CB257" s="871"/>
      <c r="CC257" s="872"/>
      <c r="CD257" s="871"/>
      <c r="CE257" s="872"/>
      <c r="CF257" s="854"/>
      <c r="CG257" s="854"/>
    </row>
    <row r="258" spans="1:85" ht="15.75" customHeight="1">
      <c r="A258" s="847"/>
      <c r="B258" s="1309"/>
      <c r="C258" s="1303" t="str">
        <f>"Decrease in "&amp;C71</f>
        <v>Decrease in Profit/(Loss) Adjustments</v>
      </c>
      <c r="D258" s="1311"/>
      <c r="E258" s="1312"/>
      <c r="F258" s="1313"/>
      <c r="G258" s="1314">
        <f>G156</f>
        <v>13551</v>
      </c>
      <c r="H258" s="1315"/>
      <c r="I258" s="1314">
        <f>I156</f>
        <v>18916</v>
      </c>
      <c r="J258" s="1315"/>
      <c r="K258" s="1314">
        <f>K156</f>
        <v>18521</v>
      </c>
      <c r="L258" s="1315"/>
      <c r="M258" s="848"/>
      <c r="N258" s="849"/>
      <c r="O258" s="850"/>
      <c r="P258" s="850"/>
      <c r="Q258" s="850"/>
      <c r="R258" s="850"/>
      <c r="S258" s="850"/>
      <c r="T258" s="851"/>
      <c r="U258" s="851"/>
      <c r="V258" s="851"/>
      <c r="W258" s="851"/>
      <c r="X258" s="851"/>
      <c r="Y258" s="851"/>
      <c r="Z258" s="851"/>
      <c r="AA258" s="851"/>
      <c r="AB258" s="851"/>
      <c r="AC258" s="851"/>
      <c r="AD258" s="851"/>
      <c r="AE258" s="851"/>
      <c r="AF258" s="851"/>
      <c r="AG258" s="851"/>
      <c r="AH258" s="852"/>
      <c r="AI258" s="852"/>
      <c r="AJ258" s="852"/>
      <c r="AK258" s="852"/>
      <c r="AL258" s="852"/>
      <c r="AM258" s="852"/>
      <c r="AN258" s="852"/>
      <c r="AO258" s="852"/>
      <c r="AP258" s="852"/>
      <c r="AQ258" s="852"/>
      <c r="AR258" s="852"/>
      <c r="AS258" s="852"/>
      <c r="AT258" s="852"/>
      <c r="AU258" s="852"/>
      <c r="AV258" s="852"/>
      <c r="AW258" s="852"/>
      <c r="AX258" s="849"/>
      <c r="AY258" s="847"/>
      <c r="AZ258" s="847"/>
      <c r="BA258" s="847"/>
      <c r="BB258" s="847"/>
      <c r="BC258" s="853"/>
      <c r="BD258" s="854"/>
      <c r="BE258" s="854"/>
      <c r="BF258" s="854"/>
      <c r="BG258" s="870">
        <f>BU256+1</f>
        <v>183</v>
      </c>
      <c r="BH258" s="860" t="s">
        <v>45</v>
      </c>
      <c r="BI258" s="854"/>
      <c r="BJ258" s="871">
        <v>0</v>
      </c>
      <c r="BK258" s="872">
        <f ca="1">IF(BJ$299=0,0,BJ258/BJ$299*100)</f>
        <v>0</v>
      </c>
      <c r="BL258" s="871">
        <v>0</v>
      </c>
      <c r="BM258" s="872"/>
      <c r="BN258" s="871">
        <v>0</v>
      </c>
      <c r="BO258" s="872"/>
      <c r="BP258" s="871">
        <v>0</v>
      </c>
      <c r="BQ258" s="872"/>
      <c r="BR258" s="854"/>
      <c r="BS258" s="854"/>
      <c r="BT258" s="854"/>
      <c r="BU258" s="854"/>
      <c r="BV258" s="854"/>
      <c r="BW258" s="854"/>
      <c r="BX258" s="854"/>
      <c r="BY258" s="854"/>
      <c r="BZ258" s="854"/>
      <c r="CA258" s="854"/>
      <c r="CB258" s="854"/>
      <c r="CC258" s="854"/>
      <c r="CD258" s="854"/>
      <c r="CE258" s="854"/>
      <c r="CF258" s="854"/>
      <c r="CG258" s="854" t="s">
        <v>45</v>
      </c>
    </row>
    <row r="259" spans="1:85" ht="15.75" customHeight="1">
      <c r="A259" s="847"/>
      <c r="B259" s="1331"/>
      <c r="C259" s="1271" t="s">
        <v>331</v>
      </c>
      <c r="D259" s="1332"/>
      <c r="E259" s="1333"/>
      <c r="F259" s="1334"/>
      <c r="G259" s="1335">
        <f>SUM(G238:G258)</f>
        <v>13851</v>
      </c>
      <c r="H259" s="1336"/>
      <c r="I259" s="1335">
        <f>SUM(I238:I258)</f>
        <v>19316</v>
      </c>
      <c r="J259" s="1336"/>
      <c r="K259" s="1335">
        <f>SUM(K238:K258)</f>
        <v>19021</v>
      </c>
      <c r="L259" s="1336"/>
      <c r="M259" s="848"/>
      <c r="N259" s="849"/>
      <c r="O259" s="850"/>
      <c r="P259" s="850"/>
      <c r="Q259" s="850"/>
      <c r="R259" s="850"/>
      <c r="S259" s="850"/>
      <c r="T259" s="851"/>
      <c r="U259" s="851"/>
      <c r="V259" s="851"/>
      <c r="W259" s="851"/>
      <c r="X259" s="851"/>
      <c r="Y259" s="851"/>
      <c r="Z259" s="851"/>
      <c r="AA259" s="851"/>
      <c r="AB259" s="851"/>
      <c r="AC259" s="851"/>
      <c r="AD259" s="851"/>
      <c r="AE259" s="851"/>
      <c r="AF259" s="851"/>
      <c r="AG259" s="851"/>
      <c r="AH259" s="852"/>
      <c r="AI259" s="852"/>
      <c r="AJ259" s="852"/>
      <c r="AK259" s="852"/>
      <c r="AL259" s="852"/>
      <c r="AM259" s="852"/>
      <c r="AN259" s="852"/>
      <c r="AO259" s="852"/>
      <c r="AP259" s="852"/>
      <c r="AQ259" s="852"/>
      <c r="AR259" s="852"/>
      <c r="AS259" s="852"/>
      <c r="AT259" s="852"/>
      <c r="AU259" s="852"/>
      <c r="AV259" s="852"/>
      <c r="AW259" s="852"/>
      <c r="AX259" s="849"/>
      <c r="AY259" s="847"/>
      <c r="AZ259" s="847"/>
      <c r="BA259" s="847"/>
      <c r="BB259" s="847"/>
      <c r="BC259" s="853"/>
      <c r="BD259" s="854"/>
      <c r="BE259" s="854"/>
      <c r="BF259" s="854"/>
      <c r="BG259" s="870">
        <f t="shared" ref="BG259:BG260" si="75">BG258+1</f>
        <v>184</v>
      </c>
      <c r="BH259" s="860" t="s">
        <v>45</v>
      </c>
      <c r="BI259" s="854"/>
      <c r="BJ259" s="871">
        <v>0</v>
      </c>
      <c r="BK259" s="872">
        <f ca="1">IF(BJ$299=0,0,BJ259/BJ$299*100)</f>
        <v>0</v>
      </c>
      <c r="BL259" s="871">
        <v>0</v>
      </c>
      <c r="BM259" s="872"/>
      <c r="BN259" s="871">
        <v>0</v>
      </c>
      <c r="BO259" s="872"/>
      <c r="BP259" s="871">
        <v>0</v>
      </c>
      <c r="BQ259" s="872"/>
      <c r="BR259" s="854"/>
      <c r="BS259" s="854"/>
      <c r="BT259" s="854"/>
      <c r="BU259" s="854"/>
      <c r="BV259" s="854"/>
      <c r="BW259" s="854"/>
      <c r="BX259" s="854"/>
      <c r="BY259" s="854"/>
      <c r="BZ259" s="854"/>
      <c r="CA259" s="854"/>
      <c r="CB259" s="854"/>
      <c r="CC259" s="854"/>
      <c r="CD259" s="854"/>
      <c r="CE259" s="854"/>
      <c r="CF259" s="854"/>
      <c r="CG259" s="854" t="s">
        <v>45</v>
      </c>
    </row>
    <row r="260" spans="1:85" ht="15.75" customHeight="1">
      <c r="A260" s="847"/>
      <c r="B260" s="1339"/>
      <c r="C260" s="1347" t="str">
        <f>"Sales of "&amp;C26</f>
        <v>Sales of Fixed Assets</v>
      </c>
      <c r="D260" s="1341"/>
      <c r="E260" s="1342"/>
      <c r="F260" s="1343"/>
      <c r="G260" s="1344">
        <f>G169</f>
        <v>0</v>
      </c>
      <c r="H260" s="1345"/>
      <c r="I260" s="1344">
        <f>I169</f>
        <v>0</v>
      </c>
      <c r="J260" s="1345"/>
      <c r="K260" s="1344">
        <f>K169</f>
        <v>0</v>
      </c>
      <c r="L260" s="1345"/>
      <c r="M260" s="848"/>
      <c r="N260" s="849"/>
      <c r="O260" s="850"/>
      <c r="P260" s="850"/>
      <c r="Q260" s="850"/>
      <c r="R260" s="850"/>
      <c r="S260" s="850"/>
      <c r="T260" s="851"/>
      <c r="U260" s="851"/>
      <c r="V260" s="851"/>
      <c r="W260" s="851"/>
      <c r="X260" s="851"/>
      <c r="Y260" s="851"/>
      <c r="Z260" s="851"/>
      <c r="AA260" s="851"/>
      <c r="AB260" s="851"/>
      <c r="AC260" s="851"/>
      <c r="AD260" s="851"/>
      <c r="AE260" s="851"/>
      <c r="AF260" s="851"/>
      <c r="AG260" s="851"/>
      <c r="AH260" s="852"/>
      <c r="AI260" s="852"/>
      <c r="AJ260" s="852"/>
      <c r="AK260" s="852"/>
      <c r="AL260" s="852"/>
      <c r="AM260" s="852"/>
      <c r="AN260" s="852"/>
      <c r="AO260" s="852"/>
      <c r="AP260" s="852"/>
      <c r="AQ260" s="852"/>
      <c r="AR260" s="852"/>
      <c r="AS260" s="852"/>
      <c r="AT260" s="852"/>
      <c r="AU260" s="852"/>
      <c r="AV260" s="852"/>
      <c r="AW260" s="852"/>
      <c r="AX260" s="849"/>
      <c r="AY260" s="847"/>
      <c r="AZ260" s="847"/>
      <c r="BA260" s="847"/>
      <c r="BB260" s="847"/>
      <c r="BC260" s="853"/>
      <c r="BD260" s="854"/>
      <c r="BE260" s="854"/>
      <c r="BF260" s="854"/>
      <c r="BG260" s="870">
        <f t="shared" si="75"/>
        <v>185</v>
      </c>
      <c r="BH260" s="860" t="s">
        <v>45</v>
      </c>
      <c r="BI260" s="854"/>
      <c r="BJ260" s="871">
        <v>0</v>
      </c>
      <c r="BK260" s="872">
        <f ca="1">IF(BJ$299=0,0,BJ260/BJ$299*100)</f>
        <v>0</v>
      </c>
      <c r="BL260" s="871">
        <v>0</v>
      </c>
      <c r="BM260" s="872"/>
      <c r="BN260" s="871">
        <v>0</v>
      </c>
      <c r="BO260" s="872"/>
      <c r="BP260" s="871">
        <v>0</v>
      </c>
      <c r="BQ260" s="872"/>
      <c r="BR260" s="854"/>
      <c r="BS260" s="854"/>
      <c r="BT260" s="854"/>
      <c r="BU260" s="854"/>
      <c r="BV260" s="854"/>
      <c r="BW260" s="854"/>
      <c r="BX260" s="854"/>
      <c r="BY260" s="854"/>
      <c r="BZ260" s="854"/>
      <c r="CA260" s="854"/>
      <c r="CB260" s="854"/>
      <c r="CC260" s="854"/>
      <c r="CD260" s="854"/>
      <c r="CE260" s="854"/>
      <c r="CF260" s="854"/>
      <c r="CG260" s="854" t="s">
        <v>45</v>
      </c>
    </row>
    <row r="261" spans="1:85" ht="15.75" customHeight="1">
      <c r="A261" s="847"/>
      <c r="B261" s="1302"/>
      <c r="C261" s="1303" t="str">
        <f>"Decrease of "&amp;C27</f>
        <v>Decrease of Investment in Associates</v>
      </c>
      <c r="D261" s="1304"/>
      <c r="E261" s="1305"/>
      <c r="F261" s="1306"/>
      <c r="G261" s="1307">
        <f>IF(G27&lt;E27,E27-G27,0)</f>
        <v>0</v>
      </c>
      <c r="H261" s="1308"/>
      <c r="I261" s="1307">
        <f>IF(I27&lt;G27,G27-I27,0)</f>
        <v>0</v>
      </c>
      <c r="J261" s="1308"/>
      <c r="K261" s="1307">
        <f>IF(K27&lt;I27,I27-K27,0)</f>
        <v>0</v>
      </c>
      <c r="L261" s="1308"/>
      <c r="M261" s="848"/>
      <c r="N261" s="849"/>
      <c r="O261" s="850"/>
      <c r="P261" s="850"/>
      <c r="Q261" s="850"/>
      <c r="R261" s="850"/>
      <c r="S261" s="850"/>
      <c r="T261" s="851"/>
      <c r="U261" s="851"/>
      <c r="V261" s="851"/>
      <c r="W261" s="851"/>
      <c r="X261" s="851"/>
      <c r="Y261" s="851"/>
      <c r="Z261" s="851"/>
      <c r="AA261" s="851"/>
      <c r="AB261" s="851"/>
      <c r="AC261" s="851"/>
      <c r="AD261" s="851"/>
      <c r="AE261" s="851"/>
      <c r="AF261" s="851"/>
      <c r="AG261" s="851"/>
      <c r="AH261" s="852"/>
      <c r="AI261" s="852"/>
      <c r="AJ261" s="852"/>
      <c r="AK261" s="852"/>
      <c r="AL261" s="852"/>
      <c r="AM261" s="852"/>
      <c r="AN261" s="852"/>
      <c r="AO261" s="852"/>
      <c r="AP261" s="852"/>
      <c r="AQ261" s="852"/>
      <c r="AR261" s="852"/>
      <c r="AS261" s="852"/>
      <c r="AT261" s="852"/>
      <c r="AU261" s="852"/>
      <c r="AV261" s="852"/>
      <c r="AW261" s="852"/>
      <c r="AX261" s="849"/>
      <c r="AY261" s="847"/>
      <c r="AZ261" s="847"/>
      <c r="BA261" s="847"/>
      <c r="BB261" s="847"/>
      <c r="BC261" s="853"/>
      <c r="BD261" s="854"/>
      <c r="BE261" s="854"/>
      <c r="BF261" s="854"/>
      <c r="BG261" s="870">
        <f>BG260+1</f>
        <v>186</v>
      </c>
      <c r="BH261" s="860" t="s">
        <v>45</v>
      </c>
      <c r="BI261" s="854"/>
      <c r="BJ261" s="871">
        <v>0</v>
      </c>
      <c r="BK261" s="872">
        <f ca="1">IF(BJ$299=0,0,BJ261/BJ$299*100)</f>
        <v>0</v>
      </c>
      <c r="BL261" s="871">
        <v>0</v>
      </c>
      <c r="BM261" s="872"/>
      <c r="BN261" s="871">
        <v>0</v>
      </c>
      <c r="BO261" s="872"/>
      <c r="BP261" s="871">
        <v>0</v>
      </c>
      <c r="BQ261" s="872"/>
      <c r="BR261" s="854"/>
      <c r="BS261" s="854"/>
      <c r="BT261" s="854"/>
      <c r="BU261" s="854"/>
      <c r="BV261" s="854"/>
      <c r="BW261" s="854"/>
      <c r="BX261" s="854"/>
      <c r="BY261" s="854"/>
      <c r="BZ261" s="854"/>
      <c r="CA261" s="854"/>
      <c r="CB261" s="854"/>
      <c r="CC261" s="854"/>
      <c r="CD261" s="854"/>
      <c r="CE261" s="854"/>
      <c r="CF261" s="854"/>
      <c r="CG261" s="854" t="s">
        <v>45</v>
      </c>
    </row>
    <row r="262" spans="1:85" ht="15.75" customHeight="1">
      <c r="A262" s="847"/>
      <c r="B262" s="1302"/>
      <c r="C262" s="1330" t="str">
        <f>"Decrease of "&amp;+C28</f>
        <v>Decrease of Investment in Joint Venture</v>
      </c>
      <c r="D262" s="1304"/>
      <c r="E262" s="1305"/>
      <c r="F262" s="1306"/>
      <c r="G262" s="1307">
        <f>IF(G28&lt;E28,E28-G28,0)</f>
        <v>0</v>
      </c>
      <c r="H262" s="1308"/>
      <c r="I262" s="1307">
        <f>IF(I28&lt;G28,G28-I28,0)</f>
        <v>0</v>
      </c>
      <c r="J262" s="1308"/>
      <c r="K262" s="1307">
        <f>IF(K28&lt;I28,I28-K28,0)</f>
        <v>0</v>
      </c>
      <c r="L262" s="1308"/>
      <c r="M262" s="863"/>
      <c r="N262" s="849"/>
      <c r="O262" s="850"/>
      <c r="P262" s="850"/>
      <c r="Q262" s="850"/>
      <c r="R262" s="850"/>
      <c r="S262" s="850"/>
      <c r="T262" s="851"/>
      <c r="U262" s="851"/>
      <c r="V262" s="851"/>
      <c r="W262" s="851"/>
      <c r="X262" s="851"/>
      <c r="Y262" s="851"/>
      <c r="Z262" s="851"/>
      <c r="AA262" s="851"/>
      <c r="AB262" s="851"/>
      <c r="AC262" s="851"/>
      <c r="AD262" s="851"/>
      <c r="AE262" s="851"/>
      <c r="AF262" s="851"/>
      <c r="AG262" s="851"/>
      <c r="AH262" s="852"/>
      <c r="AI262" s="852"/>
      <c r="AJ262" s="852"/>
      <c r="AK262" s="852"/>
      <c r="AL262" s="852"/>
      <c r="AM262" s="852"/>
      <c r="AN262" s="852"/>
      <c r="AO262" s="852"/>
      <c r="AP262" s="852"/>
      <c r="AQ262" s="852"/>
      <c r="AR262" s="852"/>
      <c r="AS262" s="852"/>
      <c r="AT262" s="852"/>
      <c r="AU262" s="852"/>
      <c r="AV262" s="852"/>
      <c r="AW262" s="852"/>
      <c r="AX262" s="849"/>
      <c r="AY262" s="847"/>
      <c r="AZ262" s="847"/>
      <c r="BA262" s="847"/>
      <c r="BB262" s="847"/>
      <c r="BC262" s="853"/>
      <c r="BD262" s="854"/>
      <c r="BE262" s="854"/>
      <c r="BF262" s="854"/>
      <c r="BG262" s="870"/>
      <c r="BH262" s="860"/>
      <c r="BI262" s="854"/>
      <c r="BJ262" s="871"/>
      <c r="BK262" s="872"/>
      <c r="BL262" s="871"/>
      <c r="BM262" s="872"/>
      <c r="BN262" s="871"/>
      <c r="BO262" s="872"/>
      <c r="BP262" s="871"/>
      <c r="BQ262" s="872"/>
      <c r="BR262" s="854"/>
      <c r="BS262" s="854"/>
      <c r="BT262" s="854"/>
      <c r="BU262" s="854"/>
      <c r="BV262" s="854"/>
      <c r="BW262" s="854"/>
      <c r="BX262" s="854"/>
      <c r="BY262" s="854"/>
      <c r="BZ262" s="854"/>
      <c r="CA262" s="854"/>
      <c r="CB262" s="854"/>
      <c r="CC262" s="854"/>
      <c r="CD262" s="854"/>
      <c r="CE262" s="854"/>
      <c r="CF262" s="854"/>
      <c r="CG262" s="854"/>
    </row>
    <row r="263" spans="1:85" ht="15.75" customHeight="1">
      <c r="A263" s="847"/>
      <c r="B263" s="1302"/>
      <c r="C263" s="1303" t="str">
        <f>"Decrease of "&amp;C29</f>
        <v>Decrease of Intangible Assets</v>
      </c>
      <c r="D263" s="1304"/>
      <c r="E263" s="1305"/>
      <c r="F263" s="1306"/>
      <c r="G263" s="1307">
        <f>IF(G29&lt;E29,E29-G29,0)</f>
        <v>0</v>
      </c>
      <c r="H263" s="1308"/>
      <c r="I263" s="1307">
        <f>IF(I29&lt;G29,G29-I29,0)</f>
        <v>0</v>
      </c>
      <c r="J263" s="1308"/>
      <c r="K263" s="1307">
        <f>IF(K29&lt;I29,I29-K29,0)</f>
        <v>0</v>
      </c>
      <c r="L263" s="1308"/>
      <c r="M263" s="848"/>
      <c r="N263" s="849"/>
      <c r="O263" s="850"/>
      <c r="P263" s="850"/>
      <c r="Q263" s="850"/>
      <c r="R263" s="850"/>
      <c r="S263" s="850"/>
      <c r="T263" s="851"/>
      <c r="U263" s="851"/>
      <c r="V263" s="851"/>
      <c r="W263" s="851"/>
      <c r="X263" s="851"/>
      <c r="Y263" s="851"/>
      <c r="Z263" s="851"/>
      <c r="AA263" s="851"/>
      <c r="AB263" s="851"/>
      <c r="AC263" s="851"/>
      <c r="AD263" s="851"/>
      <c r="AE263" s="851"/>
      <c r="AF263" s="851"/>
      <c r="AG263" s="851"/>
      <c r="AH263" s="852"/>
      <c r="AI263" s="852"/>
      <c r="AJ263" s="852"/>
      <c r="AK263" s="852"/>
      <c r="AL263" s="852"/>
      <c r="AM263" s="852"/>
      <c r="AN263" s="852"/>
      <c r="AO263" s="852"/>
      <c r="AP263" s="852"/>
      <c r="AQ263" s="852"/>
      <c r="AR263" s="852"/>
      <c r="AS263" s="852"/>
      <c r="AT263" s="852"/>
      <c r="AU263" s="852"/>
      <c r="AV263" s="852"/>
      <c r="AW263" s="852"/>
      <c r="AX263" s="849"/>
      <c r="AY263" s="847"/>
      <c r="AZ263" s="847"/>
      <c r="BA263" s="847"/>
      <c r="BB263" s="847"/>
      <c r="BC263" s="853"/>
      <c r="BD263" s="854"/>
      <c r="BE263" s="854"/>
      <c r="BF263" s="854"/>
      <c r="BG263" s="870">
        <f>BG261+1</f>
        <v>187</v>
      </c>
      <c r="BH263" s="883" t="s">
        <v>332</v>
      </c>
      <c r="BI263" s="854"/>
      <c r="BJ263" s="901">
        <f>SUM(BJ226:BJ261)</f>
        <v>0</v>
      </c>
      <c r="BK263" s="872">
        <f ca="1">IF(BJ$299=0,0,BJ263/BJ$299*100)</f>
        <v>0</v>
      </c>
      <c r="BL263" s="901">
        <f>SUM(BL226:BL261)</f>
        <v>6654.2438249999996</v>
      </c>
      <c r="BM263" s="872">
        <f ca="1">IF(BL$299=0,0,BL263/BL$299*100)</f>
        <v>29.705862370061482</v>
      </c>
      <c r="BN263" s="901">
        <f>SUM(BN226:BN261)</f>
        <v>6654.2438249999996</v>
      </c>
      <c r="BO263" s="872">
        <f ca="1">IF(BN$299=0,0,BN263/BN$299*100)</f>
        <v>22.940021042270207</v>
      </c>
      <c r="BP263" s="901">
        <f>SUM(BP226:BP261)</f>
        <v>6654.2438240000001</v>
      </c>
      <c r="BQ263" s="872">
        <f ca="1">IF(BP$299=0,0,BP263/BP$299*100)</f>
        <v>1.7260430056803295</v>
      </c>
      <c r="BR263" s="854"/>
      <c r="BS263" s="854"/>
      <c r="BT263" s="854"/>
      <c r="BU263" s="854"/>
      <c r="BV263" s="854"/>
      <c r="BW263" s="854"/>
      <c r="BX263" s="854"/>
      <c r="BY263" s="854"/>
      <c r="BZ263" s="854"/>
      <c r="CA263" s="854"/>
      <c r="CB263" s="854"/>
      <c r="CC263" s="854"/>
      <c r="CD263" s="854"/>
      <c r="CE263" s="854"/>
      <c r="CF263" s="854"/>
      <c r="CG263" s="854" t="s">
        <v>45</v>
      </c>
    </row>
    <row r="264" spans="1:85" ht="15.75" customHeight="1">
      <c r="A264" s="847"/>
      <c r="B264" s="1302"/>
      <c r="C264" s="1303" t="str">
        <f>"Sales of "&amp;C31</f>
        <v>Sales of Other Non-Current Assets</v>
      </c>
      <c r="D264" s="1304"/>
      <c r="E264" s="1305"/>
      <c r="F264" s="1306"/>
      <c r="G264" s="1307">
        <f>IF(G31&lt;E31,E31-G31,0)</f>
        <v>0</v>
      </c>
      <c r="H264" s="1308"/>
      <c r="I264" s="1307">
        <f>IF(I31&lt;G31,G31-I31,0)</f>
        <v>0</v>
      </c>
      <c r="J264" s="1308"/>
      <c r="K264" s="1307">
        <f>IF(K31&lt;I31,I31-K31,0)</f>
        <v>0</v>
      </c>
      <c r="L264" s="1308"/>
      <c r="M264" s="848"/>
      <c r="N264" s="849"/>
      <c r="O264" s="850"/>
      <c r="P264" s="850"/>
      <c r="Q264" s="850"/>
      <c r="R264" s="850"/>
      <c r="S264" s="850"/>
      <c r="T264" s="851"/>
      <c r="U264" s="851"/>
      <c r="V264" s="851"/>
      <c r="W264" s="851"/>
      <c r="X264" s="851"/>
      <c r="Y264" s="851"/>
      <c r="Z264" s="851"/>
      <c r="AA264" s="851"/>
      <c r="AB264" s="851"/>
      <c r="AC264" s="851"/>
      <c r="AD264" s="851"/>
      <c r="AE264" s="851"/>
      <c r="AF264" s="851"/>
      <c r="AG264" s="851"/>
      <c r="AH264" s="852"/>
      <c r="AI264" s="852"/>
      <c r="AJ264" s="852"/>
      <c r="AK264" s="852"/>
      <c r="AL264" s="852"/>
      <c r="AM264" s="852"/>
      <c r="AN264" s="852"/>
      <c r="AO264" s="852"/>
      <c r="AP264" s="852"/>
      <c r="AQ264" s="852"/>
      <c r="AR264" s="852"/>
      <c r="AS264" s="852"/>
      <c r="AT264" s="852"/>
      <c r="AU264" s="852"/>
      <c r="AV264" s="852"/>
      <c r="AW264" s="852"/>
      <c r="AX264" s="849"/>
      <c r="AY264" s="847"/>
      <c r="AZ264" s="847"/>
      <c r="BA264" s="847"/>
      <c r="BB264" s="847"/>
      <c r="BC264" s="853"/>
      <c r="BD264" s="854"/>
      <c r="BE264" s="854"/>
      <c r="BF264" s="854"/>
      <c r="BG264" s="870">
        <f>BG188+1</f>
        <v>189</v>
      </c>
      <c r="BH264" s="860" t="s">
        <v>333</v>
      </c>
      <c r="BI264" s="854"/>
      <c r="BJ264" s="871">
        <v>1200</v>
      </c>
      <c r="BK264" s="872">
        <f ca="1">IF(BJ$299=0,0,BJ264/BJ$299*100)</f>
        <v>84.409201111345894</v>
      </c>
      <c r="BL264" s="871">
        <v>1200</v>
      </c>
      <c r="BM264" s="872">
        <f ca="1">IF(BL$299=0,0,BL264/BL$299*100)</f>
        <v>5.3570376712298753</v>
      </c>
      <c r="BN264" s="871">
        <v>1200</v>
      </c>
      <c r="BO264" s="872">
        <f ca="1">IF(BN$299=0,0,BN264/BN$299*100)</f>
        <v>4.1369126191771679</v>
      </c>
      <c r="BP264" s="871">
        <v>1200</v>
      </c>
      <c r="BQ264" s="872">
        <f ca="1">IF(BP$299=0,0,BP264/BP$299*100)</f>
        <v>0.31126776559433678</v>
      </c>
      <c r="BR264" s="854"/>
      <c r="BS264" s="854"/>
      <c r="BT264" s="854"/>
      <c r="BU264" s="854"/>
      <c r="BV264" s="854"/>
      <c r="BW264" s="854"/>
      <c r="BX264" s="854"/>
      <c r="BY264" s="854"/>
      <c r="BZ264" s="854"/>
      <c r="CA264" s="854"/>
      <c r="CB264" s="854"/>
      <c r="CC264" s="854"/>
      <c r="CD264" s="854"/>
      <c r="CE264" s="854"/>
      <c r="CF264" s="854"/>
      <c r="CG264" s="854" t="s">
        <v>45</v>
      </c>
    </row>
    <row r="265" spans="1:85" ht="15.75" customHeight="1">
      <c r="A265" s="847"/>
      <c r="B265" s="1302"/>
      <c r="C265" s="1303" t="str">
        <f>"Sales of "&amp;C32</f>
        <v>Sales of Investments</v>
      </c>
      <c r="D265" s="1304"/>
      <c r="E265" s="1305"/>
      <c r="F265" s="1306"/>
      <c r="G265" s="1307">
        <f>IF(G32&lt;E32,E32-G32,0)</f>
        <v>0</v>
      </c>
      <c r="H265" s="1308"/>
      <c r="I265" s="1307">
        <f>IF(I32&lt;G32,G32-I32,0)</f>
        <v>0</v>
      </c>
      <c r="J265" s="1308"/>
      <c r="K265" s="1307">
        <f>IF(K32&lt;I32,I32-K32,0)</f>
        <v>0</v>
      </c>
      <c r="L265" s="1308"/>
      <c r="M265" s="848"/>
      <c r="N265" s="849"/>
      <c r="O265" s="850"/>
      <c r="P265" s="850"/>
      <c r="Q265" s="850"/>
      <c r="R265" s="850"/>
      <c r="S265" s="850"/>
      <c r="T265" s="851"/>
      <c r="U265" s="851"/>
      <c r="V265" s="851"/>
      <c r="W265" s="851"/>
      <c r="X265" s="851"/>
      <c r="Y265" s="851"/>
      <c r="Z265" s="851"/>
      <c r="AA265" s="851"/>
      <c r="AB265" s="851"/>
      <c r="AC265" s="851"/>
      <c r="AD265" s="851"/>
      <c r="AE265" s="851"/>
      <c r="AF265" s="851"/>
      <c r="AG265" s="851"/>
      <c r="AH265" s="852"/>
      <c r="AI265" s="852"/>
      <c r="AJ265" s="852"/>
      <c r="AK265" s="852"/>
      <c r="AL265" s="852"/>
      <c r="AM265" s="852"/>
      <c r="AN265" s="852"/>
      <c r="AO265" s="852"/>
      <c r="AP265" s="852"/>
      <c r="AQ265" s="852"/>
      <c r="AR265" s="852"/>
      <c r="AS265" s="852"/>
      <c r="AT265" s="852"/>
      <c r="AU265" s="852"/>
      <c r="AV265" s="852"/>
      <c r="AW265" s="852"/>
      <c r="AX265" s="849"/>
      <c r="AY265" s="847"/>
      <c r="AZ265" s="847"/>
      <c r="BA265" s="847"/>
      <c r="BB265" s="847"/>
      <c r="BC265" s="853"/>
      <c r="BD265" s="854"/>
      <c r="BE265" s="854"/>
      <c r="BF265" s="854"/>
      <c r="BG265" s="854"/>
      <c r="BH265" s="854"/>
      <c r="BI265" s="854"/>
      <c r="BJ265" s="854"/>
      <c r="BK265" s="854"/>
      <c r="BL265" s="854"/>
      <c r="BM265" s="854"/>
      <c r="BN265" s="854"/>
      <c r="BO265" s="854"/>
      <c r="BP265" s="854"/>
      <c r="BQ265" s="854"/>
      <c r="BR265" s="854"/>
      <c r="BS265" s="854"/>
      <c r="BT265" s="854"/>
      <c r="BU265" s="870">
        <f>BG264+1</f>
        <v>190</v>
      </c>
      <c r="BV265" s="860" t="s">
        <v>334</v>
      </c>
      <c r="BW265" s="854"/>
      <c r="BX265" s="871">
        <v>0</v>
      </c>
      <c r="BY265" s="872">
        <f ca="1">IF(BJ$299=0,0,BX265/BJ$299*100)</f>
        <v>0</v>
      </c>
      <c r="BZ265" s="871">
        <v>0</v>
      </c>
      <c r="CA265" s="872">
        <f ca="1">IF(BL$299=0,0,BZ265/BL$299*100)</f>
        <v>0</v>
      </c>
      <c r="CB265" s="871">
        <v>0</v>
      </c>
      <c r="CC265" s="872">
        <f ca="1">IF(BN$299=0,0,CB265/BN$299*100)</f>
        <v>0</v>
      </c>
      <c r="CD265" s="871">
        <v>0</v>
      </c>
      <c r="CE265" s="872">
        <f ca="1">IF(BP$299=0,0,CD265/BP$299*100)</f>
        <v>0</v>
      </c>
      <c r="CF265" s="854"/>
      <c r="CG265" s="854" t="s">
        <v>45</v>
      </c>
    </row>
    <row r="266" spans="1:85" ht="15.75" customHeight="1">
      <c r="A266" s="847"/>
      <c r="B266" s="1331"/>
      <c r="C266" s="1271" t="s">
        <v>335</v>
      </c>
      <c r="D266" s="1332"/>
      <c r="E266" s="1333"/>
      <c r="F266" s="1334"/>
      <c r="G266" s="1335">
        <f>SUM(G260:G265)</f>
        <v>0</v>
      </c>
      <c r="H266" s="1336"/>
      <c r="I266" s="1335">
        <f>SUM(I260:I265)</f>
        <v>0</v>
      </c>
      <c r="J266" s="1336"/>
      <c r="K266" s="1335">
        <f>SUM(K260:K265)</f>
        <v>0</v>
      </c>
      <c r="L266" s="1336"/>
      <c r="M266" s="848"/>
      <c r="N266" s="849"/>
      <c r="O266" s="850"/>
      <c r="P266" s="850"/>
      <c r="Q266" s="850"/>
      <c r="R266" s="850"/>
      <c r="S266" s="850"/>
      <c r="T266" s="851"/>
      <c r="U266" s="851"/>
      <c r="V266" s="851"/>
      <c r="W266" s="851"/>
      <c r="X266" s="851"/>
      <c r="Y266" s="851"/>
      <c r="Z266" s="851"/>
      <c r="AA266" s="851"/>
      <c r="AB266" s="851"/>
      <c r="AC266" s="851"/>
      <c r="AD266" s="851"/>
      <c r="AE266" s="851"/>
      <c r="AF266" s="851"/>
      <c r="AG266" s="851"/>
      <c r="AH266" s="852"/>
      <c r="AI266" s="852"/>
      <c r="AJ266" s="852"/>
      <c r="AK266" s="852"/>
      <c r="AL266" s="852"/>
      <c r="AM266" s="852"/>
      <c r="AN266" s="852"/>
      <c r="AO266" s="852"/>
      <c r="AP266" s="852"/>
      <c r="AQ266" s="852"/>
      <c r="AR266" s="852"/>
      <c r="AS266" s="852"/>
      <c r="AT266" s="852"/>
      <c r="AU266" s="852"/>
      <c r="AV266" s="852"/>
      <c r="AW266" s="852"/>
      <c r="AX266" s="849"/>
      <c r="AY266" s="847"/>
      <c r="AZ266" s="847"/>
      <c r="BA266" s="847"/>
      <c r="BB266" s="847"/>
      <c r="BC266" s="853"/>
      <c r="BD266" s="854"/>
      <c r="BE266" s="854"/>
      <c r="BF266" s="854"/>
      <c r="BG266" s="854"/>
      <c r="BH266" s="854"/>
      <c r="BI266" s="854"/>
      <c r="BJ266" s="854"/>
      <c r="BK266" s="854"/>
      <c r="BL266" s="854"/>
      <c r="BM266" s="854"/>
      <c r="BN266" s="854"/>
      <c r="BO266" s="854"/>
      <c r="BP266" s="854"/>
      <c r="BQ266" s="854"/>
      <c r="BR266" s="854"/>
      <c r="BS266" s="854"/>
      <c r="BT266" s="854"/>
      <c r="BU266" s="870">
        <f t="shared" ref="BU266" si="76">BU265+1</f>
        <v>191</v>
      </c>
      <c r="BV266" s="860" t="s">
        <v>336</v>
      </c>
      <c r="BW266" s="854"/>
      <c r="BX266" s="871">
        <v>0</v>
      </c>
      <c r="BY266" s="872">
        <f ca="1">IF(BJ$299=0,0,BX266/BJ$299*100)</f>
        <v>0</v>
      </c>
      <c r="BZ266" s="871">
        <v>0</v>
      </c>
      <c r="CA266" s="872">
        <f ca="1">IF(BL$299=0,0,BZ266/BL$299*100)</f>
        <v>0</v>
      </c>
      <c r="CB266" s="871">
        <v>0</v>
      </c>
      <c r="CC266" s="872">
        <f ca="1">IF(BN$299=0,0,CB266/BN$299*100)</f>
        <v>0</v>
      </c>
      <c r="CD266" s="871">
        <v>0</v>
      </c>
      <c r="CE266" s="872">
        <f ca="1">IF(BP$299=0,0,CD266/BP$299*100)</f>
        <v>0</v>
      </c>
      <c r="CF266" s="854"/>
      <c r="CG266" s="854" t="s">
        <v>45</v>
      </c>
    </row>
    <row r="267" spans="1:85" ht="15.75" customHeight="1">
      <c r="A267" s="847"/>
      <c r="B267" s="1339"/>
      <c r="C267" s="1347" t="str">
        <f>"Purchases of "&amp;C26</f>
        <v>Purchases of Fixed Assets</v>
      </c>
      <c r="D267" s="1341"/>
      <c r="E267" s="1342"/>
      <c r="F267" s="1343"/>
      <c r="G267" s="1344">
        <f>G168</f>
        <v>2200</v>
      </c>
      <c r="H267" s="1345"/>
      <c r="I267" s="1344">
        <f>I168</f>
        <v>2300</v>
      </c>
      <c r="J267" s="1345"/>
      <c r="K267" s="1344">
        <f>K168</f>
        <v>2400</v>
      </c>
      <c r="L267" s="1345"/>
      <c r="M267" s="848"/>
      <c r="N267" s="849"/>
      <c r="O267" s="850"/>
      <c r="P267" s="850"/>
      <c r="Q267" s="850"/>
      <c r="R267" s="850"/>
      <c r="S267" s="850"/>
      <c r="T267" s="851"/>
      <c r="U267" s="851"/>
      <c r="V267" s="851"/>
      <c r="W267" s="851"/>
      <c r="X267" s="851"/>
      <c r="Y267" s="851"/>
      <c r="Z267" s="851"/>
      <c r="AA267" s="851"/>
      <c r="AB267" s="851"/>
      <c r="AC267" s="851"/>
      <c r="AD267" s="851"/>
      <c r="AE267" s="851"/>
      <c r="AF267" s="851"/>
      <c r="AG267" s="851"/>
      <c r="AH267" s="852"/>
      <c r="AI267" s="852"/>
      <c r="AJ267" s="852"/>
      <c r="AK267" s="852"/>
      <c r="AL267" s="852"/>
      <c r="AM267" s="852"/>
      <c r="AN267" s="852"/>
      <c r="AO267" s="852"/>
      <c r="AP267" s="852"/>
      <c r="AQ267" s="852"/>
      <c r="AR267" s="852"/>
      <c r="AS267" s="852"/>
      <c r="AT267" s="852"/>
      <c r="AU267" s="852"/>
      <c r="AV267" s="852"/>
      <c r="AW267" s="852"/>
      <c r="AX267" s="849"/>
      <c r="AY267" s="847"/>
      <c r="AZ267" s="847"/>
      <c r="BA267" s="847"/>
      <c r="BB267" s="847"/>
      <c r="BC267" s="853"/>
      <c r="BD267" s="854"/>
      <c r="BE267" s="854"/>
      <c r="BF267" s="854"/>
      <c r="BG267" s="854"/>
      <c r="BH267" s="854"/>
      <c r="BI267" s="854"/>
      <c r="BJ267" s="854"/>
      <c r="BK267" s="854"/>
      <c r="BL267" s="854"/>
      <c r="BM267" s="854"/>
      <c r="BN267" s="854"/>
      <c r="BO267" s="854"/>
      <c r="BP267" s="854"/>
      <c r="BQ267" s="854"/>
      <c r="BR267" s="854"/>
      <c r="BS267" s="854"/>
      <c r="BT267" s="854"/>
      <c r="BU267" s="870">
        <f>BU266+1</f>
        <v>192</v>
      </c>
      <c r="BV267" s="860" t="s">
        <v>337</v>
      </c>
      <c r="BW267" s="854"/>
      <c r="BX267" s="871">
        <v>0</v>
      </c>
      <c r="BY267" s="872">
        <f ca="1">IF(BJ$299=0,0,BX267/BJ$299*100)</f>
        <v>0</v>
      </c>
      <c r="BZ267" s="871">
        <v>0</v>
      </c>
      <c r="CA267" s="872">
        <f ca="1">IF(BL$299=0,0,BZ267/BL$299*100)</f>
        <v>0</v>
      </c>
      <c r="CB267" s="871">
        <v>0</v>
      </c>
      <c r="CC267" s="872">
        <f ca="1">IF(BN$299=0,0,CB267/BN$299*100)</f>
        <v>0</v>
      </c>
      <c r="CD267" s="871">
        <v>0</v>
      </c>
      <c r="CE267" s="872">
        <f ca="1">IF(BP$299=0,0,CD267/BP$299*100)</f>
        <v>0</v>
      </c>
      <c r="CF267" s="854"/>
      <c r="CG267" s="854" t="s">
        <v>45</v>
      </c>
    </row>
    <row r="268" spans="1:85" ht="15.75" customHeight="1">
      <c r="A268" s="847"/>
      <c r="B268" s="1302"/>
      <c r="C268" s="1303" t="str">
        <f>"Increase of "&amp;C27</f>
        <v>Increase of Investment in Associates</v>
      </c>
      <c r="D268" s="1304"/>
      <c r="E268" s="1305"/>
      <c r="F268" s="1306"/>
      <c r="G268" s="1307">
        <f>IF(G27&gt;E27,G27-E27,0)</f>
        <v>1</v>
      </c>
      <c r="H268" s="1308"/>
      <c r="I268" s="1307">
        <f>IF(I27&gt;G27,I27-G27,0)</f>
        <v>1</v>
      </c>
      <c r="J268" s="1308"/>
      <c r="K268" s="1307">
        <f>IF(K27&gt;I27,K27-I27,0)</f>
        <v>1</v>
      </c>
      <c r="L268" s="1308"/>
      <c r="M268" s="848"/>
      <c r="N268" s="849"/>
      <c r="O268" s="850"/>
      <c r="P268" s="850"/>
      <c r="Q268" s="850"/>
      <c r="R268" s="850"/>
      <c r="S268" s="850"/>
      <c r="T268" s="851"/>
      <c r="U268" s="851"/>
      <c r="V268" s="851"/>
      <c r="W268" s="851"/>
      <c r="X268" s="851"/>
      <c r="Y268" s="851"/>
      <c r="Z268" s="851"/>
      <c r="AA268" s="851"/>
      <c r="AB268" s="851"/>
      <c r="AC268" s="851"/>
      <c r="AD268" s="851"/>
      <c r="AE268" s="851"/>
      <c r="AF268" s="851"/>
      <c r="AG268" s="851"/>
      <c r="AH268" s="852"/>
      <c r="AI268" s="852"/>
      <c r="AJ268" s="852"/>
      <c r="AK268" s="852"/>
      <c r="AL268" s="852"/>
      <c r="AM268" s="852"/>
      <c r="AN268" s="852"/>
      <c r="AO268" s="852"/>
      <c r="AP268" s="852"/>
      <c r="AQ268" s="852"/>
      <c r="AR268" s="852"/>
      <c r="AS268" s="852"/>
      <c r="AT268" s="852"/>
      <c r="AU268" s="852"/>
      <c r="AV268" s="852"/>
      <c r="AW268" s="852"/>
      <c r="AX268" s="849"/>
      <c r="AY268" s="847"/>
      <c r="AZ268" s="847"/>
      <c r="BA268" s="847"/>
      <c r="BB268" s="847"/>
      <c r="BC268" s="853"/>
      <c r="BD268" s="854"/>
      <c r="BE268" s="854"/>
      <c r="BF268" s="854"/>
      <c r="BG268" s="870">
        <f>BU267+1</f>
        <v>193</v>
      </c>
      <c r="BH268" s="860" t="s">
        <v>45</v>
      </c>
      <c r="BI268" s="854"/>
      <c r="BJ268" s="871">
        <v>0</v>
      </c>
      <c r="BK268" s="872">
        <f ca="1">IF(BJ$299=0,0,BJ268/BJ$299*100)</f>
        <v>0</v>
      </c>
      <c r="BL268" s="871">
        <v>0</v>
      </c>
      <c r="BM268" s="872">
        <f ca="1">IF(BL$299=0,0,BL268/BL$299*100)</f>
        <v>0</v>
      </c>
      <c r="BN268" s="871">
        <v>0</v>
      </c>
      <c r="BO268" s="872">
        <f ca="1">IF(BN$299=0,0,BN268/BN$299*100)</f>
        <v>0</v>
      </c>
      <c r="BP268" s="871">
        <v>0</v>
      </c>
      <c r="BQ268" s="872">
        <f ca="1">IF(BP$299=0,0,BP268/BP$299*100)</f>
        <v>0</v>
      </c>
      <c r="BR268" s="854"/>
      <c r="BS268" s="854"/>
      <c r="BT268" s="854"/>
      <c r="BU268" s="854"/>
      <c r="BV268" s="854"/>
      <c r="BW268" s="854"/>
      <c r="BX268" s="854"/>
      <c r="BY268" s="854"/>
      <c r="BZ268" s="854"/>
      <c r="CA268" s="854"/>
      <c r="CB268" s="854"/>
      <c r="CC268" s="854"/>
      <c r="CD268" s="854"/>
      <c r="CE268" s="854"/>
      <c r="CF268" s="854"/>
      <c r="CG268" s="854" t="s">
        <v>45</v>
      </c>
    </row>
    <row r="269" spans="1:85" ht="15.75" customHeight="1">
      <c r="A269" s="847"/>
      <c r="B269" s="1302"/>
      <c r="C269" s="1330" t="str">
        <f>"Increase of "&amp;+C28</f>
        <v>Increase of Investment in Joint Venture</v>
      </c>
      <c r="D269" s="1304"/>
      <c r="E269" s="1305"/>
      <c r="F269" s="1306"/>
      <c r="G269" s="1307">
        <f>IF(G28&gt;E28,G28-E28,0)</f>
        <v>1</v>
      </c>
      <c r="H269" s="1308"/>
      <c r="I269" s="1307">
        <f>IF(I28&gt;G28,I28-G28,0)</f>
        <v>1</v>
      </c>
      <c r="J269" s="1308"/>
      <c r="K269" s="1307">
        <f>IF(K28&gt;I28,K28-I28,0)</f>
        <v>1</v>
      </c>
      <c r="L269" s="1308"/>
      <c r="M269" s="848"/>
      <c r="N269" s="849"/>
      <c r="O269" s="850"/>
      <c r="P269" s="850"/>
      <c r="Q269" s="850"/>
      <c r="R269" s="850"/>
      <c r="S269" s="850"/>
      <c r="T269" s="851"/>
      <c r="U269" s="851"/>
      <c r="V269" s="851"/>
      <c r="W269" s="851"/>
      <c r="X269" s="851"/>
      <c r="Y269" s="851"/>
      <c r="Z269" s="851"/>
      <c r="AA269" s="851"/>
      <c r="AB269" s="851"/>
      <c r="AC269" s="851"/>
      <c r="AD269" s="851"/>
      <c r="AE269" s="851"/>
      <c r="AF269" s="851"/>
      <c r="AG269" s="851"/>
      <c r="AH269" s="852"/>
      <c r="AI269" s="852"/>
      <c r="AJ269" s="852"/>
      <c r="AK269" s="852"/>
      <c r="AL269" s="852"/>
      <c r="AM269" s="852"/>
      <c r="AN269" s="852"/>
      <c r="AO269" s="852"/>
      <c r="AP269" s="852"/>
      <c r="AQ269" s="852"/>
      <c r="AR269" s="852"/>
      <c r="AS269" s="852"/>
      <c r="AT269" s="852"/>
      <c r="AU269" s="852"/>
      <c r="AV269" s="852"/>
      <c r="AW269" s="852"/>
      <c r="AX269" s="849"/>
      <c r="AY269" s="847"/>
      <c r="AZ269" s="847"/>
      <c r="BA269" s="847"/>
      <c r="BB269" s="847"/>
      <c r="BC269" s="853"/>
      <c r="BD269" s="854"/>
      <c r="BE269" s="854"/>
      <c r="BF269" s="854"/>
      <c r="BG269" s="854"/>
      <c r="BH269" s="854"/>
      <c r="BI269" s="854"/>
      <c r="BJ269" s="854"/>
      <c r="BK269" s="854"/>
      <c r="BL269" s="854"/>
      <c r="BM269" s="854"/>
      <c r="BN269" s="854"/>
      <c r="BO269" s="854"/>
      <c r="BP269" s="854"/>
      <c r="BQ269" s="854"/>
      <c r="BR269" s="854"/>
      <c r="BS269" s="854"/>
      <c r="BT269" s="854"/>
      <c r="BU269" s="870"/>
      <c r="BV269" s="860"/>
      <c r="BW269" s="854"/>
      <c r="BX269" s="871"/>
      <c r="BY269" s="872"/>
      <c r="BZ269" s="871"/>
      <c r="CA269" s="872"/>
      <c r="CB269" s="871"/>
      <c r="CC269" s="872"/>
      <c r="CD269" s="871"/>
      <c r="CE269" s="872"/>
      <c r="CF269" s="854"/>
      <c r="CG269" s="854"/>
    </row>
    <row r="270" spans="1:85" ht="15.75" customHeight="1">
      <c r="A270" s="847"/>
      <c r="B270" s="1302"/>
      <c r="C270" s="1303" t="str">
        <f>"Increase of "&amp;C29</f>
        <v>Increase of Intangible Assets</v>
      </c>
      <c r="D270" s="1304"/>
      <c r="E270" s="1305"/>
      <c r="F270" s="1306"/>
      <c r="G270" s="1307">
        <f>IF(G29&gt;E29,G29-E29,0)</f>
        <v>1</v>
      </c>
      <c r="H270" s="1308"/>
      <c r="I270" s="1307">
        <f>IF(I29&gt;G29,I29-G29,0)</f>
        <v>1</v>
      </c>
      <c r="J270" s="1308"/>
      <c r="K270" s="1307">
        <f>IF(K29&gt;I29,K29-I29,0)</f>
        <v>1</v>
      </c>
      <c r="L270" s="1308"/>
      <c r="M270" s="848"/>
      <c r="N270" s="849"/>
      <c r="O270" s="850"/>
      <c r="P270" s="850"/>
      <c r="Q270" s="850"/>
      <c r="R270" s="850"/>
      <c r="S270" s="850"/>
      <c r="T270" s="851"/>
      <c r="U270" s="851"/>
      <c r="V270" s="851"/>
      <c r="W270" s="851"/>
      <c r="X270" s="851"/>
      <c r="Y270" s="851"/>
      <c r="Z270" s="851"/>
      <c r="AA270" s="851"/>
      <c r="AB270" s="851"/>
      <c r="AC270" s="851"/>
      <c r="AD270" s="851"/>
      <c r="AE270" s="851"/>
      <c r="AF270" s="851"/>
      <c r="AG270" s="851"/>
      <c r="AH270" s="852"/>
      <c r="AI270" s="852"/>
      <c r="AJ270" s="852"/>
      <c r="AK270" s="852"/>
      <c r="AL270" s="852"/>
      <c r="AM270" s="852"/>
      <c r="AN270" s="852"/>
      <c r="AO270" s="852"/>
      <c r="AP270" s="852"/>
      <c r="AQ270" s="852"/>
      <c r="AR270" s="852"/>
      <c r="AS270" s="852"/>
      <c r="AT270" s="852"/>
      <c r="AU270" s="852"/>
      <c r="AV270" s="852"/>
      <c r="AW270" s="852"/>
      <c r="AX270" s="849"/>
      <c r="AY270" s="847"/>
      <c r="AZ270" s="847"/>
      <c r="BA270" s="847"/>
      <c r="BB270" s="847"/>
      <c r="BC270" s="853"/>
      <c r="BD270" s="854"/>
      <c r="BE270" s="854"/>
      <c r="BF270" s="854"/>
      <c r="BG270" s="870">
        <f>BG268+1</f>
        <v>194</v>
      </c>
      <c r="BH270" s="860" t="s">
        <v>45</v>
      </c>
      <c r="BI270" s="854"/>
      <c r="BJ270" s="871">
        <v>0</v>
      </c>
      <c r="BK270" s="872">
        <f t="shared" ref="BK270:BK280" ca="1" si="77">IF(BJ$299=0,0,BJ270/BJ$299*100)</f>
        <v>0</v>
      </c>
      <c r="BL270" s="871">
        <v>0</v>
      </c>
      <c r="BM270" s="872">
        <f t="shared" ref="BM270:BM280" ca="1" si="78">IF(BL$299=0,0,BL270/BL$299*100)</f>
        <v>0</v>
      </c>
      <c r="BN270" s="871">
        <v>0</v>
      </c>
      <c r="BO270" s="872">
        <f t="shared" ref="BO270:BO280" ca="1" si="79">IF(BN$299=0,0,BN270/BN$299*100)</f>
        <v>0</v>
      </c>
      <c r="BP270" s="871">
        <v>0</v>
      </c>
      <c r="BQ270" s="872">
        <f t="shared" ref="BQ270:BQ280" ca="1" si="80">IF(BP$299=0,0,BP270/BP$299*100)</f>
        <v>0</v>
      </c>
      <c r="BR270" s="854"/>
      <c r="BS270" s="854"/>
      <c r="BT270" s="854"/>
      <c r="BU270" s="854"/>
      <c r="BV270" s="854"/>
      <c r="BW270" s="854"/>
      <c r="BX270" s="854"/>
      <c r="BY270" s="854"/>
      <c r="BZ270" s="854"/>
      <c r="CA270" s="854"/>
      <c r="CB270" s="854"/>
      <c r="CC270" s="854"/>
      <c r="CD270" s="854"/>
      <c r="CE270" s="854"/>
      <c r="CF270" s="854"/>
      <c r="CG270" s="854" t="s">
        <v>45</v>
      </c>
    </row>
    <row r="271" spans="1:85" ht="15.75" customHeight="1">
      <c r="A271" s="847"/>
      <c r="B271" s="1302"/>
      <c r="C271" s="1303" t="str">
        <f>"Additions to "&amp;C31</f>
        <v>Additions to Other Non-Current Assets</v>
      </c>
      <c r="D271" s="1304"/>
      <c r="E271" s="1305"/>
      <c r="F271" s="1306"/>
      <c r="G271" s="1307">
        <f>IF(G31&gt;E31,G31-E31,0)</f>
        <v>1</v>
      </c>
      <c r="H271" s="1308"/>
      <c r="I271" s="1307">
        <f>IF(I31&gt;G31,I31-G31,0)</f>
        <v>1</v>
      </c>
      <c r="J271" s="1308"/>
      <c r="K271" s="1307">
        <f>IF(K31&gt;I31,K31-I31,0)</f>
        <v>1</v>
      </c>
      <c r="L271" s="1308"/>
      <c r="M271" s="848"/>
      <c r="N271" s="849"/>
      <c r="O271" s="850"/>
      <c r="P271" s="850"/>
      <c r="Q271" s="850"/>
      <c r="R271" s="850"/>
      <c r="S271" s="850"/>
      <c r="T271" s="851"/>
      <c r="U271" s="851"/>
      <c r="V271" s="851"/>
      <c r="W271" s="851"/>
      <c r="X271" s="851"/>
      <c r="Y271" s="851"/>
      <c r="Z271" s="851"/>
      <c r="AA271" s="851"/>
      <c r="AB271" s="851"/>
      <c r="AC271" s="851"/>
      <c r="AD271" s="851"/>
      <c r="AE271" s="851"/>
      <c r="AF271" s="851"/>
      <c r="AG271" s="851"/>
      <c r="AH271" s="852"/>
      <c r="AI271" s="852"/>
      <c r="AJ271" s="852"/>
      <c r="AK271" s="852"/>
      <c r="AL271" s="852"/>
      <c r="AM271" s="852"/>
      <c r="AN271" s="852"/>
      <c r="AO271" s="852"/>
      <c r="AP271" s="852"/>
      <c r="AQ271" s="852"/>
      <c r="AR271" s="852"/>
      <c r="AS271" s="852"/>
      <c r="AT271" s="852"/>
      <c r="AU271" s="852"/>
      <c r="AV271" s="852"/>
      <c r="AW271" s="852"/>
      <c r="AX271" s="849"/>
      <c r="AY271" s="847"/>
      <c r="AZ271" s="847"/>
      <c r="BA271" s="847"/>
      <c r="BB271" s="847"/>
      <c r="BC271" s="853"/>
      <c r="BD271" s="854"/>
      <c r="BE271" s="854"/>
      <c r="BF271" s="854"/>
      <c r="BG271" s="870">
        <f>BG206+1</f>
        <v>196</v>
      </c>
      <c r="BH271" s="860" t="s">
        <v>45</v>
      </c>
      <c r="BI271" s="854"/>
      <c r="BJ271" s="871">
        <v>0</v>
      </c>
      <c r="BK271" s="872">
        <f t="shared" ca="1" si="77"/>
        <v>0</v>
      </c>
      <c r="BL271" s="871">
        <v>0</v>
      </c>
      <c r="BM271" s="872">
        <f t="shared" ca="1" si="78"/>
        <v>0</v>
      </c>
      <c r="BN271" s="871">
        <v>0</v>
      </c>
      <c r="BO271" s="872">
        <f t="shared" ca="1" si="79"/>
        <v>0</v>
      </c>
      <c r="BP271" s="871">
        <v>0</v>
      </c>
      <c r="BQ271" s="872">
        <f t="shared" ca="1" si="80"/>
        <v>0</v>
      </c>
      <c r="BR271" s="854"/>
      <c r="BS271" s="854"/>
      <c r="BT271" s="854"/>
      <c r="BU271" s="854"/>
      <c r="BV271" s="854"/>
      <c r="BW271" s="854"/>
      <c r="BX271" s="854"/>
      <c r="BY271" s="854"/>
      <c r="BZ271" s="854"/>
      <c r="CA271" s="854"/>
      <c r="CB271" s="854"/>
      <c r="CC271" s="854"/>
      <c r="CD271" s="854"/>
      <c r="CE271" s="854"/>
      <c r="CF271" s="854"/>
      <c r="CG271" s="854" t="s">
        <v>45</v>
      </c>
    </row>
    <row r="272" spans="1:85" ht="15.75" customHeight="1">
      <c r="A272" s="847"/>
      <c r="B272" s="1302"/>
      <c r="C272" s="1303" t="str">
        <f>"Additions to "&amp;C32</f>
        <v>Additions to Investments</v>
      </c>
      <c r="D272" s="1304"/>
      <c r="E272" s="1305"/>
      <c r="F272" s="1306"/>
      <c r="G272" s="1307">
        <f>IF(G32&gt;E32,G32-E32,0)</f>
        <v>1</v>
      </c>
      <c r="H272" s="1308"/>
      <c r="I272" s="1307">
        <f>IF(I32&gt;G32,I32-G32,0)</f>
        <v>1</v>
      </c>
      <c r="J272" s="1308"/>
      <c r="K272" s="1307">
        <f>IF(K32&gt;I32,K32-I32,0)</f>
        <v>1</v>
      </c>
      <c r="L272" s="1308"/>
      <c r="M272" s="902"/>
      <c r="N272" s="849"/>
      <c r="O272" s="850"/>
      <c r="P272" s="850"/>
      <c r="Q272" s="850"/>
      <c r="R272" s="850"/>
      <c r="S272" s="850"/>
      <c r="T272" s="851"/>
      <c r="U272" s="851"/>
      <c r="V272" s="851"/>
      <c r="W272" s="851"/>
      <c r="X272" s="851"/>
      <c r="Y272" s="851"/>
      <c r="Z272" s="851"/>
      <c r="AA272" s="851"/>
      <c r="AB272" s="851"/>
      <c r="AC272" s="851"/>
      <c r="AD272" s="851"/>
      <c r="AE272" s="851"/>
      <c r="AF272" s="851"/>
      <c r="AG272" s="851"/>
      <c r="AH272" s="852"/>
      <c r="AI272" s="852"/>
      <c r="AJ272" s="852"/>
      <c r="AK272" s="852"/>
      <c r="AL272" s="852"/>
      <c r="AM272" s="852"/>
      <c r="AN272" s="852"/>
      <c r="AO272" s="852"/>
      <c r="AP272" s="852"/>
      <c r="AQ272" s="852"/>
      <c r="AR272" s="852"/>
      <c r="AS272" s="852"/>
      <c r="AT272" s="852"/>
      <c r="AU272" s="852"/>
      <c r="AV272" s="852"/>
      <c r="AW272" s="852"/>
      <c r="AX272" s="849"/>
      <c r="AY272" s="847"/>
      <c r="AZ272" s="847"/>
      <c r="BA272" s="847"/>
      <c r="BB272" s="847"/>
      <c r="BC272" s="853"/>
      <c r="BD272" s="854"/>
      <c r="BE272" s="854"/>
      <c r="BF272" s="854"/>
      <c r="BG272" s="870">
        <f t="shared" ref="BG272:BG280" si="81">BG271+1</f>
        <v>197</v>
      </c>
      <c r="BH272" s="860" t="s">
        <v>45</v>
      </c>
      <c r="BI272" s="854"/>
      <c r="BJ272" s="871">
        <v>0</v>
      </c>
      <c r="BK272" s="872">
        <f t="shared" ca="1" si="77"/>
        <v>0</v>
      </c>
      <c r="BL272" s="871">
        <v>0</v>
      </c>
      <c r="BM272" s="872">
        <f t="shared" ca="1" si="78"/>
        <v>0</v>
      </c>
      <c r="BN272" s="871">
        <v>0</v>
      </c>
      <c r="BO272" s="872">
        <f t="shared" ca="1" si="79"/>
        <v>0</v>
      </c>
      <c r="BP272" s="871">
        <v>0</v>
      </c>
      <c r="BQ272" s="872">
        <f t="shared" ca="1" si="80"/>
        <v>0</v>
      </c>
      <c r="BR272" s="854"/>
      <c r="BS272" s="854"/>
      <c r="BT272" s="854"/>
      <c r="BU272" s="854"/>
      <c r="BV272" s="854"/>
      <c r="BW272" s="854"/>
      <c r="BX272" s="854"/>
      <c r="BY272" s="854"/>
      <c r="BZ272" s="854"/>
      <c r="CA272" s="854"/>
      <c r="CB272" s="854"/>
      <c r="CC272" s="854"/>
      <c r="CD272" s="854"/>
      <c r="CE272" s="854"/>
      <c r="CF272" s="854"/>
      <c r="CG272" s="854" t="s">
        <v>45</v>
      </c>
    </row>
    <row r="273" spans="1:85" ht="16.5" customHeight="1">
      <c r="A273" s="847"/>
      <c r="B273" s="1316"/>
      <c r="C273" s="1317" t="s">
        <v>338</v>
      </c>
      <c r="D273" s="1318"/>
      <c r="E273" s="1319"/>
      <c r="F273" s="1320"/>
      <c r="G273" s="1321">
        <f>G111+G114+G116</f>
        <v>88</v>
      </c>
      <c r="H273" s="1322"/>
      <c r="I273" s="1321">
        <f>I111+I114+I116</f>
        <v>144</v>
      </c>
      <c r="J273" s="1322"/>
      <c r="K273" s="1321">
        <f>K111+K114+K116</f>
        <v>104</v>
      </c>
      <c r="L273" s="1322"/>
      <c r="M273" s="848"/>
      <c r="N273" s="849"/>
      <c r="O273" s="850"/>
      <c r="P273" s="850"/>
      <c r="Q273" s="850"/>
      <c r="R273" s="850"/>
      <c r="S273" s="850"/>
      <c r="T273" s="851"/>
      <c r="U273" s="851"/>
      <c r="V273" s="851"/>
      <c r="W273" s="851"/>
      <c r="X273" s="851"/>
      <c r="Y273" s="851"/>
      <c r="Z273" s="851"/>
      <c r="AA273" s="851"/>
      <c r="AB273" s="851"/>
      <c r="AC273" s="851"/>
      <c r="AD273" s="851"/>
      <c r="AE273" s="851"/>
      <c r="AF273" s="851"/>
      <c r="AG273" s="851"/>
      <c r="AH273" s="852"/>
      <c r="AI273" s="852"/>
      <c r="AJ273" s="852"/>
      <c r="AK273" s="852"/>
      <c r="AL273" s="852"/>
      <c r="AM273" s="852"/>
      <c r="AN273" s="852"/>
      <c r="AO273" s="852"/>
      <c r="AP273" s="852"/>
      <c r="AQ273" s="852"/>
      <c r="AR273" s="852"/>
      <c r="AS273" s="852"/>
      <c r="AT273" s="852"/>
      <c r="AU273" s="852"/>
      <c r="AV273" s="852"/>
      <c r="AW273" s="852"/>
      <c r="AX273" s="849"/>
      <c r="AY273" s="847"/>
      <c r="AZ273" s="847"/>
      <c r="BA273" s="847"/>
      <c r="BB273" s="847"/>
      <c r="BC273" s="853"/>
      <c r="BD273" s="854"/>
      <c r="BE273" s="854"/>
      <c r="BF273" s="854"/>
      <c r="BG273" s="870">
        <v>128</v>
      </c>
      <c r="BH273" s="860" t="s">
        <v>45</v>
      </c>
      <c r="BI273" s="854"/>
      <c r="BJ273" s="871">
        <v>0</v>
      </c>
      <c r="BK273" s="872">
        <f t="shared" ca="1" si="77"/>
        <v>0</v>
      </c>
      <c r="BL273" s="871">
        <v>0</v>
      </c>
      <c r="BM273" s="872">
        <f t="shared" ca="1" si="78"/>
        <v>0</v>
      </c>
      <c r="BN273" s="871">
        <v>0</v>
      </c>
      <c r="BO273" s="872">
        <f t="shared" ca="1" si="79"/>
        <v>0</v>
      </c>
      <c r="BP273" s="871">
        <v>0</v>
      </c>
      <c r="BQ273" s="872">
        <f t="shared" ca="1" si="80"/>
        <v>0</v>
      </c>
      <c r="BR273" s="854"/>
      <c r="BS273" s="854"/>
      <c r="BT273" s="854"/>
      <c r="BU273" s="854"/>
      <c r="BV273" s="854"/>
      <c r="BW273" s="854"/>
      <c r="BX273" s="854"/>
      <c r="BY273" s="854"/>
      <c r="BZ273" s="854"/>
      <c r="CA273" s="854"/>
      <c r="CB273" s="854"/>
      <c r="CC273" s="854"/>
      <c r="CD273" s="854"/>
      <c r="CE273" s="854"/>
      <c r="CF273" s="854"/>
      <c r="CG273" s="854" t="s">
        <v>45</v>
      </c>
    </row>
    <row r="274" spans="1:85" ht="15.75" customHeight="1">
      <c r="A274" s="847"/>
      <c r="B274" s="1331"/>
      <c r="C274" s="1271" t="s">
        <v>339</v>
      </c>
      <c r="D274" s="1332"/>
      <c r="E274" s="1333"/>
      <c r="F274" s="1334"/>
      <c r="G274" s="1335">
        <f>SUM(G267:G273)</f>
        <v>2293</v>
      </c>
      <c r="H274" s="1336"/>
      <c r="I274" s="1335">
        <f>SUM(I267:I273)</f>
        <v>2449</v>
      </c>
      <c r="J274" s="1336"/>
      <c r="K274" s="1335">
        <f>SUM(K267:K273)</f>
        <v>2509</v>
      </c>
      <c r="L274" s="1336"/>
      <c r="M274" s="848"/>
      <c r="N274" s="849"/>
      <c r="O274" s="850"/>
      <c r="P274" s="850"/>
      <c r="Q274" s="850"/>
      <c r="R274" s="850"/>
      <c r="S274" s="850"/>
      <c r="T274" s="851"/>
      <c r="U274" s="851"/>
      <c r="V274" s="851"/>
      <c r="W274" s="851"/>
      <c r="X274" s="851"/>
      <c r="Y274" s="851"/>
      <c r="Z274" s="851"/>
      <c r="AA274" s="851"/>
      <c r="AB274" s="851"/>
      <c r="AC274" s="851"/>
      <c r="AD274" s="851"/>
      <c r="AE274" s="851"/>
      <c r="AF274" s="851"/>
      <c r="AG274" s="851"/>
      <c r="AH274" s="852"/>
      <c r="AI274" s="852"/>
      <c r="AJ274" s="852"/>
      <c r="AK274" s="852"/>
      <c r="AL274" s="852"/>
      <c r="AM274" s="852"/>
      <c r="AN274" s="852"/>
      <c r="AO274" s="852"/>
      <c r="AP274" s="852"/>
      <c r="AQ274" s="852"/>
      <c r="AR274" s="852"/>
      <c r="AS274" s="852"/>
      <c r="AT274" s="852"/>
      <c r="AU274" s="852"/>
      <c r="AV274" s="852"/>
      <c r="AW274" s="852"/>
      <c r="AX274" s="849"/>
      <c r="AY274" s="847"/>
      <c r="AZ274" s="847"/>
      <c r="BA274" s="847"/>
      <c r="BB274" s="847"/>
      <c r="BC274" s="853"/>
      <c r="BD274" s="854"/>
      <c r="BE274" s="854"/>
      <c r="BF274" s="854"/>
      <c r="BG274" s="870">
        <f>BG272+1</f>
        <v>198</v>
      </c>
      <c r="BH274" s="860" t="s">
        <v>45</v>
      </c>
      <c r="BI274" s="854"/>
      <c r="BJ274" s="871">
        <v>0</v>
      </c>
      <c r="BK274" s="872">
        <f t="shared" ca="1" si="77"/>
        <v>0</v>
      </c>
      <c r="BL274" s="871">
        <v>0</v>
      </c>
      <c r="BM274" s="872">
        <f t="shared" ca="1" si="78"/>
        <v>0</v>
      </c>
      <c r="BN274" s="871">
        <v>0</v>
      </c>
      <c r="BO274" s="872">
        <f t="shared" ca="1" si="79"/>
        <v>0</v>
      </c>
      <c r="BP274" s="871">
        <v>0</v>
      </c>
      <c r="BQ274" s="872">
        <f t="shared" ca="1" si="80"/>
        <v>0</v>
      </c>
      <c r="BR274" s="854"/>
      <c r="BS274" s="854"/>
      <c r="BT274" s="854"/>
      <c r="BU274" s="854"/>
      <c r="BV274" s="854"/>
      <c r="BW274" s="854"/>
      <c r="BX274" s="854"/>
      <c r="BY274" s="854"/>
      <c r="BZ274" s="854"/>
      <c r="CA274" s="854"/>
      <c r="CB274" s="854"/>
      <c r="CC274" s="854"/>
      <c r="CD274" s="854"/>
      <c r="CE274" s="854"/>
      <c r="CF274" s="854"/>
      <c r="CG274" s="854" t="s">
        <v>45</v>
      </c>
    </row>
    <row r="275" spans="1:85" ht="15.75" customHeight="1">
      <c r="A275" s="847"/>
      <c r="B275" s="1323"/>
      <c r="C275" s="1324" t="s">
        <v>340</v>
      </c>
      <c r="D275" s="1325"/>
      <c r="E275" s="1326"/>
      <c r="F275" s="1327"/>
      <c r="G275" s="1328">
        <f>G237-G259+G266-G274</f>
        <v>-16121</v>
      </c>
      <c r="H275" s="1329"/>
      <c r="I275" s="1328">
        <f>I237-I259+I266-I274</f>
        <v>-21742</v>
      </c>
      <c r="J275" s="1329"/>
      <c r="K275" s="1328">
        <f>K237-K259+K266-K274</f>
        <v>-21507</v>
      </c>
      <c r="L275" s="1329"/>
      <c r="M275" s="848"/>
      <c r="N275" s="849"/>
      <c r="O275" s="850"/>
      <c r="P275" s="850"/>
      <c r="Q275" s="850"/>
      <c r="R275" s="850"/>
      <c r="S275" s="850"/>
      <c r="T275" s="851"/>
      <c r="U275" s="851"/>
      <c r="V275" s="851"/>
      <c r="W275" s="851"/>
      <c r="X275" s="851"/>
      <c r="Y275" s="851"/>
      <c r="Z275" s="851"/>
      <c r="AA275" s="851"/>
      <c r="AB275" s="851"/>
      <c r="AC275" s="851"/>
      <c r="AD275" s="851"/>
      <c r="AE275" s="851"/>
      <c r="AF275" s="851"/>
      <c r="AG275" s="851"/>
      <c r="AH275" s="852"/>
      <c r="AI275" s="852"/>
      <c r="AJ275" s="852"/>
      <c r="AK275" s="852"/>
      <c r="AL275" s="852"/>
      <c r="AM275" s="852"/>
      <c r="AN275" s="852"/>
      <c r="AO275" s="852"/>
      <c r="AP275" s="852"/>
      <c r="AQ275" s="852"/>
      <c r="AR275" s="852"/>
      <c r="AS275" s="852"/>
      <c r="AT275" s="852"/>
      <c r="AU275" s="852"/>
      <c r="AV275" s="852"/>
      <c r="AW275" s="852"/>
      <c r="AX275" s="849"/>
      <c r="AY275" s="847"/>
      <c r="AZ275" s="847"/>
      <c r="BA275" s="847"/>
      <c r="BB275" s="847"/>
      <c r="BC275" s="853"/>
      <c r="BD275" s="854"/>
      <c r="BE275" s="854"/>
      <c r="BF275" s="854"/>
      <c r="BG275" s="870">
        <f t="shared" si="81"/>
        <v>199</v>
      </c>
      <c r="BH275" s="860" t="s">
        <v>45</v>
      </c>
      <c r="BI275" s="854"/>
      <c r="BJ275" s="871">
        <v>0</v>
      </c>
      <c r="BK275" s="872">
        <f t="shared" ca="1" si="77"/>
        <v>0</v>
      </c>
      <c r="BL275" s="871">
        <v>0</v>
      </c>
      <c r="BM275" s="872">
        <f t="shared" ca="1" si="78"/>
        <v>0</v>
      </c>
      <c r="BN275" s="871">
        <v>0</v>
      </c>
      <c r="BO275" s="872">
        <f t="shared" ca="1" si="79"/>
        <v>0</v>
      </c>
      <c r="BP275" s="871">
        <v>0</v>
      </c>
      <c r="BQ275" s="872">
        <f t="shared" ca="1" si="80"/>
        <v>0</v>
      </c>
      <c r="BR275" s="854"/>
      <c r="BS275" s="854"/>
      <c r="BT275" s="854"/>
      <c r="BU275" s="854"/>
      <c r="BV275" s="854"/>
      <c r="BW275" s="854"/>
      <c r="BX275" s="854"/>
      <c r="BY275" s="854"/>
      <c r="BZ275" s="854"/>
      <c r="CA275" s="854"/>
      <c r="CB275" s="854"/>
      <c r="CC275" s="854"/>
      <c r="CD275" s="854"/>
      <c r="CE275" s="854"/>
      <c r="CF275" s="854"/>
      <c r="CG275" s="854" t="s">
        <v>45</v>
      </c>
    </row>
    <row r="276" spans="1:85" ht="15.75" customHeight="1">
      <c r="A276" s="847"/>
      <c r="B276" s="1323"/>
      <c r="C276" s="1324" t="s">
        <v>341</v>
      </c>
      <c r="D276" s="1325"/>
      <c r="E276" s="1326"/>
      <c r="F276" s="1327"/>
      <c r="G276" s="1348">
        <f>G216+G275</f>
        <v>1</v>
      </c>
      <c r="H276" s="1329"/>
      <c r="I276" s="1328">
        <f>I216+I275</f>
        <v>1</v>
      </c>
      <c r="J276" s="1329"/>
      <c r="K276" s="1328">
        <f>K216+K275</f>
        <v>1</v>
      </c>
      <c r="L276" s="1349"/>
      <c r="M276" s="848"/>
      <c r="N276" s="849"/>
      <c r="O276" s="850"/>
      <c r="P276" s="850"/>
      <c r="Q276" s="850"/>
      <c r="R276" s="850"/>
      <c r="S276" s="850"/>
      <c r="T276" s="851"/>
      <c r="U276" s="851"/>
      <c r="V276" s="851"/>
      <c r="W276" s="851"/>
      <c r="X276" s="851"/>
      <c r="Y276" s="851"/>
      <c r="Z276" s="851"/>
      <c r="AA276" s="851"/>
      <c r="AB276" s="851"/>
      <c r="AC276" s="851"/>
      <c r="AD276" s="851"/>
      <c r="AE276" s="851"/>
      <c r="AF276" s="851"/>
      <c r="AG276" s="851"/>
      <c r="AH276" s="852"/>
      <c r="AI276" s="852"/>
      <c r="AJ276" s="852"/>
      <c r="AK276" s="852"/>
      <c r="AL276" s="852"/>
      <c r="AM276" s="852"/>
      <c r="AN276" s="852"/>
      <c r="AO276" s="852"/>
      <c r="AP276" s="852"/>
      <c r="AQ276" s="852"/>
      <c r="AR276" s="852"/>
      <c r="AS276" s="852"/>
      <c r="AT276" s="852"/>
      <c r="AU276" s="852"/>
      <c r="AV276" s="852"/>
      <c r="AW276" s="852"/>
      <c r="AX276" s="849"/>
      <c r="AY276" s="847"/>
      <c r="AZ276" s="847"/>
      <c r="BA276" s="847"/>
      <c r="BB276" s="847"/>
      <c r="BC276" s="853"/>
      <c r="BD276" s="854"/>
      <c r="BE276" s="854"/>
      <c r="BF276" s="854"/>
      <c r="BG276" s="870">
        <f t="shared" si="81"/>
        <v>200</v>
      </c>
      <c r="BH276" s="860" t="s">
        <v>45</v>
      </c>
      <c r="BI276" s="854"/>
      <c r="BJ276" s="871">
        <v>0</v>
      </c>
      <c r="BK276" s="872">
        <f t="shared" ca="1" si="77"/>
        <v>0</v>
      </c>
      <c r="BL276" s="871">
        <v>0</v>
      </c>
      <c r="BM276" s="872">
        <f t="shared" ca="1" si="78"/>
        <v>0</v>
      </c>
      <c r="BN276" s="871">
        <v>0</v>
      </c>
      <c r="BO276" s="872">
        <f t="shared" ca="1" si="79"/>
        <v>0</v>
      </c>
      <c r="BP276" s="871">
        <v>0</v>
      </c>
      <c r="BQ276" s="872">
        <f t="shared" ca="1" si="80"/>
        <v>0</v>
      </c>
      <c r="BR276" s="854"/>
      <c r="BS276" s="854"/>
      <c r="BT276" s="854"/>
      <c r="BU276" s="854"/>
      <c r="BV276" s="854"/>
      <c r="BW276" s="854"/>
      <c r="BX276" s="854"/>
      <c r="BY276" s="854"/>
      <c r="BZ276" s="854"/>
      <c r="CA276" s="854"/>
      <c r="CB276" s="854"/>
      <c r="CC276" s="854"/>
      <c r="CD276" s="854"/>
      <c r="CE276" s="854"/>
      <c r="CF276" s="854"/>
      <c r="CG276" s="854" t="s">
        <v>45</v>
      </c>
    </row>
    <row r="277" spans="1:85" ht="15.75" customHeight="1">
      <c r="A277" s="847"/>
      <c r="B277" s="1309"/>
      <c r="C277" s="1350"/>
      <c r="D277" s="1350"/>
      <c r="E277" s="1126"/>
      <c r="F277" s="1351"/>
      <c r="G277" s="1352"/>
      <c r="H277" s="1315"/>
      <c r="I277" s="1352"/>
      <c r="J277" s="1315"/>
      <c r="K277" s="1352"/>
      <c r="L277" s="1315"/>
      <c r="M277" s="848"/>
      <c r="N277" s="849"/>
      <c r="O277" s="850"/>
      <c r="P277" s="850"/>
      <c r="Q277" s="850"/>
      <c r="R277" s="850"/>
      <c r="S277" s="850"/>
      <c r="T277" s="851"/>
      <c r="U277" s="851"/>
      <c r="V277" s="851"/>
      <c r="W277" s="851"/>
      <c r="X277" s="851"/>
      <c r="Y277" s="851"/>
      <c r="Z277" s="851"/>
      <c r="AA277" s="851"/>
      <c r="AB277" s="851"/>
      <c r="AC277" s="851"/>
      <c r="AD277" s="851"/>
      <c r="AE277" s="851"/>
      <c r="AF277" s="851"/>
      <c r="AG277" s="851"/>
      <c r="AH277" s="852"/>
      <c r="AI277" s="852"/>
      <c r="AJ277" s="852"/>
      <c r="AK277" s="852"/>
      <c r="AL277" s="852"/>
      <c r="AM277" s="852"/>
      <c r="AN277" s="852"/>
      <c r="AO277" s="852"/>
      <c r="AP277" s="852"/>
      <c r="AQ277" s="852"/>
      <c r="AR277" s="852"/>
      <c r="AS277" s="852"/>
      <c r="AT277" s="852"/>
      <c r="AU277" s="852"/>
      <c r="AV277" s="852"/>
      <c r="AW277" s="852"/>
      <c r="AX277" s="849"/>
      <c r="AY277" s="847"/>
      <c r="AZ277" s="847"/>
      <c r="BA277" s="847"/>
      <c r="BB277" s="847"/>
      <c r="BC277" s="853"/>
      <c r="BD277" s="854"/>
      <c r="BE277" s="854"/>
      <c r="BF277" s="854"/>
      <c r="BG277" s="870">
        <f t="shared" si="81"/>
        <v>201</v>
      </c>
      <c r="BH277" s="860" t="s">
        <v>45</v>
      </c>
      <c r="BI277" s="854"/>
      <c r="BJ277" s="871">
        <v>0</v>
      </c>
      <c r="BK277" s="872">
        <f t="shared" ca="1" si="77"/>
        <v>0</v>
      </c>
      <c r="BL277" s="871">
        <v>0</v>
      </c>
      <c r="BM277" s="872">
        <f t="shared" ca="1" si="78"/>
        <v>0</v>
      </c>
      <c r="BN277" s="871">
        <v>0</v>
      </c>
      <c r="BO277" s="872">
        <f t="shared" ca="1" si="79"/>
        <v>0</v>
      </c>
      <c r="BP277" s="871">
        <v>0</v>
      </c>
      <c r="BQ277" s="872">
        <f t="shared" ca="1" si="80"/>
        <v>0</v>
      </c>
      <c r="BR277" s="854"/>
      <c r="BS277" s="854"/>
      <c r="BT277" s="854"/>
      <c r="BU277" s="854"/>
      <c r="BV277" s="854"/>
      <c r="BW277" s="854"/>
      <c r="BX277" s="854"/>
      <c r="BY277" s="854"/>
      <c r="BZ277" s="854"/>
      <c r="CA277" s="854"/>
      <c r="CB277" s="854"/>
      <c r="CC277" s="854"/>
      <c r="CD277" s="854"/>
      <c r="CE277" s="854"/>
      <c r="CF277" s="854"/>
      <c r="CG277" s="854" t="s">
        <v>45</v>
      </c>
    </row>
    <row r="278" spans="1:85" ht="15.75" customHeight="1">
      <c r="A278" s="847"/>
      <c r="B278" s="1323"/>
      <c r="C278" s="1353"/>
      <c r="D278" s="1353"/>
      <c r="E278" s="1354"/>
      <c r="F278" s="1355"/>
      <c r="G278" s="1356">
        <f>(G16)-(E16)</f>
        <v>1</v>
      </c>
      <c r="H278" s="1349"/>
      <c r="I278" s="1357">
        <f>(I16)-(G16)</f>
        <v>1</v>
      </c>
      <c r="J278" s="1349"/>
      <c r="K278" s="1357">
        <f>(K16)-(I16)</f>
        <v>1</v>
      </c>
      <c r="L278" s="1349"/>
      <c r="M278" s="848"/>
      <c r="N278" s="849"/>
      <c r="O278" s="850"/>
      <c r="P278" s="850"/>
      <c r="Q278" s="850"/>
      <c r="R278" s="850"/>
      <c r="S278" s="850"/>
      <c r="T278" s="851"/>
      <c r="U278" s="851"/>
      <c r="V278" s="851"/>
      <c r="W278" s="851"/>
      <c r="X278" s="851"/>
      <c r="Y278" s="851"/>
      <c r="Z278" s="851"/>
      <c r="AA278" s="851"/>
      <c r="AB278" s="851"/>
      <c r="AC278" s="851"/>
      <c r="AD278" s="851"/>
      <c r="AE278" s="851"/>
      <c r="AF278" s="851"/>
      <c r="AG278" s="851"/>
      <c r="AH278" s="852"/>
      <c r="AI278" s="852"/>
      <c r="AJ278" s="852"/>
      <c r="AK278" s="852"/>
      <c r="AL278" s="852"/>
      <c r="AM278" s="852"/>
      <c r="AN278" s="852"/>
      <c r="AO278" s="852"/>
      <c r="AP278" s="852"/>
      <c r="AQ278" s="852"/>
      <c r="AR278" s="852"/>
      <c r="AS278" s="852"/>
      <c r="AT278" s="852"/>
      <c r="AU278" s="852"/>
      <c r="AV278" s="852"/>
      <c r="AW278" s="852"/>
      <c r="AX278" s="849"/>
      <c r="AY278" s="847"/>
      <c r="AZ278" s="847"/>
      <c r="BA278" s="847"/>
      <c r="BB278" s="847"/>
      <c r="BC278" s="853"/>
      <c r="BD278" s="854"/>
      <c r="BE278" s="854"/>
      <c r="BF278" s="854"/>
      <c r="BG278" s="870">
        <f t="shared" si="81"/>
        <v>202</v>
      </c>
      <c r="BH278" s="860" t="s">
        <v>45</v>
      </c>
      <c r="BI278" s="854"/>
      <c r="BJ278" s="871">
        <v>0</v>
      </c>
      <c r="BK278" s="872">
        <f t="shared" ca="1" si="77"/>
        <v>0</v>
      </c>
      <c r="BL278" s="871">
        <v>0</v>
      </c>
      <c r="BM278" s="872">
        <f t="shared" ca="1" si="78"/>
        <v>0</v>
      </c>
      <c r="BN278" s="871">
        <v>0</v>
      </c>
      <c r="BO278" s="872">
        <f t="shared" ca="1" si="79"/>
        <v>0</v>
      </c>
      <c r="BP278" s="871">
        <v>0</v>
      </c>
      <c r="BQ278" s="872">
        <f t="shared" ca="1" si="80"/>
        <v>0</v>
      </c>
      <c r="BR278" s="854"/>
      <c r="BS278" s="854"/>
      <c r="BT278" s="854"/>
      <c r="BU278" s="854"/>
      <c r="BV278" s="854"/>
      <c r="BW278" s="854"/>
      <c r="BX278" s="854"/>
      <c r="BY278" s="854"/>
      <c r="BZ278" s="854"/>
      <c r="CA278" s="854"/>
      <c r="CB278" s="854"/>
      <c r="CC278" s="854"/>
      <c r="CD278" s="854"/>
      <c r="CE278" s="854"/>
      <c r="CF278" s="854"/>
      <c r="CG278" s="854" t="s">
        <v>45</v>
      </c>
    </row>
    <row r="279" spans="1:85" ht="15.75" customHeight="1">
      <c r="A279" s="847"/>
      <c r="B279" s="1350"/>
      <c r="C279" s="1350"/>
      <c r="D279" s="1350"/>
      <c r="E279" s="1350"/>
      <c r="F279" s="1350"/>
      <c r="G279" s="1358"/>
      <c r="H279" s="1358"/>
      <c r="I279" s="1358"/>
      <c r="J279" s="1358"/>
      <c r="K279" s="1358"/>
      <c r="L279" s="1352"/>
      <c r="M279" s="848"/>
      <c r="N279" s="849"/>
      <c r="O279" s="850"/>
      <c r="P279" s="850"/>
      <c r="Q279" s="850"/>
      <c r="R279" s="850"/>
      <c r="S279" s="850"/>
      <c r="T279" s="851"/>
      <c r="U279" s="851"/>
      <c r="V279" s="851"/>
      <c r="W279" s="851"/>
      <c r="X279" s="851"/>
      <c r="Y279" s="851"/>
      <c r="Z279" s="851"/>
      <c r="AA279" s="851"/>
      <c r="AB279" s="851"/>
      <c r="AC279" s="851"/>
      <c r="AD279" s="851"/>
      <c r="AE279" s="851"/>
      <c r="AF279" s="851"/>
      <c r="AG279" s="851"/>
      <c r="AH279" s="852"/>
      <c r="AI279" s="852"/>
      <c r="AJ279" s="852"/>
      <c r="AK279" s="852"/>
      <c r="AL279" s="852"/>
      <c r="AM279" s="852"/>
      <c r="AN279" s="852"/>
      <c r="AO279" s="852"/>
      <c r="AP279" s="852"/>
      <c r="AQ279" s="852"/>
      <c r="AR279" s="852"/>
      <c r="AS279" s="852"/>
      <c r="AT279" s="852"/>
      <c r="AU279" s="852"/>
      <c r="AV279" s="852"/>
      <c r="AW279" s="852"/>
      <c r="AX279" s="849"/>
      <c r="AY279" s="847"/>
      <c r="AZ279" s="847"/>
      <c r="BA279" s="847"/>
      <c r="BB279" s="847"/>
      <c r="BC279" s="853"/>
      <c r="BD279" s="854"/>
      <c r="BE279" s="854"/>
      <c r="BF279" s="854"/>
      <c r="BG279" s="870">
        <f t="shared" si="81"/>
        <v>203</v>
      </c>
      <c r="BH279" s="860" t="s">
        <v>45</v>
      </c>
      <c r="BI279" s="854"/>
      <c r="BJ279" s="871">
        <v>0</v>
      </c>
      <c r="BK279" s="872">
        <f t="shared" ca="1" si="77"/>
        <v>0</v>
      </c>
      <c r="BL279" s="871">
        <v>0</v>
      </c>
      <c r="BM279" s="872">
        <f t="shared" ca="1" si="78"/>
        <v>0</v>
      </c>
      <c r="BN279" s="871">
        <v>0</v>
      </c>
      <c r="BO279" s="872">
        <f t="shared" ca="1" si="79"/>
        <v>0</v>
      </c>
      <c r="BP279" s="871">
        <v>0</v>
      </c>
      <c r="BQ279" s="872">
        <f t="shared" ca="1" si="80"/>
        <v>0</v>
      </c>
      <c r="BR279" s="854"/>
      <c r="BS279" s="854"/>
      <c r="BT279" s="854"/>
      <c r="BU279" s="854"/>
      <c r="BV279" s="854"/>
      <c r="BW279" s="854"/>
      <c r="BX279" s="854"/>
      <c r="BY279" s="854"/>
      <c r="BZ279" s="854"/>
      <c r="CA279" s="854"/>
      <c r="CB279" s="854"/>
      <c r="CC279" s="854"/>
      <c r="CD279" s="854"/>
      <c r="CE279" s="854"/>
      <c r="CF279" s="854"/>
      <c r="CG279" s="854" t="s">
        <v>45</v>
      </c>
    </row>
    <row r="280" spans="1:85" ht="15.75" customHeight="1">
      <c r="A280" s="847"/>
      <c r="B280" s="1350"/>
      <c r="C280" s="1350" t="s">
        <v>342</v>
      </c>
      <c r="D280" s="1350"/>
      <c r="E280" s="1350"/>
      <c r="F280" s="1350"/>
      <c r="G280" s="1314">
        <f>G276-G278</f>
        <v>0</v>
      </c>
      <c r="H280" s="1352"/>
      <c r="I280" s="1314">
        <f>I276-I278</f>
        <v>0</v>
      </c>
      <c r="J280" s="1352"/>
      <c r="K280" s="1359">
        <f>K276-K278</f>
        <v>0</v>
      </c>
      <c r="L280" s="1352"/>
      <c r="M280" s="848"/>
      <c r="N280" s="849"/>
      <c r="O280" s="850"/>
      <c r="P280" s="850"/>
      <c r="Q280" s="850"/>
      <c r="R280" s="850"/>
      <c r="S280" s="850"/>
      <c r="T280" s="851"/>
      <c r="U280" s="851"/>
      <c r="V280" s="851"/>
      <c r="W280" s="851"/>
      <c r="X280" s="851"/>
      <c r="Y280" s="851"/>
      <c r="Z280" s="851"/>
      <c r="AA280" s="851"/>
      <c r="AB280" s="851"/>
      <c r="AC280" s="851"/>
      <c r="AD280" s="851"/>
      <c r="AE280" s="851"/>
      <c r="AF280" s="851"/>
      <c r="AG280" s="851"/>
      <c r="AH280" s="852"/>
      <c r="AI280" s="852"/>
      <c r="AJ280" s="852"/>
      <c r="AK280" s="852"/>
      <c r="AL280" s="852"/>
      <c r="AM280" s="852"/>
      <c r="AN280" s="852"/>
      <c r="AO280" s="852"/>
      <c r="AP280" s="852"/>
      <c r="AQ280" s="852"/>
      <c r="AR280" s="852"/>
      <c r="AS280" s="852"/>
      <c r="AT280" s="852"/>
      <c r="AU280" s="852"/>
      <c r="AV280" s="852"/>
      <c r="AW280" s="852"/>
      <c r="AX280" s="849"/>
      <c r="AY280" s="847"/>
      <c r="AZ280" s="847"/>
      <c r="BA280" s="847"/>
      <c r="BB280" s="847"/>
      <c r="BC280" s="853"/>
      <c r="BD280" s="854"/>
      <c r="BE280" s="854"/>
      <c r="BF280" s="854"/>
      <c r="BG280" s="870">
        <f t="shared" si="81"/>
        <v>204</v>
      </c>
      <c r="BH280" s="860" t="s">
        <v>343</v>
      </c>
      <c r="BI280" s="854"/>
      <c r="BJ280" s="871">
        <v>0</v>
      </c>
      <c r="BK280" s="872">
        <f t="shared" ca="1" si="77"/>
        <v>0</v>
      </c>
      <c r="BL280" s="871">
        <v>0</v>
      </c>
      <c r="BM280" s="872">
        <f t="shared" ca="1" si="78"/>
        <v>0</v>
      </c>
      <c r="BN280" s="871">
        <v>0</v>
      </c>
      <c r="BO280" s="872">
        <f t="shared" ca="1" si="79"/>
        <v>0</v>
      </c>
      <c r="BP280" s="871">
        <v>0</v>
      </c>
      <c r="BQ280" s="872">
        <f t="shared" ca="1" si="80"/>
        <v>0</v>
      </c>
      <c r="BR280" s="854"/>
      <c r="BS280" s="854"/>
      <c r="BT280" s="854"/>
      <c r="BU280" s="854"/>
      <c r="BV280" s="854"/>
      <c r="BW280" s="854"/>
      <c r="BX280" s="854"/>
      <c r="BY280" s="854"/>
      <c r="BZ280" s="854"/>
      <c r="CA280" s="854"/>
      <c r="CB280" s="854"/>
      <c r="CC280" s="854"/>
      <c r="CD280" s="854"/>
      <c r="CE280" s="854"/>
      <c r="CF280" s="854"/>
      <c r="CG280" s="854" t="s">
        <v>45</v>
      </c>
    </row>
    <row r="281" spans="1:85" ht="15.75" customHeight="1">
      <c r="A281" s="847"/>
      <c r="B281" s="1350"/>
      <c r="C281" s="1350"/>
      <c r="D281" s="1350"/>
      <c r="E281" s="1350"/>
      <c r="F281" s="1350"/>
      <c r="G281" s="1360"/>
      <c r="H281" s="1350"/>
      <c r="I281" s="1360"/>
      <c r="J281" s="1350"/>
      <c r="K281" s="1350"/>
      <c r="L281" s="1126"/>
      <c r="M281" s="848"/>
      <c r="N281" s="849"/>
      <c r="O281" s="850"/>
      <c r="P281" s="850"/>
      <c r="Q281" s="850"/>
      <c r="R281" s="850"/>
      <c r="S281" s="850"/>
      <c r="T281" s="851"/>
      <c r="U281" s="851"/>
      <c r="V281" s="851"/>
      <c r="W281" s="851"/>
      <c r="X281" s="851"/>
      <c r="Y281" s="851"/>
      <c r="Z281" s="851"/>
      <c r="AA281" s="851"/>
      <c r="AB281" s="851"/>
      <c r="AC281" s="851"/>
      <c r="AD281" s="851"/>
      <c r="AE281" s="851"/>
      <c r="AF281" s="851"/>
      <c r="AG281" s="851"/>
      <c r="AH281" s="852"/>
      <c r="AI281" s="852"/>
      <c r="AJ281" s="852"/>
      <c r="AK281" s="852"/>
      <c r="AL281" s="852"/>
      <c r="AM281" s="852"/>
      <c r="AN281" s="852"/>
      <c r="AO281" s="852"/>
      <c r="AP281" s="852"/>
      <c r="AQ281" s="852"/>
      <c r="AR281" s="852"/>
      <c r="AS281" s="852"/>
      <c r="AT281" s="852"/>
      <c r="AU281" s="852"/>
      <c r="AV281" s="852"/>
      <c r="AW281" s="852"/>
      <c r="AX281" s="849"/>
      <c r="AY281" s="847"/>
      <c r="AZ281" s="847"/>
      <c r="BA281" s="847"/>
      <c r="BB281" s="847"/>
      <c r="BC281" s="853"/>
      <c r="BD281" s="854"/>
      <c r="BE281" s="854"/>
      <c r="BF281" s="854"/>
      <c r="BG281" s="854"/>
      <c r="BH281" s="854"/>
      <c r="BI281" s="854"/>
      <c r="BJ281" s="854"/>
      <c r="BK281" s="854"/>
      <c r="BL281" s="854"/>
      <c r="BM281" s="854"/>
      <c r="BN281" s="854"/>
      <c r="BO281" s="854"/>
      <c r="BP281" s="854"/>
      <c r="BQ281" s="854"/>
      <c r="BR281" s="854"/>
      <c r="BS281" s="854"/>
      <c r="BT281" s="854"/>
      <c r="BU281" s="870">
        <f>BG280+1</f>
        <v>205</v>
      </c>
      <c r="BV281" s="860" t="s">
        <v>344</v>
      </c>
      <c r="BW281" s="854"/>
      <c r="BX281" s="871">
        <v>0</v>
      </c>
      <c r="BY281" s="872">
        <f ca="1">IF(BJ$299=0,0,BX281/BJ$299*100)</f>
        <v>0</v>
      </c>
      <c r="BZ281" s="871">
        <v>0</v>
      </c>
      <c r="CA281" s="872">
        <f ca="1">IF(BL$299=0,0,BZ281/BL$299*100)</f>
        <v>0</v>
      </c>
      <c r="CB281" s="871">
        <v>0</v>
      </c>
      <c r="CC281" s="872">
        <f ca="1">IF(BN$299=0,0,CB281/BN$299*100)</f>
        <v>0</v>
      </c>
      <c r="CD281" s="871">
        <v>0</v>
      </c>
      <c r="CE281" s="872">
        <f ca="1">IF(BP$299=0,0,CD281/BP$299*100)</f>
        <v>0</v>
      </c>
      <c r="CF281" s="854"/>
      <c r="CG281" s="854" t="s">
        <v>45</v>
      </c>
    </row>
    <row r="282" spans="1:85" ht="15.75" customHeight="1">
      <c r="A282" s="847"/>
      <c r="B282" s="1236"/>
      <c r="C282" s="1236"/>
      <c r="D282" s="1236"/>
      <c r="E282" s="1236"/>
      <c r="F282" s="1236"/>
      <c r="G282" s="1236"/>
      <c r="H282" s="1236"/>
      <c r="I282" s="1236"/>
      <c r="J282" s="1236"/>
      <c r="K282" s="1236"/>
      <c r="L282" s="1126"/>
      <c r="M282" s="848"/>
      <c r="N282" s="849"/>
      <c r="O282" s="850"/>
      <c r="P282" s="850"/>
      <c r="Q282" s="850"/>
      <c r="R282" s="850"/>
      <c r="S282" s="850"/>
      <c r="T282" s="851"/>
      <c r="U282" s="851"/>
      <c r="V282" s="851"/>
      <c r="W282" s="851"/>
      <c r="X282" s="851"/>
      <c r="Y282" s="851"/>
      <c r="Z282" s="851"/>
      <c r="AA282" s="851"/>
      <c r="AB282" s="851"/>
      <c r="AC282" s="851"/>
      <c r="AD282" s="851"/>
      <c r="AE282" s="851"/>
      <c r="AF282" s="851"/>
      <c r="AG282" s="851"/>
      <c r="AH282" s="852"/>
      <c r="AI282" s="852"/>
      <c r="AJ282" s="852"/>
      <c r="AK282" s="852"/>
      <c r="AL282" s="852"/>
      <c r="AM282" s="852"/>
      <c r="AN282" s="852"/>
      <c r="AO282" s="852"/>
      <c r="AP282" s="852"/>
      <c r="AQ282" s="852"/>
      <c r="AR282" s="852"/>
      <c r="AS282" s="852"/>
      <c r="AT282" s="852"/>
      <c r="AU282" s="852"/>
      <c r="AV282" s="852"/>
      <c r="AW282" s="852"/>
      <c r="AX282" s="849"/>
      <c r="AY282" s="847"/>
      <c r="AZ282" s="847"/>
      <c r="BA282" s="847"/>
      <c r="BB282" s="847"/>
      <c r="BC282" s="853"/>
      <c r="BD282" s="854"/>
      <c r="BE282" s="854"/>
      <c r="BF282" s="854"/>
      <c r="BG282" s="870">
        <f>BU281+1</f>
        <v>206</v>
      </c>
      <c r="BH282" s="860" t="s">
        <v>345</v>
      </c>
      <c r="BI282" s="854"/>
      <c r="BJ282" s="871">
        <v>0</v>
      </c>
      <c r="BK282" s="872">
        <f t="shared" ref="BK282:BK284" ca="1" si="82">IF(BJ$299=0,0,BJ282/BJ$299*100)</f>
        <v>0</v>
      </c>
      <c r="BL282" s="871">
        <v>0</v>
      </c>
      <c r="BM282" s="872">
        <f t="shared" ref="BM282:BM284" ca="1" si="83">IF(BL$299=0,0,BL282/BL$299*100)</f>
        <v>0</v>
      </c>
      <c r="BN282" s="871">
        <v>0</v>
      </c>
      <c r="BO282" s="872">
        <f t="shared" ref="BO282:BO284" ca="1" si="84">IF(BN$299=0,0,BN282/BN$299*100)</f>
        <v>0</v>
      </c>
      <c r="BP282" s="871">
        <v>0</v>
      </c>
      <c r="BQ282" s="872">
        <f t="shared" ref="BQ282:BQ284" ca="1" si="85">IF(BP$299=0,0,BP282/BP$299*100)</f>
        <v>0</v>
      </c>
      <c r="BR282" s="854"/>
      <c r="BS282" s="854"/>
      <c r="BT282" s="854"/>
      <c r="BU282" s="854"/>
      <c r="BV282" s="854"/>
      <c r="BW282" s="854"/>
      <c r="BX282" s="854"/>
      <c r="BY282" s="854"/>
      <c r="BZ282" s="854"/>
      <c r="CA282" s="854"/>
      <c r="CB282" s="854"/>
      <c r="CC282" s="854"/>
      <c r="CD282" s="854"/>
      <c r="CE282" s="854"/>
      <c r="CF282" s="854"/>
      <c r="CG282" s="854" t="s">
        <v>45</v>
      </c>
    </row>
    <row r="283" spans="1:85" ht="15.75" customHeight="1">
      <c r="A283" s="847"/>
      <c r="B283" s="1236"/>
      <c r="C283" s="1236"/>
      <c r="D283" s="1236"/>
      <c r="E283" s="1236"/>
      <c r="F283" s="1236"/>
      <c r="G283" s="1236"/>
      <c r="H283" s="1236"/>
      <c r="I283" s="1236"/>
      <c r="J283" s="1236"/>
      <c r="K283" s="1236"/>
      <c r="L283" s="1126"/>
      <c r="M283" s="848"/>
      <c r="N283" s="849"/>
      <c r="O283" s="850"/>
      <c r="P283" s="850"/>
      <c r="Q283" s="850"/>
      <c r="R283" s="850"/>
      <c r="S283" s="850"/>
      <c r="T283" s="851"/>
      <c r="U283" s="851"/>
      <c r="V283" s="851"/>
      <c r="W283" s="851"/>
      <c r="X283" s="851"/>
      <c r="Y283" s="851"/>
      <c r="Z283" s="851"/>
      <c r="AA283" s="851"/>
      <c r="AB283" s="851"/>
      <c r="AC283" s="851"/>
      <c r="AD283" s="851"/>
      <c r="AE283" s="851"/>
      <c r="AF283" s="851"/>
      <c r="AG283" s="851"/>
      <c r="AH283" s="852"/>
      <c r="AI283" s="852"/>
      <c r="AJ283" s="852"/>
      <c r="AK283" s="852"/>
      <c r="AL283" s="852"/>
      <c r="AM283" s="852"/>
      <c r="AN283" s="852"/>
      <c r="AO283" s="852"/>
      <c r="AP283" s="852"/>
      <c r="AQ283" s="852"/>
      <c r="AR283" s="852"/>
      <c r="AS283" s="852"/>
      <c r="AT283" s="852"/>
      <c r="AU283" s="852"/>
      <c r="AV283" s="852"/>
      <c r="AW283" s="852"/>
      <c r="AX283" s="849"/>
      <c r="AY283" s="847"/>
      <c r="AZ283" s="847"/>
      <c r="BA283" s="847"/>
      <c r="BB283" s="847"/>
      <c r="BC283" s="853"/>
      <c r="BD283" s="854"/>
      <c r="BE283" s="854"/>
      <c r="BF283" s="854"/>
      <c r="BG283" s="870">
        <f t="shared" ref="BG283:BG284" si="86">BG282+1</f>
        <v>207</v>
      </c>
      <c r="BH283" s="860" t="s">
        <v>346</v>
      </c>
      <c r="BI283" s="854"/>
      <c r="BJ283" s="871">
        <v>0</v>
      </c>
      <c r="BK283" s="872">
        <f t="shared" ca="1" si="82"/>
        <v>0</v>
      </c>
      <c r="BL283" s="871">
        <v>0</v>
      </c>
      <c r="BM283" s="872">
        <f t="shared" ca="1" si="83"/>
        <v>0</v>
      </c>
      <c r="BN283" s="871">
        <v>0</v>
      </c>
      <c r="BO283" s="872">
        <f t="shared" ca="1" si="84"/>
        <v>0</v>
      </c>
      <c r="BP283" s="871">
        <v>0</v>
      </c>
      <c r="BQ283" s="872">
        <f t="shared" ca="1" si="85"/>
        <v>0</v>
      </c>
      <c r="BR283" s="854"/>
      <c r="BS283" s="854"/>
      <c r="BT283" s="854"/>
      <c r="BU283" s="854"/>
      <c r="BV283" s="854"/>
      <c r="BW283" s="854"/>
      <c r="BX283" s="854"/>
      <c r="BY283" s="854"/>
      <c r="BZ283" s="854"/>
      <c r="CA283" s="854"/>
      <c r="CB283" s="854"/>
      <c r="CC283" s="854"/>
      <c r="CD283" s="854"/>
      <c r="CE283" s="854"/>
      <c r="CF283" s="854"/>
      <c r="CG283" s="854" t="s">
        <v>45</v>
      </c>
    </row>
    <row r="284" spans="1:85" ht="15.75" customHeight="1">
      <c r="A284" s="847"/>
      <c r="B284" s="1236"/>
      <c r="C284" s="1236"/>
      <c r="D284" s="1236"/>
      <c r="E284" s="1236"/>
      <c r="F284" s="1236"/>
      <c r="G284" s="1236"/>
      <c r="H284" s="1236"/>
      <c r="I284" s="1236"/>
      <c r="J284" s="1236"/>
      <c r="K284" s="1236"/>
      <c r="L284" s="1126"/>
      <c r="M284" s="848"/>
      <c r="N284" s="849"/>
      <c r="O284" s="850"/>
      <c r="P284" s="850"/>
      <c r="Q284" s="850"/>
      <c r="R284" s="850"/>
      <c r="S284" s="850"/>
      <c r="T284" s="851"/>
      <c r="U284" s="851"/>
      <c r="V284" s="851"/>
      <c r="W284" s="851"/>
      <c r="X284" s="851"/>
      <c r="Y284" s="851"/>
      <c r="Z284" s="851"/>
      <c r="AA284" s="851"/>
      <c r="AB284" s="851"/>
      <c r="AC284" s="851"/>
      <c r="AD284" s="851"/>
      <c r="AE284" s="851"/>
      <c r="AF284" s="851"/>
      <c r="AG284" s="851"/>
      <c r="AH284" s="852"/>
      <c r="AI284" s="852"/>
      <c r="AJ284" s="852"/>
      <c r="AK284" s="852"/>
      <c r="AL284" s="852"/>
      <c r="AM284" s="852"/>
      <c r="AN284" s="852"/>
      <c r="AO284" s="852"/>
      <c r="AP284" s="852"/>
      <c r="AQ284" s="852"/>
      <c r="AR284" s="852"/>
      <c r="AS284" s="852"/>
      <c r="AT284" s="852"/>
      <c r="AU284" s="852"/>
      <c r="AV284" s="852"/>
      <c r="AW284" s="852"/>
      <c r="AX284" s="849"/>
      <c r="AY284" s="847"/>
      <c r="AZ284" s="847"/>
      <c r="BA284" s="847"/>
      <c r="BB284" s="847"/>
      <c r="BC284" s="853"/>
      <c r="BD284" s="854"/>
      <c r="BE284" s="854"/>
      <c r="BF284" s="854"/>
      <c r="BG284" s="870">
        <f t="shared" si="86"/>
        <v>208</v>
      </c>
      <c r="BH284" s="860" t="s">
        <v>347</v>
      </c>
      <c r="BI284" s="854"/>
      <c r="BJ284" s="871">
        <v>0</v>
      </c>
      <c r="BK284" s="872">
        <f t="shared" ca="1" si="82"/>
        <v>0</v>
      </c>
      <c r="BL284" s="871">
        <v>0</v>
      </c>
      <c r="BM284" s="872">
        <f t="shared" ca="1" si="83"/>
        <v>0</v>
      </c>
      <c r="BN284" s="871">
        <v>0</v>
      </c>
      <c r="BO284" s="872">
        <f t="shared" ca="1" si="84"/>
        <v>0</v>
      </c>
      <c r="BP284" s="871">
        <v>0</v>
      </c>
      <c r="BQ284" s="872">
        <f t="shared" ca="1" si="85"/>
        <v>0</v>
      </c>
      <c r="BR284" s="854"/>
      <c r="BS284" s="854"/>
      <c r="BT284" s="854"/>
      <c r="BU284" s="854"/>
      <c r="BV284" s="854"/>
      <c r="BW284" s="854"/>
      <c r="BX284" s="854"/>
      <c r="BY284" s="854"/>
      <c r="BZ284" s="854"/>
      <c r="CA284" s="854"/>
      <c r="CB284" s="854"/>
      <c r="CC284" s="854"/>
      <c r="CD284" s="854"/>
      <c r="CE284" s="854"/>
      <c r="CF284" s="854"/>
      <c r="CG284" s="854" t="s">
        <v>45</v>
      </c>
    </row>
    <row r="285" spans="1:85" ht="15.75" customHeight="1">
      <c r="A285" s="847"/>
      <c r="B285" s="1236"/>
      <c r="C285" s="1236"/>
      <c r="D285" s="1236"/>
      <c r="E285" s="1236"/>
      <c r="F285" s="1236"/>
      <c r="G285" s="1236"/>
      <c r="H285" s="1236"/>
      <c r="I285" s="1236"/>
      <c r="J285" s="1236"/>
      <c r="K285" s="1236"/>
      <c r="L285" s="1126"/>
      <c r="M285" s="848"/>
      <c r="N285" s="849"/>
      <c r="O285" s="850"/>
      <c r="P285" s="850"/>
      <c r="Q285" s="850"/>
      <c r="R285" s="850"/>
      <c r="S285" s="850"/>
      <c r="T285" s="851"/>
      <c r="U285" s="851"/>
      <c r="V285" s="851"/>
      <c r="W285" s="851"/>
      <c r="X285" s="851"/>
      <c r="Y285" s="851"/>
      <c r="Z285" s="851"/>
      <c r="AA285" s="851"/>
      <c r="AB285" s="851"/>
      <c r="AC285" s="851"/>
      <c r="AD285" s="851"/>
      <c r="AE285" s="851"/>
      <c r="AF285" s="851"/>
      <c r="AG285" s="851"/>
      <c r="AH285" s="852"/>
      <c r="AI285" s="852"/>
      <c r="AJ285" s="852"/>
      <c r="AK285" s="852"/>
      <c r="AL285" s="852"/>
      <c r="AM285" s="852"/>
      <c r="AN285" s="852"/>
      <c r="AO285" s="852"/>
      <c r="AP285" s="852"/>
      <c r="AQ285" s="852"/>
      <c r="AR285" s="852"/>
      <c r="AS285" s="852"/>
      <c r="AT285" s="852"/>
      <c r="AU285" s="852"/>
      <c r="AV285" s="852"/>
      <c r="AW285" s="852"/>
      <c r="AX285" s="849"/>
      <c r="AY285" s="847"/>
      <c r="AZ285" s="847"/>
      <c r="BA285" s="847"/>
      <c r="BB285" s="847"/>
      <c r="BC285" s="853"/>
      <c r="BD285" s="854"/>
      <c r="BE285" s="854"/>
      <c r="BF285" s="854"/>
      <c r="BG285" s="854"/>
      <c r="BH285" s="854"/>
      <c r="BI285" s="854"/>
      <c r="BJ285" s="854"/>
      <c r="BK285" s="854"/>
      <c r="BL285" s="854"/>
      <c r="BM285" s="854"/>
      <c r="BN285" s="854"/>
      <c r="BO285" s="854"/>
      <c r="BP285" s="854"/>
      <c r="BQ285" s="854"/>
      <c r="BR285" s="854"/>
      <c r="BS285" s="854"/>
      <c r="BT285" s="854"/>
      <c r="BU285" s="870">
        <f>BG284+1</f>
        <v>209</v>
      </c>
      <c r="BV285" s="860" t="s">
        <v>348</v>
      </c>
      <c r="BW285" s="854"/>
      <c r="BX285" s="871">
        <v>0</v>
      </c>
      <c r="BY285" s="872">
        <f t="shared" ref="BY285:BY286" ca="1" si="87">IF(BJ$299=0,0,BX285/BJ$299*100)</f>
        <v>0</v>
      </c>
      <c r="BZ285" s="871">
        <v>0</v>
      </c>
      <c r="CA285" s="872">
        <f ca="1">IF(BL$299=0,0,BZ214/BL$299*100)</f>
        <v>0</v>
      </c>
      <c r="CB285" s="871">
        <v>0</v>
      </c>
      <c r="CC285" s="872">
        <f ca="1">IF(BN$299=0,0,CB214/BN$299*100)</f>
        <v>0</v>
      </c>
      <c r="CD285" s="871">
        <v>0</v>
      </c>
      <c r="CE285" s="872">
        <f ca="1">IF(BP$299=0,0,CD214/BP$299*100)</f>
        <v>0</v>
      </c>
      <c r="CF285" s="854"/>
      <c r="CG285" s="854" t="s">
        <v>45</v>
      </c>
    </row>
    <row r="286" spans="1:85" ht="15.75" customHeight="1">
      <c r="A286" s="847"/>
      <c r="B286" s="1236"/>
      <c r="C286" s="1236"/>
      <c r="D286" s="1236"/>
      <c r="E286" s="1236"/>
      <c r="F286" s="1236"/>
      <c r="G286" s="1236"/>
      <c r="H286" s="1236"/>
      <c r="I286" s="1236"/>
      <c r="J286" s="1236"/>
      <c r="K286" s="1236"/>
      <c r="L286" s="1126"/>
      <c r="M286" s="848"/>
      <c r="N286" s="849"/>
      <c r="O286" s="850"/>
      <c r="P286" s="850"/>
      <c r="Q286" s="850"/>
      <c r="R286" s="850"/>
      <c r="S286" s="850"/>
      <c r="T286" s="851"/>
      <c r="U286" s="851"/>
      <c r="V286" s="851"/>
      <c r="W286" s="851"/>
      <c r="X286" s="851"/>
      <c r="Y286" s="851"/>
      <c r="Z286" s="851"/>
      <c r="AA286" s="851"/>
      <c r="AB286" s="851"/>
      <c r="AC286" s="851"/>
      <c r="AD286" s="851"/>
      <c r="AE286" s="851"/>
      <c r="AF286" s="851"/>
      <c r="AG286" s="851"/>
      <c r="AH286" s="852"/>
      <c r="AI286" s="852"/>
      <c r="AJ286" s="852"/>
      <c r="AK286" s="852"/>
      <c r="AL286" s="852"/>
      <c r="AM286" s="852"/>
      <c r="AN286" s="852"/>
      <c r="AO286" s="852"/>
      <c r="AP286" s="852"/>
      <c r="AQ286" s="852"/>
      <c r="AR286" s="852"/>
      <c r="AS286" s="852"/>
      <c r="AT286" s="852"/>
      <c r="AU286" s="852"/>
      <c r="AV286" s="852"/>
      <c r="AW286" s="852"/>
      <c r="AX286" s="849"/>
      <c r="AY286" s="847"/>
      <c r="AZ286" s="847"/>
      <c r="BA286" s="847"/>
      <c r="BB286" s="847"/>
      <c r="BC286" s="853"/>
      <c r="BD286" s="854"/>
      <c r="BE286" s="854"/>
      <c r="BF286" s="854"/>
      <c r="BG286" s="854"/>
      <c r="BH286" s="854"/>
      <c r="BI286" s="854"/>
      <c r="BJ286" s="854"/>
      <c r="BK286" s="854"/>
      <c r="BL286" s="854"/>
      <c r="BM286" s="854"/>
      <c r="BN286" s="854"/>
      <c r="BO286" s="854"/>
      <c r="BP286" s="854"/>
      <c r="BQ286" s="854"/>
      <c r="BR286" s="854"/>
      <c r="BS286" s="854"/>
      <c r="BT286" s="854"/>
      <c r="BU286" s="870">
        <f>BU285+1</f>
        <v>210</v>
      </c>
      <c r="BV286" s="860" t="s">
        <v>349</v>
      </c>
      <c r="BW286" s="854"/>
      <c r="BX286" s="871">
        <v>0</v>
      </c>
      <c r="BY286" s="872">
        <f t="shared" ca="1" si="87"/>
        <v>0</v>
      </c>
      <c r="BZ286" s="871">
        <v>0</v>
      </c>
      <c r="CA286" s="872">
        <f ca="1">IF(BL$299=0,0,BZ286/BL$299*100)</f>
        <v>0</v>
      </c>
      <c r="CB286" s="871">
        <v>0</v>
      </c>
      <c r="CC286" s="872">
        <f ca="1">IF(BN$299=0,0,CB286/BN$299*100)</f>
        <v>0</v>
      </c>
      <c r="CD286" s="871">
        <v>0</v>
      </c>
      <c r="CE286" s="872">
        <f ca="1">IF(BP$299=0,0,CD286/BP$299*100)</f>
        <v>0</v>
      </c>
      <c r="CF286" s="854"/>
      <c r="CG286" s="854" t="s">
        <v>45</v>
      </c>
    </row>
    <row r="287" spans="1:85" ht="15.75" customHeight="1">
      <c r="A287" s="847"/>
      <c r="B287" s="1236"/>
      <c r="C287" s="1236"/>
      <c r="D287" s="1236"/>
      <c r="E287" s="1236"/>
      <c r="F287" s="1236"/>
      <c r="G287" s="1236"/>
      <c r="H287" s="1236"/>
      <c r="I287" s="1236"/>
      <c r="J287" s="1236"/>
      <c r="K287" s="1236"/>
      <c r="L287" s="1126"/>
      <c r="M287" s="848"/>
      <c r="N287" s="849"/>
      <c r="O287" s="850"/>
      <c r="P287" s="850"/>
      <c r="Q287" s="850"/>
      <c r="R287" s="850"/>
      <c r="S287" s="850"/>
      <c r="T287" s="851"/>
      <c r="U287" s="851"/>
      <c r="V287" s="851"/>
      <c r="W287" s="851"/>
      <c r="X287" s="851"/>
      <c r="Y287" s="851"/>
      <c r="Z287" s="851"/>
      <c r="AA287" s="851"/>
      <c r="AB287" s="851"/>
      <c r="AC287" s="851"/>
      <c r="AD287" s="851"/>
      <c r="AE287" s="851"/>
      <c r="AF287" s="851"/>
      <c r="AG287" s="851"/>
      <c r="AH287" s="852"/>
      <c r="AI287" s="852"/>
      <c r="AJ287" s="852"/>
      <c r="AK287" s="852"/>
      <c r="AL287" s="852"/>
      <c r="AM287" s="852"/>
      <c r="AN287" s="852"/>
      <c r="AO287" s="852"/>
      <c r="AP287" s="852"/>
      <c r="AQ287" s="852"/>
      <c r="AR287" s="852"/>
      <c r="AS287" s="852"/>
      <c r="AT287" s="852"/>
      <c r="AU287" s="852"/>
      <c r="AV287" s="852"/>
      <c r="AW287" s="852"/>
      <c r="AX287" s="849"/>
      <c r="AY287" s="847"/>
      <c r="AZ287" s="847"/>
      <c r="BA287" s="847"/>
      <c r="BB287" s="847"/>
      <c r="BC287" s="853"/>
      <c r="BD287" s="854"/>
      <c r="BE287" s="854"/>
      <c r="BF287" s="854"/>
      <c r="BG287" s="870">
        <f>BU286+1</f>
        <v>211</v>
      </c>
      <c r="BH287" s="860" t="s">
        <v>350</v>
      </c>
      <c r="BI287" s="854"/>
      <c r="BJ287" s="904"/>
      <c r="BK287" s="872">
        <f ca="1">IF(BJ$299=0,0,BJ287/BJ$299*100)</f>
        <v>0</v>
      </c>
      <c r="BL287" s="904"/>
      <c r="BM287" s="872">
        <f ca="1">IF(BL$299=0,0,BL287/BL$299*100)</f>
        <v>0</v>
      </c>
      <c r="BN287" s="904"/>
      <c r="BO287" s="872">
        <f ca="1">IF(BN$299=0,0,BN287/BN$299*100)</f>
        <v>0</v>
      </c>
      <c r="BP287" s="904"/>
      <c r="BQ287" s="872">
        <f ca="1">IF(BP$299=0,0,BP287/BP$299*100)</f>
        <v>0</v>
      </c>
      <c r="BR287" s="854"/>
      <c r="BS287" s="854"/>
      <c r="BT287" s="854"/>
      <c r="BU287" s="854"/>
      <c r="BV287" s="854"/>
      <c r="BW287" s="854"/>
      <c r="BX287" s="854"/>
      <c r="BY287" s="854"/>
      <c r="BZ287" s="854"/>
      <c r="CA287" s="854"/>
      <c r="CB287" s="854"/>
      <c r="CC287" s="854"/>
      <c r="CD287" s="854"/>
      <c r="CE287" s="854"/>
      <c r="CF287" s="854"/>
      <c r="CG287" s="854" t="s">
        <v>45</v>
      </c>
    </row>
    <row r="288" spans="1:85" ht="15.75" customHeight="1">
      <c r="A288" s="847"/>
      <c r="B288" s="1126"/>
      <c r="C288" s="1126"/>
      <c r="D288" s="1126"/>
      <c r="E288" s="1126"/>
      <c r="F288" s="1126"/>
      <c r="G288" s="1126"/>
      <c r="H288" s="1126"/>
      <c r="I288" s="1126"/>
      <c r="J288" s="1126"/>
      <c r="K288" s="1126"/>
      <c r="L288" s="1126"/>
      <c r="M288" s="848"/>
      <c r="N288" s="849"/>
      <c r="O288" s="850"/>
      <c r="P288" s="850"/>
      <c r="Q288" s="850"/>
      <c r="R288" s="850"/>
      <c r="S288" s="850"/>
      <c r="T288" s="851"/>
      <c r="U288" s="851"/>
      <c r="V288" s="851"/>
      <c r="W288" s="851"/>
      <c r="X288" s="851"/>
      <c r="Y288" s="851"/>
      <c r="Z288" s="851"/>
      <c r="AA288" s="851"/>
      <c r="AB288" s="851"/>
      <c r="AC288" s="851"/>
      <c r="AD288" s="851"/>
      <c r="AE288" s="851"/>
      <c r="AF288" s="851"/>
      <c r="AG288" s="851"/>
      <c r="AH288" s="852"/>
      <c r="AI288" s="852"/>
      <c r="AJ288" s="852"/>
      <c r="AK288" s="852"/>
      <c r="AL288" s="852"/>
      <c r="AM288" s="852"/>
      <c r="AN288" s="852"/>
      <c r="AO288" s="852"/>
      <c r="AP288" s="852"/>
      <c r="AQ288" s="852"/>
      <c r="AR288" s="852"/>
      <c r="AS288" s="852"/>
      <c r="AT288" s="852"/>
      <c r="AU288" s="852"/>
      <c r="AV288" s="852"/>
      <c r="AW288" s="852"/>
      <c r="AX288" s="849"/>
      <c r="AY288" s="847"/>
      <c r="AZ288" s="847"/>
      <c r="BA288" s="847"/>
      <c r="BB288" s="847"/>
      <c r="BC288" s="853"/>
      <c r="BD288" s="854"/>
      <c r="BE288" s="854"/>
      <c r="BF288" s="854"/>
      <c r="BG288" s="854">
        <v>212</v>
      </c>
      <c r="BH288" s="851" t="s">
        <v>351</v>
      </c>
      <c r="BI288" s="854"/>
      <c r="BJ288" s="874">
        <v>0</v>
      </c>
      <c r="BK288" s="854"/>
      <c r="BL288" s="874">
        <v>0</v>
      </c>
      <c r="BM288" s="854"/>
      <c r="BN288" s="874">
        <v>0</v>
      </c>
      <c r="BO288" s="854"/>
      <c r="BP288" s="874">
        <v>0</v>
      </c>
      <c r="BQ288" s="854"/>
      <c r="BR288" s="854"/>
      <c r="BS288" s="854"/>
      <c r="BT288" s="854"/>
      <c r="BU288" s="870">
        <f>BG287+1</f>
        <v>212</v>
      </c>
      <c r="BV288" s="860" t="s">
        <v>351</v>
      </c>
      <c r="BW288" s="854"/>
      <c r="BX288" s="871">
        <v>0</v>
      </c>
      <c r="BY288" s="872">
        <f ca="1">IF(BJ$299=0,0,BX288/BJ$299*100)</f>
        <v>0</v>
      </c>
      <c r="BZ288" s="871">
        <v>0</v>
      </c>
      <c r="CA288" s="872">
        <f ca="1">IF(BL$299=0,0,BZ288/BL$299*100)</f>
        <v>0</v>
      </c>
      <c r="CB288" s="871">
        <v>0</v>
      </c>
      <c r="CC288" s="872">
        <f ca="1">IF(BN$299=0,0,CB288/BN$299*100)</f>
        <v>0</v>
      </c>
      <c r="CD288" s="871">
        <v>0</v>
      </c>
      <c r="CE288" s="872">
        <f ca="1">IF(BP$299=0,0,CD288/BP$299*100)</f>
        <v>0</v>
      </c>
      <c r="CF288" s="854"/>
      <c r="CG288" s="854" t="s">
        <v>45</v>
      </c>
    </row>
    <row r="289" spans="1:85" ht="15.75" customHeight="1">
      <c r="A289" s="847"/>
      <c r="B289" s="1126"/>
      <c r="C289" s="1126"/>
      <c r="D289" s="1126"/>
      <c r="E289" s="1126"/>
      <c r="F289" s="1126"/>
      <c r="G289" s="1126"/>
      <c r="H289" s="1126"/>
      <c r="I289" s="1126"/>
      <c r="J289" s="1126"/>
      <c r="K289" s="1126"/>
      <c r="L289" s="1126"/>
      <c r="M289" s="848"/>
      <c r="N289" s="849"/>
      <c r="O289" s="850"/>
      <c r="P289" s="850"/>
      <c r="Q289" s="850"/>
      <c r="R289" s="850"/>
      <c r="S289" s="850"/>
      <c r="T289" s="851"/>
      <c r="U289" s="851"/>
      <c r="V289" s="851"/>
      <c r="W289" s="851"/>
      <c r="X289" s="851"/>
      <c r="Y289" s="851"/>
      <c r="Z289" s="851"/>
      <c r="AA289" s="851"/>
      <c r="AB289" s="851"/>
      <c r="AC289" s="851"/>
      <c r="AD289" s="851"/>
      <c r="AE289" s="851"/>
      <c r="AF289" s="851"/>
      <c r="AG289" s="851"/>
      <c r="AH289" s="852"/>
      <c r="AI289" s="852"/>
      <c r="AJ289" s="852"/>
      <c r="AK289" s="852"/>
      <c r="AL289" s="852"/>
      <c r="AM289" s="852"/>
      <c r="AN289" s="852"/>
      <c r="AO289" s="852"/>
      <c r="AP289" s="852"/>
      <c r="AQ289" s="852"/>
      <c r="AR289" s="852"/>
      <c r="AS289" s="852"/>
      <c r="AT289" s="852"/>
      <c r="AU289" s="852"/>
      <c r="AV289" s="852"/>
      <c r="AW289" s="852"/>
      <c r="AX289" s="849"/>
      <c r="AY289" s="847"/>
      <c r="AZ289" s="847"/>
      <c r="BA289" s="847"/>
      <c r="BB289" s="847"/>
      <c r="BC289" s="853"/>
      <c r="BD289" s="854"/>
      <c r="BE289" s="854"/>
      <c r="BF289" s="854"/>
      <c r="BG289" s="870">
        <f>BU288+1</f>
        <v>213</v>
      </c>
      <c r="BH289" s="860" t="s">
        <v>45</v>
      </c>
      <c r="BI289" s="854"/>
      <c r="BJ289" s="871">
        <v>0</v>
      </c>
      <c r="BK289" s="872">
        <f t="shared" ref="BK289:BK294" ca="1" si="88">IF(BJ$299=0,0,BJ289/BJ$299*100)</f>
        <v>0</v>
      </c>
      <c r="BL289" s="871">
        <v>0</v>
      </c>
      <c r="BM289" s="872">
        <f t="shared" ref="BM289:BM294" ca="1" si="89">IF(BL$299=0,0,BL289/BL$299*100)</f>
        <v>0</v>
      </c>
      <c r="BN289" s="871">
        <v>0</v>
      </c>
      <c r="BO289" s="872">
        <f t="shared" ref="BO289:BO294" ca="1" si="90">IF(BN$299=0,0,BN289/BN$299*100)</f>
        <v>0</v>
      </c>
      <c r="BP289" s="871">
        <v>0</v>
      </c>
      <c r="BQ289" s="872">
        <f t="shared" ref="BQ289:BQ294" ca="1" si="91">IF(BP$299=0,0,BP289/BP$299*100)</f>
        <v>0</v>
      </c>
      <c r="BR289" s="854"/>
      <c r="BS289" s="854"/>
      <c r="BT289" s="854"/>
      <c r="BU289" s="854"/>
      <c r="BV289" s="854"/>
      <c r="BW289" s="854"/>
      <c r="BX289" s="854"/>
      <c r="BY289" s="854"/>
      <c r="BZ289" s="854"/>
      <c r="CA289" s="854"/>
      <c r="CB289" s="854"/>
      <c r="CC289" s="854"/>
      <c r="CD289" s="854"/>
      <c r="CE289" s="854"/>
      <c r="CF289" s="854"/>
      <c r="CG289" s="854" t="s">
        <v>45</v>
      </c>
    </row>
    <row r="290" spans="1:85" ht="15.75" customHeight="1">
      <c r="A290" s="847"/>
      <c r="B290" s="1126"/>
      <c r="C290" s="1126"/>
      <c r="D290" s="1126"/>
      <c r="E290" s="1126"/>
      <c r="F290" s="1126"/>
      <c r="G290" s="1126"/>
      <c r="H290" s="1126"/>
      <c r="I290" s="1126"/>
      <c r="J290" s="1126"/>
      <c r="K290" s="1126"/>
      <c r="L290" s="1126"/>
      <c r="M290" s="848"/>
      <c r="N290" s="849"/>
      <c r="O290" s="850"/>
      <c r="P290" s="850"/>
      <c r="Q290" s="850"/>
      <c r="R290" s="850"/>
      <c r="S290" s="850"/>
      <c r="T290" s="851"/>
      <c r="U290" s="851"/>
      <c r="V290" s="851"/>
      <c r="W290" s="851"/>
      <c r="X290" s="851"/>
      <c r="Y290" s="851"/>
      <c r="Z290" s="851"/>
      <c r="AA290" s="851"/>
      <c r="AB290" s="851"/>
      <c r="AC290" s="851"/>
      <c r="AD290" s="851"/>
      <c r="AE290" s="851"/>
      <c r="AF290" s="851"/>
      <c r="AG290" s="851"/>
      <c r="AH290" s="852"/>
      <c r="AI290" s="852"/>
      <c r="AJ290" s="852"/>
      <c r="AK290" s="852"/>
      <c r="AL290" s="852"/>
      <c r="AM290" s="852"/>
      <c r="AN290" s="852"/>
      <c r="AO290" s="852"/>
      <c r="AP290" s="852"/>
      <c r="AQ290" s="852"/>
      <c r="AR290" s="852"/>
      <c r="AS290" s="852"/>
      <c r="AT290" s="852"/>
      <c r="AU290" s="852"/>
      <c r="AV290" s="852"/>
      <c r="AW290" s="852"/>
      <c r="AX290" s="849"/>
      <c r="AY290" s="847"/>
      <c r="AZ290" s="847"/>
      <c r="BA290" s="847"/>
      <c r="BB290" s="847"/>
      <c r="BC290" s="853"/>
      <c r="BD290" s="854"/>
      <c r="BE290" s="854"/>
      <c r="BF290" s="854"/>
      <c r="BG290" s="870">
        <f t="shared" ref="BG290:BG294" si="92">BG289+1</f>
        <v>214</v>
      </c>
      <c r="BH290" s="860" t="s">
        <v>45</v>
      </c>
      <c r="BI290" s="854"/>
      <c r="BJ290" s="871">
        <v>0</v>
      </c>
      <c r="BK290" s="872">
        <f t="shared" ca="1" si="88"/>
        <v>0</v>
      </c>
      <c r="BL290" s="871">
        <v>0</v>
      </c>
      <c r="BM290" s="872">
        <f t="shared" ca="1" si="89"/>
        <v>0</v>
      </c>
      <c r="BN290" s="871">
        <v>0</v>
      </c>
      <c r="BO290" s="872">
        <f t="shared" ca="1" si="90"/>
        <v>0</v>
      </c>
      <c r="BP290" s="871">
        <v>0</v>
      </c>
      <c r="BQ290" s="872">
        <f t="shared" ca="1" si="91"/>
        <v>0</v>
      </c>
      <c r="BR290" s="854"/>
      <c r="BS290" s="854"/>
      <c r="BT290" s="854"/>
      <c r="BU290" s="854"/>
      <c r="BV290" s="854"/>
      <c r="BW290" s="854"/>
      <c r="BX290" s="854"/>
      <c r="BY290" s="854"/>
      <c r="BZ290" s="854"/>
      <c r="CA290" s="854"/>
      <c r="CB290" s="854"/>
      <c r="CC290" s="854"/>
      <c r="CD290" s="854"/>
      <c r="CE290" s="854"/>
      <c r="CF290" s="854"/>
      <c r="CG290" s="854" t="s">
        <v>45</v>
      </c>
    </row>
    <row r="291" spans="1:85" ht="15.75" customHeight="1">
      <c r="A291" s="847"/>
      <c r="B291" s="1126"/>
      <c r="C291" s="1126"/>
      <c r="D291" s="1126"/>
      <c r="E291" s="1126"/>
      <c r="F291" s="1126"/>
      <c r="G291" s="1126"/>
      <c r="H291" s="1126"/>
      <c r="I291" s="1126"/>
      <c r="J291" s="1126"/>
      <c r="K291" s="1126"/>
      <c r="L291" s="1126"/>
      <c r="M291" s="848"/>
      <c r="N291" s="849"/>
      <c r="O291" s="850"/>
      <c r="P291" s="850"/>
      <c r="Q291" s="850"/>
      <c r="R291" s="850"/>
      <c r="S291" s="850"/>
      <c r="T291" s="851"/>
      <c r="U291" s="851"/>
      <c r="V291" s="851"/>
      <c r="W291" s="851"/>
      <c r="X291" s="851"/>
      <c r="Y291" s="851"/>
      <c r="Z291" s="851"/>
      <c r="AA291" s="851"/>
      <c r="AB291" s="851"/>
      <c r="AC291" s="851"/>
      <c r="AD291" s="851"/>
      <c r="AE291" s="851"/>
      <c r="AF291" s="851"/>
      <c r="AG291" s="851"/>
      <c r="AH291" s="852"/>
      <c r="AI291" s="852"/>
      <c r="AJ291" s="852"/>
      <c r="AK291" s="852"/>
      <c r="AL291" s="852"/>
      <c r="AM291" s="852"/>
      <c r="AN291" s="852"/>
      <c r="AO291" s="852"/>
      <c r="AP291" s="852"/>
      <c r="AQ291" s="852"/>
      <c r="AR291" s="852"/>
      <c r="AS291" s="852"/>
      <c r="AT291" s="852"/>
      <c r="AU291" s="852"/>
      <c r="AV291" s="852"/>
      <c r="AW291" s="852"/>
      <c r="AX291" s="849"/>
      <c r="AY291" s="847"/>
      <c r="AZ291" s="847"/>
      <c r="BA291" s="847"/>
      <c r="BB291" s="847"/>
      <c r="BC291" s="853"/>
      <c r="BD291" s="854"/>
      <c r="BE291" s="854"/>
      <c r="BF291" s="854"/>
      <c r="BG291" s="870">
        <f t="shared" si="92"/>
        <v>215</v>
      </c>
      <c r="BH291" s="860" t="s">
        <v>45</v>
      </c>
      <c r="BI291" s="854"/>
      <c r="BJ291" s="871">
        <v>0</v>
      </c>
      <c r="BK291" s="872">
        <f t="shared" ca="1" si="88"/>
        <v>0</v>
      </c>
      <c r="BL291" s="871">
        <v>0</v>
      </c>
      <c r="BM291" s="872">
        <f t="shared" ca="1" si="89"/>
        <v>0</v>
      </c>
      <c r="BN291" s="871">
        <v>0</v>
      </c>
      <c r="BO291" s="872">
        <f t="shared" ca="1" si="90"/>
        <v>0</v>
      </c>
      <c r="BP291" s="871">
        <v>0</v>
      </c>
      <c r="BQ291" s="872">
        <f t="shared" ca="1" si="91"/>
        <v>0</v>
      </c>
      <c r="BR291" s="854"/>
      <c r="BS291" s="854"/>
      <c r="BT291" s="854"/>
      <c r="BU291" s="854"/>
      <c r="BV291" s="854"/>
      <c r="BW291" s="854"/>
      <c r="BX291" s="854"/>
      <c r="BY291" s="854"/>
      <c r="BZ291" s="854"/>
      <c r="CA291" s="854"/>
      <c r="CB291" s="854"/>
      <c r="CC291" s="854"/>
      <c r="CD291" s="854"/>
      <c r="CE291" s="854"/>
      <c r="CF291" s="854"/>
      <c r="CG291" s="854" t="s">
        <v>45</v>
      </c>
    </row>
    <row r="292" spans="1:85" ht="15.75" customHeight="1">
      <c r="A292" s="847"/>
      <c r="B292" s="1126"/>
      <c r="C292" s="1126"/>
      <c r="D292" s="1126"/>
      <c r="E292" s="1126"/>
      <c r="F292" s="1126"/>
      <c r="G292" s="1126"/>
      <c r="H292" s="1126"/>
      <c r="I292" s="1126"/>
      <c r="J292" s="1126"/>
      <c r="K292" s="1126"/>
      <c r="L292" s="1126"/>
      <c r="M292" s="848"/>
      <c r="N292" s="849"/>
      <c r="O292" s="850"/>
      <c r="P292" s="850"/>
      <c r="Q292" s="850"/>
      <c r="R292" s="850"/>
      <c r="S292" s="850"/>
      <c r="T292" s="851"/>
      <c r="U292" s="851"/>
      <c r="V292" s="851"/>
      <c r="W292" s="851"/>
      <c r="X292" s="851"/>
      <c r="Y292" s="851"/>
      <c r="Z292" s="851"/>
      <c r="AA292" s="851"/>
      <c r="AB292" s="851"/>
      <c r="AC292" s="851"/>
      <c r="AD292" s="851"/>
      <c r="AE292" s="851"/>
      <c r="AF292" s="851"/>
      <c r="AG292" s="851"/>
      <c r="AH292" s="852"/>
      <c r="AI292" s="852"/>
      <c r="AJ292" s="852"/>
      <c r="AK292" s="852"/>
      <c r="AL292" s="852"/>
      <c r="AM292" s="852"/>
      <c r="AN292" s="852"/>
      <c r="AO292" s="852"/>
      <c r="AP292" s="852"/>
      <c r="AQ292" s="852"/>
      <c r="AR292" s="852"/>
      <c r="AS292" s="852"/>
      <c r="AT292" s="852"/>
      <c r="AU292" s="852"/>
      <c r="AV292" s="852"/>
      <c r="AW292" s="852"/>
      <c r="AX292" s="849"/>
      <c r="AY292" s="847"/>
      <c r="AZ292" s="847"/>
      <c r="BA292" s="847"/>
      <c r="BB292" s="847"/>
      <c r="BC292" s="853"/>
      <c r="BD292" s="854"/>
      <c r="BE292" s="854"/>
      <c r="BF292" s="854"/>
      <c r="BG292" s="870">
        <f t="shared" si="92"/>
        <v>216</v>
      </c>
      <c r="BH292" s="860" t="s">
        <v>45</v>
      </c>
      <c r="BI292" s="854"/>
      <c r="BJ292" s="871">
        <v>0</v>
      </c>
      <c r="BK292" s="872">
        <f t="shared" ca="1" si="88"/>
        <v>0</v>
      </c>
      <c r="BL292" s="871">
        <v>0</v>
      </c>
      <c r="BM292" s="872">
        <f t="shared" ca="1" si="89"/>
        <v>0</v>
      </c>
      <c r="BN292" s="871">
        <v>0</v>
      </c>
      <c r="BO292" s="872">
        <f t="shared" ca="1" si="90"/>
        <v>0</v>
      </c>
      <c r="BP292" s="871">
        <v>0</v>
      </c>
      <c r="BQ292" s="872">
        <f t="shared" ca="1" si="91"/>
        <v>0</v>
      </c>
      <c r="BR292" s="854"/>
      <c r="BS292" s="854"/>
      <c r="BT292" s="854"/>
      <c r="BU292" s="854"/>
      <c r="BV292" s="854"/>
      <c r="BW292" s="854"/>
      <c r="BX292" s="854"/>
      <c r="BY292" s="854"/>
      <c r="BZ292" s="854"/>
      <c r="CA292" s="854"/>
      <c r="CB292" s="854"/>
      <c r="CC292" s="854"/>
      <c r="CD292" s="854"/>
      <c r="CE292" s="854"/>
      <c r="CF292" s="854"/>
      <c r="CG292" s="854" t="s">
        <v>45</v>
      </c>
    </row>
    <row r="293" spans="1:85" ht="15.75" customHeight="1">
      <c r="A293" s="847"/>
      <c r="B293" s="1126"/>
      <c r="C293" s="1126"/>
      <c r="D293" s="1126"/>
      <c r="E293" s="1126"/>
      <c r="F293" s="1126"/>
      <c r="G293" s="1126"/>
      <c r="H293" s="1126"/>
      <c r="I293" s="1126"/>
      <c r="J293" s="1126"/>
      <c r="K293" s="1126"/>
      <c r="L293" s="1126"/>
      <c r="M293" s="848"/>
      <c r="N293" s="849"/>
      <c r="O293" s="850"/>
      <c r="P293" s="850"/>
      <c r="Q293" s="850"/>
      <c r="R293" s="850"/>
      <c r="S293" s="850"/>
      <c r="T293" s="851"/>
      <c r="U293" s="851"/>
      <c r="V293" s="851"/>
      <c r="W293" s="851"/>
      <c r="X293" s="851"/>
      <c r="Y293" s="851"/>
      <c r="Z293" s="851"/>
      <c r="AA293" s="851"/>
      <c r="AB293" s="851"/>
      <c r="AC293" s="851"/>
      <c r="AD293" s="851"/>
      <c r="AE293" s="851"/>
      <c r="AF293" s="851"/>
      <c r="AG293" s="851"/>
      <c r="AH293" s="852"/>
      <c r="AI293" s="852"/>
      <c r="AJ293" s="852"/>
      <c r="AK293" s="852"/>
      <c r="AL293" s="852"/>
      <c r="AM293" s="852"/>
      <c r="AN293" s="852"/>
      <c r="AO293" s="852"/>
      <c r="AP293" s="852"/>
      <c r="AQ293" s="852"/>
      <c r="AR293" s="852"/>
      <c r="AS293" s="852"/>
      <c r="AT293" s="852"/>
      <c r="AU293" s="852"/>
      <c r="AV293" s="852"/>
      <c r="AW293" s="852"/>
      <c r="AX293" s="849"/>
      <c r="AY293" s="847"/>
      <c r="AZ293" s="847"/>
      <c r="BA293" s="847"/>
      <c r="BB293" s="847"/>
      <c r="BC293" s="853"/>
      <c r="BD293" s="854"/>
      <c r="BE293" s="854"/>
      <c r="BF293" s="854"/>
      <c r="BG293" s="870">
        <f t="shared" si="92"/>
        <v>217</v>
      </c>
      <c r="BH293" s="860" t="s">
        <v>45</v>
      </c>
      <c r="BI293" s="854"/>
      <c r="BJ293" s="871">
        <v>0</v>
      </c>
      <c r="BK293" s="872">
        <f t="shared" ca="1" si="88"/>
        <v>0</v>
      </c>
      <c r="BL293" s="871">
        <v>0</v>
      </c>
      <c r="BM293" s="872">
        <f t="shared" ca="1" si="89"/>
        <v>0</v>
      </c>
      <c r="BN293" s="871">
        <v>0</v>
      </c>
      <c r="BO293" s="872">
        <f t="shared" ca="1" si="90"/>
        <v>0</v>
      </c>
      <c r="BP293" s="871">
        <v>0</v>
      </c>
      <c r="BQ293" s="872">
        <f t="shared" ca="1" si="91"/>
        <v>0</v>
      </c>
      <c r="BR293" s="854"/>
      <c r="BS293" s="854"/>
      <c r="BT293" s="854"/>
      <c r="BU293" s="854"/>
      <c r="BV293" s="854"/>
      <c r="BW293" s="854"/>
      <c r="BX293" s="854"/>
      <c r="BY293" s="854"/>
      <c r="BZ293" s="854"/>
      <c r="CA293" s="854"/>
      <c r="CB293" s="854"/>
      <c r="CC293" s="854"/>
      <c r="CD293" s="854"/>
      <c r="CE293" s="854"/>
      <c r="CF293" s="854"/>
      <c r="CG293" s="854" t="s">
        <v>45</v>
      </c>
    </row>
    <row r="294" spans="1:85" ht="15.75" customHeight="1">
      <c r="A294" s="847"/>
      <c r="B294" s="1126"/>
      <c r="C294" s="1126"/>
      <c r="D294" s="1126"/>
      <c r="E294" s="1126"/>
      <c r="F294" s="1126"/>
      <c r="G294" s="1126"/>
      <c r="H294" s="1126"/>
      <c r="I294" s="1126"/>
      <c r="J294" s="1126"/>
      <c r="K294" s="1126"/>
      <c r="L294" s="1126"/>
      <c r="M294" s="848"/>
      <c r="N294" s="849"/>
      <c r="O294" s="850"/>
      <c r="P294" s="850"/>
      <c r="Q294" s="850"/>
      <c r="R294" s="850"/>
      <c r="S294" s="850"/>
      <c r="T294" s="851"/>
      <c r="U294" s="851"/>
      <c r="V294" s="851"/>
      <c r="W294" s="851"/>
      <c r="X294" s="851"/>
      <c r="Y294" s="851"/>
      <c r="Z294" s="851"/>
      <c r="AA294" s="851"/>
      <c r="AB294" s="851"/>
      <c r="AC294" s="851"/>
      <c r="AD294" s="851"/>
      <c r="AE294" s="851"/>
      <c r="AF294" s="851"/>
      <c r="AG294" s="851"/>
      <c r="AH294" s="852"/>
      <c r="AI294" s="852"/>
      <c r="AJ294" s="852"/>
      <c r="AK294" s="852"/>
      <c r="AL294" s="852"/>
      <c r="AM294" s="852"/>
      <c r="AN294" s="852"/>
      <c r="AO294" s="852"/>
      <c r="AP294" s="852"/>
      <c r="AQ294" s="852"/>
      <c r="AR294" s="852"/>
      <c r="AS294" s="852"/>
      <c r="AT294" s="852"/>
      <c r="AU294" s="852"/>
      <c r="AV294" s="852"/>
      <c r="AW294" s="852"/>
      <c r="AX294" s="849"/>
      <c r="AY294" s="847"/>
      <c r="AZ294" s="847"/>
      <c r="BA294" s="847"/>
      <c r="BB294" s="847"/>
      <c r="BC294" s="853"/>
      <c r="BD294" s="854"/>
      <c r="BE294" s="854"/>
      <c r="BF294" s="854"/>
      <c r="BG294" s="870">
        <f t="shared" si="92"/>
        <v>218</v>
      </c>
      <c r="BH294" s="860" t="s">
        <v>352</v>
      </c>
      <c r="BI294" s="854"/>
      <c r="BJ294" s="871">
        <v>0</v>
      </c>
      <c r="BK294" s="872">
        <f t="shared" ca="1" si="88"/>
        <v>0</v>
      </c>
      <c r="BL294" s="871">
        <v>0</v>
      </c>
      <c r="BM294" s="872">
        <f t="shared" ca="1" si="89"/>
        <v>0</v>
      </c>
      <c r="BN294" s="871">
        <v>0</v>
      </c>
      <c r="BO294" s="872">
        <f t="shared" ca="1" si="90"/>
        <v>0</v>
      </c>
      <c r="BP294" s="871">
        <v>0</v>
      </c>
      <c r="BQ294" s="872">
        <f t="shared" ca="1" si="91"/>
        <v>0</v>
      </c>
      <c r="BR294" s="854"/>
      <c r="BS294" s="854"/>
      <c r="BT294" s="854"/>
      <c r="BU294" s="854"/>
      <c r="BV294" s="854"/>
      <c r="BW294" s="854"/>
      <c r="BX294" s="854"/>
      <c r="BY294" s="854"/>
      <c r="BZ294" s="854"/>
      <c r="CA294" s="854"/>
      <c r="CB294" s="854"/>
      <c r="CC294" s="854"/>
      <c r="CD294" s="854"/>
      <c r="CE294" s="854"/>
      <c r="CF294" s="854"/>
      <c r="CG294" s="854" t="s">
        <v>45</v>
      </c>
    </row>
    <row r="295" spans="1:85" ht="15.75" customHeight="1">
      <c r="A295" s="847"/>
      <c r="B295" s="1126"/>
      <c r="C295" s="1126"/>
      <c r="D295" s="1126"/>
      <c r="E295" s="1126"/>
      <c r="F295" s="1126"/>
      <c r="G295" s="1126"/>
      <c r="H295" s="1126"/>
      <c r="I295" s="1126"/>
      <c r="J295" s="1126"/>
      <c r="K295" s="1126"/>
      <c r="L295" s="1126"/>
      <c r="M295" s="848"/>
      <c r="N295" s="849"/>
      <c r="O295" s="850"/>
      <c r="P295" s="850"/>
      <c r="Q295" s="850"/>
      <c r="R295" s="850"/>
      <c r="S295" s="850"/>
      <c r="T295" s="851"/>
      <c r="U295" s="851"/>
      <c r="V295" s="851"/>
      <c r="W295" s="851"/>
      <c r="X295" s="851"/>
      <c r="Y295" s="851"/>
      <c r="Z295" s="851"/>
      <c r="AA295" s="851"/>
      <c r="AB295" s="851"/>
      <c r="AC295" s="851"/>
      <c r="AD295" s="851"/>
      <c r="AE295" s="851"/>
      <c r="AF295" s="851"/>
      <c r="AG295" s="851"/>
      <c r="AH295" s="852"/>
      <c r="AI295" s="852"/>
      <c r="AJ295" s="852"/>
      <c r="AK295" s="852"/>
      <c r="AL295" s="852"/>
      <c r="AM295" s="852"/>
      <c r="AN295" s="852"/>
      <c r="AO295" s="852"/>
      <c r="AP295" s="852"/>
      <c r="AQ295" s="852"/>
      <c r="AR295" s="852"/>
      <c r="AS295" s="852"/>
      <c r="AT295" s="852"/>
      <c r="AU295" s="852"/>
      <c r="AV295" s="852"/>
      <c r="AW295" s="852"/>
      <c r="AX295" s="849"/>
      <c r="AY295" s="847"/>
      <c r="AZ295" s="847"/>
      <c r="BA295" s="847"/>
      <c r="BB295" s="847"/>
      <c r="BC295" s="853"/>
      <c r="BD295" s="854"/>
      <c r="BE295" s="854"/>
      <c r="BF295" s="854"/>
      <c r="BG295" s="854"/>
      <c r="BH295" s="854"/>
      <c r="BI295" s="854"/>
      <c r="BJ295" s="854"/>
      <c r="BK295" s="854"/>
      <c r="BL295" s="854"/>
      <c r="BM295" s="854"/>
      <c r="BN295" s="854"/>
      <c r="BO295" s="854"/>
      <c r="BP295" s="854"/>
      <c r="BQ295" s="854"/>
      <c r="BR295" s="854"/>
      <c r="BS295" s="854"/>
      <c r="BT295" s="854"/>
      <c r="BU295" s="870">
        <f>BG294+1</f>
        <v>219</v>
      </c>
      <c r="BV295" s="860" t="s">
        <v>353</v>
      </c>
      <c r="BW295" s="854"/>
      <c r="BX295" s="871">
        <v>-47436.369533999998</v>
      </c>
      <c r="BY295" s="872">
        <f t="shared" ref="BY295:BY296" ca="1" si="93">IF(BJ$299=0,0,BX295/BJ$299*100)</f>
        <v>-3336.7217133229396</v>
      </c>
      <c r="BZ295" s="871">
        <v>111753.136642</v>
      </c>
      <c r="CA295" s="872">
        <f t="shared" ref="CA295:CA296" ca="1" si="94">IF(BL$299=0,0,BZ295/BL$299*100)</f>
        <v>498.88813572441143</v>
      </c>
      <c r="CB295" s="871">
        <v>886.16689099999996</v>
      </c>
      <c r="CC295" s="872">
        <f t="shared" ref="CC295:CC296" ca="1" si="95">IF(BN$299=0,0,CB295/BN$299*100)</f>
        <v>3.0549958283957479</v>
      </c>
      <c r="CD295" s="871">
        <v>25056.066096999999</v>
      </c>
      <c r="CE295" s="872">
        <f t="shared" ref="CE295:CE296" ca="1" si="96">IF(BP$299=0,0,CD295/BP$299*100)</f>
        <v>6.4992880904976706</v>
      </c>
      <c r="CF295" s="854"/>
      <c r="CG295" s="854" t="s">
        <v>45</v>
      </c>
    </row>
    <row r="296" spans="1:85" ht="15.75" customHeight="1">
      <c r="A296" s="847"/>
      <c r="B296" s="1126"/>
      <c r="C296" s="1126"/>
      <c r="D296" s="1126"/>
      <c r="E296" s="1126"/>
      <c r="F296" s="1126"/>
      <c r="G296" s="1126"/>
      <c r="H296" s="1126"/>
      <c r="I296" s="1126"/>
      <c r="J296" s="1126"/>
      <c r="K296" s="1126"/>
      <c r="L296" s="1126"/>
      <c r="M296" s="848"/>
      <c r="N296" s="849"/>
      <c r="O296" s="850"/>
      <c r="P296" s="850"/>
      <c r="Q296" s="850"/>
      <c r="R296" s="850"/>
      <c r="S296" s="850"/>
      <c r="T296" s="851"/>
      <c r="U296" s="851"/>
      <c r="V296" s="851"/>
      <c r="W296" s="851"/>
      <c r="X296" s="851"/>
      <c r="Y296" s="851"/>
      <c r="Z296" s="851"/>
      <c r="AA296" s="851"/>
      <c r="AB296" s="851"/>
      <c r="AC296" s="851"/>
      <c r="AD296" s="851"/>
      <c r="AE296" s="851"/>
      <c r="AF296" s="851"/>
      <c r="AG296" s="851"/>
      <c r="AH296" s="852"/>
      <c r="AI296" s="852"/>
      <c r="AJ296" s="852"/>
      <c r="AK296" s="852"/>
      <c r="AL296" s="852"/>
      <c r="AM296" s="852"/>
      <c r="AN296" s="852"/>
      <c r="AO296" s="852"/>
      <c r="AP296" s="852"/>
      <c r="AQ296" s="852"/>
      <c r="AR296" s="852"/>
      <c r="AS296" s="852"/>
      <c r="AT296" s="852"/>
      <c r="AU296" s="852"/>
      <c r="AV296" s="852"/>
      <c r="AW296" s="852"/>
      <c r="AX296" s="849"/>
      <c r="AY296" s="847"/>
      <c r="AZ296" s="847"/>
      <c r="BA296" s="847"/>
      <c r="BB296" s="847"/>
      <c r="BC296" s="853"/>
      <c r="BD296" s="854"/>
      <c r="BE296" s="854"/>
      <c r="BF296" s="854"/>
      <c r="BG296" s="854"/>
      <c r="BH296" s="854"/>
      <c r="BI296" s="854"/>
      <c r="BJ296" s="854"/>
      <c r="BK296" s="854"/>
      <c r="BL296" s="854"/>
      <c r="BM296" s="854"/>
      <c r="BN296" s="854"/>
      <c r="BO296" s="854"/>
      <c r="BP296" s="854"/>
      <c r="BQ296" s="854"/>
      <c r="BR296" s="854"/>
      <c r="BS296" s="854"/>
      <c r="BT296" s="854"/>
      <c r="BU296" s="870">
        <f>BU295+1</f>
        <v>220</v>
      </c>
      <c r="BV296" s="860" t="s">
        <v>354</v>
      </c>
      <c r="BW296" s="854"/>
      <c r="BX296" s="871">
        <v>33996.824274999999</v>
      </c>
      <c r="BY296" s="872">
        <f t="shared" ca="1" si="93"/>
        <v>2391.3706478129675</v>
      </c>
      <c r="BZ296" s="871">
        <v>-13439.545259</v>
      </c>
      <c r="CA296" s="872">
        <f t="shared" ca="1" si="94"/>
        <v>-59.996791863884894</v>
      </c>
      <c r="CB296" s="871">
        <v>98313.591383000006</v>
      </c>
      <c r="CC296" s="872">
        <f t="shared" ca="1" si="95"/>
        <v>338.92894735746705</v>
      </c>
      <c r="CD296" s="871">
        <v>99201.758274000007</v>
      </c>
      <c r="CE296" s="872">
        <f t="shared" ca="1" si="96"/>
        <v>25.731924700814581</v>
      </c>
      <c r="CF296" s="854"/>
      <c r="CG296" s="854" t="s">
        <v>45</v>
      </c>
    </row>
    <row r="297" spans="1:85" ht="15.75" customHeight="1">
      <c r="A297" s="847"/>
      <c r="B297" s="1126"/>
      <c r="C297" s="1126"/>
      <c r="D297" s="1126"/>
      <c r="E297" s="1126"/>
      <c r="F297" s="1126"/>
      <c r="G297" s="1126"/>
      <c r="H297" s="1126"/>
      <c r="I297" s="1126"/>
      <c r="J297" s="1126"/>
      <c r="K297" s="1126"/>
      <c r="L297" s="1126"/>
      <c r="M297" s="902"/>
      <c r="N297" s="849"/>
      <c r="O297" s="850"/>
      <c r="P297" s="850"/>
      <c r="Q297" s="850"/>
      <c r="R297" s="850"/>
      <c r="S297" s="850"/>
      <c r="T297" s="851"/>
      <c r="U297" s="851"/>
      <c r="V297" s="851"/>
      <c r="W297" s="851"/>
      <c r="X297" s="851"/>
      <c r="Y297" s="851"/>
      <c r="Z297" s="851"/>
      <c r="AA297" s="851"/>
      <c r="AB297" s="851"/>
      <c r="AC297" s="851"/>
      <c r="AD297" s="851"/>
      <c r="AE297" s="851"/>
      <c r="AF297" s="851"/>
      <c r="AG297" s="851"/>
      <c r="AH297" s="852"/>
      <c r="AI297" s="852"/>
      <c r="AJ297" s="852"/>
      <c r="AK297" s="852"/>
      <c r="AL297" s="852"/>
      <c r="AM297" s="852"/>
      <c r="AN297" s="852"/>
      <c r="AO297" s="852"/>
      <c r="AP297" s="852"/>
      <c r="AQ297" s="852"/>
      <c r="AR297" s="852"/>
      <c r="AS297" s="852"/>
      <c r="AT297" s="852"/>
      <c r="AU297" s="852"/>
      <c r="AV297" s="852"/>
      <c r="AW297" s="852"/>
      <c r="AX297" s="849"/>
      <c r="AY297" s="847"/>
      <c r="AZ297" s="847"/>
      <c r="BA297" s="847"/>
      <c r="BB297" s="847"/>
      <c r="BC297" s="853"/>
      <c r="BD297" s="854"/>
      <c r="BE297" s="854"/>
      <c r="BF297" s="854"/>
      <c r="BG297" s="870">
        <f>BU296+1</f>
        <v>221</v>
      </c>
      <c r="BH297" s="860" t="s">
        <v>355</v>
      </c>
      <c r="BI297" s="854"/>
      <c r="BJ297" s="871">
        <v>0</v>
      </c>
      <c r="BK297" s="872">
        <f t="shared" ref="BK297:BK299" ca="1" si="97">IF(BJ$299=0,0,BJ297/BJ$299*100)</f>
        <v>0</v>
      </c>
      <c r="BL297" s="871">
        <v>0</v>
      </c>
      <c r="BM297" s="872">
        <f t="shared" ref="BM297:BM299" ca="1" si="98">IF(BL$299=0,0,BL297/BL$299*100)</f>
        <v>0</v>
      </c>
      <c r="BN297" s="871">
        <v>2</v>
      </c>
      <c r="BO297" s="872">
        <f t="shared" ref="BO297:BO299" ca="1" si="99">IF(BN$299=0,0,BN297/BN$299*100)</f>
        <v>6.8948543652952807E-3</v>
      </c>
      <c r="BP297" s="871">
        <v>-28</v>
      </c>
      <c r="BQ297" s="872">
        <f t="shared" ref="BQ297:BQ299" ca="1" si="100">IF(BP$299=0,0,BP297/BP$299*100)</f>
        <v>-7.262914530534524E-3</v>
      </c>
      <c r="BR297" s="854"/>
      <c r="BS297" s="854"/>
      <c r="BT297" s="854"/>
      <c r="BU297" s="854"/>
      <c r="BV297" s="854"/>
      <c r="BW297" s="854"/>
      <c r="BX297" s="854"/>
      <c r="BY297" s="854"/>
      <c r="BZ297" s="854"/>
      <c r="CA297" s="854"/>
      <c r="CB297" s="854"/>
      <c r="CC297" s="854"/>
      <c r="CD297" s="854"/>
      <c r="CE297" s="854"/>
      <c r="CF297" s="854"/>
      <c r="CG297" s="854" t="s">
        <v>45</v>
      </c>
    </row>
    <row r="298" spans="1:85" ht="15.75" customHeight="1">
      <c r="A298" s="847"/>
      <c r="B298" s="1126"/>
      <c r="C298" s="1126"/>
      <c r="D298" s="1126"/>
      <c r="E298" s="1126"/>
      <c r="F298" s="1126"/>
      <c r="G298" s="1126"/>
      <c r="H298" s="1126"/>
      <c r="I298" s="1126"/>
      <c r="J298" s="1126"/>
      <c r="K298" s="1126"/>
      <c r="L298" s="1126"/>
      <c r="M298" s="902"/>
      <c r="N298" s="849"/>
      <c r="O298" s="850"/>
      <c r="P298" s="850"/>
      <c r="Q298" s="850"/>
      <c r="R298" s="850"/>
      <c r="S298" s="850"/>
      <c r="T298" s="851"/>
      <c r="U298" s="851"/>
      <c r="V298" s="851"/>
      <c r="W298" s="851"/>
      <c r="X298" s="851"/>
      <c r="Y298" s="851"/>
      <c r="Z298" s="851"/>
      <c r="AA298" s="851"/>
      <c r="AB298" s="851"/>
      <c r="AC298" s="851"/>
      <c r="AD298" s="851"/>
      <c r="AE298" s="851"/>
      <c r="AF298" s="851"/>
      <c r="AG298" s="851"/>
      <c r="AH298" s="852"/>
      <c r="AI298" s="852"/>
      <c r="AJ298" s="852"/>
      <c r="AK298" s="852"/>
      <c r="AL298" s="852"/>
      <c r="AM298" s="852"/>
      <c r="AN298" s="852"/>
      <c r="AO298" s="852"/>
      <c r="AP298" s="852"/>
      <c r="AQ298" s="852"/>
      <c r="AR298" s="852"/>
      <c r="AS298" s="852"/>
      <c r="AT298" s="852"/>
      <c r="AU298" s="852"/>
      <c r="AV298" s="852"/>
      <c r="AW298" s="852"/>
      <c r="AX298" s="849"/>
      <c r="AY298" s="847"/>
      <c r="AZ298" s="847"/>
      <c r="BA298" s="847"/>
      <c r="BB298" s="847"/>
      <c r="BC298" s="853"/>
      <c r="BD298" s="854"/>
      <c r="BE298" s="854"/>
      <c r="BF298" s="854"/>
      <c r="BG298" s="870">
        <f t="shared" ref="BG298:BG299" si="101">BG297+1</f>
        <v>222</v>
      </c>
      <c r="BH298" s="883" t="s">
        <v>356</v>
      </c>
      <c r="BI298" s="854"/>
      <c r="BJ298" s="901">
        <f>SUM(BJ264:BJ297)</f>
        <v>1200</v>
      </c>
      <c r="BK298" s="872">
        <f t="shared" ca="1" si="97"/>
        <v>84.409201111345894</v>
      </c>
      <c r="BL298" s="901">
        <f>SUM(BL264:BL297)</f>
        <v>1200</v>
      </c>
      <c r="BM298" s="872">
        <f t="shared" ca="1" si="98"/>
        <v>5.3570376712298753</v>
      </c>
      <c r="BN298" s="901">
        <f>SUM(BN264:BN297)</f>
        <v>1202</v>
      </c>
      <c r="BO298" s="872">
        <f t="shared" ca="1" si="99"/>
        <v>4.1438074735424637</v>
      </c>
      <c r="BP298" s="901">
        <f>SUM(BP264:BP297)</f>
        <v>1172</v>
      </c>
      <c r="BQ298" s="872">
        <f t="shared" ca="1" si="100"/>
        <v>0.30400485106380226</v>
      </c>
      <c r="BR298" s="854"/>
      <c r="BS298" s="854"/>
      <c r="BT298" s="854"/>
      <c r="BU298" s="854"/>
      <c r="BV298" s="854"/>
      <c r="BW298" s="854"/>
      <c r="BX298" s="854"/>
      <c r="BY298" s="854"/>
      <c r="BZ298" s="854"/>
      <c r="CA298" s="854"/>
      <c r="CB298" s="854"/>
      <c r="CC298" s="854"/>
      <c r="CD298" s="854"/>
      <c r="CE298" s="854"/>
      <c r="CF298" s="854"/>
      <c r="CG298" s="854" t="s">
        <v>45</v>
      </c>
    </row>
    <row r="299" spans="1:85" ht="15.75" customHeight="1">
      <c r="A299" s="847"/>
      <c r="B299" s="1126"/>
      <c r="C299" s="1126"/>
      <c r="D299" s="1126"/>
      <c r="E299" s="1126"/>
      <c r="F299" s="1126"/>
      <c r="G299" s="1126"/>
      <c r="H299" s="1126"/>
      <c r="I299" s="1126"/>
      <c r="J299" s="1126"/>
      <c r="K299" s="1126"/>
      <c r="L299" s="1126"/>
      <c r="M299" s="848"/>
      <c r="N299" s="849"/>
      <c r="O299" s="850"/>
      <c r="P299" s="850"/>
      <c r="Q299" s="850"/>
      <c r="R299" s="850"/>
      <c r="S299" s="850"/>
      <c r="T299" s="851"/>
      <c r="U299" s="851"/>
      <c r="V299" s="851"/>
      <c r="W299" s="851"/>
      <c r="X299" s="851"/>
      <c r="Y299" s="851"/>
      <c r="Z299" s="851"/>
      <c r="AA299" s="851"/>
      <c r="AB299" s="851"/>
      <c r="AC299" s="851"/>
      <c r="AD299" s="851"/>
      <c r="AE299" s="851"/>
      <c r="AF299" s="851"/>
      <c r="AG299" s="851"/>
      <c r="AH299" s="852"/>
      <c r="AI299" s="852"/>
      <c r="AJ299" s="852"/>
      <c r="AK299" s="852"/>
      <c r="AL299" s="852"/>
      <c r="AM299" s="852"/>
      <c r="AN299" s="852"/>
      <c r="AO299" s="852"/>
      <c r="AP299" s="852"/>
      <c r="AQ299" s="852"/>
      <c r="AR299" s="852"/>
      <c r="AS299" s="852"/>
      <c r="AT299" s="852"/>
      <c r="AU299" s="852"/>
      <c r="AV299" s="852"/>
      <c r="AW299" s="852"/>
      <c r="AX299" s="849"/>
      <c r="AY299" s="847"/>
      <c r="AZ299" s="847"/>
      <c r="BA299" s="847"/>
      <c r="BB299" s="847"/>
      <c r="BC299" s="853"/>
      <c r="BD299" s="854"/>
      <c r="BE299" s="854"/>
      <c r="BF299" s="854"/>
      <c r="BG299" s="870">
        <f t="shared" si="101"/>
        <v>223</v>
      </c>
      <c r="BH299" s="883" t="s">
        <v>357</v>
      </c>
      <c r="BI299" s="854"/>
      <c r="BJ299" s="885">
        <f ca="1">BJ188+BJ298</f>
        <v>1421.6459629999999</v>
      </c>
      <c r="BK299" s="886">
        <f t="shared" ca="1" si="97"/>
        <v>100</v>
      </c>
      <c r="BL299" s="885">
        <f ca="1">BL188+BL298</f>
        <v>22400.439826000002</v>
      </c>
      <c r="BM299" s="886">
        <f t="shared" ca="1" si="98"/>
        <v>100</v>
      </c>
      <c r="BN299" s="885">
        <f ca="1">BN188+BN298</f>
        <v>29007.139151000003</v>
      </c>
      <c r="BO299" s="886">
        <f t="shared" ca="1" si="99"/>
        <v>100</v>
      </c>
      <c r="BP299" s="885">
        <f ca="1">BP188+BP298</f>
        <v>385520.163872</v>
      </c>
      <c r="BQ299" s="886">
        <f t="shared" ca="1" si="100"/>
        <v>100</v>
      </c>
      <c r="BR299" s="854"/>
      <c r="BS299" s="854"/>
      <c r="BT299" s="854"/>
      <c r="BU299" s="854"/>
      <c r="BV299" s="854"/>
      <c r="BW299" s="854"/>
      <c r="BX299" s="854"/>
      <c r="BY299" s="854"/>
      <c r="BZ299" s="854"/>
      <c r="CA299" s="854"/>
      <c r="CB299" s="854"/>
      <c r="CC299" s="854"/>
      <c r="CD299" s="854"/>
      <c r="CE299" s="854"/>
      <c r="CF299" s="854"/>
      <c r="CG299" s="854" t="s">
        <v>45</v>
      </c>
    </row>
    <row r="300" spans="1:85" ht="15.75" customHeight="1">
      <c r="A300" s="847"/>
      <c r="B300" s="1126"/>
      <c r="C300" s="1126"/>
      <c r="D300" s="1126"/>
      <c r="E300" s="1126"/>
      <c r="F300" s="1126"/>
      <c r="G300" s="1126"/>
      <c r="H300" s="1126"/>
      <c r="I300" s="1126"/>
      <c r="J300" s="1126"/>
      <c r="K300" s="1126"/>
      <c r="L300" s="1126"/>
      <c r="M300" s="848"/>
      <c r="N300" s="849"/>
      <c r="O300" s="850"/>
      <c r="P300" s="850"/>
      <c r="Q300" s="850"/>
      <c r="R300" s="850"/>
      <c r="S300" s="850"/>
      <c r="T300" s="851"/>
      <c r="U300" s="851"/>
      <c r="V300" s="851"/>
      <c r="W300" s="851"/>
      <c r="X300" s="851"/>
      <c r="Y300" s="851"/>
      <c r="Z300" s="851"/>
      <c r="AA300" s="851"/>
      <c r="AB300" s="851"/>
      <c r="AC300" s="851"/>
      <c r="AD300" s="851"/>
      <c r="AE300" s="851"/>
      <c r="AF300" s="851"/>
      <c r="AG300" s="851"/>
      <c r="AH300" s="852"/>
      <c r="AI300" s="852"/>
      <c r="AJ300" s="852"/>
      <c r="AK300" s="852"/>
      <c r="AL300" s="852"/>
      <c r="AM300" s="852"/>
      <c r="AN300" s="852"/>
      <c r="AO300" s="852"/>
      <c r="AP300" s="852"/>
      <c r="AQ300" s="852"/>
      <c r="AR300" s="852"/>
      <c r="AS300" s="852"/>
      <c r="AT300" s="852"/>
      <c r="AU300" s="852"/>
      <c r="AV300" s="852"/>
      <c r="AW300" s="852"/>
      <c r="AX300" s="849"/>
      <c r="AY300" s="847"/>
      <c r="AZ300" s="847"/>
      <c r="BA300" s="847"/>
      <c r="BB300" s="847"/>
      <c r="BC300" s="853"/>
      <c r="BD300" s="854"/>
      <c r="BE300" s="854"/>
      <c r="BF300" s="854"/>
      <c r="BG300" s="870"/>
      <c r="BH300" s="883" t="s">
        <v>358</v>
      </c>
      <c r="BI300" s="854"/>
      <c r="BJ300" s="885"/>
      <c r="BK300" s="886"/>
      <c r="BL300" s="885"/>
      <c r="BM300" s="886"/>
      <c r="BN300" s="885"/>
      <c r="BO300" s="886"/>
      <c r="BP300" s="885"/>
      <c r="BQ300" s="886"/>
      <c r="BR300" s="854"/>
      <c r="BS300" s="854"/>
      <c r="BT300" s="854"/>
      <c r="BU300" s="854"/>
      <c r="BV300" s="854"/>
      <c r="BW300" s="854"/>
      <c r="BX300" s="854"/>
      <c r="BY300" s="854"/>
      <c r="BZ300" s="854"/>
      <c r="CA300" s="854"/>
      <c r="CB300" s="854"/>
      <c r="CC300" s="854"/>
      <c r="CD300" s="854"/>
      <c r="CE300" s="854"/>
      <c r="CF300" s="854"/>
      <c r="CG300" s="854" t="s">
        <v>45</v>
      </c>
    </row>
    <row r="301" spans="1:85" ht="15.75" customHeight="1">
      <c r="A301" s="847"/>
      <c r="B301" s="1126"/>
      <c r="C301" s="1126"/>
      <c r="D301" s="1126"/>
      <c r="E301" s="1126"/>
      <c r="F301" s="1126"/>
      <c r="G301" s="1126"/>
      <c r="H301" s="1126"/>
      <c r="I301" s="1126"/>
      <c r="J301" s="1126"/>
      <c r="K301" s="1126"/>
      <c r="L301" s="1126"/>
      <c r="M301" s="848"/>
      <c r="N301" s="849"/>
      <c r="O301" s="850"/>
      <c r="P301" s="850"/>
      <c r="Q301" s="850"/>
      <c r="R301" s="850"/>
      <c r="S301" s="850"/>
      <c r="T301" s="851"/>
      <c r="U301" s="851"/>
      <c r="V301" s="851"/>
      <c r="W301" s="851"/>
      <c r="X301" s="851"/>
      <c r="Y301" s="851"/>
      <c r="Z301" s="851"/>
      <c r="AA301" s="851"/>
      <c r="AB301" s="851"/>
      <c r="AC301" s="851"/>
      <c r="AD301" s="851"/>
      <c r="AE301" s="851"/>
      <c r="AF301" s="851"/>
      <c r="AG301" s="851"/>
      <c r="AH301" s="852"/>
      <c r="AI301" s="852"/>
      <c r="AJ301" s="852"/>
      <c r="AK301" s="852"/>
      <c r="AL301" s="852"/>
      <c r="AM301" s="852"/>
      <c r="AN301" s="852"/>
      <c r="AO301" s="852"/>
      <c r="AP301" s="852"/>
      <c r="AQ301" s="852"/>
      <c r="AR301" s="852"/>
      <c r="AS301" s="852"/>
      <c r="AT301" s="852"/>
      <c r="AU301" s="852"/>
      <c r="AV301" s="852"/>
      <c r="AW301" s="852"/>
      <c r="AX301" s="849"/>
      <c r="AY301" s="847"/>
      <c r="AZ301" s="847"/>
      <c r="BA301" s="847"/>
      <c r="BB301" s="847"/>
      <c r="BC301" s="853"/>
      <c r="BD301" s="854"/>
      <c r="BE301" s="854"/>
      <c r="BF301" s="854"/>
      <c r="BG301" s="870"/>
      <c r="BH301" s="905" t="s">
        <v>359</v>
      </c>
      <c r="BI301" s="854"/>
      <c r="BJ301" s="901"/>
      <c r="BK301" s="872"/>
      <c r="BL301" s="901"/>
      <c r="BM301" s="872"/>
      <c r="BN301" s="901"/>
      <c r="BO301" s="872"/>
      <c r="BP301" s="901"/>
      <c r="BQ301" s="872"/>
      <c r="BR301" s="854"/>
      <c r="BS301" s="854"/>
      <c r="BT301" s="854"/>
      <c r="BU301" s="854"/>
      <c r="BV301" s="854"/>
      <c r="BW301" s="854"/>
      <c r="BX301" s="854"/>
      <c r="BY301" s="854"/>
      <c r="BZ301" s="854"/>
      <c r="CA301" s="854"/>
      <c r="CB301" s="854"/>
      <c r="CC301" s="854"/>
      <c r="CD301" s="854"/>
      <c r="CE301" s="854"/>
      <c r="CF301" s="854"/>
      <c r="CG301" s="854" t="s">
        <v>45</v>
      </c>
    </row>
    <row r="302" spans="1:85" ht="15.75" customHeight="1">
      <c r="A302" s="847"/>
      <c r="B302" s="1126"/>
      <c r="C302" s="1126"/>
      <c r="D302" s="1126"/>
      <c r="E302" s="1126"/>
      <c r="F302" s="1126"/>
      <c r="G302" s="1126"/>
      <c r="H302" s="1126"/>
      <c r="I302" s="1126"/>
      <c r="J302" s="1126"/>
      <c r="K302" s="1126"/>
      <c r="L302" s="1126"/>
      <c r="M302" s="848"/>
      <c r="N302" s="849"/>
      <c r="O302" s="850"/>
      <c r="P302" s="850"/>
      <c r="Q302" s="850"/>
      <c r="R302" s="850"/>
      <c r="S302" s="850"/>
      <c r="T302" s="851"/>
      <c r="U302" s="851"/>
      <c r="V302" s="851"/>
      <c r="W302" s="851"/>
      <c r="X302" s="851"/>
      <c r="Y302" s="851"/>
      <c r="Z302" s="851"/>
      <c r="AA302" s="851"/>
      <c r="AB302" s="851"/>
      <c r="AC302" s="851"/>
      <c r="AD302" s="851"/>
      <c r="AE302" s="851"/>
      <c r="AF302" s="851"/>
      <c r="AG302" s="851"/>
      <c r="AH302" s="852"/>
      <c r="AI302" s="852"/>
      <c r="AJ302" s="852"/>
      <c r="AK302" s="852"/>
      <c r="AL302" s="852"/>
      <c r="AM302" s="852"/>
      <c r="AN302" s="852"/>
      <c r="AO302" s="852"/>
      <c r="AP302" s="852"/>
      <c r="AQ302" s="852"/>
      <c r="AR302" s="852"/>
      <c r="AS302" s="852"/>
      <c r="AT302" s="852"/>
      <c r="AU302" s="852"/>
      <c r="AV302" s="852"/>
      <c r="AW302" s="852"/>
      <c r="AX302" s="849"/>
      <c r="AY302" s="847"/>
      <c r="AZ302" s="847"/>
      <c r="BA302" s="847"/>
      <c r="BB302" s="847"/>
      <c r="BC302" s="853"/>
      <c r="BD302" s="854"/>
      <c r="BE302" s="854"/>
      <c r="BF302" s="854"/>
      <c r="BG302" s="870"/>
      <c r="BH302" s="905" t="s">
        <v>360</v>
      </c>
      <c r="BI302" s="854"/>
      <c r="BJ302" s="901">
        <v>15324.1</v>
      </c>
      <c r="BK302" s="872"/>
      <c r="BL302" s="901">
        <f>+BJ305</f>
        <v>12537.9</v>
      </c>
      <c r="BM302" s="872"/>
      <c r="BN302" s="901">
        <f>+BL305</f>
        <v>0</v>
      </c>
      <c r="BO302" s="872"/>
      <c r="BP302" s="901">
        <f>+BN305</f>
        <v>0</v>
      </c>
      <c r="BQ302" s="872"/>
      <c r="BR302" s="854"/>
      <c r="BS302" s="854"/>
      <c r="BT302" s="854"/>
      <c r="BU302" s="854"/>
      <c r="BV302" s="854"/>
      <c r="BW302" s="854"/>
      <c r="BX302" s="854"/>
      <c r="BY302" s="854"/>
      <c r="BZ302" s="854"/>
      <c r="CA302" s="854"/>
      <c r="CB302" s="854"/>
      <c r="CC302" s="854"/>
      <c r="CD302" s="854"/>
      <c r="CE302" s="854"/>
      <c r="CF302" s="854"/>
      <c r="CG302" s="854" t="s">
        <v>45</v>
      </c>
    </row>
    <row r="303" spans="1:85" ht="15.75" customHeight="1">
      <c r="A303" s="847"/>
      <c r="B303" s="1126"/>
      <c r="C303" s="1126"/>
      <c r="D303" s="1126"/>
      <c r="E303" s="1126"/>
      <c r="F303" s="1126"/>
      <c r="G303" s="1126"/>
      <c r="H303" s="1126"/>
      <c r="I303" s="1126"/>
      <c r="J303" s="1126"/>
      <c r="K303" s="1126"/>
      <c r="L303" s="1126"/>
      <c r="M303" s="848"/>
      <c r="N303" s="849"/>
      <c r="O303" s="850"/>
      <c r="P303" s="850"/>
      <c r="Q303" s="850"/>
      <c r="R303" s="850"/>
      <c r="S303" s="850"/>
      <c r="T303" s="851"/>
      <c r="U303" s="851"/>
      <c r="V303" s="851"/>
      <c r="W303" s="851"/>
      <c r="X303" s="851"/>
      <c r="Y303" s="851"/>
      <c r="Z303" s="851"/>
      <c r="AA303" s="851"/>
      <c r="AB303" s="851"/>
      <c r="AC303" s="851"/>
      <c r="AD303" s="851"/>
      <c r="AE303" s="851"/>
      <c r="AF303" s="851"/>
      <c r="AG303" s="851"/>
      <c r="AH303" s="852"/>
      <c r="AI303" s="852"/>
      <c r="AJ303" s="852"/>
      <c r="AK303" s="852"/>
      <c r="AL303" s="852"/>
      <c r="AM303" s="852"/>
      <c r="AN303" s="852"/>
      <c r="AO303" s="852"/>
      <c r="AP303" s="852"/>
      <c r="AQ303" s="852"/>
      <c r="AR303" s="852"/>
      <c r="AS303" s="852"/>
      <c r="AT303" s="852"/>
      <c r="AU303" s="852"/>
      <c r="AV303" s="852"/>
      <c r="AW303" s="852"/>
      <c r="AX303" s="849"/>
      <c r="AY303" s="847"/>
      <c r="AZ303" s="847"/>
      <c r="BA303" s="847"/>
      <c r="BB303" s="847"/>
      <c r="BC303" s="853"/>
      <c r="BD303" s="854"/>
      <c r="BE303" s="854"/>
      <c r="BF303" s="854"/>
      <c r="BG303" s="870"/>
      <c r="BH303" s="905" t="s">
        <v>361</v>
      </c>
      <c r="BI303" s="854"/>
      <c r="BJ303" s="901">
        <v>0</v>
      </c>
      <c r="BK303" s="872"/>
      <c r="BL303" s="901">
        <f>+BL305-BL302+BL304</f>
        <v>-12537.9</v>
      </c>
      <c r="BM303" s="872"/>
      <c r="BN303" s="901">
        <f>+BN305-BN302+BN304</f>
        <v>0</v>
      </c>
      <c r="BO303" s="872"/>
      <c r="BP303" s="901">
        <f>+BP305-BP302+BP304</f>
        <v>0</v>
      </c>
      <c r="BQ303" s="872"/>
      <c r="BR303" s="854"/>
      <c r="BS303" s="854"/>
      <c r="BT303" s="854"/>
      <c r="BU303" s="854"/>
      <c r="BV303" s="854"/>
      <c r="BW303" s="854"/>
      <c r="BX303" s="854"/>
      <c r="BY303" s="854"/>
      <c r="BZ303" s="854"/>
      <c r="CA303" s="854"/>
      <c r="CB303" s="854"/>
      <c r="CC303" s="854"/>
      <c r="CD303" s="854"/>
      <c r="CE303" s="854"/>
      <c r="CF303" s="854"/>
      <c r="CG303" s="854" t="s">
        <v>45</v>
      </c>
    </row>
    <row r="304" spans="1:85" ht="15.75" customHeight="1">
      <c r="A304" s="847"/>
      <c r="B304" s="1126"/>
      <c r="C304" s="1126"/>
      <c r="D304" s="1126"/>
      <c r="E304" s="1126"/>
      <c r="F304" s="1126"/>
      <c r="G304" s="1126"/>
      <c r="H304" s="1126"/>
      <c r="I304" s="1126"/>
      <c r="J304" s="1126"/>
      <c r="K304" s="1126"/>
      <c r="L304" s="1126"/>
      <c r="M304" s="848"/>
      <c r="N304" s="849"/>
      <c r="O304" s="850"/>
      <c r="P304" s="850"/>
      <c r="Q304" s="850"/>
      <c r="R304" s="850"/>
      <c r="S304" s="850"/>
      <c r="T304" s="851"/>
      <c r="U304" s="851"/>
      <c r="V304" s="851"/>
      <c r="W304" s="851"/>
      <c r="X304" s="851"/>
      <c r="Y304" s="851"/>
      <c r="Z304" s="851"/>
      <c r="AA304" s="851"/>
      <c r="AB304" s="851"/>
      <c r="AC304" s="851"/>
      <c r="AD304" s="851"/>
      <c r="AE304" s="851"/>
      <c r="AF304" s="851"/>
      <c r="AG304" s="851"/>
      <c r="AH304" s="852"/>
      <c r="AI304" s="852"/>
      <c r="AJ304" s="852"/>
      <c r="AK304" s="852"/>
      <c r="AL304" s="852"/>
      <c r="AM304" s="852"/>
      <c r="AN304" s="852"/>
      <c r="AO304" s="852"/>
      <c r="AP304" s="852"/>
      <c r="AQ304" s="852"/>
      <c r="AR304" s="852"/>
      <c r="AS304" s="852"/>
      <c r="AT304" s="852"/>
      <c r="AU304" s="852"/>
      <c r="AV304" s="852"/>
      <c r="AW304" s="852"/>
      <c r="AX304" s="849"/>
      <c r="AY304" s="847"/>
      <c r="AZ304" s="847"/>
      <c r="BA304" s="847"/>
      <c r="BB304" s="847"/>
      <c r="BC304" s="853"/>
      <c r="BD304" s="854"/>
      <c r="BE304" s="854"/>
      <c r="BF304" s="854"/>
      <c r="BG304" s="870"/>
      <c r="BH304" s="905" t="s">
        <v>362</v>
      </c>
      <c r="BI304" s="854"/>
      <c r="BJ304" s="901">
        <v>2786.2</v>
      </c>
      <c r="BK304" s="872"/>
      <c r="BL304" s="901">
        <f>+BX159</f>
        <v>0</v>
      </c>
      <c r="BM304" s="872"/>
      <c r="BN304" s="901">
        <f>+BZ159</f>
        <v>0</v>
      </c>
      <c r="BO304" s="872"/>
      <c r="BP304" s="901">
        <f>+CB159</f>
        <v>0</v>
      </c>
      <c r="BQ304" s="872"/>
      <c r="BR304" s="854"/>
      <c r="BS304" s="854"/>
      <c r="BT304" s="854"/>
      <c r="BU304" s="854"/>
      <c r="BV304" s="854"/>
      <c r="BW304" s="854"/>
      <c r="BX304" s="854"/>
      <c r="BY304" s="854"/>
      <c r="BZ304" s="854"/>
      <c r="CA304" s="854"/>
      <c r="CB304" s="854"/>
      <c r="CC304" s="854"/>
      <c r="CD304" s="854"/>
      <c r="CE304" s="854"/>
      <c r="CF304" s="854"/>
      <c r="CG304" s="854" t="s">
        <v>45</v>
      </c>
    </row>
    <row r="305" spans="1:85" ht="15.75" customHeight="1">
      <c r="A305" s="847"/>
      <c r="B305" s="1126"/>
      <c r="C305" s="1126"/>
      <c r="D305" s="1126"/>
      <c r="E305" s="1126"/>
      <c r="F305" s="1126"/>
      <c r="G305" s="1126"/>
      <c r="H305" s="1126"/>
      <c r="I305" s="1126"/>
      <c r="J305" s="1126"/>
      <c r="K305" s="1126"/>
      <c r="L305" s="1126"/>
      <c r="M305" s="848"/>
      <c r="N305" s="849"/>
      <c r="O305" s="850"/>
      <c r="P305" s="850"/>
      <c r="Q305" s="850"/>
      <c r="R305" s="850"/>
      <c r="S305" s="850"/>
      <c r="T305" s="851"/>
      <c r="U305" s="851"/>
      <c r="V305" s="851"/>
      <c r="W305" s="851"/>
      <c r="X305" s="851"/>
      <c r="Y305" s="851"/>
      <c r="Z305" s="851"/>
      <c r="AA305" s="851"/>
      <c r="AB305" s="851"/>
      <c r="AC305" s="851"/>
      <c r="AD305" s="851"/>
      <c r="AE305" s="851"/>
      <c r="AF305" s="851"/>
      <c r="AG305" s="851"/>
      <c r="AH305" s="852"/>
      <c r="AI305" s="852"/>
      <c r="AJ305" s="852"/>
      <c r="AK305" s="852"/>
      <c r="AL305" s="852"/>
      <c r="AM305" s="852"/>
      <c r="AN305" s="852"/>
      <c r="AO305" s="852"/>
      <c r="AP305" s="852"/>
      <c r="AQ305" s="852"/>
      <c r="AR305" s="852"/>
      <c r="AS305" s="852"/>
      <c r="AT305" s="852"/>
      <c r="AU305" s="852"/>
      <c r="AV305" s="852"/>
      <c r="AW305" s="852"/>
      <c r="AX305" s="849"/>
      <c r="AY305" s="847"/>
      <c r="AZ305" s="847"/>
      <c r="BA305" s="847"/>
      <c r="BB305" s="847"/>
      <c r="BC305" s="853"/>
      <c r="BD305" s="854"/>
      <c r="BE305" s="854"/>
      <c r="BF305" s="854"/>
      <c r="BG305" s="870"/>
      <c r="BH305" s="905" t="s">
        <v>363</v>
      </c>
      <c r="BI305" s="854"/>
      <c r="BJ305" s="901">
        <v>12537.9</v>
      </c>
      <c r="BK305" s="872"/>
      <c r="BL305" s="901">
        <f>+BZ233+BZ159</f>
        <v>0</v>
      </c>
      <c r="BM305" s="872"/>
      <c r="BN305" s="901">
        <f>+CB233+CB159</f>
        <v>0</v>
      </c>
      <c r="BO305" s="872"/>
      <c r="BP305" s="901">
        <f>+CD233+CD159</f>
        <v>0</v>
      </c>
      <c r="BQ305" s="872"/>
      <c r="BR305" s="854"/>
      <c r="BS305" s="854"/>
      <c r="BT305" s="854"/>
      <c r="BU305" s="854"/>
      <c r="BV305" s="854"/>
      <c r="BW305" s="854"/>
      <c r="BX305" s="854"/>
      <c r="BY305" s="854"/>
      <c r="BZ305" s="854"/>
      <c r="CA305" s="854"/>
      <c r="CB305" s="854"/>
      <c r="CC305" s="854"/>
      <c r="CD305" s="854"/>
      <c r="CE305" s="854"/>
      <c r="CF305" s="854"/>
      <c r="CG305" s="854" t="s">
        <v>45</v>
      </c>
    </row>
    <row r="306" spans="1:85" ht="15.75" customHeight="1">
      <c r="A306" s="847"/>
      <c r="B306" s="1126"/>
      <c r="C306" s="1126"/>
      <c r="D306" s="1126"/>
      <c r="E306" s="1126"/>
      <c r="F306" s="1126"/>
      <c r="G306" s="1126"/>
      <c r="H306" s="1126"/>
      <c r="I306" s="1126"/>
      <c r="J306" s="1126"/>
      <c r="K306" s="1126"/>
      <c r="L306" s="1126"/>
      <c r="M306" s="848"/>
      <c r="N306" s="849"/>
      <c r="O306" s="850"/>
      <c r="P306" s="850"/>
      <c r="Q306" s="850"/>
      <c r="R306" s="850"/>
      <c r="S306" s="850"/>
      <c r="T306" s="851"/>
      <c r="U306" s="851"/>
      <c r="V306" s="851"/>
      <c r="W306" s="851"/>
      <c r="X306" s="851"/>
      <c r="Y306" s="851"/>
      <c r="Z306" s="851"/>
      <c r="AA306" s="851"/>
      <c r="AB306" s="851"/>
      <c r="AC306" s="851"/>
      <c r="AD306" s="851"/>
      <c r="AE306" s="851"/>
      <c r="AF306" s="851"/>
      <c r="AG306" s="851"/>
      <c r="AH306" s="852"/>
      <c r="AI306" s="852"/>
      <c r="AJ306" s="852"/>
      <c r="AK306" s="852"/>
      <c r="AL306" s="852"/>
      <c r="AM306" s="852"/>
      <c r="AN306" s="852"/>
      <c r="AO306" s="852"/>
      <c r="AP306" s="852"/>
      <c r="AQ306" s="852"/>
      <c r="AR306" s="852"/>
      <c r="AS306" s="852"/>
      <c r="AT306" s="852"/>
      <c r="AU306" s="852"/>
      <c r="AV306" s="852"/>
      <c r="AW306" s="852"/>
      <c r="AX306" s="849"/>
      <c r="AY306" s="847"/>
      <c r="AZ306" s="847"/>
      <c r="BA306" s="847"/>
      <c r="BB306" s="847"/>
      <c r="BC306" s="853"/>
      <c r="BD306" s="854"/>
      <c r="BE306" s="854"/>
      <c r="BF306" s="854"/>
      <c r="BG306" s="870"/>
      <c r="BH306" s="905" t="s">
        <v>364</v>
      </c>
      <c r="BI306" s="854"/>
      <c r="BJ306" s="901"/>
      <c r="BK306" s="872"/>
      <c r="BL306" s="901"/>
      <c r="BM306" s="872"/>
      <c r="BN306" s="901"/>
      <c r="BO306" s="872"/>
      <c r="BP306" s="901"/>
      <c r="BQ306" s="872"/>
      <c r="BR306" s="854"/>
      <c r="BS306" s="854"/>
      <c r="BT306" s="854"/>
      <c r="BU306" s="854"/>
      <c r="BV306" s="854"/>
      <c r="BW306" s="854"/>
      <c r="BX306" s="854"/>
      <c r="BY306" s="854"/>
      <c r="BZ306" s="854"/>
      <c r="CA306" s="854"/>
      <c r="CB306" s="854"/>
      <c r="CC306" s="854"/>
      <c r="CD306" s="854"/>
      <c r="CE306" s="854"/>
      <c r="CF306" s="854"/>
      <c r="CG306" s="854" t="s">
        <v>45</v>
      </c>
    </row>
    <row r="307" spans="1:85" ht="15.75" customHeight="1">
      <c r="A307" s="847"/>
      <c r="B307" s="1126"/>
      <c r="C307" s="1126"/>
      <c r="D307" s="1126"/>
      <c r="E307" s="1126"/>
      <c r="F307" s="1126"/>
      <c r="G307" s="1126"/>
      <c r="H307" s="1126"/>
      <c r="I307" s="1126"/>
      <c r="J307" s="1126"/>
      <c r="K307" s="1126"/>
      <c r="L307" s="1126"/>
      <c r="M307" s="848"/>
      <c r="N307" s="849"/>
      <c r="O307" s="850"/>
      <c r="P307" s="850"/>
      <c r="Q307" s="850"/>
      <c r="R307" s="850"/>
      <c r="S307" s="850"/>
      <c r="T307" s="851"/>
      <c r="U307" s="851"/>
      <c r="V307" s="851"/>
      <c r="W307" s="851"/>
      <c r="X307" s="851"/>
      <c r="Y307" s="851"/>
      <c r="Z307" s="851"/>
      <c r="AA307" s="851"/>
      <c r="AB307" s="851"/>
      <c r="AC307" s="851"/>
      <c r="AD307" s="851"/>
      <c r="AE307" s="851"/>
      <c r="AF307" s="851"/>
      <c r="AG307" s="851"/>
      <c r="AH307" s="852"/>
      <c r="AI307" s="852"/>
      <c r="AJ307" s="852"/>
      <c r="AK307" s="852"/>
      <c r="AL307" s="852"/>
      <c r="AM307" s="852"/>
      <c r="AN307" s="852"/>
      <c r="AO307" s="852"/>
      <c r="AP307" s="852"/>
      <c r="AQ307" s="852"/>
      <c r="AR307" s="852"/>
      <c r="AS307" s="852"/>
      <c r="AT307" s="852"/>
      <c r="AU307" s="852"/>
      <c r="AV307" s="852"/>
      <c r="AW307" s="852"/>
      <c r="AX307" s="849"/>
      <c r="AY307" s="847"/>
      <c r="AZ307" s="847"/>
      <c r="BA307" s="847"/>
      <c r="BB307" s="847"/>
      <c r="BC307" s="853"/>
      <c r="BD307" s="854"/>
      <c r="BE307" s="854"/>
      <c r="BF307" s="854"/>
      <c r="BG307" s="870"/>
      <c r="BH307" s="905" t="s">
        <v>360</v>
      </c>
      <c r="BI307" s="854"/>
      <c r="BJ307" s="901">
        <f>+BJ309</f>
        <v>0</v>
      </c>
      <c r="BK307" s="872"/>
      <c r="BL307" s="901">
        <f>+BJ310</f>
        <v>0</v>
      </c>
      <c r="BM307" s="872"/>
      <c r="BN307" s="901">
        <f>+BL310</f>
        <v>0</v>
      </c>
      <c r="BO307" s="872"/>
      <c r="BP307" s="901">
        <f>+BN310</f>
        <v>0</v>
      </c>
      <c r="BQ307" s="872"/>
      <c r="BR307" s="854"/>
      <c r="BS307" s="854"/>
      <c r="BT307" s="854"/>
      <c r="BU307" s="854"/>
      <c r="BV307" s="854"/>
      <c r="BW307" s="854"/>
      <c r="BX307" s="854"/>
      <c r="BY307" s="854"/>
      <c r="BZ307" s="854"/>
      <c r="CA307" s="854"/>
      <c r="CB307" s="854"/>
      <c r="CC307" s="854"/>
      <c r="CD307" s="854"/>
      <c r="CE307" s="854"/>
      <c r="CF307" s="854"/>
      <c r="CG307" s="854" t="s">
        <v>45</v>
      </c>
    </row>
    <row r="308" spans="1:85" ht="15.75" customHeight="1">
      <c r="A308" s="847"/>
      <c r="B308" s="1126"/>
      <c r="C308" s="1126"/>
      <c r="D308" s="1126"/>
      <c r="E308" s="1126"/>
      <c r="F308" s="1126"/>
      <c r="G308" s="1126"/>
      <c r="H308" s="1126"/>
      <c r="I308" s="1126"/>
      <c r="J308" s="1126"/>
      <c r="K308" s="1126"/>
      <c r="L308" s="1126"/>
      <c r="M308" s="848"/>
      <c r="N308" s="849"/>
      <c r="O308" s="850"/>
      <c r="P308" s="850"/>
      <c r="Q308" s="850"/>
      <c r="R308" s="850"/>
      <c r="S308" s="850"/>
      <c r="T308" s="851"/>
      <c r="U308" s="851"/>
      <c r="V308" s="851"/>
      <c r="W308" s="851"/>
      <c r="X308" s="851"/>
      <c r="Y308" s="851"/>
      <c r="Z308" s="851"/>
      <c r="AA308" s="851"/>
      <c r="AB308" s="851"/>
      <c r="AC308" s="851"/>
      <c r="AD308" s="851"/>
      <c r="AE308" s="851"/>
      <c r="AF308" s="851"/>
      <c r="AG308" s="851"/>
      <c r="AH308" s="852"/>
      <c r="AI308" s="852"/>
      <c r="AJ308" s="852"/>
      <c r="AK308" s="852"/>
      <c r="AL308" s="852"/>
      <c r="AM308" s="852"/>
      <c r="AN308" s="852"/>
      <c r="AO308" s="852"/>
      <c r="AP308" s="852"/>
      <c r="AQ308" s="852"/>
      <c r="AR308" s="852"/>
      <c r="AS308" s="852"/>
      <c r="AT308" s="852"/>
      <c r="AU308" s="852"/>
      <c r="AV308" s="852"/>
      <c r="AW308" s="852"/>
      <c r="AX308" s="849"/>
      <c r="AY308" s="847"/>
      <c r="AZ308" s="847"/>
      <c r="BA308" s="847"/>
      <c r="BB308" s="847"/>
      <c r="BC308" s="853"/>
      <c r="BD308" s="854"/>
      <c r="BE308" s="854"/>
      <c r="BF308" s="854"/>
      <c r="BG308" s="870"/>
      <c r="BH308" s="905" t="s">
        <v>361</v>
      </c>
      <c r="BI308" s="854"/>
      <c r="BJ308" s="901">
        <v>0</v>
      </c>
      <c r="BK308" s="872"/>
      <c r="BL308" s="901">
        <v>0</v>
      </c>
      <c r="BM308" s="872"/>
      <c r="BN308" s="901">
        <v>0</v>
      </c>
      <c r="BO308" s="872"/>
      <c r="BP308" s="901">
        <v>0</v>
      </c>
      <c r="BQ308" s="872"/>
      <c r="BR308" s="854"/>
      <c r="BS308" s="854"/>
      <c r="BT308" s="854"/>
      <c r="BU308" s="854"/>
      <c r="BV308" s="854"/>
      <c r="BW308" s="854"/>
      <c r="BX308" s="854"/>
      <c r="BY308" s="854"/>
      <c r="BZ308" s="854"/>
      <c r="CA308" s="854"/>
      <c r="CB308" s="854"/>
      <c r="CC308" s="854"/>
      <c r="CD308" s="854"/>
      <c r="CE308" s="854"/>
      <c r="CF308" s="854"/>
      <c r="CG308" s="854" t="s">
        <v>45</v>
      </c>
    </row>
    <row r="309" spans="1:85" ht="15.75" customHeight="1">
      <c r="A309" s="847"/>
      <c r="B309" s="1126"/>
      <c r="C309" s="1126"/>
      <c r="D309" s="1126"/>
      <c r="E309" s="1126"/>
      <c r="F309" s="1126"/>
      <c r="G309" s="1126"/>
      <c r="H309" s="1126"/>
      <c r="I309" s="1126"/>
      <c r="J309" s="1126"/>
      <c r="K309" s="1126"/>
      <c r="L309" s="1126"/>
      <c r="M309" s="848"/>
      <c r="N309" s="849"/>
      <c r="O309" s="850"/>
      <c r="P309" s="850"/>
      <c r="Q309" s="850"/>
      <c r="R309" s="850"/>
      <c r="S309" s="850"/>
      <c r="T309" s="851"/>
      <c r="U309" s="851"/>
      <c r="V309" s="851"/>
      <c r="W309" s="851"/>
      <c r="X309" s="851"/>
      <c r="Y309" s="851"/>
      <c r="Z309" s="851"/>
      <c r="AA309" s="851"/>
      <c r="AB309" s="851"/>
      <c r="AC309" s="851"/>
      <c r="AD309" s="851"/>
      <c r="AE309" s="851"/>
      <c r="AF309" s="851"/>
      <c r="AG309" s="851"/>
      <c r="AH309" s="852"/>
      <c r="AI309" s="852"/>
      <c r="AJ309" s="852"/>
      <c r="AK309" s="852"/>
      <c r="AL309" s="852"/>
      <c r="AM309" s="852"/>
      <c r="AN309" s="852"/>
      <c r="AO309" s="852"/>
      <c r="AP309" s="852"/>
      <c r="AQ309" s="852"/>
      <c r="AR309" s="852"/>
      <c r="AS309" s="852"/>
      <c r="AT309" s="852"/>
      <c r="AU309" s="852"/>
      <c r="AV309" s="852"/>
      <c r="AW309" s="852"/>
      <c r="AX309" s="849"/>
      <c r="AY309" s="847"/>
      <c r="AZ309" s="847"/>
      <c r="BA309" s="847"/>
      <c r="BB309" s="847"/>
      <c r="BC309" s="853"/>
      <c r="BD309" s="854"/>
      <c r="BE309" s="854"/>
      <c r="BF309" s="854"/>
      <c r="BG309" s="870"/>
      <c r="BH309" s="905" t="s">
        <v>362</v>
      </c>
      <c r="BI309" s="854"/>
      <c r="BJ309" s="901">
        <f>+BX160</f>
        <v>0</v>
      </c>
      <c r="BK309" s="872"/>
      <c r="BL309" s="901">
        <v>0</v>
      </c>
      <c r="BM309" s="872"/>
      <c r="BN309" s="901">
        <v>0</v>
      </c>
      <c r="BO309" s="872"/>
      <c r="BP309" s="901">
        <v>0</v>
      </c>
      <c r="BQ309" s="872"/>
      <c r="BR309" s="854"/>
      <c r="BS309" s="854"/>
      <c r="BT309" s="854"/>
      <c r="BU309" s="854"/>
      <c r="BV309" s="854"/>
      <c r="BW309" s="854"/>
      <c r="BX309" s="854"/>
      <c r="BY309" s="854"/>
      <c r="BZ309" s="854"/>
      <c r="CA309" s="854"/>
      <c r="CB309" s="854"/>
      <c r="CC309" s="854"/>
      <c r="CD309" s="854"/>
      <c r="CE309" s="854"/>
      <c r="CF309" s="854"/>
      <c r="CG309" s="854" t="s">
        <v>45</v>
      </c>
    </row>
    <row r="310" spans="1:85" ht="15.75" customHeight="1">
      <c r="A310" s="847"/>
      <c r="B310" s="1126"/>
      <c r="C310" s="1126"/>
      <c r="D310" s="1126"/>
      <c r="E310" s="1126"/>
      <c r="F310" s="1126"/>
      <c r="G310" s="1126"/>
      <c r="H310" s="1126"/>
      <c r="I310" s="1126"/>
      <c r="J310" s="1126"/>
      <c r="K310" s="1126"/>
      <c r="L310" s="1126"/>
      <c r="M310" s="848"/>
      <c r="N310" s="849"/>
      <c r="O310" s="850"/>
      <c r="P310" s="850"/>
      <c r="Q310" s="850"/>
      <c r="R310" s="850"/>
      <c r="S310" s="850"/>
      <c r="T310" s="851"/>
      <c r="U310" s="851"/>
      <c r="V310" s="851"/>
      <c r="W310" s="851"/>
      <c r="X310" s="851"/>
      <c r="Y310" s="851"/>
      <c r="Z310" s="851"/>
      <c r="AA310" s="851"/>
      <c r="AB310" s="851"/>
      <c r="AC310" s="851"/>
      <c r="AD310" s="851"/>
      <c r="AE310" s="851"/>
      <c r="AF310" s="851"/>
      <c r="AG310" s="851"/>
      <c r="AH310" s="852"/>
      <c r="AI310" s="852"/>
      <c r="AJ310" s="852"/>
      <c r="AK310" s="852"/>
      <c r="AL310" s="852"/>
      <c r="AM310" s="852"/>
      <c r="AN310" s="852"/>
      <c r="AO310" s="852"/>
      <c r="AP310" s="852"/>
      <c r="AQ310" s="852"/>
      <c r="AR310" s="852"/>
      <c r="AS310" s="852"/>
      <c r="AT310" s="852"/>
      <c r="AU310" s="852"/>
      <c r="AV310" s="852"/>
      <c r="AW310" s="852"/>
      <c r="AX310" s="849"/>
      <c r="AY310" s="847"/>
      <c r="AZ310" s="847"/>
      <c r="BA310" s="847"/>
      <c r="BB310" s="847"/>
      <c r="BC310" s="853"/>
      <c r="BD310" s="854"/>
      <c r="BE310" s="854"/>
      <c r="BF310" s="854"/>
      <c r="BG310" s="870"/>
      <c r="BH310" s="905" t="s">
        <v>363</v>
      </c>
      <c r="BI310" s="854"/>
      <c r="BJ310" s="901">
        <f>+BJ307+BJ308-BJ309</f>
        <v>0</v>
      </c>
      <c r="BK310" s="872"/>
      <c r="BL310" s="901">
        <f>+BL307+BL308-BL309</f>
        <v>0</v>
      </c>
      <c r="BM310" s="872"/>
      <c r="BN310" s="901">
        <f>+BN307+BN308-BN309</f>
        <v>0</v>
      </c>
      <c r="BO310" s="872"/>
      <c r="BP310" s="901">
        <f>+BP307+BP308-BP309</f>
        <v>0</v>
      </c>
      <c r="BQ310" s="872"/>
      <c r="BR310" s="854"/>
      <c r="BS310" s="854"/>
      <c r="BT310" s="854"/>
      <c r="BU310" s="854"/>
      <c r="BV310" s="854"/>
      <c r="BW310" s="854"/>
      <c r="BX310" s="854"/>
      <c r="BY310" s="854"/>
      <c r="BZ310" s="854"/>
      <c r="CA310" s="854"/>
      <c r="CB310" s="854"/>
      <c r="CC310" s="854"/>
      <c r="CD310" s="854"/>
      <c r="CE310" s="854"/>
      <c r="CF310" s="854"/>
      <c r="CG310" s="854" t="s">
        <v>45</v>
      </c>
    </row>
    <row r="311" spans="1:85" ht="15.75" customHeight="1">
      <c r="A311" s="847"/>
      <c r="B311" s="1126"/>
      <c r="C311" s="1126"/>
      <c r="D311" s="1126"/>
      <c r="E311" s="1126"/>
      <c r="F311" s="1126"/>
      <c r="G311" s="1126"/>
      <c r="H311" s="1126"/>
      <c r="I311" s="1126"/>
      <c r="J311" s="1126"/>
      <c r="K311" s="1126"/>
      <c r="L311" s="1126"/>
      <c r="M311" s="848"/>
      <c r="N311" s="849"/>
      <c r="O311" s="850"/>
      <c r="P311" s="850"/>
      <c r="Q311" s="850"/>
      <c r="R311" s="850"/>
      <c r="S311" s="850"/>
      <c r="T311" s="851"/>
      <c r="U311" s="851"/>
      <c r="V311" s="851"/>
      <c r="W311" s="851"/>
      <c r="X311" s="851"/>
      <c r="Y311" s="851"/>
      <c r="Z311" s="851"/>
      <c r="AA311" s="851"/>
      <c r="AB311" s="851"/>
      <c r="AC311" s="851"/>
      <c r="AD311" s="851"/>
      <c r="AE311" s="851"/>
      <c r="AF311" s="851"/>
      <c r="AG311" s="851"/>
      <c r="AH311" s="852"/>
      <c r="AI311" s="852"/>
      <c r="AJ311" s="852"/>
      <c r="AK311" s="852"/>
      <c r="AL311" s="852"/>
      <c r="AM311" s="852"/>
      <c r="AN311" s="852"/>
      <c r="AO311" s="852"/>
      <c r="AP311" s="852"/>
      <c r="AQ311" s="852"/>
      <c r="AR311" s="852"/>
      <c r="AS311" s="852"/>
      <c r="AT311" s="852"/>
      <c r="AU311" s="852"/>
      <c r="AV311" s="852"/>
      <c r="AW311" s="852"/>
      <c r="AX311" s="849"/>
      <c r="AY311" s="847"/>
      <c r="AZ311" s="847"/>
      <c r="BA311" s="847"/>
      <c r="BB311" s="847"/>
      <c r="BC311" s="853"/>
      <c r="BD311" s="854"/>
      <c r="BE311" s="854"/>
      <c r="BF311" s="854"/>
      <c r="BG311" s="870"/>
      <c r="BH311" s="883" t="s">
        <v>365</v>
      </c>
      <c r="BI311" s="854"/>
      <c r="BJ311" s="901"/>
      <c r="BK311" s="872"/>
      <c r="BL311" s="901"/>
      <c r="BM311" s="872"/>
      <c r="BN311" s="901"/>
      <c r="BO311" s="872"/>
      <c r="BP311" s="901"/>
      <c r="BQ311" s="872"/>
      <c r="BR311" s="854"/>
      <c r="BS311" s="854"/>
      <c r="BT311" s="854"/>
      <c r="BU311" s="854"/>
      <c r="BV311" s="854"/>
      <c r="BW311" s="854"/>
      <c r="BX311" s="854"/>
      <c r="BY311" s="854"/>
      <c r="BZ311" s="854"/>
      <c r="CA311" s="854"/>
      <c r="CB311" s="854"/>
      <c r="CC311" s="854"/>
      <c r="CD311" s="854"/>
      <c r="CE311" s="854"/>
      <c r="CF311" s="854"/>
      <c r="CG311" s="854" t="s">
        <v>45</v>
      </c>
    </row>
    <row r="312" spans="1:85" ht="15.75" customHeight="1">
      <c r="A312" s="847"/>
      <c r="B312" s="1126"/>
      <c r="C312" s="1126"/>
      <c r="D312" s="1126"/>
      <c r="E312" s="1126"/>
      <c r="F312" s="1126"/>
      <c r="G312" s="1126"/>
      <c r="H312" s="1126"/>
      <c r="I312" s="1126"/>
      <c r="J312" s="1126"/>
      <c r="K312" s="1126"/>
      <c r="L312" s="1126"/>
      <c r="M312" s="848"/>
      <c r="N312" s="849"/>
      <c r="O312" s="850"/>
      <c r="P312" s="850"/>
      <c r="Q312" s="850"/>
      <c r="R312" s="850"/>
      <c r="S312" s="850"/>
      <c r="T312" s="851"/>
      <c r="U312" s="851"/>
      <c r="V312" s="851"/>
      <c r="W312" s="851"/>
      <c r="X312" s="851"/>
      <c r="Y312" s="851"/>
      <c r="Z312" s="851"/>
      <c r="AA312" s="851"/>
      <c r="AB312" s="851"/>
      <c r="AC312" s="851"/>
      <c r="AD312" s="851"/>
      <c r="AE312" s="851"/>
      <c r="AF312" s="851"/>
      <c r="AG312" s="851"/>
      <c r="AH312" s="852"/>
      <c r="AI312" s="852"/>
      <c r="AJ312" s="852"/>
      <c r="AK312" s="852"/>
      <c r="AL312" s="852"/>
      <c r="AM312" s="852"/>
      <c r="AN312" s="852"/>
      <c r="AO312" s="852"/>
      <c r="AP312" s="852"/>
      <c r="AQ312" s="852"/>
      <c r="AR312" s="852"/>
      <c r="AS312" s="852"/>
      <c r="AT312" s="852"/>
      <c r="AU312" s="852"/>
      <c r="AV312" s="852"/>
      <c r="AW312" s="852"/>
      <c r="AX312" s="849"/>
      <c r="AY312" s="847"/>
      <c r="AZ312" s="847"/>
      <c r="BA312" s="847"/>
      <c r="BB312" s="847"/>
      <c r="BC312" s="853"/>
      <c r="BD312" s="854"/>
      <c r="BE312" s="854"/>
      <c r="BF312" s="854"/>
      <c r="BG312" s="870"/>
      <c r="BH312" s="905" t="s">
        <v>366</v>
      </c>
      <c r="BI312" s="854"/>
      <c r="BJ312" s="906">
        <f ca="1">+BJ90/BJ196</f>
        <v>7.0849028998556589</v>
      </c>
      <c r="BK312" s="907" t="s">
        <v>367</v>
      </c>
      <c r="BL312" s="906">
        <f ca="1">+BL90/BL196</f>
        <v>3.4790625532971603E-2</v>
      </c>
      <c r="BM312" s="907" t="s">
        <v>367</v>
      </c>
      <c r="BN312" s="906">
        <f ca="1">+BN90/BN196</f>
        <v>0.11209455337266699</v>
      </c>
      <c r="BO312" s="907" t="s">
        <v>367</v>
      </c>
      <c r="BP312" s="906">
        <f ca="1">+BP90/BP196</f>
        <v>0.4005681502968666</v>
      </c>
      <c r="BQ312" s="907" t="s">
        <v>367</v>
      </c>
      <c r="BR312" s="854"/>
      <c r="BS312" s="854"/>
      <c r="BT312" s="854"/>
      <c r="BU312" s="854"/>
      <c r="BV312" s="854"/>
      <c r="BW312" s="854"/>
      <c r="BX312" s="854"/>
      <c r="BY312" s="854"/>
      <c r="BZ312" s="854"/>
      <c r="CA312" s="854"/>
      <c r="CB312" s="854"/>
      <c r="CC312" s="854"/>
      <c r="CD312" s="854"/>
      <c r="CE312" s="854"/>
      <c r="CF312" s="854"/>
      <c r="CG312" s="854" t="s">
        <v>45</v>
      </c>
    </row>
    <row r="313" spans="1:85" ht="15.75" customHeight="1">
      <c r="A313" s="847"/>
      <c r="B313" s="1126"/>
      <c r="C313" s="1126"/>
      <c r="D313" s="1126"/>
      <c r="E313" s="1126"/>
      <c r="F313" s="1126"/>
      <c r="G313" s="1126"/>
      <c r="H313" s="1126"/>
      <c r="I313" s="1126"/>
      <c r="J313" s="1126"/>
      <c r="K313" s="1126"/>
      <c r="L313" s="1126"/>
      <c r="M313" s="848"/>
      <c r="N313" s="849"/>
      <c r="O313" s="850"/>
      <c r="P313" s="850"/>
      <c r="Q313" s="850"/>
      <c r="R313" s="850"/>
      <c r="S313" s="850"/>
      <c r="T313" s="851"/>
      <c r="U313" s="851"/>
      <c r="V313" s="851"/>
      <c r="W313" s="851"/>
      <c r="X313" s="851"/>
      <c r="Y313" s="851"/>
      <c r="Z313" s="851"/>
      <c r="AA313" s="851"/>
      <c r="AB313" s="851"/>
      <c r="AC313" s="851"/>
      <c r="AD313" s="851"/>
      <c r="AE313" s="851"/>
      <c r="AF313" s="851"/>
      <c r="AG313" s="851"/>
      <c r="AH313" s="852"/>
      <c r="AI313" s="852"/>
      <c r="AJ313" s="852"/>
      <c r="AK313" s="852"/>
      <c r="AL313" s="852"/>
      <c r="AM313" s="852"/>
      <c r="AN313" s="852"/>
      <c r="AO313" s="852"/>
      <c r="AP313" s="852"/>
      <c r="AQ313" s="852"/>
      <c r="AR313" s="852"/>
      <c r="AS313" s="852"/>
      <c r="AT313" s="852"/>
      <c r="AU313" s="852"/>
      <c r="AV313" s="852"/>
      <c r="AW313" s="852"/>
      <c r="AX313" s="849"/>
      <c r="AY313" s="847"/>
      <c r="AZ313" s="847"/>
      <c r="BA313" s="847"/>
      <c r="BB313" s="847"/>
      <c r="BC313" s="853"/>
      <c r="BD313" s="854"/>
      <c r="BE313" s="854"/>
      <c r="BF313" s="854"/>
      <c r="BG313" s="870"/>
      <c r="BH313" s="905" t="s">
        <v>368</v>
      </c>
      <c r="BI313" s="854"/>
      <c r="BJ313" s="908">
        <f ca="1">+(BJ188-BX285)/(BJ298+BX285)</f>
        <v>0.18470496916666665</v>
      </c>
      <c r="BK313" s="907" t="s">
        <v>367</v>
      </c>
      <c r="BL313" s="908">
        <f ca="1">+(BL188-BZ285)/(BL298+BZ285)</f>
        <v>17.667033188333335</v>
      </c>
      <c r="BM313" s="907" t="s">
        <v>367</v>
      </c>
      <c r="BN313" s="908">
        <f ca="1">+(BN188-CB285)/(BN298+CB285)</f>
        <v>23.132395300332782</v>
      </c>
      <c r="BO313" s="907" t="s">
        <v>367</v>
      </c>
      <c r="BP313" s="908">
        <f ca="1">+(BP188-CD285)/(BP298+CD285)</f>
        <v>327.94211934470991</v>
      </c>
      <c r="BQ313" s="907" t="s">
        <v>367</v>
      </c>
      <c r="BR313" s="854"/>
      <c r="BS313" s="854"/>
      <c r="BT313" s="854"/>
      <c r="BU313" s="854"/>
      <c r="BV313" s="854"/>
      <c r="BW313" s="854"/>
      <c r="BX313" s="854"/>
      <c r="BY313" s="854"/>
      <c r="BZ313" s="854"/>
      <c r="CA313" s="854"/>
      <c r="CB313" s="854"/>
      <c r="CC313" s="854"/>
      <c r="CD313" s="854"/>
      <c r="CE313" s="854"/>
      <c r="CF313" s="854"/>
      <c r="CG313" s="854" t="s">
        <v>45</v>
      </c>
    </row>
    <row r="314" spans="1:85" ht="15.75" customHeight="1">
      <c r="A314" s="847"/>
      <c r="B314" s="1126"/>
      <c r="C314" s="1126"/>
      <c r="D314" s="1126"/>
      <c r="E314" s="1126"/>
      <c r="F314" s="1126"/>
      <c r="G314" s="1126"/>
      <c r="H314" s="1126"/>
      <c r="I314" s="1126"/>
      <c r="J314" s="1126"/>
      <c r="K314" s="1126"/>
      <c r="L314" s="1126"/>
      <c r="M314" s="848"/>
      <c r="N314" s="849"/>
      <c r="O314" s="850"/>
      <c r="P314" s="850"/>
      <c r="Q314" s="850"/>
      <c r="R314" s="850"/>
      <c r="S314" s="850"/>
      <c r="T314" s="851"/>
      <c r="U314" s="851"/>
      <c r="V314" s="851"/>
      <c r="W314" s="851"/>
      <c r="X314" s="851"/>
      <c r="Y314" s="851"/>
      <c r="Z314" s="851"/>
      <c r="AA314" s="851"/>
      <c r="AB314" s="851"/>
      <c r="AC314" s="851"/>
      <c r="AD314" s="851"/>
      <c r="AE314" s="851"/>
      <c r="AF314" s="851"/>
      <c r="AG314" s="851"/>
      <c r="AH314" s="852"/>
      <c r="AI314" s="852"/>
      <c r="AJ314" s="852"/>
      <c r="AK314" s="852"/>
      <c r="AL314" s="852"/>
      <c r="AM314" s="852"/>
      <c r="AN314" s="852"/>
      <c r="AO314" s="852"/>
      <c r="AP314" s="852"/>
      <c r="AQ314" s="852"/>
      <c r="AR314" s="852"/>
      <c r="AS314" s="852"/>
      <c r="AT314" s="852"/>
      <c r="AU314" s="852"/>
      <c r="AV314" s="852"/>
      <c r="AW314" s="852"/>
      <c r="AX314" s="849"/>
      <c r="AY314" s="847"/>
      <c r="AZ314" s="847"/>
      <c r="BA314" s="847"/>
      <c r="BB314" s="847"/>
      <c r="BC314" s="853"/>
      <c r="BD314" s="854"/>
      <c r="BE314" s="854"/>
      <c r="BF314" s="854"/>
      <c r="BG314" s="870"/>
      <c r="BH314" s="905" t="s">
        <v>369</v>
      </c>
      <c r="BI314" s="854"/>
      <c r="BJ314" s="901" t="e">
        <f>+(SUM(BX35:BX52)/SUM(BJ324:BJ338))*BK13</f>
        <v>#VALUE!</v>
      </c>
      <c r="BK314" s="907" t="s">
        <v>370</v>
      </c>
      <c r="BL314" s="901" t="e">
        <f>+(SUM(BZ35:BZ52)/SUM(BL324:BL338))*BM13</f>
        <v>#VALUE!</v>
      </c>
      <c r="BM314" s="907" t="s">
        <v>370</v>
      </c>
      <c r="BN314" s="901" t="e">
        <f>+(SUM(CB35:CB52)/SUM(BN324:BN338))*BO13</f>
        <v>#VALUE!</v>
      </c>
      <c r="BO314" s="907" t="s">
        <v>370</v>
      </c>
      <c r="BP314" s="901" t="e">
        <f>+(SUM(CD35:CD52)/SUM(BP324:BP338))*BQ13</f>
        <v>#VALUE!</v>
      </c>
      <c r="BQ314" s="907" t="s">
        <v>370</v>
      </c>
      <c r="BR314" s="854"/>
      <c r="BS314" s="854"/>
      <c r="BT314" s="854"/>
      <c r="BU314" s="854"/>
      <c r="BV314" s="854"/>
      <c r="BW314" s="854"/>
      <c r="BX314" s="854"/>
      <c r="BY314" s="854"/>
      <c r="BZ314" s="854"/>
      <c r="CA314" s="854"/>
      <c r="CB314" s="854"/>
      <c r="CC314" s="854"/>
      <c r="CD314" s="854"/>
      <c r="CE314" s="854"/>
      <c r="CF314" s="854"/>
      <c r="CG314" s="854" t="s">
        <v>45</v>
      </c>
    </row>
    <row r="315" spans="1:85" ht="15.75" customHeight="1">
      <c r="A315" s="847"/>
      <c r="B315" s="1126"/>
      <c r="C315" s="1126"/>
      <c r="D315" s="1126"/>
      <c r="E315" s="1126"/>
      <c r="F315" s="1126"/>
      <c r="G315" s="1126"/>
      <c r="H315" s="1126"/>
      <c r="I315" s="1126"/>
      <c r="J315" s="1126"/>
      <c r="K315" s="1126"/>
      <c r="L315" s="1126"/>
      <c r="M315" s="848"/>
      <c r="N315" s="849"/>
      <c r="O315" s="850"/>
      <c r="P315" s="850"/>
      <c r="Q315" s="850"/>
      <c r="R315" s="850"/>
      <c r="S315" s="850"/>
      <c r="T315" s="851"/>
      <c r="U315" s="851"/>
      <c r="V315" s="851"/>
      <c r="W315" s="851"/>
      <c r="X315" s="851"/>
      <c r="Y315" s="851"/>
      <c r="Z315" s="851"/>
      <c r="AA315" s="851"/>
      <c r="AB315" s="851"/>
      <c r="AC315" s="851"/>
      <c r="AD315" s="851"/>
      <c r="AE315" s="851"/>
      <c r="AF315" s="851"/>
      <c r="AG315" s="851"/>
      <c r="AH315" s="852"/>
      <c r="AI315" s="852"/>
      <c r="AJ315" s="852"/>
      <c r="AK315" s="852"/>
      <c r="AL315" s="852"/>
      <c r="AM315" s="852"/>
      <c r="AN315" s="852"/>
      <c r="AO315" s="852"/>
      <c r="AP315" s="852"/>
      <c r="AQ315" s="852"/>
      <c r="AR315" s="852"/>
      <c r="AS315" s="852"/>
      <c r="AT315" s="852"/>
      <c r="AU315" s="852"/>
      <c r="AV315" s="852"/>
      <c r="AW315" s="852"/>
      <c r="AX315" s="849"/>
      <c r="AY315" s="847"/>
      <c r="AZ315" s="847"/>
      <c r="BA315" s="847"/>
      <c r="BB315" s="847"/>
      <c r="BC315" s="853"/>
      <c r="BD315" s="854"/>
      <c r="BE315" s="854"/>
      <c r="BF315" s="854"/>
      <c r="BG315" s="870"/>
      <c r="BH315" s="905" t="s">
        <v>371</v>
      </c>
      <c r="BI315" s="854"/>
      <c r="BJ315" s="901" t="e">
        <f>+(SUM(BJ55:BJ69)/SUM(BJ339:BJ353))*BK13</f>
        <v>#VALUE!</v>
      </c>
      <c r="BK315" s="907" t="s">
        <v>370</v>
      </c>
      <c r="BL315" s="901" t="e">
        <f>+(SUM(BL55:BL69)/SUM(BL339:BL353))*BM13</f>
        <v>#VALUE!</v>
      </c>
      <c r="BM315" s="907" t="s">
        <v>370</v>
      </c>
      <c r="BN315" s="901" t="e">
        <f>+(SUM(BN55:BN69)/SUM(BN339:BN353))*BO13</f>
        <v>#VALUE!</v>
      </c>
      <c r="BO315" s="907" t="s">
        <v>370</v>
      </c>
      <c r="BP315" s="901" t="e">
        <f>+(SUM(BP55:BP69)/SUM(BP339:BP353))*BQ13</f>
        <v>#VALUE!</v>
      </c>
      <c r="BQ315" s="907" t="s">
        <v>370</v>
      </c>
      <c r="BR315" s="854"/>
      <c r="BS315" s="854"/>
      <c r="BT315" s="854"/>
      <c r="BU315" s="854"/>
      <c r="BV315" s="854"/>
      <c r="BW315" s="854"/>
      <c r="BX315" s="854"/>
      <c r="BY315" s="854"/>
      <c r="BZ315" s="854"/>
      <c r="CA315" s="854"/>
      <c r="CB315" s="854"/>
      <c r="CC315" s="854"/>
      <c r="CD315" s="854"/>
      <c r="CE315" s="854"/>
      <c r="CF315" s="854"/>
      <c r="CG315" s="854" t="s">
        <v>45</v>
      </c>
    </row>
    <row r="316" spans="1:85" ht="15.75" customHeight="1">
      <c r="A316" s="847"/>
      <c r="B316" s="1126"/>
      <c r="C316" s="1126"/>
      <c r="D316" s="1126"/>
      <c r="E316" s="1126"/>
      <c r="F316" s="1126"/>
      <c r="G316" s="1126"/>
      <c r="H316" s="1126"/>
      <c r="I316" s="1126"/>
      <c r="J316" s="1126"/>
      <c r="K316" s="1126"/>
      <c r="L316" s="1126"/>
      <c r="M316" s="848"/>
      <c r="N316" s="849"/>
      <c r="O316" s="850"/>
      <c r="P316" s="850"/>
      <c r="Q316" s="850"/>
      <c r="R316" s="850"/>
      <c r="S316" s="850"/>
      <c r="T316" s="851"/>
      <c r="U316" s="851"/>
      <c r="V316" s="851"/>
      <c r="W316" s="851"/>
      <c r="X316" s="851"/>
      <c r="Y316" s="851"/>
      <c r="Z316" s="851"/>
      <c r="AA316" s="851"/>
      <c r="AB316" s="851"/>
      <c r="AC316" s="851"/>
      <c r="AD316" s="851"/>
      <c r="AE316" s="851"/>
      <c r="AF316" s="851"/>
      <c r="AG316" s="851"/>
      <c r="AH316" s="852"/>
      <c r="AI316" s="852"/>
      <c r="AJ316" s="852"/>
      <c r="AK316" s="852"/>
      <c r="AL316" s="852"/>
      <c r="AM316" s="852"/>
      <c r="AN316" s="852"/>
      <c r="AO316" s="852"/>
      <c r="AP316" s="852"/>
      <c r="AQ316" s="852"/>
      <c r="AR316" s="852"/>
      <c r="AS316" s="852"/>
      <c r="AT316" s="852"/>
      <c r="AU316" s="852"/>
      <c r="AV316" s="852"/>
      <c r="AW316" s="852"/>
      <c r="AX316" s="849"/>
      <c r="AY316" s="847"/>
      <c r="AZ316" s="847"/>
      <c r="BA316" s="847"/>
      <c r="BB316" s="847"/>
      <c r="BC316" s="853"/>
      <c r="BD316" s="854"/>
      <c r="BE316" s="854"/>
      <c r="BF316" s="854"/>
      <c r="BG316" s="870"/>
      <c r="BH316" s="905" t="s">
        <v>372</v>
      </c>
      <c r="BI316" s="854"/>
      <c r="BJ316" s="901" t="e">
        <f ca="1">+(SUM(BJ173:BJ198)/SUM(BJ339:BJ353))*BK13</f>
        <v>#VALUE!</v>
      </c>
      <c r="BK316" s="907" t="s">
        <v>370</v>
      </c>
      <c r="BL316" s="901" t="e">
        <f ca="1">+(SUM(BL173:BL198)/SUM(BL339:BL353))*BM13</f>
        <v>#VALUE!</v>
      </c>
      <c r="BM316" s="907" t="s">
        <v>370</v>
      </c>
      <c r="BN316" s="901" t="e">
        <f ca="1">+(SUM(BN173:BN198)/SUM(BN339:BN353))*BO13</f>
        <v>#VALUE!</v>
      </c>
      <c r="BO316" s="907" t="s">
        <v>370</v>
      </c>
      <c r="BP316" s="901" t="e">
        <f ca="1">+(SUM(BP173:BP198)/SUM(BP339:BP353))*BQ13</f>
        <v>#VALUE!</v>
      </c>
      <c r="BQ316" s="907" t="s">
        <v>370</v>
      </c>
      <c r="BR316" s="854"/>
      <c r="BS316" s="854"/>
      <c r="BT316" s="854"/>
      <c r="BU316" s="854"/>
      <c r="BV316" s="854"/>
      <c r="BW316" s="854"/>
      <c r="BX316" s="854"/>
      <c r="BY316" s="854"/>
      <c r="BZ316" s="854"/>
      <c r="CA316" s="854"/>
      <c r="CB316" s="854"/>
      <c r="CC316" s="854"/>
      <c r="CD316" s="854"/>
      <c r="CE316" s="854"/>
      <c r="CF316" s="854"/>
      <c r="CG316" s="854" t="s">
        <v>45</v>
      </c>
    </row>
    <row r="317" spans="1:85" ht="15.75" customHeight="1">
      <c r="A317" s="847"/>
      <c r="B317" s="1126"/>
      <c r="C317" s="1126"/>
      <c r="D317" s="1126"/>
      <c r="E317" s="1126"/>
      <c r="F317" s="1126"/>
      <c r="G317" s="1126"/>
      <c r="H317" s="1126"/>
      <c r="I317" s="1126"/>
      <c r="J317" s="1126"/>
      <c r="K317" s="1126"/>
      <c r="L317" s="1126"/>
      <c r="M317" s="848"/>
      <c r="N317" s="849"/>
      <c r="O317" s="850"/>
      <c r="P317" s="850"/>
      <c r="Q317" s="850"/>
      <c r="R317" s="850"/>
      <c r="S317" s="850"/>
      <c r="T317" s="851"/>
      <c r="U317" s="851"/>
      <c r="V317" s="851"/>
      <c r="W317" s="851"/>
      <c r="X317" s="851"/>
      <c r="Y317" s="851"/>
      <c r="Z317" s="851"/>
      <c r="AA317" s="851"/>
      <c r="AB317" s="851"/>
      <c r="AC317" s="851"/>
      <c r="AD317" s="851"/>
      <c r="AE317" s="851"/>
      <c r="AF317" s="851"/>
      <c r="AG317" s="851"/>
      <c r="AH317" s="852"/>
      <c r="AI317" s="852"/>
      <c r="AJ317" s="852"/>
      <c r="AK317" s="852"/>
      <c r="AL317" s="852"/>
      <c r="AM317" s="852"/>
      <c r="AN317" s="852"/>
      <c r="AO317" s="852"/>
      <c r="AP317" s="852"/>
      <c r="AQ317" s="852"/>
      <c r="AR317" s="852"/>
      <c r="AS317" s="852"/>
      <c r="AT317" s="852"/>
      <c r="AU317" s="852"/>
      <c r="AV317" s="852"/>
      <c r="AW317" s="852"/>
      <c r="AX317" s="849"/>
      <c r="AY317" s="847"/>
      <c r="AZ317" s="847"/>
      <c r="BA317" s="847"/>
      <c r="BB317" s="847"/>
      <c r="BC317" s="853"/>
      <c r="BD317" s="854"/>
      <c r="BE317" s="854"/>
      <c r="BF317" s="854"/>
      <c r="BG317" s="909"/>
      <c r="BH317" s="910" t="s">
        <v>373</v>
      </c>
      <c r="BI317" s="854"/>
      <c r="BJ317" s="911">
        <f ca="1">BJ299-BJ157</f>
        <v>-2093.8911390000003</v>
      </c>
      <c r="BK317" s="911"/>
      <c r="BL317" s="911">
        <f ca="1">BL299-BL157</f>
        <v>21388.297310000002</v>
      </c>
      <c r="BM317" s="911"/>
      <c r="BN317" s="911">
        <f ca="1">BN299-BN157</f>
        <v>24265.338821000005</v>
      </c>
      <c r="BO317" s="911"/>
      <c r="BP317" s="911">
        <f ca="1">BP299-BP157</f>
        <v>81632.769448000065</v>
      </c>
      <c r="BQ317" s="854"/>
      <c r="BR317" s="854"/>
      <c r="BS317" s="854"/>
      <c r="BT317" s="854"/>
      <c r="BU317" s="854"/>
      <c r="BV317" s="854"/>
      <c r="BW317" s="854"/>
      <c r="BX317" s="854"/>
      <c r="BY317" s="854"/>
      <c r="BZ317" s="854"/>
      <c r="CA317" s="854"/>
      <c r="CB317" s="854"/>
      <c r="CC317" s="854"/>
      <c r="CD317" s="854"/>
      <c r="CE317" s="854"/>
      <c r="CF317" s="854"/>
      <c r="CG317" s="854" t="s">
        <v>45</v>
      </c>
    </row>
    <row r="318" spans="1:85" ht="15.75" customHeight="1">
      <c r="A318" s="847"/>
      <c r="B318" s="1126"/>
      <c r="C318" s="1126"/>
      <c r="D318" s="1126"/>
      <c r="E318" s="1126"/>
      <c r="F318" s="1126"/>
      <c r="G318" s="1126"/>
      <c r="H318" s="1126"/>
      <c r="I318" s="1126"/>
      <c r="J318" s="1126"/>
      <c r="K318" s="1126"/>
      <c r="L318" s="1126"/>
      <c r="M318" s="848"/>
      <c r="N318" s="849"/>
      <c r="O318" s="850"/>
      <c r="P318" s="850"/>
      <c r="Q318" s="850"/>
      <c r="R318" s="850"/>
      <c r="S318" s="850"/>
      <c r="T318" s="851"/>
      <c r="U318" s="851"/>
      <c r="V318" s="851"/>
      <c r="W318" s="851"/>
      <c r="X318" s="851"/>
      <c r="Y318" s="851"/>
      <c r="Z318" s="851"/>
      <c r="AA318" s="851"/>
      <c r="AB318" s="851"/>
      <c r="AC318" s="851"/>
      <c r="AD318" s="851"/>
      <c r="AE318" s="851"/>
      <c r="AF318" s="851"/>
      <c r="AG318" s="851"/>
      <c r="AH318" s="852"/>
      <c r="AI318" s="852"/>
      <c r="AJ318" s="852"/>
      <c r="AK318" s="852"/>
      <c r="AL318" s="852"/>
      <c r="AM318" s="852"/>
      <c r="AN318" s="852"/>
      <c r="AO318" s="852"/>
      <c r="AP318" s="852"/>
      <c r="AQ318" s="852"/>
      <c r="AR318" s="852"/>
      <c r="AS318" s="852"/>
      <c r="AT318" s="852"/>
      <c r="AU318" s="852"/>
      <c r="AV318" s="852"/>
      <c r="AW318" s="852"/>
      <c r="AX318" s="849"/>
      <c r="AY318" s="847"/>
      <c r="AZ318" s="847"/>
      <c r="BA318" s="847"/>
      <c r="BB318" s="847"/>
      <c r="BC318" s="853"/>
      <c r="BD318" s="854"/>
      <c r="BE318" s="854"/>
      <c r="BF318" s="854"/>
      <c r="BG318" s="912"/>
      <c r="BH318" s="912"/>
      <c r="BI318" s="912"/>
      <c r="BJ318" s="912"/>
      <c r="BK318" s="912"/>
      <c r="BL318" s="912"/>
      <c r="BM318" s="912"/>
      <c r="BN318" s="912"/>
      <c r="BO318" s="912"/>
      <c r="BP318" s="912"/>
      <c r="BQ318" s="854"/>
      <c r="BR318" s="854"/>
      <c r="BS318" s="854"/>
      <c r="BT318" s="854"/>
      <c r="BU318" s="854"/>
      <c r="BV318" s="854"/>
      <c r="BW318" s="854"/>
      <c r="BX318" s="854"/>
      <c r="BY318" s="854"/>
      <c r="BZ318" s="854"/>
      <c r="CA318" s="854"/>
      <c r="CB318" s="854"/>
      <c r="CC318" s="854"/>
      <c r="CD318" s="854"/>
      <c r="CE318" s="854"/>
      <c r="CF318" s="854"/>
      <c r="CG318" s="854" t="s">
        <v>45</v>
      </c>
    </row>
    <row r="319" spans="1:85" ht="15.75" customHeight="1">
      <c r="A319" s="847"/>
      <c r="B319" s="1126"/>
      <c r="C319" s="1126"/>
      <c r="D319" s="1126"/>
      <c r="E319" s="1126"/>
      <c r="F319" s="1126"/>
      <c r="G319" s="1126"/>
      <c r="H319" s="1126"/>
      <c r="I319" s="1126"/>
      <c r="J319" s="1126"/>
      <c r="K319" s="1126"/>
      <c r="L319" s="1126"/>
      <c r="M319" s="848"/>
      <c r="N319" s="849"/>
      <c r="O319" s="850"/>
      <c r="P319" s="850"/>
      <c r="Q319" s="850"/>
      <c r="R319" s="850"/>
      <c r="S319" s="850"/>
      <c r="T319" s="851"/>
      <c r="U319" s="851"/>
      <c r="V319" s="851"/>
      <c r="W319" s="851"/>
      <c r="X319" s="851"/>
      <c r="Y319" s="851"/>
      <c r="Z319" s="851"/>
      <c r="AA319" s="851"/>
      <c r="AB319" s="851"/>
      <c r="AC319" s="851"/>
      <c r="AD319" s="851"/>
      <c r="AE319" s="851"/>
      <c r="AF319" s="851"/>
      <c r="AG319" s="851"/>
      <c r="AH319" s="852"/>
      <c r="AI319" s="852"/>
      <c r="AJ319" s="852"/>
      <c r="AK319" s="852"/>
      <c r="AL319" s="852"/>
      <c r="AM319" s="852"/>
      <c r="AN319" s="852"/>
      <c r="AO319" s="852"/>
      <c r="AP319" s="852"/>
      <c r="AQ319" s="852"/>
      <c r="AR319" s="852"/>
      <c r="AS319" s="852"/>
      <c r="AT319" s="852"/>
      <c r="AU319" s="852"/>
      <c r="AV319" s="852"/>
      <c r="AW319" s="852"/>
      <c r="AX319" s="849"/>
      <c r="AY319" s="847"/>
      <c r="AZ319" s="847"/>
      <c r="BA319" s="847"/>
      <c r="BB319" s="847"/>
      <c r="BC319" s="853"/>
      <c r="BD319" s="854"/>
      <c r="BE319" s="854"/>
      <c r="BF319" s="854"/>
      <c r="BG319" s="912"/>
      <c r="BH319" s="912"/>
      <c r="BI319" s="912"/>
      <c r="BJ319" s="912"/>
      <c r="BK319" s="912"/>
      <c r="BL319" s="912"/>
      <c r="BM319" s="912"/>
      <c r="BN319" s="912"/>
      <c r="BO319" s="912"/>
      <c r="BP319" s="912"/>
      <c r="BQ319" s="854"/>
      <c r="BR319" s="854"/>
      <c r="BS319" s="854"/>
      <c r="BT319" s="854"/>
      <c r="BU319" s="854"/>
      <c r="BV319" s="854"/>
      <c r="BW319" s="854"/>
      <c r="BX319" s="854"/>
      <c r="BY319" s="854"/>
      <c r="BZ319" s="854"/>
      <c r="CA319" s="854"/>
      <c r="CB319" s="854"/>
      <c r="CC319" s="854"/>
      <c r="CD319" s="854"/>
      <c r="CE319" s="854"/>
      <c r="CF319" s="854"/>
      <c r="CG319" s="854" t="s">
        <v>45</v>
      </c>
    </row>
    <row r="320" spans="1:85" ht="16.5" customHeight="1">
      <c r="A320" s="847"/>
      <c r="B320" s="1126"/>
      <c r="C320" s="1126"/>
      <c r="D320" s="1126"/>
      <c r="E320" s="1126"/>
      <c r="F320" s="1126"/>
      <c r="G320" s="1126"/>
      <c r="H320" s="1126"/>
      <c r="I320" s="1126"/>
      <c r="J320" s="1126"/>
      <c r="K320" s="1126"/>
      <c r="L320" s="1126"/>
      <c r="M320" s="848"/>
      <c r="N320" s="849"/>
      <c r="O320" s="850"/>
      <c r="P320" s="850"/>
      <c r="Q320" s="850"/>
      <c r="R320" s="850"/>
      <c r="S320" s="850"/>
      <c r="T320" s="851"/>
      <c r="U320" s="851"/>
      <c r="V320" s="851"/>
      <c r="W320" s="851"/>
      <c r="X320" s="851"/>
      <c r="Y320" s="851"/>
      <c r="Z320" s="851"/>
      <c r="AA320" s="851"/>
      <c r="AB320" s="851"/>
      <c r="AC320" s="851"/>
      <c r="AD320" s="851"/>
      <c r="AE320" s="851"/>
      <c r="AF320" s="851"/>
      <c r="AG320" s="851"/>
      <c r="AH320" s="852"/>
      <c r="AI320" s="852"/>
      <c r="AJ320" s="852"/>
      <c r="AK320" s="852"/>
      <c r="AL320" s="852"/>
      <c r="AM320" s="852"/>
      <c r="AN320" s="852"/>
      <c r="AO320" s="852"/>
      <c r="AP320" s="852"/>
      <c r="AQ320" s="852"/>
      <c r="AR320" s="852"/>
      <c r="AS320" s="852"/>
      <c r="AT320" s="852"/>
      <c r="AU320" s="852"/>
      <c r="AV320" s="852"/>
      <c r="AW320" s="852"/>
      <c r="AX320" s="849"/>
      <c r="AY320" s="847"/>
      <c r="AZ320" s="847"/>
      <c r="BA320" s="847"/>
      <c r="BB320" s="847"/>
      <c r="BC320" s="853"/>
      <c r="BD320" s="854"/>
      <c r="BE320" s="854"/>
      <c r="BF320" s="854"/>
      <c r="BG320" s="1511" t="s">
        <v>374</v>
      </c>
      <c r="BH320" s="1494"/>
      <c r="BI320" s="1494"/>
      <c r="BJ320" s="1494"/>
      <c r="BK320" s="1494"/>
      <c r="BL320" s="1494"/>
      <c r="BM320" s="1494"/>
      <c r="BN320" s="1494"/>
      <c r="BO320" s="1494"/>
      <c r="BP320" s="1494"/>
      <c r="BQ320" s="1494"/>
      <c r="BR320" s="854"/>
      <c r="BS320" s="854"/>
      <c r="BT320" s="854"/>
      <c r="BU320" s="854"/>
      <c r="BV320" s="854"/>
      <c r="BW320" s="854"/>
      <c r="BX320" s="854"/>
      <c r="BY320" s="854"/>
      <c r="BZ320" s="854"/>
      <c r="CA320" s="854"/>
      <c r="CB320" s="854"/>
      <c r="CC320" s="854"/>
      <c r="CD320" s="854"/>
      <c r="CE320" s="854"/>
      <c r="CF320" s="854"/>
      <c r="CG320" s="854" t="s">
        <v>45</v>
      </c>
    </row>
    <row r="321" spans="1:85" ht="16.5" customHeight="1">
      <c r="A321" s="847"/>
      <c r="B321" s="1126"/>
      <c r="C321" s="1126"/>
      <c r="D321" s="1126"/>
      <c r="E321" s="1126"/>
      <c r="F321" s="1126"/>
      <c r="G321" s="1126"/>
      <c r="H321" s="1126"/>
      <c r="I321" s="1126"/>
      <c r="J321" s="1126"/>
      <c r="K321" s="1126"/>
      <c r="L321" s="1126"/>
      <c r="M321" s="848"/>
      <c r="N321" s="849"/>
      <c r="O321" s="850"/>
      <c r="P321" s="850"/>
      <c r="Q321" s="850"/>
      <c r="R321" s="850"/>
      <c r="S321" s="850"/>
      <c r="T321" s="851"/>
      <c r="U321" s="851"/>
      <c r="V321" s="851"/>
      <c r="W321" s="851"/>
      <c r="X321" s="851"/>
      <c r="Y321" s="851"/>
      <c r="Z321" s="851"/>
      <c r="AA321" s="851"/>
      <c r="AB321" s="851"/>
      <c r="AC321" s="851"/>
      <c r="AD321" s="851"/>
      <c r="AE321" s="851"/>
      <c r="AF321" s="851"/>
      <c r="AG321" s="851"/>
      <c r="AH321" s="852"/>
      <c r="AI321" s="852"/>
      <c r="AJ321" s="852"/>
      <c r="AK321" s="852"/>
      <c r="AL321" s="852"/>
      <c r="AM321" s="852"/>
      <c r="AN321" s="852"/>
      <c r="AO321" s="852"/>
      <c r="AP321" s="852"/>
      <c r="AQ321" s="852"/>
      <c r="AR321" s="852"/>
      <c r="AS321" s="852"/>
      <c r="AT321" s="852"/>
      <c r="AU321" s="852"/>
      <c r="AV321" s="852"/>
      <c r="AW321" s="852"/>
      <c r="AX321" s="849"/>
      <c r="AY321" s="847"/>
      <c r="AZ321" s="847"/>
      <c r="BA321" s="847"/>
      <c r="BB321" s="847"/>
      <c r="BC321" s="853"/>
      <c r="BD321" s="854"/>
      <c r="BE321" s="854"/>
      <c r="BF321" s="854"/>
      <c r="BG321" s="1493" t="str">
        <f>+BG12</f>
        <v>Satuan laporan keuangan</v>
      </c>
      <c r="BH321" s="1494"/>
      <c r="BI321" s="1494"/>
      <c r="BJ321" s="1512" t="s">
        <v>81</v>
      </c>
      <c r="BK321" s="1494"/>
      <c r="BL321" s="1494"/>
      <c r="BM321" s="1494"/>
      <c r="BN321" s="1494"/>
      <c r="BO321" s="1494"/>
      <c r="BP321" s="1494"/>
      <c r="BQ321" s="1494"/>
      <c r="BR321" s="854"/>
      <c r="BS321" s="854"/>
      <c r="BT321" s="854"/>
      <c r="BU321" s="854"/>
      <c r="BV321" s="854"/>
      <c r="BW321" s="854"/>
      <c r="BX321" s="854"/>
      <c r="BY321" s="854"/>
      <c r="BZ321" s="854"/>
      <c r="CA321" s="854"/>
      <c r="CB321" s="854"/>
      <c r="CC321" s="854"/>
      <c r="CD321" s="854"/>
      <c r="CE321" s="854"/>
      <c r="CF321" s="854"/>
      <c r="CG321" s="854" t="s">
        <v>45</v>
      </c>
    </row>
    <row r="322" spans="1:85" ht="15.75" customHeight="1">
      <c r="A322" s="847"/>
      <c r="B322" s="1126"/>
      <c r="C322" s="1126"/>
      <c r="D322" s="1126"/>
      <c r="E322" s="1126"/>
      <c r="F322" s="1126"/>
      <c r="G322" s="1126"/>
      <c r="H322" s="1126"/>
      <c r="I322" s="1126"/>
      <c r="J322" s="1126"/>
      <c r="K322" s="1126"/>
      <c r="L322" s="1126"/>
      <c r="M322" s="848"/>
      <c r="N322" s="849"/>
      <c r="O322" s="850"/>
      <c r="P322" s="850"/>
      <c r="Q322" s="850"/>
      <c r="R322" s="850"/>
      <c r="S322" s="850"/>
      <c r="T322" s="851"/>
      <c r="U322" s="851"/>
      <c r="V322" s="851"/>
      <c r="W322" s="851"/>
      <c r="X322" s="851"/>
      <c r="Y322" s="851"/>
      <c r="Z322" s="851"/>
      <c r="AA322" s="851"/>
      <c r="AB322" s="851"/>
      <c r="AC322" s="851"/>
      <c r="AD322" s="851"/>
      <c r="AE322" s="851"/>
      <c r="AF322" s="851"/>
      <c r="AG322" s="851"/>
      <c r="AH322" s="852"/>
      <c r="AI322" s="852"/>
      <c r="AJ322" s="852"/>
      <c r="AK322" s="852"/>
      <c r="AL322" s="852"/>
      <c r="AM322" s="852"/>
      <c r="AN322" s="852"/>
      <c r="AO322" s="852"/>
      <c r="AP322" s="852"/>
      <c r="AQ322" s="852"/>
      <c r="AR322" s="852"/>
      <c r="AS322" s="852"/>
      <c r="AT322" s="852"/>
      <c r="AU322" s="852"/>
      <c r="AV322" s="852"/>
      <c r="AW322" s="852"/>
      <c r="AX322" s="849"/>
      <c r="AY322" s="847"/>
      <c r="AZ322" s="847"/>
      <c r="BA322" s="847"/>
      <c r="BB322" s="847"/>
      <c r="BC322" s="853"/>
      <c r="BD322" s="854"/>
      <c r="BE322" s="854"/>
      <c r="BF322" s="854"/>
      <c r="BG322" s="1493" t="str">
        <f>+BG13</f>
        <v>Rp. Juta</v>
      </c>
      <c r="BH322" s="1494"/>
      <c r="BI322" s="1494"/>
      <c r="BJ322" s="865" t="e">
        <f t="shared" ref="BJ322:BQ322" si="102">+BJ13</f>
        <v>#VALUE!</v>
      </c>
      <c r="BK322" s="864" t="e">
        <f t="shared" si="102"/>
        <v>#VALUE!</v>
      </c>
      <c r="BL322" s="865" t="e">
        <f t="shared" si="102"/>
        <v>#VALUE!</v>
      </c>
      <c r="BM322" s="864" t="e">
        <f t="shared" si="102"/>
        <v>#VALUE!</v>
      </c>
      <c r="BN322" s="865" t="e">
        <f t="shared" si="102"/>
        <v>#VALUE!</v>
      </c>
      <c r="BO322" s="864" t="e">
        <f t="shared" si="102"/>
        <v>#VALUE!</v>
      </c>
      <c r="BP322" s="865" t="e">
        <f t="shared" si="102"/>
        <v>#VALUE!</v>
      </c>
      <c r="BQ322" s="864" t="e">
        <f t="shared" si="102"/>
        <v>#VALUE!</v>
      </c>
      <c r="BR322" s="854"/>
      <c r="BS322" s="854"/>
      <c r="BT322" s="854"/>
      <c r="BU322" s="854"/>
      <c r="BV322" s="854"/>
      <c r="BW322" s="854"/>
      <c r="BX322" s="854"/>
      <c r="BY322" s="854"/>
      <c r="BZ322" s="854"/>
      <c r="CA322" s="854"/>
      <c r="CB322" s="854"/>
      <c r="CC322" s="854"/>
      <c r="CD322" s="854"/>
      <c r="CE322" s="854"/>
      <c r="CF322" s="854"/>
      <c r="CG322" s="854" t="s">
        <v>45</v>
      </c>
    </row>
    <row r="323" spans="1:85" ht="15.75" customHeight="1">
      <c r="A323" s="847"/>
      <c r="B323" s="1126"/>
      <c r="C323" s="1126"/>
      <c r="D323" s="1126"/>
      <c r="E323" s="1126"/>
      <c r="F323" s="1126"/>
      <c r="G323" s="1126"/>
      <c r="H323" s="1126"/>
      <c r="I323" s="1126"/>
      <c r="J323" s="1126"/>
      <c r="K323" s="1126"/>
      <c r="L323" s="1126"/>
      <c r="M323" s="848"/>
      <c r="N323" s="849"/>
      <c r="O323" s="850"/>
      <c r="P323" s="850"/>
      <c r="Q323" s="850"/>
      <c r="R323" s="850"/>
      <c r="S323" s="850"/>
      <c r="T323" s="851"/>
      <c r="U323" s="851"/>
      <c r="V323" s="851"/>
      <c r="W323" s="851"/>
      <c r="X323" s="851"/>
      <c r="Y323" s="851"/>
      <c r="Z323" s="851"/>
      <c r="AA323" s="851"/>
      <c r="AB323" s="851"/>
      <c r="AC323" s="851"/>
      <c r="AD323" s="851"/>
      <c r="AE323" s="851"/>
      <c r="AF323" s="851"/>
      <c r="AG323" s="851"/>
      <c r="AH323" s="852"/>
      <c r="AI323" s="852"/>
      <c r="AJ323" s="852"/>
      <c r="AK323" s="852"/>
      <c r="AL323" s="852"/>
      <c r="AM323" s="852"/>
      <c r="AN323" s="852"/>
      <c r="AO323" s="852"/>
      <c r="AP323" s="852"/>
      <c r="AQ323" s="852"/>
      <c r="AR323" s="852"/>
      <c r="AS323" s="852"/>
      <c r="AT323" s="852"/>
      <c r="AU323" s="852"/>
      <c r="AV323" s="852"/>
      <c r="AW323" s="852"/>
      <c r="AX323" s="849"/>
      <c r="AY323" s="847"/>
      <c r="AZ323" s="847"/>
      <c r="BA323" s="847"/>
      <c r="BB323" s="847"/>
      <c r="BC323" s="853"/>
      <c r="BD323" s="854"/>
      <c r="BE323" s="854"/>
      <c r="BF323" s="854"/>
      <c r="BG323" s="884"/>
      <c r="BH323" s="884"/>
      <c r="BI323" s="884"/>
      <c r="BJ323" s="864" t="s">
        <v>87</v>
      </c>
      <c r="BK323" s="868" t="s">
        <v>86</v>
      </c>
      <c r="BL323" s="864" t="s">
        <v>87</v>
      </c>
      <c r="BM323" s="868" t="s">
        <v>86</v>
      </c>
      <c r="BN323" s="864" t="s">
        <v>87</v>
      </c>
      <c r="BO323" s="868" t="s">
        <v>86</v>
      </c>
      <c r="BP323" s="864" t="s">
        <v>87</v>
      </c>
      <c r="BQ323" s="868" t="s">
        <v>86</v>
      </c>
      <c r="BR323" s="854"/>
      <c r="BS323" s="854"/>
      <c r="BT323" s="854"/>
      <c r="BU323" s="854"/>
      <c r="BV323" s="854"/>
      <c r="BW323" s="854"/>
      <c r="BX323" s="854"/>
      <c r="BY323" s="854"/>
      <c r="BZ323" s="854"/>
      <c r="CA323" s="854"/>
      <c r="CB323" s="854"/>
      <c r="CC323" s="854"/>
      <c r="CD323" s="854"/>
      <c r="CE323" s="854"/>
      <c r="CF323" s="854"/>
      <c r="CG323" s="854" t="s">
        <v>45</v>
      </c>
    </row>
    <row r="324" spans="1:85" ht="15.75" customHeight="1">
      <c r="A324" s="847"/>
      <c r="B324" s="1126"/>
      <c r="C324" s="1126"/>
      <c r="D324" s="1126"/>
      <c r="E324" s="1126"/>
      <c r="F324" s="1126"/>
      <c r="G324" s="1126"/>
      <c r="H324" s="1126"/>
      <c r="I324" s="1126"/>
      <c r="J324" s="1126"/>
      <c r="K324" s="1126"/>
      <c r="L324" s="1126"/>
      <c r="M324" s="848"/>
      <c r="N324" s="849"/>
      <c r="O324" s="850"/>
      <c r="P324" s="850"/>
      <c r="Q324" s="850"/>
      <c r="R324" s="850"/>
      <c r="S324" s="850"/>
      <c r="T324" s="851"/>
      <c r="U324" s="851"/>
      <c r="V324" s="851"/>
      <c r="W324" s="851"/>
      <c r="X324" s="851"/>
      <c r="Y324" s="851"/>
      <c r="Z324" s="851"/>
      <c r="AA324" s="851"/>
      <c r="AB324" s="851"/>
      <c r="AC324" s="851"/>
      <c r="AD324" s="851"/>
      <c r="AE324" s="851"/>
      <c r="AF324" s="851"/>
      <c r="AG324" s="851"/>
      <c r="AH324" s="852"/>
      <c r="AI324" s="852"/>
      <c r="AJ324" s="852"/>
      <c r="AK324" s="852"/>
      <c r="AL324" s="852"/>
      <c r="AM324" s="852"/>
      <c r="AN324" s="852"/>
      <c r="AO324" s="852"/>
      <c r="AP324" s="852"/>
      <c r="AQ324" s="852"/>
      <c r="AR324" s="852"/>
      <c r="AS324" s="852"/>
      <c r="AT324" s="852"/>
      <c r="AU324" s="852"/>
      <c r="AV324" s="852"/>
      <c r="AW324" s="852"/>
      <c r="AX324" s="849"/>
      <c r="AY324" s="847"/>
      <c r="AZ324" s="847"/>
      <c r="BA324" s="847"/>
      <c r="BB324" s="847"/>
      <c r="BC324" s="853"/>
      <c r="BD324" s="854"/>
      <c r="BE324" s="854"/>
      <c r="BF324" s="854"/>
      <c r="BG324" s="870">
        <v>1</v>
      </c>
      <c r="BH324" s="860" t="s">
        <v>375</v>
      </c>
      <c r="BI324" s="912"/>
      <c r="BJ324" s="871">
        <v>19339.237991000002</v>
      </c>
      <c r="BK324" s="872">
        <f t="shared" ref="BK324:BK353" si="103">IF(SUM(BJ$324:BJ$338)=0,0,BJ324/SUM(BJ$324:BJ$338)*100)</f>
        <v>100</v>
      </c>
      <c r="BL324" s="871">
        <v>217503.035837</v>
      </c>
      <c r="BM324" s="872">
        <f t="shared" ref="BM324:BM353" si="104">IF(SUM(BL$324:BL$338)=0,0,BL324/SUM(BL$324:BL$338)*100)</f>
        <v>100</v>
      </c>
      <c r="BN324" s="871">
        <v>19056.423204999999</v>
      </c>
      <c r="BO324" s="872">
        <f t="shared" ref="BO324:BO353" si="105">IF(SUM(BN$324:BN$338)=0,0,BN324/SUM(BN$324:BN$338)*100)</f>
        <v>100</v>
      </c>
      <c r="BP324" s="871">
        <v>407728.31453899998</v>
      </c>
      <c r="BQ324" s="872">
        <f t="shared" ref="BQ324:BQ353" si="106">IF(SUM(BP$324:BP$338)=0,0,BP324/SUM(BP$324:BP$338)*100)</f>
        <v>100</v>
      </c>
      <c r="BR324" s="854"/>
      <c r="BS324" s="854"/>
      <c r="BT324" s="854"/>
      <c r="BU324" s="854"/>
      <c r="BV324" s="854"/>
      <c r="BW324" s="854"/>
      <c r="BX324" s="854"/>
      <c r="BY324" s="854"/>
      <c r="BZ324" s="854"/>
      <c r="CA324" s="854"/>
      <c r="CB324" s="854"/>
      <c r="CC324" s="854"/>
      <c r="CD324" s="854"/>
      <c r="CE324" s="854"/>
      <c r="CF324" s="854"/>
      <c r="CG324" s="854" t="s">
        <v>45</v>
      </c>
    </row>
    <row r="325" spans="1:85" ht="16.5" customHeight="1">
      <c r="A325" s="847"/>
      <c r="B325" s="1126"/>
      <c r="C325" s="1126"/>
      <c r="D325" s="1126"/>
      <c r="E325" s="1126"/>
      <c r="F325" s="1126"/>
      <c r="G325" s="1126"/>
      <c r="H325" s="1126"/>
      <c r="I325" s="1126"/>
      <c r="J325" s="1126"/>
      <c r="K325" s="1126"/>
      <c r="L325" s="1126"/>
      <c r="M325" s="848"/>
      <c r="N325" s="849"/>
      <c r="O325" s="850"/>
      <c r="P325" s="850"/>
      <c r="Q325" s="850"/>
      <c r="R325" s="850"/>
      <c r="S325" s="850"/>
      <c r="T325" s="851"/>
      <c r="U325" s="851"/>
      <c r="V325" s="851"/>
      <c r="W325" s="851"/>
      <c r="X325" s="851"/>
      <c r="Y325" s="851"/>
      <c r="Z325" s="851"/>
      <c r="AA325" s="851"/>
      <c r="AB325" s="851"/>
      <c r="AC325" s="851"/>
      <c r="AD325" s="851"/>
      <c r="AE325" s="851"/>
      <c r="AF325" s="851"/>
      <c r="AG325" s="851"/>
      <c r="AH325" s="852"/>
      <c r="AI325" s="852"/>
      <c r="AJ325" s="852"/>
      <c r="AK325" s="852"/>
      <c r="AL325" s="852"/>
      <c r="AM325" s="852"/>
      <c r="AN325" s="852"/>
      <c r="AO325" s="852"/>
      <c r="AP325" s="852"/>
      <c r="AQ325" s="852"/>
      <c r="AR325" s="852"/>
      <c r="AS325" s="852"/>
      <c r="AT325" s="852"/>
      <c r="AU325" s="852"/>
      <c r="AV325" s="852"/>
      <c r="AW325" s="852"/>
      <c r="AX325" s="849"/>
      <c r="AY325" s="847"/>
      <c r="AZ325" s="847"/>
      <c r="BA325" s="847"/>
      <c r="BB325" s="847"/>
      <c r="BC325" s="853"/>
      <c r="BD325" s="854"/>
      <c r="BE325" s="854"/>
      <c r="BF325" s="854"/>
      <c r="BG325" s="870">
        <v>2</v>
      </c>
      <c r="BH325" s="860" t="s">
        <v>376</v>
      </c>
      <c r="BI325" s="912"/>
      <c r="BJ325" s="871">
        <v>0</v>
      </c>
      <c r="BK325" s="872">
        <f t="shared" si="103"/>
        <v>0</v>
      </c>
      <c r="BL325" s="871">
        <v>0</v>
      </c>
      <c r="BM325" s="872">
        <f t="shared" si="104"/>
        <v>0</v>
      </c>
      <c r="BN325" s="871">
        <v>0</v>
      </c>
      <c r="BO325" s="872">
        <f t="shared" si="105"/>
        <v>0</v>
      </c>
      <c r="BP325" s="871">
        <v>0</v>
      </c>
      <c r="BQ325" s="872">
        <f t="shared" si="106"/>
        <v>0</v>
      </c>
      <c r="BR325" s="854"/>
      <c r="BS325" s="854"/>
      <c r="BT325" s="854"/>
      <c r="BU325" s="854"/>
      <c r="BV325" s="854"/>
      <c r="BW325" s="854"/>
      <c r="BX325" s="854"/>
      <c r="BY325" s="854"/>
      <c r="BZ325" s="854"/>
      <c r="CA325" s="854"/>
      <c r="CB325" s="854"/>
      <c r="CC325" s="854"/>
      <c r="CD325" s="854"/>
      <c r="CE325" s="854"/>
      <c r="CF325" s="854"/>
      <c r="CG325" s="854" t="s">
        <v>45</v>
      </c>
    </row>
    <row r="326" spans="1:85" ht="15.75" customHeight="1">
      <c r="A326" s="847"/>
      <c r="B326" s="1126"/>
      <c r="C326" s="1126"/>
      <c r="D326" s="1126"/>
      <c r="E326" s="1126"/>
      <c r="F326" s="1126"/>
      <c r="G326" s="1126"/>
      <c r="H326" s="1126"/>
      <c r="I326" s="1126"/>
      <c r="J326" s="1126"/>
      <c r="K326" s="1126"/>
      <c r="L326" s="1126"/>
      <c r="M326" s="848"/>
      <c r="N326" s="849"/>
      <c r="O326" s="850"/>
      <c r="P326" s="850"/>
      <c r="Q326" s="850"/>
      <c r="R326" s="850"/>
      <c r="S326" s="850"/>
      <c r="T326" s="851"/>
      <c r="U326" s="851"/>
      <c r="V326" s="851"/>
      <c r="W326" s="851"/>
      <c r="X326" s="851"/>
      <c r="Y326" s="851"/>
      <c r="Z326" s="851"/>
      <c r="AA326" s="851"/>
      <c r="AB326" s="851"/>
      <c r="AC326" s="851"/>
      <c r="AD326" s="851"/>
      <c r="AE326" s="851"/>
      <c r="AF326" s="851"/>
      <c r="AG326" s="851"/>
      <c r="AH326" s="852"/>
      <c r="AI326" s="852"/>
      <c r="AJ326" s="852"/>
      <c r="AK326" s="852"/>
      <c r="AL326" s="852"/>
      <c r="AM326" s="852"/>
      <c r="AN326" s="852"/>
      <c r="AO326" s="852"/>
      <c r="AP326" s="852"/>
      <c r="AQ326" s="852"/>
      <c r="AR326" s="852"/>
      <c r="AS326" s="852"/>
      <c r="AT326" s="852"/>
      <c r="AU326" s="852"/>
      <c r="AV326" s="852"/>
      <c r="AW326" s="852"/>
      <c r="AX326" s="849"/>
      <c r="AY326" s="847"/>
      <c r="AZ326" s="847"/>
      <c r="BA326" s="847"/>
      <c r="BB326" s="847"/>
      <c r="BC326" s="853"/>
      <c r="BD326" s="854"/>
      <c r="BE326" s="854"/>
      <c r="BF326" s="854"/>
      <c r="BG326" s="870">
        <v>3</v>
      </c>
      <c r="BH326" s="860" t="s">
        <v>377</v>
      </c>
      <c r="BI326" s="912"/>
      <c r="BJ326" s="871">
        <v>0</v>
      </c>
      <c r="BK326" s="872">
        <f t="shared" si="103"/>
        <v>0</v>
      </c>
      <c r="BL326" s="871">
        <v>0</v>
      </c>
      <c r="BM326" s="872">
        <f t="shared" si="104"/>
        <v>0</v>
      </c>
      <c r="BN326" s="871">
        <v>0</v>
      </c>
      <c r="BO326" s="872">
        <f t="shared" si="105"/>
        <v>0</v>
      </c>
      <c r="BP326" s="871">
        <v>0</v>
      </c>
      <c r="BQ326" s="872">
        <f t="shared" si="106"/>
        <v>0</v>
      </c>
      <c r="BR326" s="854"/>
      <c r="BS326" s="854"/>
      <c r="BT326" s="854"/>
      <c r="BU326" s="854"/>
      <c r="BV326" s="854"/>
      <c r="BW326" s="854"/>
      <c r="BX326" s="854"/>
      <c r="BY326" s="854"/>
      <c r="BZ326" s="854"/>
      <c r="CA326" s="854"/>
      <c r="CB326" s="854"/>
      <c r="CC326" s="854"/>
      <c r="CD326" s="854"/>
      <c r="CE326" s="854"/>
      <c r="CF326" s="854"/>
      <c r="CG326" s="854" t="s">
        <v>45</v>
      </c>
    </row>
    <row r="327" spans="1:85" ht="15.75" customHeight="1">
      <c r="A327" s="847"/>
      <c r="B327" s="1126"/>
      <c r="C327" s="1126"/>
      <c r="D327" s="1126"/>
      <c r="E327" s="1126"/>
      <c r="F327" s="1126"/>
      <c r="G327" s="1126"/>
      <c r="H327" s="1126"/>
      <c r="I327" s="1126"/>
      <c r="J327" s="1126"/>
      <c r="K327" s="1126"/>
      <c r="L327" s="1126"/>
      <c r="M327" s="848"/>
      <c r="N327" s="849"/>
      <c r="O327" s="850"/>
      <c r="P327" s="850"/>
      <c r="Q327" s="850"/>
      <c r="R327" s="850"/>
      <c r="S327" s="850"/>
      <c r="T327" s="851"/>
      <c r="U327" s="851"/>
      <c r="V327" s="851"/>
      <c r="W327" s="851"/>
      <c r="X327" s="851"/>
      <c r="Y327" s="851"/>
      <c r="Z327" s="851"/>
      <c r="AA327" s="851"/>
      <c r="AB327" s="851"/>
      <c r="AC327" s="851"/>
      <c r="AD327" s="851"/>
      <c r="AE327" s="851"/>
      <c r="AF327" s="851"/>
      <c r="AG327" s="851"/>
      <c r="AH327" s="852"/>
      <c r="AI327" s="852"/>
      <c r="AJ327" s="852"/>
      <c r="AK327" s="852"/>
      <c r="AL327" s="852"/>
      <c r="AM327" s="852"/>
      <c r="AN327" s="852"/>
      <c r="AO327" s="852"/>
      <c r="AP327" s="852"/>
      <c r="AQ327" s="852"/>
      <c r="AR327" s="852"/>
      <c r="AS327" s="852"/>
      <c r="AT327" s="852"/>
      <c r="AU327" s="852"/>
      <c r="AV327" s="852"/>
      <c r="AW327" s="852"/>
      <c r="AX327" s="849"/>
      <c r="AY327" s="847"/>
      <c r="AZ327" s="847"/>
      <c r="BA327" s="847"/>
      <c r="BB327" s="847"/>
      <c r="BC327" s="853"/>
      <c r="BD327" s="854"/>
      <c r="BE327" s="854"/>
      <c r="BF327" s="854"/>
      <c r="BG327" s="870">
        <v>4</v>
      </c>
      <c r="BH327" s="860" t="s">
        <v>45</v>
      </c>
      <c r="BI327" s="912"/>
      <c r="BJ327" s="871">
        <v>0</v>
      </c>
      <c r="BK327" s="872">
        <f t="shared" si="103"/>
        <v>0</v>
      </c>
      <c r="BL327" s="871">
        <v>0</v>
      </c>
      <c r="BM327" s="872">
        <f t="shared" si="104"/>
        <v>0</v>
      </c>
      <c r="BN327" s="871">
        <v>0</v>
      </c>
      <c r="BO327" s="872">
        <f t="shared" si="105"/>
        <v>0</v>
      </c>
      <c r="BP327" s="871">
        <v>0</v>
      </c>
      <c r="BQ327" s="872">
        <f t="shared" si="106"/>
        <v>0</v>
      </c>
      <c r="BR327" s="854"/>
      <c r="BS327" s="854"/>
      <c r="BT327" s="854"/>
      <c r="BU327" s="854"/>
      <c r="BV327" s="854"/>
      <c r="BW327" s="854"/>
      <c r="BX327" s="854"/>
      <c r="BY327" s="854"/>
      <c r="BZ327" s="854"/>
      <c r="CA327" s="854"/>
      <c r="CB327" s="854"/>
      <c r="CC327" s="854"/>
      <c r="CD327" s="854"/>
      <c r="CE327" s="854"/>
      <c r="CF327" s="854"/>
      <c r="CG327" s="854" t="s">
        <v>45</v>
      </c>
    </row>
    <row r="328" spans="1:85" ht="15.75" customHeight="1">
      <c r="A328" s="847"/>
      <c r="B328" s="1126"/>
      <c r="C328" s="1126"/>
      <c r="D328" s="1126"/>
      <c r="E328" s="1126"/>
      <c r="F328" s="1126"/>
      <c r="G328" s="1126"/>
      <c r="H328" s="1126"/>
      <c r="I328" s="1126"/>
      <c r="J328" s="1126"/>
      <c r="K328" s="1126"/>
      <c r="L328" s="1126"/>
      <c r="M328" s="848"/>
      <c r="N328" s="849"/>
      <c r="O328" s="850"/>
      <c r="P328" s="850"/>
      <c r="Q328" s="850"/>
      <c r="R328" s="850"/>
      <c r="S328" s="850"/>
      <c r="T328" s="851"/>
      <c r="U328" s="851"/>
      <c r="V328" s="851"/>
      <c r="W328" s="851"/>
      <c r="X328" s="851"/>
      <c r="Y328" s="851"/>
      <c r="Z328" s="851"/>
      <c r="AA328" s="851"/>
      <c r="AB328" s="851"/>
      <c r="AC328" s="851"/>
      <c r="AD328" s="851"/>
      <c r="AE328" s="851"/>
      <c r="AF328" s="851"/>
      <c r="AG328" s="851"/>
      <c r="AH328" s="852"/>
      <c r="AI328" s="852"/>
      <c r="AJ328" s="852"/>
      <c r="AK328" s="852"/>
      <c r="AL328" s="852"/>
      <c r="AM328" s="852"/>
      <c r="AN328" s="852"/>
      <c r="AO328" s="852"/>
      <c r="AP328" s="852"/>
      <c r="AQ328" s="852"/>
      <c r="AR328" s="852"/>
      <c r="AS328" s="852"/>
      <c r="AT328" s="852"/>
      <c r="AU328" s="852"/>
      <c r="AV328" s="852"/>
      <c r="AW328" s="852"/>
      <c r="AX328" s="849"/>
      <c r="AY328" s="847"/>
      <c r="AZ328" s="847"/>
      <c r="BA328" s="847"/>
      <c r="BB328" s="847"/>
      <c r="BC328" s="853"/>
      <c r="BD328" s="854"/>
      <c r="BE328" s="854"/>
      <c r="BF328" s="854"/>
      <c r="BG328" s="870">
        <v>5</v>
      </c>
      <c r="BH328" s="860" t="s">
        <v>45</v>
      </c>
      <c r="BI328" s="912"/>
      <c r="BJ328" s="871">
        <v>0</v>
      </c>
      <c r="BK328" s="872">
        <f t="shared" si="103"/>
        <v>0</v>
      </c>
      <c r="BL328" s="871">
        <v>0</v>
      </c>
      <c r="BM328" s="872">
        <f t="shared" si="104"/>
        <v>0</v>
      </c>
      <c r="BN328" s="871">
        <v>0</v>
      </c>
      <c r="BO328" s="872">
        <f t="shared" si="105"/>
        <v>0</v>
      </c>
      <c r="BP328" s="871">
        <v>0</v>
      </c>
      <c r="BQ328" s="872">
        <f t="shared" si="106"/>
        <v>0</v>
      </c>
      <c r="BR328" s="854"/>
      <c r="BS328" s="854"/>
      <c r="BT328" s="854"/>
      <c r="BU328" s="854"/>
      <c r="BV328" s="854"/>
      <c r="BW328" s="854"/>
      <c r="BX328" s="854"/>
      <c r="BY328" s="854"/>
      <c r="BZ328" s="854"/>
      <c r="CA328" s="854"/>
      <c r="CB328" s="854"/>
      <c r="CC328" s="854"/>
      <c r="CD328" s="854"/>
      <c r="CE328" s="854"/>
      <c r="CF328" s="854"/>
      <c r="CG328" s="854" t="s">
        <v>45</v>
      </c>
    </row>
    <row r="329" spans="1:85" ht="15.75" customHeight="1">
      <c r="A329" s="847"/>
      <c r="B329" s="1126"/>
      <c r="C329" s="1126"/>
      <c r="D329" s="1126"/>
      <c r="E329" s="1126"/>
      <c r="F329" s="1126"/>
      <c r="G329" s="1126"/>
      <c r="H329" s="1126"/>
      <c r="I329" s="1126"/>
      <c r="J329" s="1126"/>
      <c r="K329" s="1126"/>
      <c r="L329" s="1126"/>
      <c r="M329" s="848"/>
      <c r="N329" s="849"/>
      <c r="O329" s="850"/>
      <c r="P329" s="850"/>
      <c r="Q329" s="850"/>
      <c r="R329" s="850"/>
      <c r="S329" s="850"/>
      <c r="T329" s="851"/>
      <c r="U329" s="851"/>
      <c r="V329" s="851"/>
      <c r="W329" s="851"/>
      <c r="X329" s="851"/>
      <c r="Y329" s="851"/>
      <c r="Z329" s="851"/>
      <c r="AA329" s="851"/>
      <c r="AB329" s="851"/>
      <c r="AC329" s="851"/>
      <c r="AD329" s="851"/>
      <c r="AE329" s="851"/>
      <c r="AF329" s="851"/>
      <c r="AG329" s="851"/>
      <c r="AH329" s="852"/>
      <c r="AI329" s="852"/>
      <c r="AJ329" s="852"/>
      <c r="AK329" s="852"/>
      <c r="AL329" s="852"/>
      <c r="AM329" s="852"/>
      <c r="AN329" s="852"/>
      <c r="AO329" s="852"/>
      <c r="AP329" s="852"/>
      <c r="AQ329" s="852"/>
      <c r="AR329" s="852"/>
      <c r="AS329" s="852"/>
      <c r="AT329" s="852"/>
      <c r="AU329" s="852"/>
      <c r="AV329" s="852"/>
      <c r="AW329" s="852"/>
      <c r="AX329" s="849"/>
      <c r="AY329" s="847"/>
      <c r="AZ329" s="847"/>
      <c r="BA329" s="847"/>
      <c r="BB329" s="847"/>
      <c r="BC329" s="853"/>
      <c r="BD329" s="854"/>
      <c r="BE329" s="854"/>
      <c r="BF329" s="854"/>
      <c r="BG329" s="870">
        <v>6</v>
      </c>
      <c r="BH329" s="860" t="s">
        <v>45</v>
      </c>
      <c r="BI329" s="912"/>
      <c r="BJ329" s="871">
        <v>0</v>
      </c>
      <c r="BK329" s="872">
        <f t="shared" si="103"/>
        <v>0</v>
      </c>
      <c r="BL329" s="871">
        <v>0</v>
      </c>
      <c r="BM329" s="872">
        <f t="shared" si="104"/>
        <v>0</v>
      </c>
      <c r="BN329" s="871">
        <v>0</v>
      </c>
      <c r="BO329" s="872">
        <f t="shared" si="105"/>
        <v>0</v>
      </c>
      <c r="BP329" s="871">
        <v>0</v>
      </c>
      <c r="BQ329" s="872">
        <f t="shared" si="106"/>
        <v>0</v>
      </c>
      <c r="BR329" s="854"/>
      <c r="BS329" s="854"/>
      <c r="BT329" s="854"/>
      <c r="BU329" s="854"/>
      <c r="BV329" s="854"/>
      <c r="BW329" s="854"/>
      <c r="BX329" s="854"/>
      <c r="BY329" s="854"/>
      <c r="BZ329" s="854"/>
      <c r="CA329" s="854"/>
      <c r="CB329" s="854"/>
      <c r="CC329" s="854"/>
      <c r="CD329" s="854"/>
      <c r="CE329" s="854"/>
      <c r="CF329" s="854"/>
      <c r="CG329" s="854" t="s">
        <v>45</v>
      </c>
    </row>
    <row r="330" spans="1:85" ht="15.75" customHeight="1">
      <c r="A330" s="847"/>
      <c r="B330" s="1126"/>
      <c r="C330" s="1126"/>
      <c r="D330" s="1126"/>
      <c r="E330" s="1126"/>
      <c r="F330" s="1126"/>
      <c r="G330" s="1126"/>
      <c r="H330" s="1126"/>
      <c r="I330" s="1126"/>
      <c r="J330" s="1126"/>
      <c r="K330" s="1126"/>
      <c r="L330" s="1126"/>
      <c r="M330" s="848"/>
      <c r="N330" s="849"/>
      <c r="O330" s="850"/>
      <c r="P330" s="850"/>
      <c r="Q330" s="850"/>
      <c r="R330" s="850"/>
      <c r="S330" s="850"/>
      <c r="T330" s="851"/>
      <c r="U330" s="851"/>
      <c r="V330" s="851"/>
      <c r="W330" s="851"/>
      <c r="X330" s="851"/>
      <c r="Y330" s="851"/>
      <c r="Z330" s="851"/>
      <c r="AA330" s="851"/>
      <c r="AB330" s="851"/>
      <c r="AC330" s="851"/>
      <c r="AD330" s="851"/>
      <c r="AE330" s="851"/>
      <c r="AF330" s="851"/>
      <c r="AG330" s="851"/>
      <c r="AH330" s="852"/>
      <c r="AI330" s="852"/>
      <c r="AJ330" s="852"/>
      <c r="AK330" s="852"/>
      <c r="AL330" s="852"/>
      <c r="AM330" s="852"/>
      <c r="AN330" s="852"/>
      <c r="AO330" s="852"/>
      <c r="AP330" s="852"/>
      <c r="AQ330" s="852"/>
      <c r="AR330" s="852"/>
      <c r="AS330" s="852"/>
      <c r="AT330" s="852"/>
      <c r="AU330" s="852"/>
      <c r="AV330" s="852"/>
      <c r="AW330" s="852"/>
      <c r="AX330" s="849"/>
      <c r="AY330" s="847"/>
      <c r="AZ330" s="847"/>
      <c r="BA330" s="847"/>
      <c r="BB330" s="847"/>
      <c r="BC330" s="853"/>
      <c r="BD330" s="854"/>
      <c r="BE330" s="854"/>
      <c r="BF330" s="854"/>
      <c r="BG330" s="870">
        <v>7</v>
      </c>
      <c r="BH330" s="860" t="s">
        <v>45</v>
      </c>
      <c r="BI330" s="912"/>
      <c r="BJ330" s="871">
        <v>0</v>
      </c>
      <c r="BK330" s="872">
        <f t="shared" si="103"/>
        <v>0</v>
      </c>
      <c r="BL330" s="871">
        <v>0</v>
      </c>
      <c r="BM330" s="872">
        <f t="shared" si="104"/>
        <v>0</v>
      </c>
      <c r="BN330" s="871">
        <v>0</v>
      </c>
      <c r="BO330" s="872">
        <f t="shared" si="105"/>
        <v>0</v>
      </c>
      <c r="BP330" s="871">
        <v>0</v>
      </c>
      <c r="BQ330" s="872">
        <f t="shared" si="106"/>
        <v>0</v>
      </c>
      <c r="BR330" s="854"/>
      <c r="BS330" s="854"/>
      <c r="BT330" s="854"/>
      <c r="BU330" s="854"/>
      <c r="BV330" s="854"/>
      <c r="BW330" s="854"/>
      <c r="BX330" s="854"/>
      <c r="BY330" s="854"/>
      <c r="BZ330" s="854"/>
      <c r="CA330" s="854"/>
      <c r="CB330" s="854"/>
      <c r="CC330" s="854"/>
      <c r="CD330" s="854"/>
      <c r="CE330" s="854"/>
      <c r="CF330" s="854"/>
      <c r="CG330" s="854" t="s">
        <v>45</v>
      </c>
    </row>
    <row r="331" spans="1:85" ht="15.75" customHeight="1">
      <c r="A331" s="847"/>
      <c r="B331" s="1126"/>
      <c r="C331" s="1126"/>
      <c r="D331" s="1126"/>
      <c r="E331" s="1126"/>
      <c r="F331" s="1126"/>
      <c r="G331" s="1126"/>
      <c r="H331" s="1126"/>
      <c r="I331" s="1126"/>
      <c r="J331" s="1126"/>
      <c r="K331" s="1126"/>
      <c r="L331" s="1126"/>
      <c r="M331" s="848"/>
      <c r="N331" s="849"/>
      <c r="O331" s="850"/>
      <c r="P331" s="850"/>
      <c r="Q331" s="850"/>
      <c r="R331" s="850"/>
      <c r="S331" s="850"/>
      <c r="T331" s="851"/>
      <c r="U331" s="851"/>
      <c r="V331" s="851"/>
      <c r="W331" s="851"/>
      <c r="X331" s="851"/>
      <c r="Y331" s="851"/>
      <c r="Z331" s="851"/>
      <c r="AA331" s="851"/>
      <c r="AB331" s="851"/>
      <c r="AC331" s="851"/>
      <c r="AD331" s="851"/>
      <c r="AE331" s="851"/>
      <c r="AF331" s="851"/>
      <c r="AG331" s="851"/>
      <c r="AH331" s="852"/>
      <c r="AI331" s="852"/>
      <c r="AJ331" s="852"/>
      <c r="AK331" s="852"/>
      <c r="AL331" s="852"/>
      <c r="AM331" s="852"/>
      <c r="AN331" s="852"/>
      <c r="AO331" s="852"/>
      <c r="AP331" s="852"/>
      <c r="AQ331" s="852"/>
      <c r="AR331" s="852"/>
      <c r="AS331" s="852"/>
      <c r="AT331" s="852"/>
      <c r="AU331" s="852"/>
      <c r="AV331" s="852"/>
      <c r="AW331" s="852"/>
      <c r="AX331" s="849"/>
      <c r="AY331" s="847"/>
      <c r="AZ331" s="847"/>
      <c r="BA331" s="847"/>
      <c r="BB331" s="847"/>
      <c r="BC331" s="853"/>
      <c r="BD331" s="854"/>
      <c r="BE331" s="854"/>
      <c r="BF331" s="854"/>
      <c r="BG331" s="870">
        <v>8</v>
      </c>
      <c r="BH331" s="860" t="s">
        <v>45</v>
      </c>
      <c r="BI331" s="912"/>
      <c r="BJ331" s="871">
        <v>0</v>
      </c>
      <c r="BK331" s="872">
        <f t="shared" si="103"/>
        <v>0</v>
      </c>
      <c r="BL331" s="871">
        <v>0</v>
      </c>
      <c r="BM331" s="872">
        <f t="shared" si="104"/>
        <v>0</v>
      </c>
      <c r="BN331" s="871">
        <v>0</v>
      </c>
      <c r="BO331" s="872">
        <f t="shared" si="105"/>
        <v>0</v>
      </c>
      <c r="BP331" s="871">
        <v>0</v>
      </c>
      <c r="BQ331" s="872">
        <f t="shared" si="106"/>
        <v>0</v>
      </c>
      <c r="BR331" s="854"/>
      <c r="BS331" s="854"/>
      <c r="BT331" s="854"/>
      <c r="BU331" s="854"/>
      <c r="BV331" s="854"/>
      <c r="BW331" s="854"/>
      <c r="BX331" s="854"/>
      <c r="BY331" s="854"/>
      <c r="BZ331" s="854"/>
      <c r="CA331" s="854"/>
      <c r="CB331" s="854"/>
      <c r="CC331" s="854"/>
      <c r="CD331" s="854"/>
      <c r="CE331" s="854"/>
      <c r="CF331" s="854"/>
      <c r="CG331" s="854" t="s">
        <v>45</v>
      </c>
    </row>
    <row r="332" spans="1:85" ht="15.75" customHeight="1">
      <c r="A332" s="847"/>
      <c r="B332" s="1126"/>
      <c r="C332" s="1126"/>
      <c r="D332" s="1126"/>
      <c r="E332" s="1126"/>
      <c r="F332" s="1126"/>
      <c r="G332" s="1126"/>
      <c r="H332" s="1126"/>
      <c r="I332" s="1126"/>
      <c r="J332" s="1126"/>
      <c r="K332" s="1126"/>
      <c r="L332" s="1126"/>
      <c r="M332" s="848"/>
      <c r="N332" s="849"/>
      <c r="O332" s="850"/>
      <c r="P332" s="850"/>
      <c r="Q332" s="850"/>
      <c r="R332" s="850"/>
      <c r="S332" s="850"/>
      <c r="T332" s="851"/>
      <c r="U332" s="851"/>
      <c r="V332" s="851"/>
      <c r="W332" s="851"/>
      <c r="X332" s="851"/>
      <c r="Y332" s="851"/>
      <c r="Z332" s="851"/>
      <c r="AA332" s="851"/>
      <c r="AB332" s="851"/>
      <c r="AC332" s="851"/>
      <c r="AD332" s="851"/>
      <c r="AE332" s="851"/>
      <c r="AF332" s="851"/>
      <c r="AG332" s="851"/>
      <c r="AH332" s="852"/>
      <c r="AI332" s="852"/>
      <c r="AJ332" s="852"/>
      <c r="AK332" s="852"/>
      <c r="AL332" s="852"/>
      <c r="AM332" s="852"/>
      <c r="AN332" s="852"/>
      <c r="AO332" s="852"/>
      <c r="AP332" s="852"/>
      <c r="AQ332" s="852"/>
      <c r="AR332" s="852"/>
      <c r="AS332" s="852"/>
      <c r="AT332" s="852"/>
      <c r="AU332" s="852"/>
      <c r="AV332" s="852"/>
      <c r="AW332" s="852"/>
      <c r="AX332" s="849"/>
      <c r="AY332" s="847"/>
      <c r="AZ332" s="847"/>
      <c r="BA332" s="847"/>
      <c r="BB332" s="847"/>
      <c r="BC332" s="853"/>
      <c r="BD332" s="854"/>
      <c r="BE332" s="854"/>
      <c r="BF332" s="854"/>
      <c r="BG332" s="870">
        <v>9</v>
      </c>
      <c r="BH332" s="860" t="s">
        <v>45</v>
      </c>
      <c r="BI332" s="912"/>
      <c r="BJ332" s="871">
        <v>0</v>
      </c>
      <c r="BK332" s="872">
        <f t="shared" si="103"/>
        <v>0</v>
      </c>
      <c r="BL332" s="871">
        <v>0</v>
      </c>
      <c r="BM332" s="872">
        <f t="shared" si="104"/>
        <v>0</v>
      </c>
      <c r="BN332" s="871">
        <v>0</v>
      </c>
      <c r="BO332" s="872">
        <f t="shared" si="105"/>
        <v>0</v>
      </c>
      <c r="BP332" s="871">
        <v>0</v>
      </c>
      <c r="BQ332" s="872">
        <f t="shared" si="106"/>
        <v>0</v>
      </c>
      <c r="BR332" s="854"/>
      <c r="BS332" s="854"/>
      <c r="BT332" s="854"/>
      <c r="BU332" s="854"/>
      <c r="BV332" s="854"/>
      <c r="BW332" s="854"/>
      <c r="BX332" s="854"/>
      <c r="BY332" s="854"/>
      <c r="BZ332" s="854"/>
      <c r="CA332" s="854"/>
      <c r="CB332" s="854"/>
      <c r="CC332" s="854"/>
      <c r="CD332" s="854"/>
      <c r="CE332" s="854"/>
      <c r="CF332" s="854"/>
      <c r="CG332" s="854" t="s">
        <v>45</v>
      </c>
    </row>
    <row r="333" spans="1:85" ht="15.75" customHeight="1">
      <c r="A333" s="847"/>
      <c r="B333" s="1126"/>
      <c r="C333" s="1126"/>
      <c r="D333" s="1126"/>
      <c r="E333" s="1126"/>
      <c r="F333" s="1126"/>
      <c r="G333" s="1126"/>
      <c r="H333" s="1126"/>
      <c r="I333" s="1126"/>
      <c r="J333" s="1126"/>
      <c r="K333" s="1126"/>
      <c r="L333" s="1126"/>
      <c r="M333" s="848"/>
      <c r="N333" s="849"/>
      <c r="O333" s="850"/>
      <c r="P333" s="850"/>
      <c r="Q333" s="850"/>
      <c r="R333" s="850"/>
      <c r="S333" s="850"/>
      <c r="T333" s="851"/>
      <c r="U333" s="851"/>
      <c r="V333" s="851"/>
      <c r="W333" s="851"/>
      <c r="X333" s="851"/>
      <c r="Y333" s="851"/>
      <c r="Z333" s="851"/>
      <c r="AA333" s="851"/>
      <c r="AB333" s="851"/>
      <c r="AC333" s="851"/>
      <c r="AD333" s="851"/>
      <c r="AE333" s="851"/>
      <c r="AF333" s="851"/>
      <c r="AG333" s="851"/>
      <c r="AH333" s="852"/>
      <c r="AI333" s="852"/>
      <c r="AJ333" s="852"/>
      <c r="AK333" s="852"/>
      <c r="AL333" s="852"/>
      <c r="AM333" s="852"/>
      <c r="AN333" s="852"/>
      <c r="AO333" s="852"/>
      <c r="AP333" s="852"/>
      <c r="AQ333" s="852"/>
      <c r="AR333" s="852"/>
      <c r="AS333" s="852"/>
      <c r="AT333" s="852"/>
      <c r="AU333" s="852"/>
      <c r="AV333" s="852"/>
      <c r="AW333" s="852"/>
      <c r="AX333" s="849"/>
      <c r="AY333" s="847"/>
      <c r="AZ333" s="847"/>
      <c r="BA333" s="847"/>
      <c r="BB333" s="847"/>
      <c r="BC333" s="853"/>
      <c r="BD333" s="854"/>
      <c r="BE333" s="854"/>
      <c r="BF333" s="854"/>
      <c r="BG333" s="870">
        <v>10</v>
      </c>
      <c r="BH333" s="860" t="s">
        <v>45</v>
      </c>
      <c r="BI333" s="912"/>
      <c r="BJ333" s="871">
        <v>0</v>
      </c>
      <c r="BK333" s="872">
        <f t="shared" si="103"/>
        <v>0</v>
      </c>
      <c r="BL333" s="871">
        <v>0</v>
      </c>
      <c r="BM333" s="872">
        <f t="shared" si="104"/>
        <v>0</v>
      </c>
      <c r="BN333" s="871">
        <v>0</v>
      </c>
      <c r="BO333" s="872">
        <f t="shared" si="105"/>
        <v>0</v>
      </c>
      <c r="BP333" s="871">
        <v>0</v>
      </c>
      <c r="BQ333" s="872">
        <f t="shared" si="106"/>
        <v>0</v>
      </c>
      <c r="BR333" s="854"/>
      <c r="BS333" s="854"/>
      <c r="BT333" s="854"/>
      <c r="BU333" s="854"/>
      <c r="BV333" s="854"/>
      <c r="BW333" s="854"/>
      <c r="BX333" s="854"/>
      <c r="BY333" s="854"/>
      <c r="BZ333" s="854"/>
      <c r="CA333" s="854"/>
      <c r="CB333" s="854"/>
      <c r="CC333" s="854"/>
      <c r="CD333" s="854"/>
      <c r="CE333" s="854"/>
      <c r="CF333" s="854"/>
      <c r="CG333" s="854" t="s">
        <v>45</v>
      </c>
    </row>
    <row r="334" spans="1:85" ht="15.75" customHeight="1">
      <c r="A334" s="847"/>
      <c r="B334" s="1126"/>
      <c r="C334" s="1126"/>
      <c r="D334" s="1126"/>
      <c r="E334" s="1126"/>
      <c r="F334" s="1126"/>
      <c r="G334" s="1126"/>
      <c r="H334" s="1126"/>
      <c r="I334" s="1126"/>
      <c r="J334" s="1126"/>
      <c r="K334" s="1126"/>
      <c r="L334" s="1126"/>
      <c r="M334" s="848"/>
      <c r="N334" s="849"/>
      <c r="O334" s="850"/>
      <c r="P334" s="850"/>
      <c r="Q334" s="850"/>
      <c r="R334" s="850"/>
      <c r="S334" s="850"/>
      <c r="T334" s="851"/>
      <c r="U334" s="851"/>
      <c r="V334" s="851"/>
      <c r="W334" s="851"/>
      <c r="X334" s="851"/>
      <c r="Y334" s="851"/>
      <c r="Z334" s="851"/>
      <c r="AA334" s="851"/>
      <c r="AB334" s="851"/>
      <c r="AC334" s="851"/>
      <c r="AD334" s="851"/>
      <c r="AE334" s="851"/>
      <c r="AF334" s="851"/>
      <c r="AG334" s="851"/>
      <c r="AH334" s="852"/>
      <c r="AI334" s="852"/>
      <c r="AJ334" s="852"/>
      <c r="AK334" s="852"/>
      <c r="AL334" s="852"/>
      <c r="AM334" s="852"/>
      <c r="AN334" s="852"/>
      <c r="AO334" s="852"/>
      <c r="AP334" s="852"/>
      <c r="AQ334" s="852"/>
      <c r="AR334" s="852"/>
      <c r="AS334" s="852"/>
      <c r="AT334" s="852"/>
      <c r="AU334" s="852"/>
      <c r="AV334" s="852"/>
      <c r="AW334" s="852"/>
      <c r="AX334" s="849"/>
      <c r="AY334" s="847"/>
      <c r="AZ334" s="847"/>
      <c r="BA334" s="847"/>
      <c r="BB334" s="847"/>
      <c r="BC334" s="853"/>
      <c r="BD334" s="854"/>
      <c r="BE334" s="854"/>
      <c r="BF334" s="854"/>
      <c r="BG334" s="870">
        <v>11</v>
      </c>
      <c r="BH334" s="860" t="s">
        <v>45</v>
      </c>
      <c r="BI334" s="912"/>
      <c r="BJ334" s="871">
        <v>0</v>
      </c>
      <c r="BK334" s="872">
        <f t="shared" si="103"/>
        <v>0</v>
      </c>
      <c r="BL334" s="871">
        <v>0</v>
      </c>
      <c r="BM334" s="872">
        <f t="shared" si="104"/>
        <v>0</v>
      </c>
      <c r="BN334" s="871">
        <v>0</v>
      </c>
      <c r="BO334" s="872">
        <f t="shared" si="105"/>
        <v>0</v>
      </c>
      <c r="BP334" s="871">
        <v>0</v>
      </c>
      <c r="BQ334" s="872">
        <f t="shared" si="106"/>
        <v>0</v>
      </c>
      <c r="BR334" s="854"/>
      <c r="BS334" s="854"/>
      <c r="BT334" s="854"/>
      <c r="BU334" s="854"/>
      <c r="BV334" s="854"/>
      <c r="BW334" s="854"/>
      <c r="BX334" s="854"/>
      <c r="BY334" s="854"/>
      <c r="BZ334" s="854"/>
      <c r="CA334" s="854"/>
      <c r="CB334" s="854"/>
      <c r="CC334" s="854"/>
      <c r="CD334" s="854"/>
      <c r="CE334" s="854"/>
      <c r="CF334" s="854"/>
      <c r="CG334" s="854" t="s">
        <v>45</v>
      </c>
    </row>
    <row r="335" spans="1:85" ht="15.75" customHeight="1">
      <c r="A335" s="847"/>
      <c r="B335" s="1126"/>
      <c r="C335" s="1126"/>
      <c r="D335" s="1126"/>
      <c r="E335" s="1126"/>
      <c r="F335" s="1126"/>
      <c r="G335" s="1126"/>
      <c r="H335" s="1126"/>
      <c r="I335" s="1126"/>
      <c r="J335" s="1126"/>
      <c r="K335" s="1126"/>
      <c r="L335" s="1126"/>
      <c r="M335" s="848"/>
      <c r="N335" s="849"/>
      <c r="O335" s="850"/>
      <c r="P335" s="850"/>
      <c r="Q335" s="850"/>
      <c r="R335" s="850"/>
      <c r="S335" s="850"/>
      <c r="T335" s="851"/>
      <c r="U335" s="851"/>
      <c r="V335" s="851"/>
      <c r="W335" s="851"/>
      <c r="X335" s="851"/>
      <c r="Y335" s="851"/>
      <c r="Z335" s="851"/>
      <c r="AA335" s="851"/>
      <c r="AB335" s="851"/>
      <c r="AC335" s="851"/>
      <c r="AD335" s="851"/>
      <c r="AE335" s="851"/>
      <c r="AF335" s="851"/>
      <c r="AG335" s="851"/>
      <c r="AH335" s="852"/>
      <c r="AI335" s="852"/>
      <c r="AJ335" s="852"/>
      <c r="AK335" s="852"/>
      <c r="AL335" s="852"/>
      <c r="AM335" s="852"/>
      <c r="AN335" s="852"/>
      <c r="AO335" s="852"/>
      <c r="AP335" s="852"/>
      <c r="AQ335" s="852"/>
      <c r="AR335" s="852"/>
      <c r="AS335" s="852"/>
      <c r="AT335" s="852"/>
      <c r="AU335" s="852"/>
      <c r="AV335" s="852"/>
      <c r="AW335" s="852"/>
      <c r="AX335" s="849"/>
      <c r="AY335" s="847"/>
      <c r="AZ335" s="847"/>
      <c r="BA335" s="847"/>
      <c r="BB335" s="847"/>
      <c r="BC335" s="853"/>
      <c r="BD335" s="854"/>
      <c r="BE335" s="854"/>
      <c r="BF335" s="854"/>
      <c r="BG335" s="870">
        <v>12</v>
      </c>
      <c r="BH335" s="860" t="s">
        <v>45</v>
      </c>
      <c r="BI335" s="912"/>
      <c r="BJ335" s="871">
        <v>0</v>
      </c>
      <c r="BK335" s="872">
        <f t="shared" si="103"/>
        <v>0</v>
      </c>
      <c r="BL335" s="871">
        <v>0</v>
      </c>
      <c r="BM335" s="872">
        <f t="shared" si="104"/>
        <v>0</v>
      </c>
      <c r="BN335" s="871">
        <v>0</v>
      </c>
      <c r="BO335" s="872">
        <f t="shared" si="105"/>
        <v>0</v>
      </c>
      <c r="BP335" s="871">
        <v>0</v>
      </c>
      <c r="BQ335" s="872">
        <f t="shared" si="106"/>
        <v>0</v>
      </c>
      <c r="BR335" s="854"/>
      <c r="BS335" s="854"/>
      <c r="BT335" s="854"/>
      <c r="BU335" s="854"/>
      <c r="BV335" s="854"/>
      <c r="BW335" s="854"/>
      <c r="BX335" s="854"/>
      <c r="BY335" s="854"/>
      <c r="BZ335" s="854"/>
      <c r="CA335" s="854"/>
      <c r="CB335" s="854"/>
      <c r="CC335" s="854"/>
      <c r="CD335" s="854"/>
      <c r="CE335" s="854"/>
      <c r="CF335" s="854"/>
      <c r="CG335" s="854" t="s">
        <v>45</v>
      </c>
    </row>
    <row r="336" spans="1:85" ht="15.75" customHeight="1">
      <c r="A336" s="847"/>
      <c r="B336" s="1126"/>
      <c r="C336" s="1126"/>
      <c r="D336" s="1126"/>
      <c r="E336" s="1126"/>
      <c r="F336" s="1126"/>
      <c r="G336" s="1126"/>
      <c r="H336" s="1126"/>
      <c r="I336" s="1126"/>
      <c r="J336" s="1126"/>
      <c r="K336" s="1126"/>
      <c r="L336" s="1126"/>
      <c r="M336" s="848"/>
      <c r="N336" s="849"/>
      <c r="O336" s="850"/>
      <c r="P336" s="850"/>
      <c r="Q336" s="850"/>
      <c r="R336" s="850"/>
      <c r="S336" s="850"/>
      <c r="T336" s="851"/>
      <c r="U336" s="851"/>
      <c r="V336" s="851"/>
      <c r="W336" s="851"/>
      <c r="X336" s="851"/>
      <c r="Y336" s="851"/>
      <c r="Z336" s="851"/>
      <c r="AA336" s="851"/>
      <c r="AB336" s="851"/>
      <c r="AC336" s="851"/>
      <c r="AD336" s="851"/>
      <c r="AE336" s="851"/>
      <c r="AF336" s="851"/>
      <c r="AG336" s="851"/>
      <c r="AH336" s="852"/>
      <c r="AI336" s="852"/>
      <c r="AJ336" s="852"/>
      <c r="AK336" s="852"/>
      <c r="AL336" s="852"/>
      <c r="AM336" s="852"/>
      <c r="AN336" s="852"/>
      <c r="AO336" s="852"/>
      <c r="AP336" s="852"/>
      <c r="AQ336" s="852"/>
      <c r="AR336" s="852"/>
      <c r="AS336" s="852"/>
      <c r="AT336" s="852"/>
      <c r="AU336" s="852"/>
      <c r="AV336" s="852"/>
      <c r="AW336" s="852"/>
      <c r="AX336" s="849"/>
      <c r="AY336" s="847"/>
      <c r="AZ336" s="847"/>
      <c r="BA336" s="847"/>
      <c r="BB336" s="847"/>
      <c r="BC336" s="853"/>
      <c r="BD336" s="854"/>
      <c r="BE336" s="854"/>
      <c r="BF336" s="854"/>
      <c r="BG336" s="870">
        <v>13</v>
      </c>
      <c r="BH336" s="860" t="s">
        <v>45</v>
      </c>
      <c r="BI336" s="912"/>
      <c r="BJ336" s="871">
        <v>0</v>
      </c>
      <c r="BK336" s="872">
        <f t="shared" si="103"/>
        <v>0</v>
      </c>
      <c r="BL336" s="871">
        <v>0</v>
      </c>
      <c r="BM336" s="872">
        <f t="shared" si="104"/>
        <v>0</v>
      </c>
      <c r="BN336" s="871">
        <v>0</v>
      </c>
      <c r="BO336" s="872">
        <f t="shared" si="105"/>
        <v>0</v>
      </c>
      <c r="BP336" s="871">
        <v>0</v>
      </c>
      <c r="BQ336" s="872">
        <f t="shared" si="106"/>
        <v>0</v>
      </c>
      <c r="BR336" s="854"/>
      <c r="BS336" s="854"/>
      <c r="BT336" s="854"/>
      <c r="BU336" s="854"/>
      <c r="BV336" s="854"/>
      <c r="BW336" s="854"/>
      <c r="BX336" s="854"/>
      <c r="BY336" s="854"/>
      <c r="BZ336" s="854"/>
      <c r="CA336" s="854"/>
      <c r="CB336" s="854"/>
      <c r="CC336" s="854"/>
      <c r="CD336" s="854"/>
      <c r="CE336" s="854"/>
      <c r="CF336" s="854"/>
      <c r="CG336" s="854" t="s">
        <v>45</v>
      </c>
    </row>
    <row r="337" spans="1:85" ht="15.75" customHeight="1">
      <c r="A337" s="847"/>
      <c r="B337" s="1126"/>
      <c r="C337" s="1126"/>
      <c r="D337" s="1126"/>
      <c r="E337" s="1126"/>
      <c r="F337" s="1126"/>
      <c r="G337" s="1126"/>
      <c r="H337" s="1126"/>
      <c r="I337" s="1126"/>
      <c r="J337" s="1126"/>
      <c r="K337" s="1126"/>
      <c r="L337" s="1126"/>
      <c r="M337" s="848"/>
      <c r="N337" s="849"/>
      <c r="O337" s="850"/>
      <c r="P337" s="850"/>
      <c r="Q337" s="850"/>
      <c r="R337" s="850"/>
      <c r="S337" s="850"/>
      <c r="T337" s="851"/>
      <c r="U337" s="851"/>
      <c r="V337" s="851"/>
      <c r="W337" s="851"/>
      <c r="X337" s="851"/>
      <c r="Y337" s="851"/>
      <c r="Z337" s="851"/>
      <c r="AA337" s="851"/>
      <c r="AB337" s="851"/>
      <c r="AC337" s="851"/>
      <c r="AD337" s="851"/>
      <c r="AE337" s="851"/>
      <c r="AF337" s="851"/>
      <c r="AG337" s="851"/>
      <c r="AH337" s="852"/>
      <c r="AI337" s="852"/>
      <c r="AJ337" s="852"/>
      <c r="AK337" s="852"/>
      <c r="AL337" s="852"/>
      <c r="AM337" s="852"/>
      <c r="AN337" s="852"/>
      <c r="AO337" s="852"/>
      <c r="AP337" s="852"/>
      <c r="AQ337" s="852"/>
      <c r="AR337" s="852"/>
      <c r="AS337" s="852"/>
      <c r="AT337" s="852"/>
      <c r="AU337" s="852"/>
      <c r="AV337" s="852"/>
      <c r="AW337" s="852"/>
      <c r="AX337" s="849"/>
      <c r="AY337" s="847"/>
      <c r="AZ337" s="847"/>
      <c r="BA337" s="847"/>
      <c r="BB337" s="847"/>
      <c r="BC337" s="853"/>
      <c r="BD337" s="854"/>
      <c r="BE337" s="854"/>
      <c r="BF337" s="854"/>
      <c r="BG337" s="870">
        <v>14</v>
      </c>
      <c r="BH337" s="860" t="s">
        <v>45</v>
      </c>
      <c r="BI337" s="912"/>
      <c r="BJ337" s="871">
        <v>0</v>
      </c>
      <c r="BK337" s="872">
        <f t="shared" si="103"/>
        <v>0</v>
      </c>
      <c r="BL337" s="871">
        <v>0</v>
      </c>
      <c r="BM337" s="872">
        <f t="shared" si="104"/>
        <v>0</v>
      </c>
      <c r="BN337" s="871">
        <v>0</v>
      </c>
      <c r="BO337" s="872">
        <f t="shared" si="105"/>
        <v>0</v>
      </c>
      <c r="BP337" s="871">
        <v>0</v>
      </c>
      <c r="BQ337" s="872">
        <f t="shared" si="106"/>
        <v>0</v>
      </c>
      <c r="BR337" s="854"/>
      <c r="BS337" s="854"/>
      <c r="BT337" s="854"/>
      <c r="BU337" s="854"/>
      <c r="BV337" s="854"/>
      <c r="BW337" s="854"/>
      <c r="BX337" s="854"/>
      <c r="BY337" s="854"/>
      <c r="BZ337" s="854"/>
      <c r="CA337" s="854"/>
      <c r="CB337" s="854"/>
      <c r="CC337" s="854"/>
      <c r="CD337" s="854"/>
      <c r="CE337" s="854"/>
      <c r="CF337" s="854"/>
      <c r="CG337" s="854" t="s">
        <v>45</v>
      </c>
    </row>
    <row r="338" spans="1:85" ht="15.75" customHeight="1">
      <c r="A338" s="847"/>
      <c r="B338" s="1126"/>
      <c r="C338" s="1126"/>
      <c r="D338" s="1126"/>
      <c r="E338" s="1126"/>
      <c r="F338" s="1126"/>
      <c r="G338" s="1126"/>
      <c r="H338" s="1126"/>
      <c r="I338" s="1126"/>
      <c r="J338" s="1126"/>
      <c r="K338" s="1126"/>
      <c r="L338" s="1126"/>
      <c r="M338" s="848"/>
      <c r="N338" s="849"/>
      <c r="O338" s="850"/>
      <c r="P338" s="850"/>
      <c r="Q338" s="850"/>
      <c r="R338" s="850"/>
      <c r="S338" s="850"/>
      <c r="T338" s="851"/>
      <c r="U338" s="851"/>
      <c r="V338" s="851"/>
      <c r="W338" s="851"/>
      <c r="X338" s="851"/>
      <c r="Y338" s="851"/>
      <c r="Z338" s="851"/>
      <c r="AA338" s="851"/>
      <c r="AB338" s="851"/>
      <c r="AC338" s="851"/>
      <c r="AD338" s="851"/>
      <c r="AE338" s="851"/>
      <c r="AF338" s="851"/>
      <c r="AG338" s="851"/>
      <c r="AH338" s="852"/>
      <c r="AI338" s="852"/>
      <c r="AJ338" s="852"/>
      <c r="AK338" s="852"/>
      <c r="AL338" s="852"/>
      <c r="AM338" s="852"/>
      <c r="AN338" s="852"/>
      <c r="AO338" s="852"/>
      <c r="AP338" s="852"/>
      <c r="AQ338" s="852"/>
      <c r="AR338" s="852"/>
      <c r="AS338" s="852"/>
      <c r="AT338" s="852"/>
      <c r="AU338" s="852"/>
      <c r="AV338" s="852"/>
      <c r="AW338" s="852"/>
      <c r="AX338" s="849"/>
      <c r="AY338" s="847"/>
      <c r="AZ338" s="847"/>
      <c r="BA338" s="847"/>
      <c r="BB338" s="847"/>
      <c r="BC338" s="853"/>
      <c r="BD338" s="854"/>
      <c r="BE338" s="854"/>
      <c r="BF338" s="854"/>
      <c r="BG338" s="870">
        <v>15</v>
      </c>
      <c r="BH338" s="860" t="s">
        <v>45</v>
      </c>
      <c r="BI338" s="912"/>
      <c r="BJ338" s="871">
        <v>0</v>
      </c>
      <c r="BK338" s="872">
        <f t="shared" si="103"/>
        <v>0</v>
      </c>
      <c r="BL338" s="871">
        <v>0</v>
      </c>
      <c r="BM338" s="872">
        <f t="shared" si="104"/>
        <v>0</v>
      </c>
      <c r="BN338" s="871">
        <v>0</v>
      </c>
      <c r="BO338" s="872">
        <f t="shared" si="105"/>
        <v>0</v>
      </c>
      <c r="BP338" s="871">
        <v>0</v>
      </c>
      <c r="BQ338" s="872">
        <f t="shared" si="106"/>
        <v>0</v>
      </c>
      <c r="BR338" s="854"/>
      <c r="BS338" s="854"/>
      <c r="BT338" s="854"/>
      <c r="BU338" s="854"/>
      <c r="BV338" s="854"/>
      <c r="BW338" s="854"/>
      <c r="BX338" s="854"/>
      <c r="BY338" s="854"/>
      <c r="BZ338" s="854"/>
      <c r="CA338" s="854"/>
      <c r="CB338" s="854"/>
      <c r="CC338" s="854"/>
      <c r="CD338" s="854"/>
      <c r="CE338" s="854"/>
      <c r="CF338" s="854"/>
      <c r="CG338" s="854" t="s">
        <v>45</v>
      </c>
    </row>
    <row r="339" spans="1:85" ht="15.75" customHeight="1">
      <c r="A339" s="847"/>
      <c r="B339" s="1126"/>
      <c r="C339" s="1126"/>
      <c r="D339" s="1126"/>
      <c r="E339" s="1126"/>
      <c r="F339" s="1126"/>
      <c r="G339" s="1126"/>
      <c r="H339" s="1126"/>
      <c r="I339" s="1126"/>
      <c r="J339" s="1126"/>
      <c r="K339" s="1126"/>
      <c r="L339" s="1126"/>
      <c r="M339" s="848"/>
      <c r="N339" s="849"/>
      <c r="O339" s="850"/>
      <c r="P339" s="850"/>
      <c r="Q339" s="850"/>
      <c r="R339" s="850"/>
      <c r="S339" s="850"/>
      <c r="T339" s="851"/>
      <c r="U339" s="851"/>
      <c r="V339" s="851"/>
      <c r="W339" s="851"/>
      <c r="X339" s="851"/>
      <c r="Y339" s="851"/>
      <c r="Z339" s="851"/>
      <c r="AA339" s="851"/>
      <c r="AB339" s="851"/>
      <c r="AC339" s="851"/>
      <c r="AD339" s="851"/>
      <c r="AE339" s="851"/>
      <c r="AF339" s="851"/>
      <c r="AG339" s="851"/>
      <c r="AH339" s="852"/>
      <c r="AI339" s="852"/>
      <c r="AJ339" s="852"/>
      <c r="AK339" s="852"/>
      <c r="AL339" s="852"/>
      <c r="AM339" s="852"/>
      <c r="AN339" s="852"/>
      <c r="AO339" s="852"/>
      <c r="AP339" s="852"/>
      <c r="AQ339" s="852"/>
      <c r="AR339" s="852"/>
      <c r="AS339" s="852"/>
      <c r="AT339" s="852"/>
      <c r="AU339" s="852"/>
      <c r="AV339" s="852"/>
      <c r="AW339" s="852"/>
      <c r="AX339" s="849"/>
      <c r="AY339" s="847"/>
      <c r="AZ339" s="847"/>
      <c r="BA339" s="847"/>
      <c r="BB339" s="847"/>
      <c r="BC339" s="853"/>
      <c r="BD339" s="854"/>
      <c r="BE339" s="854"/>
      <c r="BF339" s="854"/>
      <c r="BG339" s="870">
        <f t="shared" ref="BG339:BG355" si="107">BG338+1</f>
        <v>16</v>
      </c>
      <c r="BH339" s="860" t="s">
        <v>378</v>
      </c>
      <c r="BI339" s="912"/>
      <c r="BJ339" s="871">
        <v>5524.5093889999998</v>
      </c>
      <c r="BK339" s="872">
        <f t="shared" si="103"/>
        <v>28.566324027714892</v>
      </c>
      <c r="BL339" s="871">
        <v>207297.76340900001</v>
      </c>
      <c r="BM339" s="872">
        <f t="shared" si="104"/>
        <v>95.30798621328303</v>
      </c>
      <c r="BN339" s="871">
        <v>4434.7246869999999</v>
      </c>
      <c r="BO339" s="872">
        <f t="shared" si="105"/>
        <v>23.271548072234367</v>
      </c>
      <c r="BP339" s="871">
        <v>366041.15007799998</v>
      </c>
      <c r="BQ339" s="872">
        <f t="shared" si="106"/>
        <v>89.775749445281022</v>
      </c>
      <c r="BR339" s="854"/>
      <c r="BS339" s="854"/>
      <c r="BT339" s="854"/>
      <c r="BU339" s="854"/>
      <c r="BV339" s="854"/>
      <c r="BW339" s="854"/>
      <c r="BX339" s="854"/>
      <c r="BY339" s="854"/>
      <c r="BZ339" s="854"/>
      <c r="CA339" s="854"/>
      <c r="CB339" s="854"/>
      <c r="CC339" s="854"/>
      <c r="CD339" s="854"/>
      <c r="CE339" s="854"/>
      <c r="CF339" s="854"/>
      <c r="CG339" s="854" t="s">
        <v>45</v>
      </c>
    </row>
    <row r="340" spans="1:85" ht="15.75" customHeight="1">
      <c r="A340" s="847"/>
      <c r="B340" s="1126"/>
      <c r="C340" s="1126"/>
      <c r="D340" s="1126"/>
      <c r="E340" s="1126"/>
      <c r="F340" s="1126"/>
      <c r="G340" s="1126"/>
      <c r="H340" s="1126"/>
      <c r="I340" s="1126"/>
      <c r="J340" s="1126"/>
      <c r="K340" s="1126"/>
      <c r="L340" s="1126"/>
      <c r="M340" s="848"/>
      <c r="N340" s="849"/>
      <c r="O340" s="850"/>
      <c r="P340" s="850"/>
      <c r="Q340" s="850"/>
      <c r="R340" s="850"/>
      <c r="S340" s="850"/>
      <c r="T340" s="851"/>
      <c r="U340" s="851"/>
      <c r="V340" s="851"/>
      <c r="W340" s="851"/>
      <c r="X340" s="851"/>
      <c r="Y340" s="851"/>
      <c r="Z340" s="851"/>
      <c r="AA340" s="851"/>
      <c r="AB340" s="851"/>
      <c r="AC340" s="851"/>
      <c r="AD340" s="851"/>
      <c r="AE340" s="851"/>
      <c r="AF340" s="851"/>
      <c r="AG340" s="851"/>
      <c r="AH340" s="852"/>
      <c r="AI340" s="852"/>
      <c r="AJ340" s="852"/>
      <c r="AK340" s="852"/>
      <c r="AL340" s="852"/>
      <c r="AM340" s="852"/>
      <c r="AN340" s="852"/>
      <c r="AO340" s="852"/>
      <c r="AP340" s="852"/>
      <c r="AQ340" s="852"/>
      <c r="AR340" s="852"/>
      <c r="AS340" s="852"/>
      <c r="AT340" s="852"/>
      <c r="AU340" s="852"/>
      <c r="AV340" s="852"/>
      <c r="AW340" s="852"/>
      <c r="AX340" s="849"/>
      <c r="AY340" s="847"/>
      <c r="AZ340" s="847"/>
      <c r="BA340" s="847"/>
      <c r="BB340" s="847"/>
      <c r="BC340" s="853"/>
      <c r="BD340" s="854"/>
      <c r="BE340" s="854"/>
      <c r="BF340" s="854"/>
      <c r="BG340" s="870">
        <f t="shared" si="107"/>
        <v>17</v>
      </c>
      <c r="BH340" s="860" t="s">
        <v>379</v>
      </c>
      <c r="BI340" s="912"/>
      <c r="BJ340" s="871">
        <v>0</v>
      </c>
      <c r="BK340" s="872">
        <f t="shared" si="103"/>
        <v>0</v>
      </c>
      <c r="BL340" s="871">
        <v>0</v>
      </c>
      <c r="BM340" s="872">
        <f t="shared" si="104"/>
        <v>0</v>
      </c>
      <c r="BN340" s="871">
        <v>0</v>
      </c>
      <c r="BO340" s="872">
        <f t="shared" si="105"/>
        <v>0</v>
      </c>
      <c r="BP340" s="871">
        <v>0</v>
      </c>
      <c r="BQ340" s="872">
        <f t="shared" si="106"/>
        <v>0</v>
      </c>
      <c r="BR340" s="854"/>
      <c r="BS340" s="854"/>
      <c r="BT340" s="854"/>
      <c r="BU340" s="854"/>
      <c r="BV340" s="854"/>
      <c r="BW340" s="854"/>
      <c r="BX340" s="854"/>
      <c r="BY340" s="854"/>
      <c r="BZ340" s="854"/>
      <c r="CA340" s="854"/>
      <c r="CB340" s="854"/>
      <c r="CC340" s="854"/>
      <c r="CD340" s="854"/>
      <c r="CE340" s="854"/>
      <c r="CF340" s="854"/>
      <c r="CG340" s="854" t="s">
        <v>45</v>
      </c>
    </row>
    <row r="341" spans="1:85" ht="15.75" customHeight="1">
      <c r="A341" s="847"/>
      <c r="B341" s="1126"/>
      <c r="C341" s="1126"/>
      <c r="D341" s="1126"/>
      <c r="E341" s="1126"/>
      <c r="F341" s="1126"/>
      <c r="G341" s="1126"/>
      <c r="H341" s="1126"/>
      <c r="I341" s="1126"/>
      <c r="J341" s="1126"/>
      <c r="K341" s="1126"/>
      <c r="L341" s="1126"/>
      <c r="M341" s="848"/>
      <c r="N341" s="849"/>
      <c r="O341" s="850"/>
      <c r="P341" s="850"/>
      <c r="Q341" s="850"/>
      <c r="R341" s="850"/>
      <c r="S341" s="850"/>
      <c r="T341" s="851"/>
      <c r="U341" s="851"/>
      <c r="V341" s="851"/>
      <c r="W341" s="851"/>
      <c r="X341" s="851"/>
      <c r="Y341" s="851"/>
      <c r="Z341" s="851"/>
      <c r="AA341" s="851"/>
      <c r="AB341" s="851"/>
      <c r="AC341" s="851"/>
      <c r="AD341" s="851"/>
      <c r="AE341" s="851"/>
      <c r="AF341" s="851"/>
      <c r="AG341" s="851"/>
      <c r="AH341" s="852"/>
      <c r="AI341" s="852"/>
      <c r="AJ341" s="852"/>
      <c r="AK341" s="852"/>
      <c r="AL341" s="852"/>
      <c r="AM341" s="852"/>
      <c r="AN341" s="852"/>
      <c r="AO341" s="852"/>
      <c r="AP341" s="852"/>
      <c r="AQ341" s="852"/>
      <c r="AR341" s="852"/>
      <c r="AS341" s="852"/>
      <c r="AT341" s="852"/>
      <c r="AU341" s="852"/>
      <c r="AV341" s="852"/>
      <c r="AW341" s="852"/>
      <c r="AX341" s="849"/>
      <c r="AY341" s="847"/>
      <c r="AZ341" s="847"/>
      <c r="BA341" s="847"/>
      <c r="BB341" s="847"/>
      <c r="BC341" s="853"/>
      <c r="BD341" s="854"/>
      <c r="BE341" s="854"/>
      <c r="BF341" s="854"/>
      <c r="BG341" s="870">
        <f t="shared" si="107"/>
        <v>18</v>
      </c>
      <c r="BH341" s="860" t="s">
        <v>380</v>
      </c>
      <c r="BI341" s="912"/>
      <c r="BJ341" s="871">
        <v>0</v>
      </c>
      <c r="BK341" s="872">
        <f t="shared" si="103"/>
        <v>0</v>
      </c>
      <c r="BL341" s="871">
        <v>0</v>
      </c>
      <c r="BM341" s="872">
        <f t="shared" si="104"/>
        <v>0</v>
      </c>
      <c r="BN341" s="871">
        <v>0</v>
      </c>
      <c r="BO341" s="872">
        <f t="shared" si="105"/>
        <v>0</v>
      </c>
      <c r="BP341" s="871">
        <v>0</v>
      </c>
      <c r="BQ341" s="872">
        <f t="shared" si="106"/>
        <v>0</v>
      </c>
      <c r="BR341" s="854"/>
      <c r="BS341" s="854"/>
      <c r="BT341" s="854"/>
      <c r="BU341" s="854"/>
      <c r="BV341" s="854"/>
      <c r="BW341" s="854"/>
      <c r="BX341" s="854"/>
      <c r="BY341" s="854"/>
      <c r="BZ341" s="854"/>
      <c r="CA341" s="854"/>
      <c r="CB341" s="854"/>
      <c r="CC341" s="854"/>
      <c r="CD341" s="854"/>
      <c r="CE341" s="854"/>
      <c r="CF341" s="854"/>
      <c r="CG341" s="854" t="s">
        <v>45</v>
      </c>
    </row>
    <row r="342" spans="1:85" ht="15.75" customHeight="1">
      <c r="A342" s="847"/>
      <c r="B342" s="1126"/>
      <c r="C342" s="1126"/>
      <c r="D342" s="1126"/>
      <c r="E342" s="1126"/>
      <c r="F342" s="1126"/>
      <c r="G342" s="1126"/>
      <c r="H342" s="1126"/>
      <c r="I342" s="1126"/>
      <c r="J342" s="1126"/>
      <c r="K342" s="1126"/>
      <c r="L342" s="1126"/>
      <c r="M342" s="848"/>
      <c r="N342" s="849"/>
      <c r="O342" s="850"/>
      <c r="P342" s="850"/>
      <c r="Q342" s="850"/>
      <c r="R342" s="850"/>
      <c r="S342" s="850"/>
      <c r="T342" s="851"/>
      <c r="U342" s="851"/>
      <c r="V342" s="851"/>
      <c r="W342" s="851"/>
      <c r="X342" s="851"/>
      <c r="Y342" s="851"/>
      <c r="Z342" s="851"/>
      <c r="AA342" s="851"/>
      <c r="AB342" s="851"/>
      <c r="AC342" s="851"/>
      <c r="AD342" s="851"/>
      <c r="AE342" s="851"/>
      <c r="AF342" s="851"/>
      <c r="AG342" s="851"/>
      <c r="AH342" s="852"/>
      <c r="AI342" s="852"/>
      <c r="AJ342" s="852"/>
      <c r="AK342" s="852"/>
      <c r="AL342" s="852"/>
      <c r="AM342" s="852"/>
      <c r="AN342" s="852"/>
      <c r="AO342" s="852"/>
      <c r="AP342" s="852"/>
      <c r="AQ342" s="852"/>
      <c r="AR342" s="852"/>
      <c r="AS342" s="852"/>
      <c r="AT342" s="852"/>
      <c r="AU342" s="852"/>
      <c r="AV342" s="852"/>
      <c r="AW342" s="852"/>
      <c r="AX342" s="849"/>
      <c r="AY342" s="847"/>
      <c r="AZ342" s="847"/>
      <c r="BA342" s="847"/>
      <c r="BB342" s="847"/>
      <c r="BC342" s="853"/>
      <c r="BD342" s="854"/>
      <c r="BE342" s="854"/>
      <c r="BF342" s="854"/>
      <c r="BG342" s="870">
        <f t="shared" si="107"/>
        <v>19</v>
      </c>
      <c r="BH342" s="860" t="s">
        <v>381</v>
      </c>
      <c r="BI342" s="912"/>
      <c r="BJ342" s="871">
        <v>0</v>
      </c>
      <c r="BK342" s="872">
        <f t="shared" si="103"/>
        <v>0</v>
      </c>
      <c r="BL342" s="871">
        <v>0</v>
      </c>
      <c r="BM342" s="872">
        <f t="shared" si="104"/>
        <v>0</v>
      </c>
      <c r="BN342" s="871">
        <v>0</v>
      </c>
      <c r="BO342" s="872">
        <f t="shared" si="105"/>
        <v>0</v>
      </c>
      <c r="BP342" s="871">
        <v>0</v>
      </c>
      <c r="BQ342" s="872">
        <f t="shared" si="106"/>
        <v>0</v>
      </c>
      <c r="BR342" s="854"/>
      <c r="BS342" s="854"/>
      <c r="BT342" s="854"/>
      <c r="BU342" s="854"/>
      <c r="BV342" s="854"/>
      <c r="BW342" s="854"/>
      <c r="BX342" s="854"/>
      <c r="BY342" s="854"/>
      <c r="BZ342" s="854"/>
      <c r="CA342" s="854"/>
      <c r="CB342" s="854"/>
      <c r="CC342" s="854"/>
      <c r="CD342" s="854"/>
      <c r="CE342" s="854"/>
      <c r="CF342" s="854"/>
      <c r="CG342" s="854" t="s">
        <v>45</v>
      </c>
    </row>
    <row r="343" spans="1:85" ht="15.75" customHeight="1">
      <c r="A343" s="847"/>
      <c r="B343" s="1126"/>
      <c r="C343" s="1126"/>
      <c r="D343" s="1126"/>
      <c r="E343" s="1126"/>
      <c r="F343" s="1126"/>
      <c r="G343" s="1126"/>
      <c r="H343" s="1126"/>
      <c r="I343" s="1126"/>
      <c r="J343" s="1126"/>
      <c r="K343" s="1126"/>
      <c r="L343" s="1126"/>
      <c r="M343" s="848"/>
      <c r="N343" s="849"/>
      <c r="O343" s="850"/>
      <c r="P343" s="850"/>
      <c r="Q343" s="850"/>
      <c r="R343" s="850"/>
      <c r="S343" s="850"/>
      <c r="T343" s="851"/>
      <c r="U343" s="851"/>
      <c r="V343" s="851"/>
      <c r="W343" s="851"/>
      <c r="X343" s="851"/>
      <c r="Y343" s="851"/>
      <c r="Z343" s="851"/>
      <c r="AA343" s="851"/>
      <c r="AB343" s="851"/>
      <c r="AC343" s="851"/>
      <c r="AD343" s="851"/>
      <c r="AE343" s="851"/>
      <c r="AF343" s="851"/>
      <c r="AG343" s="851"/>
      <c r="AH343" s="852"/>
      <c r="AI343" s="852"/>
      <c r="AJ343" s="852"/>
      <c r="AK343" s="852"/>
      <c r="AL343" s="852"/>
      <c r="AM343" s="852"/>
      <c r="AN343" s="852"/>
      <c r="AO343" s="852"/>
      <c r="AP343" s="852"/>
      <c r="AQ343" s="852"/>
      <c r="AR343" s="852"/>
      <c r="AS343" s="852"/>
      <c r="AT343" s="852"/>
      <c r="AU343" s="852"/>
      <c r="AV343" s="852"/>
      <c r="AW343" s="852"/>
      <c r="AX343" s="849"/>
      <c r="AY343" s="847"/>
      <c r="AZ343" s="847"/>
      <c r="BA343" s="847"/>
      <c r="BB343" s="847"/>
      <c r="BC343" s="853"/>
      <c r="BD343" s="854"/>
      <c r="BE343" s="854"/>
      <c r="BF343" s="854"/>
      <c r="BG343" s="870">
        <f t="shared" si="107"/>
        <v>20</v>
      </c>
      <c r="BH343" s="860" t="s">
        <v>382</v>
      </c>
      <c r="BI343" s="912"/>
      <c r="BJ343" s="871">
        <v>0</v>
      </c>
      <c r="BK343" s="872">
        <f t="shared" si="103"/>
        <v>0</v>
      </c>
      <c r="BL343" s="871">
        <v>0</v>
      </c>
      <c r="BM343" s="872">
        <f t="shared" si="104"/>
        <v>0</v>
      </c>
      <c r="BN343" s="871">
        <v>0</v>
      </c>
      <c r="BO343" s="872">
        <f t="shared" si="105"/>
        <v>0</v>
      </c>
      <c r="BP343" s="871">
        <v>0</v>
      </c>
      <c r="BQ343" s="872">
        <f t="shared" si="106"/>
        <v>0</v>
      </c>
      <c r="BR343" s="854"/>
      <c r="BS343" s="854"/>
      <c r="BT343" s="854"/>
      <c r="BU343" s="854"/>
      <c r="BV343" s="854"/>
      <c r="BW343" s="854"/>
      <c r="BX343" s="854"/>
      <c r="BY343" s="854"/>
      <c r="BZ343" s="854"/>
      <c r="CA343" s="854"/>
      <c r="CB343" s="854"/>
      <c r="CC343" s="854"/>
      <c r="CD343" s="854"/>
      <c r="CE343" s="854"/>
      <c r="CF343" s="854"/>
      <c r="CG343" s="854" t="s">
        <v>45</v>
      </c>
    </row>
    <row r="344" spans="1:85" ht="15.75" customHeight="1">
      <c r="A344" s="847"/>
      <c r="B344" s="1126"/>
      <c r="C344" s="1126"/>
      <c r="D344" s="1126"/>
      <c r="E344" s="1126"/>
      <c r="F344" s="1126"/>
      <c r="G344" s="1126"/>
      <c r="H344" s="1126"/>
      <c r="I344" s="1126"/>
      <c r="J344" s="1126"/>
      <c r="K344" s="1126"/>
      <c r="L344" s="1126"/>
      <c r="M344" s="848"/>
      <c r="N344" s="849"/>
      <c r="O344" s="850"/>
      <c r="P344" s="850"/>
      <c r="Q344" s="850"/>
      <c r="R344" s="850"/>
      <c r="S344" s="850"/>
      <c r="T344" s="851"/>
      <c r="U344" s="851"/>
      <c r="V344" s="851"/>
      <c r="W344" s="851"/>
      <c r="X344" s="851"/>
      <c r="Y344" s="851"/>
      <c r="Z344" s="851"/>
      <c r="AA344" s="851"/>
      <c r="AB344" s="851"/>
      <c r="AC344" s="851"/>
      <c r="AD344" s="851"/>
      <c r="AE344" s="851"/>
      <c r="AF344" s="851"/>
      <c r="AG344" s="851"/>
      <c r="AH344" s="852"/>
      <c r="AI344" s="852"/>
      <c r="AJ344" s="852"/>
      <c r="AK344" s="852"/>
      <c r="AL344" s="852"/>
      <c r="AM344" s="852"/>
      <c r="AN344" s="852"/>
      <c r="AO344" s="852"/>
      <c r="AP344" s="852"/>
      <c r="AQ344" s="852"/>
      <c r="AR344" s="852"/>
      <c r="AS344" s="852"/>
      <c r="AT344" s="852"/>
      <c r="AU344" s="852"/>
      <c r="AV344" s="852"/>
      <c r="AW344" s="852"/>
      <c r="AX344" s="849"/>
      <c r="AY344" s="847"/>
      <c r="AZ344" s="847"/>
      <c r="BA344" s="847"/>
      <c r="BB344" s="847"/>
      <c r="BC344" s="853"/>
      <c r="BD344" s="854"/>
      <c r="BE344" s="854"/>
      <c r="BF344" s="854"/>
      <c r="BG344" s="870">
        <f t="shared" si="107"/>
        <v>21</v>
      </c>
      <c r="BH344" s="860" t="s">
        <v>383</v>
      </c>
      <c r="BI344" s="912"/>
      <c r="BJ344" s="871">
        <v>0</v>
      </c>
      <c r="BK344" s="872">
        <f t="shared" si="103"/>
        <v>0</v>
      </c>
      <c r="BL344" s="871">
        <v>0</v>
      </c>
      <c r="BM344" s="872">
        <f t="shared" si="104"/>
        <v>0</v>
      </c>
      <c r="BN344" s="871">
        <v>0</v>
      </c>
      <c r="BO344" s="872">
        <f t="shared" si="105"/>
        <v>0</v>
      </c>
      <c r="BP344" s="871">
        <v>0</v>
      </c>
      <c r="BQ344" s="872">
        <f t="shared" si="106"/>
        <v>0</v>
      </c>
      <c r="BR344" s="854"/>
      <c r="BS344" s="854"/>
      <c r="BT344" s="854"/>
      <c r="BU344" s="854"/>
      <c r="BV344" s="854"/>
      <c r="BW344" s="854"/>
      <c r="BX344" s="854"/>
      <c r="BY344" s="854"/>
      <c r="BZ344" s="854"/>
      <c r="CA344" s="854"/>
      <c r="CB344" s="854"/>
      <c r="CC344" s="854"/>
      <c r="CD344" s="854"/>
      <c r="CE344" s="854"/>
      <c r="CF344" s="854"/>
      <c r="CG344" s="854" t="s">
        <v>45</v>
      </c>
    </row>
    <row r="345" spans="1:85" ht="15.75" customHeight="1">
      <c r="A345" s="847"/>
      <c r="B345" s="1126"/>
      <c r="C345" s="1126"/>
      <c r="D345" s="1126"/>
      <c r="E345" s="1126"/>
      <c r="F345" s="1126"/>
      <c r="G345" s="1126"/>
      <c r="H345" s="1126"/>
      <c r="I345" s="1126"/>
      <c r="J345" s="1126"/>
      <c r="K345" s="1126"/>
      <c r="L345" s="1126"/>
      <c r="M345" s="848"/>
      <c r="N345" s="849"/>
      <c r="O345" s="850"/>
      <c r="P345" s="850"/>
      <c r="Q345" s="850"/>
      <c r="R345" s="850"/>
      <c r="S345" s="850"/>
      <c r="T345" s="851"/>
      <c r="U345" s="851"/>
      <c r="V345" s="851"/>
      <c r="W345" s="851"/>
      <c r="X345" s="851"/>
      <c r="Y345" s="851"/>
      <c r="Z345" s="851"/>
      <c r="AA345" s="851"/>
      <c r="AB345" s="851"/>
      <c r="AC345" s="851"/>
      <c r="AD345" s="851"/>
      <c r="AE345" s="851"/>
      <c r="AF345" s="851"/>
      <c r="AG345" s="851"/>
      <c r="AH345" s="852"/>
      <c r="AI345" s="852"/>
      <c r="AJ345" s="852"/>
      <c r="AK345" s="852"/>
      <c r="AL345" s="852"/>
      <c r="AM345" s="852"/>
      <c r="AN345" s="852"/>
      <c r="AO345" s="852"/>
      <c r="AP345" s="852"/>
      <c r="AQ345" s="852"/>
      <c r="AR345" s="852"/>
      <c r="AS345" s="852"/>
      <c r="AT345" s="852"/>
      <c r="AU345" s="852"/>
      <c r="AV345" s="852"/>
      <c r="AW345" s="852"/>
      <c r="AX345" s="849"/>
      <c r="AY345" s="847"/>
      <c r="AZ345" s="847"/>
      <c r="BA345" s="847"/>
      <c r="BB345" s="847"/>
      <c r="BC345" s="853"/>
      <c r="BD345" s="854"/>
      <c r="BE345" s="854"/>
      <c r="BF345" s="854"/>
      <c r="BG345" s="870">
        <f t="shared" si="107"/>
        <v>22</v>
      </c>
      <c r="BH345" s="860" t="s">
        <v>45</v>
      </c>
      <c r="BI345" s="912"/>
      <c r="BJ345" s="871">
        <v>0</v>
      </c>
      <c r="BK345" s="872">
        <f t="shared" si="103"/>
        <v>0</v>
      </c>
      <c r="BL345" s="871">
        <v>0</v>
      </c>
      <c r="BM345" s="872">
        <f t="shared" si="104"/>
        <v>0</v>
      </c>
      <c r="BN345" s="871">
        <v>0</v>
      </c>
      <c r="BO345" s="872">
        <f t="shared" si="105"/>
        <v>0</v>
      </c>
      <c r="BP345" s="871">
        <v>0</v>
      </c>
      <c r="BQ345" s="872">
        <f t="shared" si="106"/>
        <v>0</v>
      </c>
      <c r="BR345" s="854"/>
      <c r="BS345" s="854"/>
      <c r="BT345" s="854"/>
      <c r="BU345" s="854"/>
      <c r="BV345" s="854"/>
      <c r="BW345" s="854"/>
      <c r="BX345" s="854"/>
      <c r="BY345" s="854"/>
      <c r="BZ345" s="854"/>
      <c r="CA345" s="854"/>
      <c r="CB345" s="854"/>
      <c r="CC345" s="854"/>
      <c r="CD345" s="854"/>
      <c r="CE345" s="854"/>
      <c r="CF345" s="854"/>
      <c r="CG345" s="854" t="s">
        <v>45</v>
      </c>
    </row>
    <row r="346" spans="1:85" ht="15.75" customHeight="1">
      <c r="A346" s="847"/>
      <c r="B346" s="1126"/>
      <c r="C346" s="1126"/>
      <c r="D346" s="1126"/>
      <c r="E346" s="1126"/>
      <c r="F346" s="1126"/>
      <c r="G346" s="1126"/>
      <c r="H346" s="1126"/>
      <c r="I346" s="1126"/>
      <c r="J346" s="1126"/>
      <c r="K346" s="1126"/>
      <c r="L346" s="1126"/>
      <c r="M346" s="848"/>
      <c r="N346" s="849"/>
      <c r="O346" s="850"/>
      <c r="P346" s="850"/>
      <c r="Q346" s="850"/>
      <c r="R346" s="850"/>
      <c r="S346" s="850"/>
      <c r="T346" s="851"/>
      <c r="U346" s="851"/>
      <c r="V346" s="851"/>
      <c r="W346" s="851"/>
      <c r="X346" s="851"/>
      <c r="Y346" s="851"/>
      <c r="Z346" s="851"/>
      <c r="AA346" s="851"/>
      <c r="AB346" s="851"/>
      <c r="AC346" s="851"/>
      <c r="AD346" s="851"/>
      <c r="AE346" s="851"/>
      <c r="AF346" s="851"/>
      <c r="AG346" s="851"/>
      <c r="AH346" s="852"/>
      <c r="AI346" s="852"/>
      <c r="AJ346" s="852"/>
      <c r="AK346" s="852"/>
      <c r="AL346" s="852"/>
      <c r="AM346" s="852"/>
      <c r="AN346" s="852"/>
      <c r="AO346" s="852"/>
      <c r="AP346" s="852"/>
      <c r="AQ346" s="852"/>
      <c r="AR346" s="852"/>
      <c r="AS346" s="852"/>
      <c r="AT346" s="852"/>
      <c r="AU346" s="852"/>
      <c r="AV346" s="852"/>
      <c r="AW346" s="852"/>
      <c r="AX346" s="849"/>
      <c r="AY346" s="847"/>
      <c r="AZ346" s="847"/>
      <c r="BA346" s="847"/>
      <c r="BB346" s="847"/>
      <c r="BC346" s="853"/>
      <c r="BD346" s="854"/>
      <c r="BE346" s="854"/>
      <c r="BF346" s="854"/>
      <c r="BG346" s="870">
        <f t="shared" si="107"/>
        <v>23</v>
      </c>
      <c r="BH346" s="860" t="s">
        <v>45</v>
      </c>
      <c r="BI346" s="912"/>
      <c r="BJ346" s="871">
        <v>0</v>
      </c>
      <c r="BK346" s="872">
        <f t="shared" si="103"/>
        <v>0</v>
      </c>
      <c r="BL346" s="871">
        <v>0</v>
      </c>
      <c r="BM346" s="872">
        <f t="shared" si="104"/>
        <v>0</v>
      </c>
      <c r="BN346" s="871">
        <v>0</v>
      </c>
      <c r="BO346" s="872">
        <f t="shared" si="105"/>
        <v>0</v>
      </c>
      <c r="BP346" s="871">
        <v>0</v>
      </c>
      <c r="BQ346" s="872">
        <f t="shared" si="106"/>
        <v>0</v>
      </c>
      <c r="BR346" s="854"/>
      <c r="BS346" s="854"/>
      <c r="BT346" s="854"/>
      <c r="BU346" s="854"/>
      <c r="BV346" s="854"/>
      <c r="BW346" s="854"/>
      <c r="BX346" s="854"/>
      <c r="BY346" s="854"/>
      <c r="BZ346" s="854"/>
      <c r="CA346" s="854"/>
      <c r="CB346" s="854"/>
      <c r="CC346" s="854"/>
      <c r="CD346" s="854"/>
      <c r="CE346" s="854"/>
      <c r="CF346" s="854"/>
      <c r="CG346" s="854" t="s">
        <v>45</v>
      </c>
    </row>
    <row r="347" spans="1:85" ht="15.75" customHeight="1">
      <c r="A347" s="847"/>
      <c r="B347" s="1126"/>
      <c r="C347" s="1126"/>
      <c r="D347" s="1126"/>
      <c r="E347" s="1126"/>
      <c r="F347" s="1126"/>
      <c r="G347" s="1126"/>
      <c r="H347" s="1126"/>
      <c r="I347" s="1126"/>
      <c r="J347" s="1126"/>
      <c r="K347" s="1126"/>
      <c r="L347" s="1126"/>
      <c r="M347" s="848"/>
      <c r="N347" s="849"/>
      <c r="O347" s="850"/>
      <c r="P347" s="850"/>
      <c r="Q347" s="850"/>
      <c r="R347" s="850"/>
      <c r="S347" s="850"/>
      <c r="T347" s="851"/>
      <c r="U347" s="851"/>
      <c r="V347" s="851"/>
      <c r="W347" s="851"/>
      <c r="X347" s="851"/>
      <c r="Y347" s="851"/>
      <c r="Z347" s="851"/>
      <c r="AA347" s="851"/>
      <c r="AB347" s="851"/>
      <c r="AC347" s="851"/>
      <c r="AD347" s="851"/>
      <c r="AE347" s="851"/>
      <c r="AF347" s="851"/>
      <c r="AG347" s="851"/>
      <c r="AH347" s="852"/>
      <c r="AI347" s="852"/>
      <c r="AJ347" s="852"/>
      <c r="AK347" s="852"/>
      <c r="AL347" s="852"/>
      <c r="AM347" s="852"/>
      <c r="AN347" s="852"/>
      <c r="AO347" s="852"/>
      <c r="AP347" s="852"/>
      <c r="AQ347" s="852"/>
      <c r="AR347" s="852"/>
      <c r="AS347" s="852"/>
      <c r="AT347" s="852"/>
      <c r="AU347" s="852"/>
      <c r="AV347" s="852"/>
      <c r="AW347" s="852"/>
      <c r="AX347" s="849"/>
      <c r="AY347" s="847"/>
      <c r="AZ347" s="847"/>
      <c r="BA347" s="847"/>
      <c r="BB347" s="847"/>
      <c r="BC347" s="853"/>
      <c r="BD347" s="854"/>
      <c r="BE347" s="854"/>
      <c r="BF347" s="854"/>
      <c r="BG347" s="870">
        <f t="shared" si="107"/>
        <v>24</v>
      </c>
      <c r="BH347" s="860" t="s">
        <v>45</v>
      </c>
      <c r="BI347" s="912"/>
      <c r="BJ347" s="871">
        <v>0</v>
      </c>
      <c r="BK347" s="872">
        <f t="shared" si="103"/>
        <v>0</v>
      </c>
      <c r="BL347" s="871">
        <v>0</v>
      </c>
      <c r="BM347" s="872">
        <f t="shared" si="104"/>
        <v>0</v>
      </c>
      <c r="BN347" s="871">
        <v>0</v>
      </c>
      <c r="BO347" s="872">
        <f t="shared" si="105"/>
        <v>0</v>
      </c>
      <c r="BP347" s="871">
        <v>0</v>
      </c>
      <c r="BQ347" s="872">
        <f t="shared" si="106"/>
        <v>0</v>
      </c>
      <c r="BR347" s="854"/>
      <c r="BS347" s="854"/>
      <c r="BT347" s="854"/>
      <c r="BU347" s="854"/>
      <c r="BV347" s="854"/>
      <c r="BW347" s="854"/>
      <c r="BX347" s="854"/>
      <c r="BY347" s="854"/>
      <c r="BZ347" s="854"/>
      <c r="CA347" s="854"/>
      <c r="CB347" s="854"/>
      <c r="CC347" s="854"/>
      <c r="CD347" s="854"/>
      <c r="CE347" s="854"/>
      <c r="CF347" s="854"/>
      <c r="CG347" s="854" t="s">
        <v>45</v>
      </c>
    </row>
    <row r="348" spans="1:85" ht="15.75" customHeight="1">
      <c r="A348" s="847"/>
      <c r="B348" s="1126"/>
      <c r="C348" s="1126"/>
      <c r="D348" s="1126"/>
      <c r="E348" s="1126"/>
      <c r="F348" s="1126"/>
      <c r="G348" s="1126"/>
      <c r="H348" s="1126"/>
      <c r="I348" s="1126"/>
      <c r="J348" s="1126"/>
      <c r="K348" s="1126"/>
      <c r="L348" s="1126"/>
      <c r="M348" s="848"/>
      <c r="N348" s="849"/>
      <c r="O348" s="850"/>
      <c r="P348" s="850"/>
      <c r="Q348" s="850"/>
      <c r="R348" s="850"/>
      <c r="S348" s="850"/>
      <c r="T348" s="851"/>
      <c r="U348" s="851"/>
      <c r="V348" s="851"/>
      <c r="W348" s="851"/>
      <c r="X348" s="851"/>
      <c r="Y348" s="851"/>
      <c r="Z348" s="851"/>
      <c r="AA348" s="851"/>
      <c r="AB348" s="851"/>
      <c r="AC348" s="851"/>
      <c r="AD348" s="851"/>
      <c r="AE348" s="851"/>
      <c r="AF348" s="851"/>
      <c r="AG348" s="851"/>
      <c r="AH348" s="852"/>
      <c r="AI348" s="852"/>
      <c r="AJ348" s="852"/>
      <c r="AK348" s="852"/>
      <c r="AL348" s="852"/>
      <c r="AM348" s="852"/>
      <c r="AN348" s="852"/>
      <c r="AO348" s="852"/>
      <c r="AP348" s="852"/>
      <c r="AQ348" s="852"/>
      <c r="AR348" s="852"/>
      <c r="AS348" s="852"/>
      <c r="AT348" s="852"/>
      <c r="AU348" s="852"/>
      <c r="AV348" s="852"/>
      <c r="AW348" s="852"/>
      <c r="AX348" s="849"/>
      <c r="AY348" s="847"/>
      <c r="AZ348" s="847"/>
      <c r="BA348" s="847"/>
      <c r="BB348" s="847"/>
      <c r="BC348" s="853"/>
      <c r="BD348" s="854"/>
      <c r="BE348" s="854"/>
      <c r="BF348" s="854"/>
      <c r="BG348" s="870">
        <f t="shared" si="107"/>
        <v>25</v>
      </c>
      <c r="BH348" s="860" t="s">
        <v>45</v>
      </c>
      <c r="BI348" s="912"/>
      <c r="BJ348" s="871">
        <v>0</v>
      </c>
      <c r="BK348" s="872">
        <f t="shared" si="103"/>
        <v>0</v>
      </c>
      <c r="BL348" s="871">
        <v>0</v>
      </c>
      <c r="BM348" s="872">
        <f t="shared" si="104"/>
        <v>0</v>
      </c>
      <c r="BN348" s="871">
        <v>0</v>
      </c>
      <c r="BO348" s="872">
        <f t="shared" si="105"/>
        <v>0</v>
      </c>
      <c r="BP348" s="871">
        <v>0</v>
      </c>
      <c r="BQ348" s="872">
        <f t="shared" si="106"/>
        <v>0</v>
      </c>
      <c r="BR348" s="854"/>
      <c r="BS348" s="854"/>
      <c r="BT348" s="854"/>
      <c r="BU348" s="854"/>
      <c r="BV348" s="854"/>
      <c r="BW348" s="854"/>
      <c r="BX348" s="854"/>
      <c r="BY348" s="854"/>
      <c r="BZ348" s="854"/>
      <c r="CA348" s="854"/>
      <c r="CB348" s="854"/>
      <c r="CC348" s="854"/>
      <c r="CD348" s="854"/>
      <c r="CE348" s="854"/>
      <c r="CF348" s="854"/>
      <c r="CG348" s="854" t="s">
        <v>45</v>
      </c>
    </row>
    <row r="349" spans="1:85" ht="15.75" customHeight="1">
      <c r="A349" s="847"/>
      <c r="B349" s="1126"/>
      <c r="C349" s="1126"/>
      <c r="D349" s="1126"/>
      <c r="E349" s="1126"/>
      <c r="F349" s="1126"/>
      <c r="G349" s="1126"/>
      <c r="H349" s="1126"/>
      <c r="I349" s="1126"/>
      <c r="J349" s="1126"/>
      <c r="K349" s="1126"/>
      <c r="L349" s="1126"/>
      <c r="M349" s="848"/>
      <c r="N349" s="849"/>
      <c r="O349" s="850"/>
      <c r="P349" s="850"/>
      <c r="Q349" s="850"/>
      <c r="R349" s="850"/>
      <c r="S349" s="850"/>
      <c r="T349" s="851"/>
      <c r="U349" s="851"/>
      <c r="V349" s="851"/>
      <c r="W349" s="851"/>
      <c r="X349" s="851"/>
      <c r="Y349" s="851"/>
      <c r="Z349" s="851"/>
      <c r="AA349" s="851"/>
      <c r="AB349" s="851"/>
      <c r="AC349" s="851"/>
      <c r="AD349" s="851"/>
      <c r="AE349" s="851"/>
      <c r="AF349" s="851"/>
      <c r="AG349" s="851"/>
      <c r="AH349" s="852"/>
      <c r="AI349" s="852"/>
      <c r="AJ349" s="852"/>
      <c r="AK349" s="852"/>
      <c r="AL349" s="852"/>
      <c r="AM349" s="852"/>
      <c r="AN349" s="852"/>
      <c r="AO349" s="852"/>
      <c r="AP349" s="852"/>
      <c r="AQ349" s="852"/>
      <c r="AR349" s="852"/>
      <c r="AS349" s="852"/>
      <c r="AT349" s="852"/>
      <c r="AU349" s="852"/>
      <c r="AV349" s="852"/>
      <c r="AW349" s="852"/>
      <c r="AX349" s="849"/>
      <c r="AY349" s="847"/>
      <c r="AZ349" s="847"/>
      <c r="BA349" s="847"/>
      <c r="BB349" s="847"/>
      <c r="BC349" s="853"/>
      <c r="BD349" s="854"/>
      <c r="BE349" s="854"/>
      <c r="BF349" s="854"/>
      <c r="BG349" s="870">
        <f t="shared" si="107"/>
        <v>26</v>
      </c>
      <c r="BH349" s="860" t="s">
        <v>45</v>
      </c>
      <c r="BI349" s="912"/>
      <c r="BJ349" s="871">
        <v>0</v>
      </c>
      <c r="BK349" s="872">
        <f t="shared" si="103"/>
        <v>0</v>
      </c>
      <c r="BL349" s="871">
        <v>0</v>
      </c>
      <c r="BM349" s="872">
        <f t="shared" si="104"/>
        <v>0</v>
      </c>
      <c r="BN349" s="871">
        <v>0</v>
      </c>
      <c r="BO349" s="872">
        <f t="shared" si="105"/>
        <v>0</v>
      </c>
      <c r="BP349" s="871">
        <v>0</v>
      </c>
      <c r="BQ349" s="872">
        <f t="shared" si="106"/>
        <v>0</v>
      </c>
      <c r="BR349" s="854"/>
      <c r="BS349" s="854"/>
      <c r="BT349" s="854"/>
      <c r="BU349" s="854"/>
      <c r="BV349" s="854"/>
      <c r="BW349" s="854"/>
      <c r="BX349" s="854"/>
      <c r="BY349" s="854"/>
      <c r="BZ349" s="854"/>
      <c r="CA349" s="854"/>
      <c r="CB349" s="854"/>
      <c r="CC349" s="854"/>
      <c r="CD349" s="854"/>
      <c r="CE349" s="854"/>
      <c r="CF349" s="854"/>
      <c r="CG349" s="854" t="s">
        <v>45</v>
      </c>
    </row>
    <row r="350" spans="1:85" ht="15.75" customHeight="1">
      <c r="A350" s="847"/>
      <c r="B350" s="1126"/>
      <c r="C350" s="1126"/>
      <c r="D350" s="1126"/>
      <c r="E350" s="1126"/>
      <c r="F350" s="1126"/>
      <c r="G350" s="1126"/>
      <c r="H350" s="1126"/>
      <c r="I350" s="1126"/>
      <c r="J350" s="1126"/>
      <c r="K350" s="1126"/>
      <c r="L350" s="1126"/>
      <c r="M350" s="848"/>
      <c r="N350" s="849"/>
      <c r="O350" s="850"/>
      <c r="P350" s="850"/>
      <c r="Q350" s="850"/>
      <c r="R350" s="850"/>
      <c r="S350" s="850"/>
      <c r="T350" s="851"/>
      <c r="U350" s="851"/>
      <c r="V350" s="851"/>
      <c r="W350" s="851"/>
      <c r="X350" s="851"/>
      <c r="Y350" s="851"/>
      <c r="Z350" s="851"/>
      <c r="AA350" s="851"/>
      <c r="AB350" s="851"/>
      <c r="AC350" s="851"/>
      <c r="AD350" s="851"/>
      <c r="AE350" s="851"/>
      <c r="AF350" s="851"/>
      <c r="AG350" s="851"/>
      <c r="AH350" s="852"/>
      <c r="AI350" s="852"/>
      <c r="AJ350" s="852"/>
      <c r="AK350" s="852"/>
      <c r="AL350" s="852"/>
      <c r="AM350" s="852"/>
      <c r="AN350" s="852"/>
      <c r="AO350" s="852"/>
      <c r="AP350" s="852"/>
      <c r="AQ350" s="852"/>
      <c r="AR350" s="852"/>
      <c r="AS350" s="852"/>
      <c r="AT350" s="852"/>
      <c r="AU350" s="852"/>
      <c r="AV350" s="852"/>
      <c r="AW350" s="852"/>
      <c r="AX350" s="849"/>
      <c r="AY350" s="847"/>
      <c r="AZ350" s="847"/>
      <c r="BA350" s="847"/>
      <c r="BB350" s="847"/>
      <c r="BC350" s="853"/>
      <c r="BD350" s="854"/>
      <c r="BE350" s="854"/>
      <c r="BF350" s="854"/>
      <c r="BG350" s="870">
        <f t="shared" si="107"/>
        <v>27</v>
      </c>
      <c r="BH350" s="860" t="s">
        <v>45</v>
      </c>
      <c r="BI350" s="912"/>
      <c r="BJ350" s="871">
        <v>0</v>
      </c>
      <c r="BK350" s="872">
        <f t="shared" si="103"/>
        <v>0</v>
      </c>
      <c r="BL350" s="871">
        <v>0</v>
      </c>
      <c r="BM350" s="872">
        <f t="shared" si="104"/>
        <v>0</v>
      </c>
      <c r="BN350" s="871">
        <v>0</v>
      </c>
      <c r="BO350" s="872">
        <f t="shared" si="105"/>
        <v>0</v>
      </c>
      <c r="BP350" s="871">
        <v>0</v>
      </c>
      <c r="BQ350" s="872">
        <f t="shared" si="106"/>
        <v>0</v>
      </c>
      <c r="BR350" s="854"/>
      <c r="BS350" s="854"/>
      <c r="BT350" s="854"/>
      <c r="BU350" s="854"/>
      <c r="BV350" s="854"/>
      <c r="BW350" s="854"/>
      <c r="BX350" s="854"/>
      <c r="BY350" s="854"/>
      <c r="BZ350" s="854"/>
      <c r="CA350" s="854"/>
      <c r="CB350" s="854"/>
      <c r="CC350" s="854"/>
      <c r="CD350" s="854"/>
      <c r="CE350" s="854"/>
      <c r="CF350" s="854"/>
      <c r="CG350" s="854" t="s">
        <v>45</v>
      </c>
    </row>
    <row r="351" spans="1:85" ht="15.75" customHeight="1">
      <c r="A351" s="847"/>
      <c r="B351" s="1126"/>
      <c r="C351" s="1126"/>
      <c r="D351" s="1126"/>
      <c r="E351" s="1126"/>
      <c r="F351" s="1126"/>
      <c r="G351" s="1126"/>
      <c r="H351" s="1126"/>
      <c r="I351" s="1126"/>
      <c r="J351" s="1126"/>
      <c r="K351" s="1126"/>
      <c r="L351" s="1126"/>
      <c r="M351" s="848"/>
      <c r="N351" s="849"/>
      <c r="O351" s="850"/>
      <c r="P351" s="850"/>
      <c r="Q351" s="850"/>
      <c r="R351" s="850"/>
      <c r="S351" s="850"/>
      <c r="T351" s="851"/>
      <c r="U351" s="851"/>
      <c r="V351" s="851"/>
      <c r="W351" s="851"/>
      <c r="X351" s="851"/>
      <c r="Y351" s="851"/>
      <c r="Z351" s="851"/>
      <c r="AA351" s="851"/>
      <c r="AB351" s="851"/>
      <c r="AC351" s="851"/>
      <c r="AD351" s="851"/>
      <c r="AE351" s="851"/>
      <c r="AF351" s="851"/>
      <c r="AG351" s="851"/>
      <c r="AH351" s="852"/>
      <c r="AI351" s="852"/>
      <c r="AJ351" s="852"/>
      <c r="AK351" s="852"/>
      <c r="AL351" s="852"/>
      <c r="AM351" s="852"/>
      <c r="AN351" s="852"/>
      <c r="AO351" s="852"/>
      <c r="AP351" s="852"/>
      <c r="AQ351" s="852"/>
      <c r="AR351" s="852"/>
      <c r="AS351" s="852"/>
      <c r="AT351" s="852"/>
      <c r="AU351" s="852"/>
      <c r="AV351" s="852"/>
      <c r="AW351" s="852"/>
      <c r="AX351" s="849"/>
      <c r="AY351" s="847"/>
      <c r="AZ351" s="847"/>
      <c r="BA351" s="847"/>
      <c r="BB351" s="847"/>
      <c r="BC351" s="853"/>
      <c r="BD351" s="854"/>
      <c r="BE351" s="854"/>
      <c r="BF351" s="854"/>
      <c r="BG351" s="870">
        <f t="shared" si="107"/>
        <v>28</v>
      </c>
      <c r="BH351" s="860" t="s">
        <v>45</v>
      </c>
      <c r="BI351" s="912"/>
      <c r="BJ351" s="871">
        <v>0</v>
      </c>
      <c r="BK351" s="872">
        <f t="shared" si="103"/>
        <v>0</v>
      </c>
      <c r="BL351" s="871">
        <v>0</v>
      </c>
      <c r="BM351" s="872">
        <f t="shared" si="104"/>
        <v>0</v>
      </c>
      <c r="BN351" s="871">
        <v>0</v>
      </c>
      <c r="BO351" s="872">
        <f t="shared" si="105"/>
        <v>0</v>
      </c>
      <c r="BP351" s="871">
        <v>0</v>
      </c>
      <c r="BQ351" s="872">
        <f t="shared" si="106"/>
        <v>0</v>
      </c>
      <c r="BR351" s="854"/>
      <c r="BS351" s="854"/>
      <c r="BT351" s="854"/>
      <c r="BU351" s="854"/>
      <c r="BV351" s="854"/>
      <c r="BW351" s="854"/>
      <c r="BX351" s="854"/>
      <c r="BY351" s="854"/>
      <c r="BZ351" s="854"/>
      <c r="CA351" s="854"/>
      <c r="CB351" s="854"/>
      <c r="CC351" s="854"/>
      <c r="CD351" s="854"/>
      <c r="CE351" s="854"/>
      <c r="CF351" s="854"/>
      <c r="CG351" s="854" t="s">
        <v>45</v>
      </c>
    </row>
    <row r="352" spans="1:85" ht="15.75" customHeight="1">
      <c r="A352" s="847"/>
      <c r="B352" s="1126"/>
      <c r="C352" s="1126"/>
      <c r="D352" s="1126"/>
      <c r="E352" s="1126"/>
      <c r="F352" s="1126"/>
      <c r="G352" s="1126"/>
      <c r="H352" s="1126"/>
      <c r="I352" s="1126"/>
      <c r="J352" s="1126"/>
      <c r="K352" s="1126"/>
      <c r="L352" s="1126"/>
      <c r="M352" s="848"/>
      <c r="N352" s="849"/>
      <c r="O352" s="850"/>
      <c r="P352" s="850"/>
      <c r="Q352" s="850"/>
      <c r="R352" s="850"/>
      <c r="S352" s="850"/>
      <c r="T352" s="851"/>
      <c r="U352" s="851"/>
      <c r="V352" s="851"/>
      <c r="W352" s="851"/>
      <c r="X352" s="851"/>
      <c r="Y352" s="851"/>
      <c r="Z352" s="851"/>
      <c r="AA352" s="851"/>
      <c r="AB352" s="851"/>
      <c r="AC352" s="851"/>
      <c r="AD352" s="851"/>
      <c r="AE352" s="851"/>
      <c r="AF352" s="851"/>
      <c r="AG352" s="851"/>
      <c r="AH352" s="852"/>
      <c r="AI352" s="852"/>
      <c r="AJ352" s="852"/>
      <c r="AK352" s="852"/>
      <c r="AL352" s="852"/>
      <c r="AM352" s="852"/>
      <c r="AN352" s="852"/>
      <c r="AO352" s="852"/>
      <c r="AP352" s="852"/>
      <c r="AQ352" s="852"/>
      <c r="AR352" s="852"/>
      <c r="AS352" s="852"/>
      <c r="AT352" s="852"/>
      <c r="AU352" s="852"/>
      <c r="AV352" s="852"/>
      <c r="AW352" s="852"/>
      <c r="AX352" s="849"/>
      <c r="AY352" s="847"/>
      <c r="AZ352" s="847"/>
      <c r="BA352" s="847"/>
      <c r="BB352" s="847"/>
      <c r="BC352" s="853"/>
      <c r="BD352" s="854"/>
      <c r="BE352" s="854"/>
      <c r="BF352" s="854"/>
      <c r="BG352" s="870">
        <f t="shared" si="107"/>
        <v>29</v>
      </c>
      <c r="BH352" s="860" t="s">
        <v>45</v>
      </c>
      <c r="BI352" s="912"/>
      <c r="BJ352" s="871">
        <v>0</v>
      </c>
      <c r="BK352" s="872">
        <f t="shared" si="103"/>
        <v>0</v>
      </c>
      <c r="BL352" s="871">
        <v>0</v>
      </c>
      <c r="BM352" s="872">
        <f t="shared" si="104"/>
        <v>0</v>
      </c>
      <c r="BN352" s="871">
        <v>0</v>
      </c>
      <c r="BO352" s="872">
        <f t="shared" si="105"/>
        <v>0</v>
      </c>
      <c r="BP352" s="871">
        <v>0</v>
      </c>
      <c r="BQ352" s="872">
        <f t="shared" si="106"/>
        <v>0</v>
      </c>
      <c r="BR352" s="854"/>
      <c r="BS352" s="854"/>
      <c r="BT352" s="854"/>
      <c r="BU352" s="854"/>
      <c r="BV352" s="854"/>
      <c r="BW352" s="854"/>
      <c r="BX352" s="854"/>
      <c r="BY352" s="854"/>
      <c r="BZ352" s="854"/>
      <c r="CA352" s="854"/>
      <c r="CB352" s="854"/>
      <c r="CC352" s="854"/>
      <c r="CD352" s="854"/>
      <c r="CE352" s="854"/>
      <c r="CF352" s="854"/>
      <c r="CG352" s="854" t="s">
        <v>45</v>
      </c>
    </row>
    <row r="353" spans="1:85" ht="15.75" customHeight="1">
      <c r="A353" s="847"/>
      <c r="B353" s="1126"/>
      <c r="C353" s="1126"/>
      <c r="D353" s="1126"/>
      <c r="E353" s="1126"/>
      <c r="F353" s="1126"/>
      <c r="G353" s="1126"/>
      <c r="H353" s="1126"/>
      <c r="I353" s="1126"/>
      <c r="J353" s="1126"/>
      <c r="K353" s="1126"/>
      <c r="L353" s="1126"/>
      <c r="M353" s="848"/>
      <c r="N353" s="849"/>
      <c r="O353" s="850"/>
      <c r="P353" s="850"/>
      <c r="Q353" s="850"/>
      <c r="R353" s="850"/>
      <c r="S353" s="850"/>
      <c r="T353" s="851"/>
      <c r="U353" s="851"/>
      <c r="V353" s="851"/>
      <c r="W353" s="851"/>
      <c r="X353" s="851"/>
      <c r="Y353" s="851"/>
      <c r="Z353" s="851"/>
      <c r="AA353" s="851"/>
      <c r="AB353" s="851"/>
      <c r="AC353" s="851"/>
      <c r="AD353" s="851"/>
      <c r="AE353" s="851"/>
      <c r="AF353" s="851"/>
      <c r="AG353" s="851"/>
      <c r="AH353" s="852"/>
      <c r="AI353" s="852"/>
      <c r="AJ353" s="852"/>
      <c r="AK353" s="852"/>
      <c r="AL353" s="852"/>
      <c r="AM353" s="852"/>
      <c r="AN353" s="852"/>
      <c r="AO353" s="852"/>
      <c r="AP353" s="852"/>
      <c r="AQ353" s="852"/>
      <c r="AR353" s="852"/>
      <c r="AS353" s="852"/>
      <c r="AT353" s="852"/>
      <c r="AU353" s="852"/>
      <c r="AV353" s="852"/>
      <c r="AW353" s="852"/>
      <c r="AX353" s="849"/>
      <c r="AY353" s="847"/>
      <c r="AZ353" s="847"/>
      <c r="BA353" s="847"/>
      <c r="BB353" s="847"/>
      <c r="BC353" s="853"/>
      <c r="BD353" s="854"/>
      <c r="BE353" s="854"/>
      <c r="BF353" s="854"/>
      <c r="BG353" s="870">
        <f t="shared" si="107"/>
        <v>30</v>
      </c>
      <c r="BH353" s="860" t="s">
        <v>45</v>
      </c>
      <c r="BI353" s="912"/>
      <c r="BJ353" s="871">
        <v>0</v>
      </c>
      <c r="BK353" s="872">
        <f t="shared" si="103"/>
        <v>0</v>
      </c>
      <c r="BL353" s="871">
        <v>0</v>
      </c>
      <c r="BM353" s="872">
        <f t="shared" si="104"/>
        <v>0</v>
      </c>
      <c r="BN353" s="871">
        <v>0</v>
      </c>
      <c r="BO353" s="872">
        <f t="shared" si="105"/>
        <v>0</v>
      </c>
      <c r="BP353" s="871">
        <v>0</v>
      </c>
      <c r="BQ353" s="872">
        <f t="shared" si="106"/>
        <v>0</v>
      </c>
      <c r="BR353" s="854"/>
      <c r="BS353" s="854"/>
      <c r="BT353" s="854"/>
      <c r="BU353" s="854"/>
      <c r="BV353" s="854"/>
      <c r="BW353" s="854"/>
      <c r="BX353" s="854"/>
      <c r="BY353" s="854"/>
      <c r="BZ353" s="854"/>
      <c r="CA353" s="854"/>
      <c r="CB353" s="854"/>
      <c r="CC353" s="854"/>
      <c r="CD353" s="854"/>
      <c r="CE353" s="854"/>
      <c r="CF353" s="854"/>
      <c r="CG353" s="854" t="s">
        <v>45</v>
      </c>
    </row>
    <row r="354" spans="1:85" ht="15.75" customHeight="1">
      <c r="A354" s="847"/>
      <c r="B354" s="1126"/>
      <c r="C354" s="1126"/>
      <c r="D354" s="1126"/>
      <c r="E354" s="1126"/>
      <c r="F354" s="1126"/>
      <c r="G354" s="1126"/>
      <c r="H354" s="1126"/>
      <c r="I354" s="1126"/>
      <c r="J354" s="1126"/>
      <c r="K354" s="1126"/>
      <c r="L354" s="1126"/>
      <c r="M354" s="848"/>
      <c r="N354" s="849"/>
      <c r="O354" s="850"/>
      <c r="P354" s="850"/>
      <c r="Q354" s="850"/>
      <c r="R354" s="850"/>
      <c r="S354" s="850"/>
      <c r="T354" s="851"/>
      <c r="U354" s="851"/>
      <c r="V354" s="851"/>
      <c r="W354" s="851"/>
      <c r="X354" s="851"/>
      <c r="Y354" s="851"/>
      <c r="Z354" s="851"/>
      <c r="AA354" s="851"/>
      <c r="AB354" s="851"/>
      <c r="AC354" s="851"/>
      <c r="AD354" s="851"/>
      <c r="AE354" s="851"/>
      <c r="AF354" s="851"/>
      <c r="AG354" s="851"/>
      <c r="AH354" s="852"/>
      <c r="AI354" s="852"/>
      <c r="AJ354" s="852"/>
      <c r="AK354" s="852"/>
      <c r="AL354" s="852"/>
      <c r="AM354" s="852"/>
      <c r="AN354" s="852"/>
      <c r="AO354" s="852"/>
      <c r="AP354" s="852"/>
      <c r="AQ354" s="852"/>
      <c r="AR354" s="852"/>
      <c r="AS354" s="852"/>
      <c r="AT354" s="852"/>
      <c r="AU354" s="852"/>
      <c r="AV354" s="852"/>
      <c r="AW354" s="852"/>
      <c r="AX354" s="849"/>
      <c r="AY354" s="847"/>
      <c r="AZ354" s="847"/>
      <c r="BA354" s="847"/>
      <c r="BB354" s="847"/>
      <c r="BC354" s="853"/>
      <c r="BD354" s="854"/>
      <c r="BE354" s="854"/>
      <c r="BF354" s="854"/>
      <c r="BG354" s="870">
        <f t="shared" si="107"/>
        <v>31</v>
      </c>
      <c r="BH354" s="905" t="s">
        <v>384</v>
      </c>
      <c r="BI354" s="912"/>
      <c r="BJ354" s="854">
        <f>SUM(BJ324:BJ338)-SUM(BJ339:BJ353)</f>
        <v>13814.728602000003</v>
      </c>
      <c r="BK354" s="872">
        <f>IF(SUM(BJ$324:BJ338)=0,0,BJ354/SUM(BJ$324:BJ338)*100)</f>
        <v>71.433675972285116</v>
      </c>
      <c r="BL354" s="854">
        <f>SUM(BL324:BL338)-SUM(BL339:BL353)</f>
        <v>10205.272427999997</v>
      </c>
      <c r="BM354" s="872">
        <f>IF(SUM(BL$324:BL338)=0,0,BL354/SUM(BL$324:BL338)*100)</f>
        <v>4.6920137867169718</v>
      </c>
      <c r="BN354" s="854">
        <f>SUM(BN324:BN338)-SUM(BN339:BN353)</f>
        <v>14621.698517999999</v>
      </c>
      <c r="BO354" s="872">
        <f>IF(SUM(BN$324:BN338)=0,0,BN354/SUM(BN$324:BN338)*100)</f>
        <v>76.728451927765633</v>
      </c>
      <c r="BP354" s="854">
        <f>SUM(BP324:BP338)-SUM(BP339:BP353)</f>
        <v>41687.164461000008</v>
      </c>
      <c r="BQ354" s="872">
        <f>IF(SUM(BP$324:BP338)=0,0,BP354/SUM(BP$324:BP338)*100)</f>
        <v>10.224250554718969</v>
      </c>
      <c r="BR354" s="854"/>
      <c r="BS354" s="854"/>
      <c r="BT354" s="854"/>
      <c r="BU354" s="854"/>
      <c r="BV354" s="854"/>
      <c r="BW354" s="854"/>
      <c r="BX354" s="854"/>
      <c r="BY354" s="854"/>
      <c r="BZ354" s="854"/>
      <c r="CA354" s="854"/>
      <c r="CB354" s="854"/>
      <c r="CC354" s="854"/>
      <c r="CD354" s="854"/>
      <c r="CE354" s="854"/>
      <c r="CF354" s="854"/>
      <c r="CG354" s="854" t="s">
        <v>45</v>
      </c>
    </row>
    <row r="355" spans="1:85" ht="15.75" customHeight="1">
      <c r="A355" s="847"/>
      <c r="B355" s="1126"/>
      <c r="C355" s="1126"/>
      <c r="D355" s="1126"/>
      <c r="E355" s="1126"/>
      <c r="F355" s="1126"/>
      <c r="G355" s="1126"/>
      <c r="H355" s="1126"/>
      <c r="I355" s="1126"/>
      <c r="J355" s="1126"/>
      <c r="K355" s="1126"/>
      <c r="L355" s="1126"/>
      <c r="M355" s="848"/>
      <c r="N355" s="849"/>
      <c r="O355" s="850"/>
      <c r="P355" s="850"/>
      <c r="Q355" s="850"/>
      <c r="R355" s="850"/>
      <c r="S355" s="850"/>
      <c r="T355" s="851"/>
      <c r="U355" s="851"/>
      <c r="V355" s="851"/>
      <c r="W355" s="851"/>
      <c r="X355" s="851"/>
      <c r="Y355" s="851"/>
      <c r="Z355" s="851"/>
      <c r="AA355" s="851"/>
      <c r="AB355" s="851"/>
      <c r="AC355" s="851"/>
      <c r="AD355" s="851"/>
      <c r="AE355" s="851"/>
      <c r="AF355" s="851"/>
      <c r="AG355" s="851"/>
      <c r="AH355" s="852"/>
      <c r="AI355" s="852"/>
      <c r="AJ355" s="852"/>
      <c r="AK355" s="852"/>
      <c r="AL355" s="852"/>
      <c r="AM355" s="852"/>
      <c r="AN355" s="852"/>
      <c r="AO355" s="852"/>
      <c r="AP355" s="852"/>
      <c r="AQ355" s="852"/>
      <c r="AR355" s="852"/>
      <c r="AS355" s="852"/>
      <c r="AT355" s="852"/>
      <c r="AU355" s="852"/>
      <c r="AV355" s="852"/>
      <c r="AW355" s="852"/>
      <c r="AX355" s="849"/>
      <c r="AY355" s="847"/>
      <c r="AZ355" s="847"/>
      <c r="BA355" s="847"/>
      <c r="BB355" s="847"/>
      <c r="BC355" s="853"/>
      <c r="BD355" s="854"/>
      <c r="BE355" s="854"/>
      <c r="BF355" s="854"/>
      <c r="BG355" s="870">
        <f t="shared" si="107"/>
        <v>32</v>
      </c>
      <c r="BH355" s="860" t="s">
        <v>385</v>
      </c>
      <c r="BI355" s="912"/>
      <c r="BJ355" s="871">
        <v>51002.494929</v>
      </c>
      <c r="BK355" s="872">
        <f>IF(SUM(BJ$324:BJ$338)=0,0,BJ355/SUM(BJ$324:BJ$338)*100)</f>
        <v>263.72546298222966</v>
      </c>
      <c r="BL355" s="871">
        <v>1513</v>
      </c>
      <c r="BM355" s="872">
        <f>IF(SUM(BL$324:BL$338)=0,0,BL355/SUM(BL$324:BL$338)*100)</f>
        <v>0.69562247449909831</v>
      </c>
      <c r="BN355" s="871">
        <v>938.10093700000004</v>
      </c>
      <c r="BO355" s="872">
        <f>IF(SUM(BN$324:BN$338)=0,0,BN355/SUM(BN$324:BN$338)*100)</f>
        <v>4.9227545322034114</v>
      </c>
      <c r="BP355" s="871">
        <v>6140.151081</v>
      </c>
      <c r="BQ355" s="872">
        <f>IF(SUM(BP$324:BP$338)=0,0,BP355/SUM(BP$324:BP$338)*100)</f>
        <v>1.5059417906608699</v>
      </c>
      <c r="BR355" s="854"/>
      <c r="BS355" s="854"/>
      <c r="BT355" s="854"/>
      <c r="BU355" s="854"/>
      <c r="BV355" s="854"/>
      <c r="BW355" s="854"/>
      <c r="BX355" s="854"/>
      <c r="BY355" s="854"/>
      <c r="BZ355" s="854"/>
      <c r="CA355" s="854"/>
      <c r="CB355" s="854"/>
      <c r="CC355" s="854"/>
      <c r="CD355" s="854"/>
      <c r="CE355" s="854"/>
      <c r="CF355" s="854"/>
      <c r="CG355" s="854" t="s">
        <v>45</v>
      </c>
    </row>
    <row r="356" spans="1:85" ht="15.75" customHeight="1">
      <c r="A356" s="847"/>
      <c r="B356" s="1126"/>
      <c r="C356" s="1126"/>
      <c r="D356" s="1126"/>
      <c r="E356" s="1126"/>
      <c r="F356" s="1126"/>
      <c r="G356" s="1126"/>
      <c r="H356" s="1126"/>
      <c r="I356" s="1126"/>
      <c r="J356" s="1126"/>
      <c r="K356" s="1126"/>
      <c r="L356" s="1126"/>
      <c r="M356" s="848"/>
      <c r="N356" s="849"/>
      <c r="O356" s="850"/>
      <c r="P356" s="850"/>
      <c r="Q356" s="850"/>
      <c r="R356" s="850"/>
      <c r="S356" s="850"/>
      <c r="T356" s="851"/>
      <c r="U356" s="851"/>
      <c r="V356" s="851"/>
      <c r="W356" s="851"/>
      <c r="X356" s="851"/>
      <c r="Y356" s="851"/>
      <c r="Z356" s="851"/>
      <c r="AA356" s="851"/>
      <c r="AB356" s="851"/>
      <c r="AC356" s="851"/>
      <c r="AD356" s="851"/>
      <c r="AE356" s="851"/>
      <c r="AF356" s="851"/>
      <c r="AG356" s="851"/>
      <c r="AH356" s="852"/>
      <c r="AI356" s="852"/>
      <c r="AJ356" s="852"/>
      <c r="AK356" s="852"/>
      <c r="AL356" s="852"/>
      <c r="AM356" s="852"/>
      <c r="AN356" s="852"/>
      <c r="AO356" s="852"/>
      <c r="AP356" s="852"/>
      <c r="AQ356" s="852"/>
      <c r="AR356" s="852"/>
      <c r="AS356" s="852"/>
      <c r="AT356" s="852"/>
      <c r="AU356" s="852"/>
      <c r="AV356" s="852"/>
      <c r="AW356" s="852"/>
      <c r="AX356" s="849"/>
      <c r="AY356" s="847"/>
      <c r="AZ356" s="847"/>
      <c r="BA356" s="847"/>
      <c r="BB356" s="847"/>
      <c r="BC356" s="853"/>
      <c r="BD356" s="854"/>
      <c r="BE356" s="854"/>
      <c r="BF356" s="854"/>
      <c r="BG356" s="854"/>
      <c r="BH356" s="854"/>
      <c r="BI356" s="854"/>
      <c r="BJ356" s="854"/>
      <c r="BK356" s="854"/>
      <c r="BL356" s="854"/>
      <c r="BM356" s="854"/>
      <c r="BN356" s="854"/>
      <c r="BO356" s="854"/>
      <c r="BP356" s="854"/>
      <c r="BQ356" s="854"/>
      <c r="BR356" s="854"/>
      <c r="BS356" s="854"/>
      <c r="BT356" s="854"/>
      <c r="BU356" s="870">
        <f>BG355+1</f>
        <v>33</v>
      </c>
      <c r="BV356" s="860" t="s">
        <v>386</v>
      </c>
      <c r="BW356" s="912"/>
      <c r="BX356" s="871">
        <v>0</v>
      </c>
      <c r="BY356" s="872">
        <f t="shared" ref="BY356:BY357" si="108">IF(SUM(BJ$324:BJ$338)=0,0,BX356/SUM(BJ$324:BJ$338)*100)</f>
        <v>0</v>
      </c>
      <c r="BZ356" s="871">
        <v>0</v>
      </c>
      <c r="CA356" s="872">
        <f t="shared" ref="CA356:CA357" si="109">IF(SUM(BL$324:BL$338)=0,0,BZ356/SUM(BL$324:BL$338)*100)</f>
        <v>0</v>
      </c>
      <c r="CB356" s="871">
        <v>0</v>
      </c>
      <c r="CC356" s="872">
        <f t="shared" ref="CC356:CC357" si="110">IF(SUM(BN$324:BN$338)=0,0,CB356/SUM(BN$324:BN$338)*100)</f>
        <v>0</v>
      </c>
      <c r="CD356" s="871">
        <v>0</v>
      </c>
      <c r="CE356" s="872">
        <f t="shared" ref="CE356:CE357" si="111">IF(SUM(BP$324:BP$338)=0,0,CD356/SUM(BP$324:BP$338)*100)</f>
        <v>0</v>
      </c>
      <c r="CF356" s="854"/>
      <c r="CG356" s="854" t="s">
        <v>45</v>
      </c>
    </row>
    <row r="357" spans="1:85" ht="15.75" customHeight="1">
      <c r="A357" s="847"/>
      <c r="B357" s="1126"/>
      <c r="C357" s="1126"/>
      <c r="D357" s="1126"/>
      <c r="E357" s="1126"/>
      <c r="F357" s="1126"/>
      <c r="G357" s="1126"/>
      <c r="H357" s="1126"/>
      <c r="I357" s="1126"/>
      <c r="J357" s="1126"/>
      <c r="K357" s="1126"/>
      <c r="L357" s="1126"/>
      <c r="M357" s="848"/>
      <c r="N357" s="849"/>
      <c r="O357" s="850"/>
      <c r="P357" s="850"/>
      <c r="Q357" s="850"/>
      <c r="R357" s="850"/>
      <c r="S357" s="850"/>
      <c r="T357" s="851"/>
      <c r="U357" s="851"/>
      <c r="V357" s="851"/>
      <c r="W357" s="851"/>
      <c r="X357" s="851"/>
      <c r="Y357" s="851"/>
      <c r="Z357" s="851"/>
      <c r="AA357" s="851"/>
      <c r="AB357" s="851"/>
      <c r="AC357" s="851"/>
      <c r="AD357" s="851"/>
      <c r="AE357" s="851"/>
      <c r="AF357" s="851"/>
      <c r="AG357" s="851"/>
      <c r="AH357" s="852"/>
      <c r="AI357" s="852"/>
      <c r="AJ357" s="852"/>
      <c r="AK357" s="852"/>
      <c r="AL357" s="852"/>
      <c r="AM357" s="852"/>
      <c r="AN357" s="852"/>
      <c r="AO357" s="852"/>
      <c r="AP357" s="852"/>
      <c r="AQ357" s="852"/>
      <c r="AR357" s="852"/>
      <c r="AS357" s="852"/>
      <c r="AT357" s="852"/>
      <c r="AU357" s="852"/>
      <c r="AV357" s="852"/>
      <c r="AW357" s="852"/>
      <c r="AX357" s="849"/>
      <c r="AY357" s="847"/>
      <c r="AZ357" s="847"/>
      <c r="BA357" s="847"/>
      <c r="BB357" s="847"/>
      <c r="BC357" s="853"/>
      <c r="BD357" s="854"/>
      <c r="BE357" s="854"/>
      <c r="BF357" s="854"/>
      <c r="BG357" s="854"/>
      <c r="BH357" s="913"/>
      <c r="BI357" s="854"/>
      <c r="BJ357" s="913"/>
      <c r="BK357" s="854"/>
      <c r="BL357" s="913"/>
      <c r="BM357" s="854"/>
      <c r="BN357" s="913"/>
      <c r="BO357" s="854"/>
      <c r="BP357" s="913"/>
      <c r="BQ357" s="854"/>
      <c r="BR357" s="854"/>
      <c r="BS357" s="854"/>
      <c r="BT357" s="854"/>
      <c r="BU357" s="870">
        <f>BU356+1</f>
        <v>34</v>
      </c>
      <c r="BV357" s="860" t="s">
        <v>379</v>
      </c>
      <c r="BW357" s="912"/>
      <c r="BX357" s="871">
        <v>2105.2807379999999</v>
      </c>
      <c r="BY357" s="872">
        <f t="shared" si="108"/>
        <v>10.886058380271988</v>
      </c>
      <c r="BZ357" s="871">
        <v>1760.1910170000001</v>
      </c>
      <c r="CA357" s="872">
        <f t="shared" si="109"/>
        <v>0.80927193049347279</v>
      </c>
      <c r="CB357" s="871">
        <v>1789.304944</v>
      </c>
      <c r="CC357" s="872">
        <f t="shared" si="110"/>
        <v>9.3895109525617837</v>
      </c>
      <c r="CD357" s="871">
        <v>1994.100265</v>
      </c>
      <c r="CE357" s="872">
        <f t="shared" si="111"/>
        <v>0.48907573840061591</v>
      </c>
      <c r="CF357" s="854"/>
      <c r="CG357" s="854" t="s">
        <v>45</v>
      </c>
    </row>
    <row r="358" spans="1:85" ht="15.75" customHeight="1">
      <c r="A358" s="847"/>
      <c r="B358" s="1126"/>
      <c r="C358" s="1126"/>
      <c r="D358" s="1126"/>
      <c r="E358" s="1126"/>
      <c r="F358" s="1126"/>
      <c r="G358" s="1126"/>
      <c r="H358" s="1126"/>
      <c r="I358" s="1126"/>
      <c r="J358" s="1126"/>
      <c r="K358" s="1126"/>
      <c r="L358" s="1126"/>
      <c r="M358" s="848"/>
      <c r="N358" s="849"/>
      <c r="O358" s="850"/>
      <c r="P358" s="850"/>
      <c r="Q358" s="850"/>
      <c r="R358" s="850"/>
      <c r="S358" s="850"/>
      <c r="T358" s="851"/>
      <c r="U358" s="851"/>
      <c r="V358" s="851"/>
      <c r="W358" s="851"/>
      <c r="X358" s="851"/>
      <c r="Y358" s="851"/>
      <c r="Z358" s="851"/>
      <c r="AA358" s="851"/>
      <c r="AB358" s="851"/>
      <c r="AC358" s="851"/>
      <c r="AD358" s="851"/>
      <c r="AE358" s="851"/>
      <c r="AF358" s="851"/>
      <c r="AG358" s="851"/>
      <c r="AH358" s="852"/>
      <c r="AI358" s="852"/>
      <c r="AJ358" s="852"/>
      <c r="AK358" s="852"/>
      <c r="AL358" s="852"/>
      <c r="AM358" s="852"/>
      <c r="AN358" s="852"/>
      <c r="AO358" s="852"/>
      <c r="AP358" s="852"/>
      <c r="AQ358" s="852"/>
      <c r="AR358" s="852"/>
      <c r="AS358" s="852"/>
      <c r="AT358" s="852"/>
      <c r="AU358" s="852"/>
      <c r="AV358" s="852"/>
      <c r="AW358" s="852"/>
      <c r="AX358" s="849"/>
      <c r="AY358" s="847"/>
      <c r="AZ358" s="847"/>
      <c r="BA358" s="847"/>
      <c r="BB358" s="847"/>
      <c r="BC358" s="853"/>
      <c r="BD358" s="854"/>
      <c r="BE358" s="854"/>
      <c r="BF358" s="854"/>
      <c r="BG358" s="870">
        <f>BU357+1</f>
        <v>35</v>
      </c>
      <c r="BH358" s="860" t="s">
        <v>387</v>
      </c>
      <c r="BI358" s="912"/>
      <c r="BJ358" s="871">
        <v>0</v>
      </c>
      <c r="BK358" s="872">
        <f t="shared" ref="BK358:BK376" si="112">IF(SUM(BJ$324:BJ$338)=0,0,BJ358/SUM(BJ$324:BJ$338)*100)</f>
        <v>0</v>
      </c>
      <c r="BL358" s="871">
        <v>0</v>
      </c>
      <c r="BM358" s="872">
        <f t="shared" ref="BM358:BM376" si="113">IF(SUM(BL$324:BL$338)=0,0,BL358/SUM(BL$324:BL$338)*100)</f>
        <v>0</v>
      </c>
      <c r="BN358" s="871">
        <v>0</v>
      </c>
      <c r="BO358" s="872">
        <f t="shared" ref="BO358:BO376" si="114">IF(SUM(BN$324:BN$338)=0,0,BN358/SUM(BN$324:BN$338)*100)</f>
        <v>0</v>
      </c>
      <c r="BP358" s="871">
        <v>0</v>
      </c>
      <c r="BQ358" s="872">
        <f t="shared" ref="BQ358:BQ376" si="115">IF(SUM(BP$324:BP$338)=0,0,BP358/SUM(BP$324:BP$338)*100)</f>
        <v>0</v>
      </c>
      <c r="BR358" s="854"/>
      <c r="BS358" s="854"/>
      <c r="BT358" s="854"/>
      <c r="BU358" s="854"/>
      <c r="BV358" s="854"/>
      <c r="BW358" s="854"/>
      <c r="BX358" s="854"/>
      <c r="BY358" s="854"/>
      <c r="BZ358" s="854"/>
      <c r="CA358" s="854"/>
      <c r="CB358" s="854"/>
      <c r="CC358" s="854"/>
      <c r="CD358" s="854"/>
      <c r="CE358" s="854"/>
      <c r="CF358" s="854"/>
      <c r="CG358" s="854" t="s">
        <v>45</v>
      </c>
    </row>
    <row r="359" spans="1:85" ht="15.75" customHeight="1">
      <c r="A359" s="847"/>
      <c r="B359" s="1126"/>
      <c r="C359" s="1126"/>
      <c r="D359" s="1126"/>
      <c r="E359" s="1126"/>
      <c r="F359" s="1126"/>
      <c r="G359" s="1126"/>
      <c r="H359" s="1126"/>
      <c r="I359" s="1126"/>
      <c r="J359" s="1126"/>
      <c r="K359" s="1126"/>
      <c r="L359" s="1126"/>
      <c r="M359" s="848"/>
      <c r="N359" s="849"/>
      <c r="O359" s="850"/>
      <c r="P359" s="850"/>
      <c r="Q359" s="850"/>
      <c r="R359" s="850"/>
      <c r="S359" s="850"/>
      <c r="T359" s="851"/>
      <c r="U359" s="851"/>
      <c r="V359" s="851"/>
      <c r="W359" s="851"/>
      <c r="X359" s="851"/>
      <c r="Y359" s="851"/>
      <c r="Z359" s="851"/>
      <c r="AA359" s="851"/>
      <c r="AB359" s="851"/>
      <c r="AC359" s="851"/>
      <c r="AD359" s="851"/>
      <c r="AE359" s="851"/>
      <c r="AF359" s="851"/>
      <c r="AG359" s="851"/>
      <c r="AH359" s="852"/>
      <c r="AI359" s="852"/>
      <c r="AJ359" s="852"/>
      <c r="AK359" s="852"/>
      <c r="AL359" s="852"/>
      <c r="AM359" s="852"/>
      <c r="AN359" s="852"/>
      <c r="AO359" s="852"/>
      <c r="AP359" s="852"/>
      <c r="AQ359" s="852"/>
      <c r="AR359" s="852"/>
      <c r="AS359" s="852"/>
      <c r="AT359" s="852"/>
      <c r="AU359" s="852"/>
      <c r="AV359" s="852"/>
      <c r="AW359" s="852"/>
      <c r="AX359" s="849"/>
      <c r="AY359" s="847"/>
      <c r="AZ359" s="847"/>
      <c r="BA359" s="847"/>
      <c r="BB359" s="847"/>
      <c r="BC359" s="853"/>
      <c r="BD359" s="854"/>
      <c r="BE359" s="854"/>
      <c r="BF359" s="854"/>
      <c r="BG359" s="870">
        <f t="shared" ref="BG359:BG376" si="116">BG358+1</f>
        <v>36</v>
      </c>
      <c r="BH359" s="860" t="s">
        <v>382</v>
      </c>
      <c r="BI359" s="912"/>
      <c r="BJ359" s="871">
        <v>6634.8421520000002</v>
      </c>
      <c r="BK359" s="872">
        <f t="shared" si="112"/>
        <v>34.307671042094263</v>
      </c>
      <c r="BL359" s="871">
        <v>2846</v>
      </c>
      <c r="BM359" s="872">
        <f t="shared" si="113"/>
        <v>1.308487483426592</v>
      </c>
      <c r="BN359" s="871">
        <v>2943</v>
      </c>
      <c r="BO359" s="872">
        <f t="shared" si="114"/>
        <v>15.443611680642249</v>
      </c>
      <c r="BP359" s="871">
        <v>0</v>
      </c>
      <c r="BQ359" s="872">
        <f t="shared" si="115"/>
        <v>0</v>
      </c>
      <c r="BR359" s="854"/>
      <c r="BS359" s="854"/>
      <c r="BT359" s="854"/>
      <c r="BU359" s="854"/>
      <c r="BV359" s="854"/>
      <c r="BW359" s="854"/>
      <c r="BX359" s="854"/>
      <c r="BY359" s="854"/>
      <c r="BZ359" s="854"/>
      <c r="CA359" s="854"/>
      <c r="CB359" s="854"/>
      <c r="CC359" s="854"/>
      <c r="CD359" s="854"/>
      <c r="CE359" s="854"/>
      <c r="CF359" s="854"/>
      <c r="CG359" s="854" t="s">
        <v>45</v>
      </c>
    </row>
    <row r="360" spans="1:85" ht="15.75" customHeight="1">
      <c r="A360" s="847"/>
      <c r="B360" s="1126"/>
      <c r="C360" s="1126"/>
      <c r="D360" s="1126"/>
      <c r="E360" s="1126"/>
      <c r="F360" s="1126"/>
      <c r="G360" s="1126"/>
      <c r="H360" s="1126"/>
      <c r="I360" s="1126"/>
      <c r="J360" s="1126"/>
      <c r="K360" s="1126"/>
      <c r="L360" s="1126"/>
      <c r="M360" s="848"/>
      <c r="N360" s="849"/>
      <c r="O360" s="850"/>
      <c r="P360" s="850"/>
      <c r="Q360" s="850"/>
      <c r="R360" s="850"/>
      <c r="S360" s="850"/>
      <c r="T360" s="851"/>
      <c r="U360" s="851"/>
      <c r="V360" s="851"/>
      <c r="W360" s="851"/>
      <c r="X360" s="851"/>
      <c r="Y360" s="851"/>
      <c r="Z360" s="851"/>
      <c r="AA360" s="851"/>
      <c r="AB360" s="851"/>
      <c r="AC360" s="851"/>
      <c r="AD360" s="851"/>
      <c r="AE360" s="851"/>
      <c r="AF360" s="851"/>
      <c r="AG360" s="851"/>
      <c r="AH360" s="852"/>
      <c r="AI360" s="852"/>
      <c r="AJ360" s="852"/>
      <c r="AK360" s="852"/>
      <c r="AL360" s="852"/>
      <c r="AM360" s="852"/>
      <c r="AN360" s="852"/>
      <c r="AO360" s="852"/>
      <c r="AP360" s="852"/>
      <c r="AQ360" s="852"/>
      <c r="AR360" s="852"/>
      <c r="AS360" s="852"/>
      <c r="AT360" s="852"/>
      <c r="AU360" s="852"/>
      <c r="AV360" s="852"/>
      <c r="AW360" s="852"/>
      <c r="AX360" s="849"/>
      <c r="AY360" s="847"/>
      <c r="AZ360" s="847"/>
      <c r="BA360" s="847"/>
      <c r="BB360" s="847"/>
      <c r="BC360" s="853"/>
      <c r="BD360" s="854"/>
      <c r="BE360" s="854"/>
      <c r="BF360" s="854"/>
      <c r="BG360" s="870">
        <f t="shared" si="116"/>
        <v>37</v>
      </c>
      <c r="BH360" s="860" t="s">
        <v>388</v>
      </c>
      <c r="BI360" s="912"/>
      <c r="BJ360" s="871">
        <v>0</v>
      </c>
      <c r="BK360" s="872">
        <f t="shared" si="112"/>
        <v>0</v>
      </c>
      <c r="BL360" s="871">
        <v>0</v>
      </c>
      <c r="BM360" s="872">
        <f t="shared" si="113"/>
        <v>0</v>
      </c>
      <c r="BN360" s="871">
        <v>0</v>
      </c>
      <c r="BO360" s="872">
        <f t="shared" si="114"/>
        <v>0</v>
      </c>
      <c r="BP360" s="871">
        <v>0</v>
      </c>
      <c r="BQ360" s="872">
        <f t="shared" si="115"/>
        <v>0</v>
      </c>
      <c r="BR360" s="854"/>
      <c r="BS360" s="854"/>
      <c r="BT360" s="854"/>
      <c r="BU360" s="854"/>
      <c r="BV360" s="854"/>
      <c r="BW360" s="854"/>
      <c r="BX360" s="854"/>
      <c r="BY360" s="854"/>
      <c r="BZ360" s="854"/>
      <c r="CA360" s="854"/>
      <c r="CB360" s="854"/>
      <c r="CC360" s="854"/>
      <c r="CD360" s="854"/>
      <c r="CE360" s="854"/>
      <c r="CF360" s="854"/>
      <c r="CG360" s="854" t="s">
        <v>45</v>
      </c>
    </row>
    <row r="361" spans="1:85" ht="15.75" customHeight="1">
      <c r="A361" s="847"/>
      <c r="B361" s="1126"/>
      <c r="C361" s="1126"/>
      <c r="D361" s="1126"/>
      <c r="E361" s="1126"/>
      <c r="F361" s="1126"/>
      <c r="G361" s="1126"/>
      <c r="H361" s="1126"/>
      <c r="I361" s="1126"/>
      <c r="J361" s="1126"/>
      <c r="K361" s="1126"/>
      <c r="L361" s="1126"/>
      <c r="M361" s="848"/>
      <c r="N361" s="849"/>
      <c r="O361" s="850"/>
      <c r="P361" s="850"/>
      <c r="Q361" s="850"/>
      <c r="R361" s="850"/>
      <c r="S361" s="850"/>
      <c r="T361" s="851"/>
      <c r="U361" s="851"/>
      <c r="V361" s="851"/>
      <c r="W361" s="851"/>
      <c r="X361" s="851"/>
      <c r="Y361" s="851"/>
      <c r="Z361" s="851"/>
      <c r="AA361" s="851"/>
      <c r="AB361" s="851"/>
      <c r="AC361" s="851"/>
      <c r="AD361" s="851"/>
      <c r="AE361" s="851"/>
      <c r="AF361" s="851"/>
      <c r="AG361" s="851"/>
      <c r="AH361" s="852"/>
      <c r="AI361" s="852"/>
      <c r="AJ361" s="852"/>
      <c r="AK361" s="852"/>
      <c r="AL361" s="852"/>
      <c r="AM361" s="852"/>
      <c r="AN361" s="852"/>
      <c r="AO361" s="852"/>
      <c r="AP361" s="852"/>
      <c r="AQ361" s="852"/>
      <c r="AR361" s="852"/>
      <c r="AS361" s="852"/>
      <c r="AT361" s="852"/>
      <c r="AU361" s="852"/>
      <c r="AV361" s="852"/>
      <c r="AW361" s="852"/>
      <c r="AX361" s="849"/>
      <c r="AY361" s="847"/>
      <c r="AZ361" s="847"/>
      <c r="BA361" s="847"/>
      <c r="BB361" s="847"/>
      <c r="BC361" s="853"/>
      <c r="BD361" s="854"/>
      <c r="BE361" s="854"/>
      <c r="BF361" s="854"/>
      <c r="BG361" s="870">
        <f t="shared" si="116"/>
        <v>38</v>
      </c>
      <c r="BH361" s="860" t="s">
        <v>389</v>
      </c>
      <c r="BI361" s="912"/>
      <c r="BJ361" s="871">
        <v>0</v>
      </c>
      <c r="BK361" s="872">
        <f t="shared" si="112"/>
        <v>0</v>
      </c>
      <c r="BL361" s="871">
        <v>0</v>
      </c>
      <c r="BM361" s="872">
        <f t="shared" si="113"/>
        <v>0</v>
      </c>
      <c r="BN361" s="871">
        <v>0</v>
      </c>
      <c r="BO361" s="872">
        <f t="shared" si="114"/>
        <v>0</v>
      </c>
      <c r="BP361" s="871">
        <v>0</v>
      </c>
      <c r="BQ361" s="872">
        <f t="shared" si="115"/>
        <v>0</v>
      </c>
      <c r="BR361" s="854"/>
      <c r="BS361" s="854"/>
      <c r="BT361" s="854"/>
      <c r="BU361" s="854"/>
      <c r="BV361" s="854"/>
      <c r="BW361" s="854"/>
      <c r="BX361" s="854"/>
      <c r="BY361" s="854"/>
      <c r="BZ361" s="854"/>
      <c r="CA361" s="854"/>
      <c r="CB361" s="854"/>
      <c r="CC361" s="854"/>
      <c r="CD361" s="854"/>
      <c r="CE361" s="854"/>
      <c r="CF361" s="854"/>
      <c r="CG361" s="854" t="s">
        <v>45</v>
      </c>
    </row>
    <row r="362" spans="1:85" ht="15.75" customHeight="1">
      <c r="A362" s="847"/>
      <c r="B362" s="1126"/>
      <c r="C362" s="1126"/>
      <c r="D362" s="1126"/>
      <c r="E362" s="1126"/>
      <c r="F362" s="1126"/>
      <c r="G362" s="1126"/>
      <c r="H362" s="1126"/>
      <c r="I362" s="1126"/>
      <c r="J362" s="1126"/>
      <c r="K362" s="1126"/>
      <c r="L362" s="1126"/>
      <c r="M362" s="848"/>
      <c r="N362" s="849"/>
      <c r="O362" s="850"/>
      <c r="P362" s="850"/>
      <c r="Q362" s="850"/>
      <c r="R362" s="850"/>
      <c r="S362" s="850"/>
      <c r="T362" s="851"/>
      <c r="U362" s="851"/>
      <c r="V362" s="851"/>
      <c r="W362" s="851"/>
      <c r="X362" s="851"/>
      <c r="Y362" s="851"/>
      <c r="Z362" s="851"/>
      <c r="AA362" s="851"/>
      <c r="AB362" s="851"/>
      <c r="AC362" s="851"/>
      <c r="AD362" s="851"/>
      <c r="AE362" s="851"/>
      <c r="AF362" s="851"/>
      <c r="AG362" s="851"/>
      <c r="AH362" s="852"/>
      <c r="AI362" s="852"/>
      <c r="AJ362" s="852"/>
      <c r="AK362" s="852"/>
      <c r="AL362" s="852"/>
      <c r="AM362" s="852"/>
      <c r="AN362" s="852"/>
      <c r="AO362" s="852"/>
      <c r="AP362" s="852"/>
      <c r="AQ362" s="852"/>
      <c r="AR362" s="852"/>
      <c r="AS362" s="852"/>
      <c r="AT362" s="852"/>
      <c r="AU362" s="852"/>
      <c r="AV362" s="852"/>
      <c r="AW362" s="852"/>
      <c r="AX362" s="849"/>
      <c r="AY362" s="847"/>
      <c r="AZ362" s="847"/>
      <c r="BA362" s="847"/>
      <c r="BB362" s="847"/>
      <c r="BC362" s="853"/>
      <c r="BD362" s="854"/>
      <c r="BE362" s="854"/>
      <c r="BF362" s="854"/>
      <c r="BG362" s="870">
        <f t="shared" si="116"/>
        <v>39</v>
      </c>
      <c r="BH362" s="860" t="s">
        <v>390</v>
      </c>
      <c r="BI362" s="912"/>
      <c r="BJ362" s="871">
        <v>0</v>
      </c>
      <c r="BK362" s="872">
        <f t="shared" si="112"/>
        <v>0</v>
      </c>
      <c r="BL362" s="871">
        <v>0</v>
      </c>
      <c r="BM362" s="872">
        <f t="shared" si="113"/>
        <v>0</v>
      </c>
      <c r="BN362" s="871">
        <v>0</v>
      </c>
      <c r="BO362" s="872">
        <f t="shared" si="114"/>
        <v>0</v>
      </c>
      <c r="BP362" s="871">
        <v>0</v>
      </c>
      <c r="BQ362" s="872">
        <f t="shared" si="115"/>
        <v>0</v>
      </c>
      <c r="BR362" s="854"/>
      <c r="BS362" s="854"/>
      <c r="BT362" s="854"/>
      <c r="BU362" s="854"/>
      <c r="BV362" s="854"/>
      <c r="BW362" s="854"/>
      <c r="BX362" s="854"/>
      <c r="BY362" s="854"/>
      <c r="BZ362" s="854"/>
      <c r="CA362" s="854"/>
      <c r="CB362" s="854"/>
      <c r="CC362" s="854"/>
      <c r="CD362" s="854"/>
      <c r="CE362" s="854"/>
      <c r="CF362" s="854"/>
      <c r="CG362" s="854" t="s">
        <v>45</v>
      </c>
    </row>
    <row r="363" spans="1:85" ht="15.75" customHeight="1">
      <c r="A363" s="847"/>
      <c r="B363" s="1126"/>
      <c r="C363" s="1126"/>
      <c r="D363" s="1126"/>
      <c r="E363" s="1126"/>
      <c r="F363" s="1126"/>
      <c r="G363" s="1126"/>
      <c r="H363" s="1126"/>
      <c r="I363" s="1126"/>
      <c r="J363" s="1126"/>
      <c r="K363" s="1126"/>
      <c r="L363" s="1126"/>
      <c r="M363" s="848"/>
      <c r="N363" s="849"/>
      <c r="O363" s="850"/>
      <c r="P363" s="850"/>
      <c r="Q363" s="850"/>
      <c r="R363" s="850"/>
      <c r="S363" s="850"/>
      <c r="T363" s="851"/>
      <c r="U363" s="851"/>
      <c r="V363" s="851"/>
      <c r="W363" s="851"/>
      <c r="X363" s="851"/>
      <c r="Y363" s="851"/>
      <c r="Z363" s="851"/>
      <c r="AA363" s="851"/>
      <c r="AB363" s="851"/>
      <c r="AC363" s="851"/>
      <c r="AD363" s="851"/>
      <c r="AE363" s="851"/>
      <c r="AF363" s="851"/>
      <c r="AG363" s="851"/>
      <c r="AH363" s="852"/>
      <c r="AI363" s="852"/>
      <c r="AJ363" s="852"/>
      <c r="AK363" s="852"/>
      <c r="AL363" s="852"/>
      <c r="AM363" s="852"/>
      <c r="AN363" s="852"/>
      <c r="AO363" s="852"/>
      <c r="AP363" s="852"/>
      <c r="AQ363" s="852"/>
      <c r="AR363" s="852"/>
      <c r="AS363" s="852"/>
      <c r="AT363" s="852"/>
      <c r="AU363" s="852"/>
      <c r="AV363" s="852"/>
      <c r="AW363" s="852"/>
      <c r="AX363" s="849"/>
      <c r="AY363" s="847"/>
      <c r="AZ363" s="847"/>
      <c r="BA363" s="847"/>
      <c r="BB363" s="847"/>
      <c r="BC363" s="853"/>
      <c r="BD363" s="854"/>
      <c r="BE363" s="854"/>
      <c r="BF363" s="854"/>
      <c r="BG363" s="870">
        <f t="shared" si="116"/>
        <v>40</v>
      </c>
      <c r="BH363" s="860" t="s">
        <v>202</v>
      </c>
      <c r="BI363" s="912"/>
      <c r="BJ363" s="871">
        <v>0</v>
      </c>
      <c r="BK363" s="872">
        <f t="shared" si="112"/>
        <v>0</v>
      </c>
      <c r="BL363" s="871">
        <v>0</v>
      </c>
      <c r="BM363" s="872">
        <f t="shared" si="113"/>
        <v>0</v>
      </c>
      <c r="BN363" s="871">
        <v>0</v>
      </c>
      <c r="BO363" s="872">
        <f t="shared" si="114"/>
        <v>0</v>
      </c>
      <c r="BP363" s="871">
        <v>0</v>
      </c>
      <c r="BQ363" s="872">
        <f t="shared" si="115"/>
        <v>0</v>
      </c>
      <c r="BR363" s="854"/>
      <c r="BS363" s="854"/>
      <c r="BT363" s="854"/>
      <c r="BU363" s="854"/>
      <c r="BV363" s="854"/>
      <c r="BW363" s="854"/>
      <c r="BX363" s="854"/>
      <c r="BY363" s="854"/>
      <c r="BZ363" s="854"/>
      <c r="CA363" s="854"/>
      <c r="CB363" s="854"/>
      <c r="CC363" s="854"/>
      <c r="CD363" s="854"/>
      <c r="CE363" s="854"/>
      <c r="CF363" s="854"/>
      <c r="CG363" s="854" t="s">
        <v>45</v>
      </c>
    </row>
    <row r="364" spans="1:85" ht="15.75" customHeight="1">
      <c r="A364" s="847"/>
      <c r="B364" s="1126"/>
      <c r="C364" s="1126"/>
      <c r="D364" s="1126"/>
      <c r="E364" s="1126"/>
      <c r="F364" s="1126"/>
      <c r="G364" s="1126"/>
      <c r="H364" s="1126"/>
      <c r="I364" s="1126"/>
      <c r="J364" s="1126"/>
      <c r="K364" s="1126"/>
      <c r="L364" s="1126"/>
      <c r="M364" s="848"/>
      <c r="N364" s="849"/>
      <c r="O364" s="850"/>
      <c r="P364" s="850"/>
      <c r="Q364" s="850"/>
      <c r="R364" s="850"/>
      <c r="S364" s="850"/>
      <c r="T364" s="851"/>
      <c r="U364" s="851"/>
      <c r="V364" s="851"/>
      <c r="W364" s="851"/>
      <c r="X364" s="851"/>
      <c r="Y364" s="851"/>
      <c r="Z364" s="851"/>
      <c r="AA364" s="851"/>
      <c r="AB364" s="851"/>
      <c r="AC364" s="851"/>
      <c r="AD364" s="851"/>
      <c r="AE364" s="851"/>
      <c r="AF364" s="851"/>
      <c r="AG364" s="851"/>
      <c r="AH364" s="852"/>
      <c r="AI364" s="852"/>
      <c r="AJ364" s="852"/>
      <c r="AK364" s="852"/>
      <c r="AL364" s="852"/>
      <c r="AM364" s="852"/>
      <c r="AN364" s="852"/>
      <c r="AO364" s="852"/>
      <c r="AP364" s="852"/>
      <c r="AQ364" s="852"/>
      <c r="AR364" s="852"/>
      <c r="AS364" s="852"/>
      <c r="AT364" s="852"/>
      <c r="AU364" s="852"/>
      <c r="AV364" s="852"/>
      <c r="AW364" s="852"/>
      <c r="AX364" s="849"/>
      <c r="AY364" s="847"/>
      <c r="AZ364" s="847"/>
      <c r="BA364" s="847"/>
      <c r="BB364" s="847"/>
      <c r="BC364" s="853"/>
      <c r="BD364" s="854"/>
      <c r="BE364" s="854"/>
      <c r="BF364" s="854"/>
      <c r="BG364" s="870">
        <f t="shared" si="116"/>
        <v>41</v>
      </c>
      <c r="BH364" s="860" t="s">
        <v>45</v>
      </c>
      <c r="BI364" s="912"/>
      <c r="BJ364" s="871">
        <v>0</v>
      </c>
      <c r="BK364" s="872">
        <f t="shared" si="112"/>
        <v>0</v>
      </c>
      <c r="BL364" s="871">
        <v>0</v>
      </c>
      <c r="BM364" s="872">
        <f t="shared" si="113"/>
        <v>0</v>
      </c>
      <c r="BN364" s="871">
        <v>0</v>
      </c>
      <c r="BO364" s="872">
        <f t="shared" si="114"/>
        <v>0</v>
      </c>
      <c r="BP364" s="871">
        <v>0</v>
      </c>
      <c r="BQ364" s="872">
        <f t="shared" si="115"/>
        <v>0</v>
      </c>
      <c r="BR364" s="854"/>
      <c r="BS364" s="854"/>
      <c r="BT364" s="854"/>
      <c r="BU364" s="854"/>
      <c r="BV364" s="854"/>
      <c r="BW364" s="854"/>
      <c r="BX364" s="854"/>
      <c r="BY364" s="854"/>
      <c r="BZ364" s="854"/>
      <c r="CA364" s="854"/>
      <c r="CB364" s="854"/>
      <c r="CC364" s="854"/>
      <c r="CD364" s="854"/>
      <c r="CE364" s="854"/>
      <c r="CF364" s="854"/>
      <c r="CG364" s="854" t="s">
        <v>45</v>
      </c>
    </row>
    <row r="365" spans="1:85" ht="15.75" customHeight="1">
      <c r="A365" s="847"/>
      <c r="B365" s="1126"/>
      <c r="C365" s="1126"/>
      <c r="D365" s="1126"/>
      <c r="E365" s="1126"/>
      <c r="F365" s="1126"/>
      <c r="G365" s="1126"/>
      <c r="H365" s="1126"/>
      <c r="I365" s="1126"/>
      <c r="J365" s="1126"/>
      <c r="K365" s="1126"/>
      <c r="L365" s="1126"/>
      <c r="M365" s="848"/>
      <c r="N365" s="849"/>
      <c r="O365" s="850"/>
      <c r="P365" s="850"/>
      <c r="Q365" s="850"/>
      <c r="R365" s="850"/>
      <c r="S365" s="850"/>
      <c r="T365" s="851"/>
      <c r="U365" s="851"/>
      <c r="V365" s="851"/>
      <c r="W365" s="851"/>
      <c r="X365" s="851"/>
      <c r="Y365" s="851"/>
      <c r="Z365" s="851"/>
      <c r="AA365" s="851"/>
      <c r="AB365" s="851"/>
      <c r="AC365" s="851"/>
      <c r="AD365" s="851"/>
      <c r="AE365" s="851"/>
      <c r="AF365" s="851"/>
      <c r="AG365" s="851"/>
      <c r="AH365" s="852"/>
      <c r="AI365" s="852"/>
      <c r="AJ365" s="852"/>
      <c r="AK365" s="852"/>
      <c r="AL365" s="852"/>
      <c r="AM365" s="852"/>
      <c r="AN365" s="852"/>
      <c r="AO365" s="852"/>
      <c r="AP365" s="852"/>
      <c r="AQ365" s="852"/>
      <c r="AR365" s="852"/>
      <c r="AS365" s="852"/>
      <c r="AT365" s="852"/>
      <c r="AU365" s="852"/>
      <c r="AV365" s="852"/>
      <c r="AW365" s="852"/>
      <c r="AX365" s="849"/>
      <c r="AY365" s="847"/>
      <c r="AZ365" s="847"/>
      <c r="BA365" s="847"/>
      <c r="BB365" s="847"/>
      <c r="BC365" s="853"/>
      <c r="BD365" s="854"/>
      <c r="BE365" s="854"/>
      <c r="BF365" s="854"/>
      <c r="BG365" s="870">
        <f t="shared" si="116"/>
        <v>42</v>
      </c>
      <c r="BH365" s="860" t="s">
        <v>45</v>
      </c>
      <c r="BI365" s="912"/>
      <c r="BJ365" s="871">
        <v>0</v>
      </c>
      <c r="BK365" s="872">
        <f t="shared" si="112"/>
        <v>0</v>
      </c>
      <c r="BL365" s="871">
        <v>0</v>
      </c>
      <c r="BM365" s="872">
        <f t="shared" si="113"/>
        <v>0</v>
      </c>
      <c r="BN365" s="871">
        <v>0</v>
      </c>
      <c r="BO365" s="872">
        <f t="shared" si="114"/>
        <v>0</v>
      </c>
      <c r="BP365" s="871">
        <v>0</v>
      </c>
      <c r="BQ365" s="872">
        <f t="shared" si="115"/>
        <v>0</v>
      </c>
      <c r="BR365" s="854"/>
      <c r="BS365" s="854"/>
      <c r="BT365" s="854"/>
      <c r="BU365" s="854"/>
      <c r="BV365" s="854"/>
      <c r="BW365" s="854"/>
      <c r="BX365" s="854"/>
      <c r="BY365" s="854"/>
      <c r="BZ365" s="854"/>
      <c r="CA365" s="854"/>
      <c r="CB365" s="854"/>
      <c r="CC365" s="854"/>
      <c r="CD365" s="854"/>
      <c r="CE365" s="854"/>
      <c r="CF365" s="854"/>
      <c r="CG365" s="854" t="s">
        <v>45</v>
      </c>
    </row>
    <row r="366" spans="1:85" ht="15.75" customHeight="1">
      <c r="A366" s="847"/>
      <c r="B366" s="1126"/>
      <c r="C366" s="1126"/>
      <c r="D366" s="1126"/>
      <c r="E366" s="1126"/>
      <c r="F366" s="1126"/>
      <c r="G366" s="1126"/>
      <c r="H366" s="1126"/>
      <c r="I366" s="1126"/>
      <c r="J366" s="1126"/>
      <c r="K366" s="1126"/>
      <c r="L366" s="1126"/>
      <c r="M366" s="848"/>
      <c r="N366" s="849"/>
      <c r="O366" s="850"/>
      <c r="P366" s="850"/>
      <c r="Q366" s="850"/>
      <c r="R366" s="850"/>
      <c r="S366" s="850"/>
      <c r="T366" s="851"/>
      <c r="U366" s="851"/>
      <c r="V366" s="851"/>
      <c r="W366" s="851"/>
      <c r="X366" s="851"/>
      <c r="Y366" s="851"/>
      <c r="Z366" s="851"/>
      <c r="AA366" s="851"/>
      <c r="AB366" s="851"/>
      <c r="AC366" s="851"/>
      <c r="AD366" s="851"/>
      <c r="AE366" s="851"/>
      <c r="AF366" s="851"/>
      <c r="AG366" s="851"/>
      <c r="AH366" s="852"/>
      <c r="AI366" s="852"/>
      <c r="AJ366" s="852"/>
      <c r="AK366" s="852"/>
      <c r="AL366" s="852"/>
      <c r="AM366" s="852"/>
      <c r="AN366" s="852"/>
      <c r="AO366" s="852"/>
      <c r="AP366" s="852"/>
      <c r="AQ366" s="852"/>
      <c r="AR366" s="852"/>
      <c r="AS366" s="852"/>
      <c r="AT366" s="852"/>
      <c r="AU366" s="852"/>
      <c r="AV366" s="852"/>
      <c r="AW366" s="852"/>
      <c r="AX366" s="849"/>
      <c r="AY366" s="847"/>
      <c r="AZ366" s="847"/>
      <c r="BA366" s="847"/>
      <c r="BB366" s="847"/>
      <c r="BC366" s="853"/>
      <c r="BD366" s="854"/>
      <c r="BE366" s="854"/>
      <c r="BF366" s="854"/>
      <c r="BG366" s="870">
        <f t="shared" si="116"/>
        <v>43</v>
      </c>
      <c r="BH366" s="860" t="s">
        <v>45</v>
      </c>
      <c r="BI366" s="912"/>
      <c r="BJ366" s="871">
        <v>0</v>
      </c>
      <c r="BK366" s="872">
        <f t="shared" si="112"/>
        <v>0</v>
      </c>
      <c r="BL366" s="871">
        <v>0</v>
      </c>
      <c r="BM366" s="872">
        <f t="shared" si="113"/>
        <v>0</v>
      </c>
      <c r="BN366" s="871">
        <v>0</v>
      </c>
      <c r="BO366" s="872">
        <f t="shared" si="114"/>
        <v>0</v>
      </c>
      <c r="BP366" s="871">
        <v>0</v>
      </c>
      <c r="BQ366" s="872">
        <f t="shared" si="115"/>
        <v>0</v>
      </c>
      <c r="BR366" s="854"/>
      <c r="BS366" s="854"/>
      <c r="BT366" s="854"/>
      <c r="BU366" s="854"/>
      <c r="BV366" s="854"/>
      <c r="BW366" s="854"/>
      <c r="BX366" s="854"/>
      <c r="BY366" s="854"/>
      <c r="BZ366" s="854"/>
      <c r="CA366" s="854"/>
      <c r="CB366" s="854"/>
      <c r="CC366" s="854"/>
      <c r="CD366" s="854"/>
      <c r="CE366" s="854"/>
      <c r="CF366" s="854"/>
      <c r="CG366" s="854" t="s">
        <v>45</v>
      </c>
    </row>
    <row r="367" spans="1:85" ht="15.75" customHeight="1">
      <c r="A367" s="847"/>
      <c r="B367" s="1126"/>
      <c r="C367" s="1126"/>
      <c r="D367" s="1126"/>
      <c r="E367" s="1126"/>
      <c r="F367" s="1126"/>
      <c r="G367" s="1126"/>
      <c r="H367" s="1126"/>
      <c r="I367" s="1126"/>
      <c r="J367" s="1126"/>
      <c r="K367" s="1126"/>
      <c r="L367" s="1126"/>
      <c r="M367" s="848"/>
      <c r="N367" s="849"/>
      <c r="O367" s="850"/>
      <c r="P367" s="850"/>
      <c r="Q367" s="850"/>
      <c r="R367" s="850"/>
      <c r="S367" s="850"/>
      <c r="T367" s="851"/>
      <c r="U367" s="851"/>
      <c r="V367" s="851"/>
      <c r="W367" s="851"/>
      <c r="X367" s="851"/>
      <c r="Y367" s="851"/>
      <c r="Z367" s="851"/>
      <c r="AA367" s="851"/>
      <c r="AB367" s="851"/>
      <c r="AC367" s="851"/>
      <c r="AD367" s="851"/>
      <c r="AE367" s="851"/>
      <c r="AF367" s="851"/>
      <c r="AG367" s="851"/>
      <c r="AH367" s="852"/>
      <c r="AI367" s="852"/>
      <c r="AJ367" s="852"/>
      <c r="AK367" s="852"/>
      <c r="AL367" s="852"/>
      <c r="AM367" s="852"/>
      <c r="AN367" s="852"/>
      <c r="AO367" s="852"/>
      <c r="AP367" s="852"/>
      <c r="AQ367" s="852"/>
      <c r="AR367" s="852"/>
      <c r="AS367" s="852"/>
      <c r="AT367" s="852"/>
      <c r="AU367" s="852"/>
      <c r="AV367" s="852"/>
      <c r="AW367" s="852"/>
      <c r="AX367" s="849"/>
      <c r="AY367" s="847"/>
      <c r="AZ367" s="847"/>
      <c r="BA367" s="847"/>
      <c r="BB367" s="847"/>
      <c r="BC367" s="853"/>
      <c r="BD367" s="854"/>
      <c r="BE367" s="854"/>
      <c r="BF367" s="854"/>
      <c r="BG367" s="870">
        <f t="shared" si="116"/>
        <v>44</v>
      </c>
      <c r="BH367" s="860" t="s">
        <v>45</v>
      </c>
      <c r="BI367" s="912"/>
      <c r="BJ367" s="871">
        <v>0</v>
      </c>
      <c r="BK367" s="872">
        <f t="shared" si="112"/>
        <v>0</v>
      </c>
      <c r="BL367" s="871">
        <v>0</v>
      </c>
      <c r="BM367" s="872">
        <f t="shared" si="113"/>
        <v>0</v>
      </c>
      <c r="BN367" s="871">
        <v>0</v>
      </c>
      <c r="BO367" s="872">
        <f t="shared" si="114"/>
        <v>0</v>
      </c>
      <c r="BP367" s="871">
        <v>0</v>
      </c>
      <c r="BQ367" s="872">
        <f t="shared" si="115"/>
        <v>0</v>
      </c>
      <c r="BR367" s="854"/>
      <c r="BS367" s="854"/>
      <c r="BT367" s="854"/>
      <c r="BU367" s="854"/>
      <c r="BV367" s="854"/>
      <c r="BW367" s="854"/>
      <c r="BX367" s="854"/>
      <c r="BY367" s="854"/>
      <c r="BZ367" s="854"/>
      <c r="CA367" s="854"/>
      <c r="CB367" s="854"/>
      <c r="CC367" s="854"/>
      <c r="CD367" s="854"/>
      <c r="CE367" s="854"/>
      <c r="CF367" s="854"/>
      <c r="CG367" s="854" t="s">
        <v>45</v>
      </c>
    </row>
    <row r="368" spans="1:85" ht="15.75" customHeight="1">
      <c r="A368" s="847"/>
      <c r="B368" s="1126"/>
      <c r="C368" s="1126"/>
      <c r="D368" s="1126"/>
      <c r="E368" s="1126"/>
      <c r="F368" s="1126"/>
      <c r="G368" s="1126"/>
      <c r="H368" s="1126"/>
      <c r="I368" s="1126"/>
      <c r="J368" s="1126"/>
      <c r="K368" s="1126"/>
      <c r="L368" s="1126"/>
      <c r="M368" s="848"/>
      <c r="N368" s="849"/>
      <c r="O368" s="850"/>
      <c r="P368" s="850"/>
      <c r="Q368" s="850"/>
      <c r="R368" s="850"/>
      <c r="S368" s="850"/>
      <c r="T368" s="851"/>
      <c r="U368" s="851"/>
      <c r="V368" s="851"/>
      <c r="W368" s="851"/>
      <c r="X368" s="851"/>
      <c r="Y368" s="851"/>
      <c r="Z368" s="851"/>
      <c r="AA368" s="851"/>
      <c r="AB368" s="851"/>
      <c r="AC368" s="851"/>
      <c r="AD368" s="851"/>
      <c r="AE368" s="851"/>
      <c r="AF368" s="851"/>
      <c r="AG368" s="851"/>
      <c r="AH368" s="852"/>
      <c r="AI368" s="852"/>
      <c r="AJ368" s="852"/>
      <c r="AK368" s="852"/>
      <c r="AL368" s="852"/>
      <c r="AM368" s="852"/>
      <c r="AN368" s="852"/>
      <c r="AO368" s="852"/>
      <c r="AP368" s="852"/>
      <c r="AQ368" s="852"/>
      <c r="AR368" s="852"/>
      <c r="AS368" s="852"/>
      <c r="AT368" s="852"/>
      <c r="AU368" s="852"/>
      <c r="AV368" s="852"/>
      <c r="AW368" s="852"/>
      <c r="AX368" s="849"/>
      <c r="AY368" s="847"/>
      <c r="AZ368" s="847"/>
      <c r="BA368" s="847"/>
      <c r="BB368" s="847"/>
      <c r="BC368" s="853"/>
      <c r="BD368" s="854"/>
      <c r="BE368" s="854"/>
      <c r="BF368" s="854"/>
      <c r="BG368" s="870">
        <f t="shared" si="116"/>
        <v>45</v>
      </c>
      <c r="BH368" s="860" t="s">
        <v>45</v>
      </c>
      <c r="BI368" s="912"/>
      <c r="BJ368" s="871">
        <v>0</v>
      </c>
      <c r="BK368" s="872">
        <f t="shared" si="112"/>
        <v>0</v>
      </c>
      <c r="BL368" s="871">
        <v>0</v>
      </c>
      <c r="BM368" s="872">
        <f t="shared" si="113"/>
        <v>0</v>
      </c>
      <c r="BN368" s="871">
        <v>0</v>
      </c>
      <c r="BO368" s="872">
        <f t="shared" si="114"/>
        <v>0</v>
      </c>
      <c r="BP368" s="871">
        <v>0</v>
      </c>
      <c r="BQ368" s="872">
        <f t="shared" si="115"/>
        <v>0</v>
      </c>
      <c r="BR368" s="854"/>
      <c r="BS368" s="854"/>
      <c r="BT368" s="854"/>
      <c r="BU368" s="854"/>
      <c r="BV368" s="854"/>
      <c r="BW368" s="854"/>
      <c r="BX368" s="854"/>
      <c r="BY368" s="854"/>
      <c r="BZ368" s="854"/>
      <c r="CA368" s="854"/>
      <c r="CB368" s="854"/>
      <c r="CC368" s="854"/>
      <c r="CD368" s="854"/>
      <c r="CE368" s="854"/>
      <c r="CF368" s="854"/>
      <c r="CG368" s="854" t="s">
        <v>45</v>
      </c>
    </row>
    <row r="369" spans="1:85" ht="15.75" customHeight="1">
      <c r="A369" s="847"/>
      <c r="B369" s="1126"/>
      <c r="C369" s="1126"/>
      <c r="D369" s="1126"/>
      <c r="E369" s="1126"/>
      <c r="F369" s="1126"/>
      <c r="G369" s="1126"/>
      <c r="H369" s="1126"/>
      <c r="I369" s="1126"/>
      <c r="J369" s="1126"/>
      <c r="K369" s="1126"/>
      <c r="L369" s="1126"/>
      <c r="M369" s="848"/>
      <c r="N369" s="849"/>
      <c r="O369" s="850"/>
      <c r="P369" s="850"/>
      <c r="Q369" s="850"/>
      <c r="R369" s="850"/>
      <c r="S369" s="850"/>
      <c r="T369" s="851"/>
      <c r="U369" s="851"/>
      <c r="V369" s="851"/>
      <c r="W369" s="851"/>
      <c r="X369" s="851"/>
      <c r="Y369" s="851"/>
      <c r="Z369" s="851"/>
      <c r="AA369" s="851"/>
      <c r="AB369" s="851"/>
      <c r="AC369" s="851"/>
      <c r="AD369" s="851"/>
      <c r="AE369" s="851"/>
      <c r="AF369" s="851"/>
      <c r="AG369" s="851"/>
      <c r="AH369" s="852"/>
      <c r="AI369" s="852"/>
      <c r="AJ369" s="852"/>
      <c r="AK369" s="852"/>
      <c r="AL369" s="852"/>
      <c r="AM369" s="852"/>
      <c r="AN369" s="852"/>
      <c r="AO369" s="852"/>
      <c r="AP369" s="852"/>
      <c r="AQ369" s="852"/>
      <c r="AR369" s="852"/>
      <c r="AS369" s="852"/>
      <c r="AT369" s="852"/>
      <c r="AU369" s="852"/>
      <c r="AV369" s="852"/>
      <c r="AW369" s="852"/>
      <c r="AX369" s="849"/>
      <c r="AY369" s="847"/>
      <c r="AZ369" s="847"/>
      <c r="BA369" s="847"/>
      <c r="BB369" s="847"/>
      <c r="BC369" s="853"/>
      <c r="BD369" s="854"/>
      <c r="BE369" s="854"/>
      <c r="BF369" s="854"/>
      <c r="BG369" s="870">
        <f t="shared" si="116"/>
        <v>46</v>
      </c>
      <c r="BH369" s="860" t="s">
        <v>45</v>
      </c>
      <c r="BI369" s="912"/>
      <c r="BJ369" s="871">
        <v>0</v>
      </c>
      <c r="BK369" s="872">
        <f t="shared" si="112"/>
        <v>0</v>
      </c>
      <c r="BL369" s="871">
        <v>0</v>
      </c>
      <c r="BM369" s="872">
        <f t="shared" si="113"/>
        <v>0</v>
      </c>
      <c r="BN369" s="871">
        <v>0</v>
      </c>
      <c r="BO369" s="872">
        <f t="shared" si="114"/>
        <v>0</v>
      </c>
      <c r="BP369" s="871">
        <v>0</v>
      </c>
      <c r="BQ369" s="872">
        <f t="shared" si="115"/>
        <v>0</v>
      </c>
      <c r="BR369" s="854"/>
      <c r="BS369" s="854"/>
      <c r="BT369" s="854"/>
      <c r="BU369" s="854"/>
      <c r="BV369" s="854"/>
      <c r="BW369" s="854"/>
      <c r="BX369" s="854"/>
      <c r="BY369" s="854"/>
      <c r="BZ369" s="854"/>
      <c r="CA369" s="854"/>
      <c r="CB369" s="854"/>
      <c r="CC369" s="854"/>
      <c r="CD369" s="854"/>
      <c r="CE369" s="854"/>
      <c r="CF369" s="854"/>
      <c r="CG369" s="854" t="s">
        <v>45</v>
      </c>
    </row>
    <row r="370" spans="1:85" ht="15.75" customHeight="1">
      <c r="A370" s="847"/>
      <c r="B370" s="1126"/>
      <c r="C370" s="1126"/>
      <c r="D370" s="1126"/>
      <c r="E370" s="1126"/>
      <c r="F370" s="1126"/>
      <c r="G370" s="1126"/>
      <c r="H370" s="1126"/>
      <c r="I370" s="1126"/>
      <c r="J370" s="1126"/>
      <c r="K370" s="1126"/>
      <c r="L370" s="1126"/>
      <c r="M370" s="848"/>
      <c r="N370" s="849"/>
      <c r="O370" s="850"/>
      <c r="P370" s="850"/>
      <c r="Q370" s="850"/>
      <c r="R370" s="850"/>
      <c r="S370" s="850"/>
      <c r="T370" s="851"/>
      <c r="U370" s="851"/>
      <c r="V370" s="851"/>
      <c r="W370" s="851"/>
      <c r="X370" s="851"/>
      <c r="Y370" s="851"/>
      <c r="Z370" s="851"/>
      <c r="AA370" s="851"/>
      <c r="AB370" s="851"/>
      <c r="AC370" s="851"/>
      <c r="AD370" s="851"/>
      <c r="AE370" s="851"/>
      <c r="AF370" s="851"/>
      <c r="AG370" s="851"/>
      <c r="AH370" s="852"/>
      <c r="AI370" s="852"/>
      <c r="AJ370" s="852"/>
      <c r="AK370" s="852"/>
      <c r="AL370" s="852"/>
      <c r="AM370" s="852"/>
      <c r="AN370" s="852"/>
      <c r="AO370" s="852"/>
      <c r="AP370" s="852"/>
      <c r="AQ370" s="852"/>
      <c r="AR370" s="852"/>
      <c r="AS370" s="852"/>
      <c r="AT370" s="852"/>
      <c r="AU370" s="852"/>
      <c r="AV370" s="852"/>
      <c r="AW370" s="852"/>
      <c r="AX370" s="849"/>
      <c r="AY370" s="847"/>
      <c r="AZ370" s="847"/>
      <c r="BA370" s="847"/>
      <c r="BB370" s="847"/>
      <c r="BC370" s="853"/>
      <c r="BD370" s="854"/>
      <c r="BE370" s="854"/>
      <c r="BF370" s="854"/>
      <c r="BG370" s="870">
        <f t="shared" si="116"/>
        <v>47</v>
      </c>
      <c r="BH370" s="905" t="s">
        <v>391</v>
      </c>
      <c r="BI370" s="912"/>
      <c r="BJ370" s="854">
        <f>BJ354-(BJ355+SUM(BJ358:BJ369))</f>
        <v>-43822.608478999995</v>
      </c>
      <c r="BK370" s="872">
        <f t="shared" si="112"/>
        <v>-226.59945805203878</v>
      </c>
      <c r="BL370" s="854">
        <f>BL354-(BL355+SUM(BL358:BL369))</f>
        <v>5846.2724279999966</v>
      </c>
      <c r="BM370" s="872">
        <f t="shared" si="113"/>
        <v>2.6879038287912818</v>
      </c>
      <c r="BN370" s="854">
        <f>BN354-(BN355+SUM(BN358:BN369))</f>
        <v>10740.597580999998</v>
      </c>
      <c r="BO370" s="872">
        <f t="shared" si="114"/>
        <v>56.362085714919964</v>
      </c>
      <c r="BP370" s="854">
        <f>BP354-(BP355+SUM(BP358:BP369))</f>
        <v>35547.013380000004</v>
      </c>
      <c r="BQ370" s="872">
        <f t="shared" si="115"/>
        <v>8.718308764058099</v>
      </c>
      <c r="BR370" s="854"/>
      <c r="BS370" s="854"/>
      <c r="BT370" s="854"/>
      <c r="BU370" s="854"/>
      <c r="BV370" s="854"/>
      <c r="BW370" s="854"/>
      <c r="BX370" s="854"/>
      <c r="BY370" s="854"/>
      <c r="BZ370" s="854"/>
      <c r="CA370" s="854"/>
      <c r="CB370" s="854"/>
      <c r="CC370" s="854"/>
      <c r="CD370" s="854"/>
      <c r="CE370" s="854"/>
      <c r="CF370" s="854"/>
      <c r="CG370" s="854" t="s">
        <v>45</v>
      </c>
    </row>
    <row r="371" spans="1:85" ht="15.75" customHeight="1">
      <c r="A371" s="847"/>
      <c r="B371" s="1126"/>
      <c r="C371" s="1126"/>
      <c r="D371" s="1126"/>
      <c r="E371" s="1126"/>
      <c r="F371" s="1126"/>
      <c r="G371" s="1126"/>
      <c r="H371" s="1126"/>
      <c r="I371" s="1126"/>
      <c r="J371" s="1126"/>
      <c r="K371" s="1126"/>
      <c r="L371" s="1126"/>
      <c r="M371" s="848"/>
      <c r="N371" s="849"/>
      <c r="O371" s="850"/>
      <c r="P371" s="850"/>
      <c r="Q371" s="850"/>
      <c r="R371" s="850"/>
      <c r="S371" s="850"/>
      <c r="T371" s="851"/>
      <c r="U371" s="851"/>
      <c r="V371" s="851"/>
      <c r="W371" s="851"/>
      <c r="X371" s="851"/>
      <c r="Y371" s="851"/>
      <c r="Z371" s="851"/>
      <c r="AA371" s="851"/>
      <c r="AB371" s="851"/>
      <c r="AC371" s="851"/>
      <c r="AD371" s="851"/>
      <c r="AE371" s="851"/>
      <c r="AF371" s="851"/>
      <c r="AG371" s="851"/>
      <c r="AH371" s="852"/>
      <c r="AI371" s="852"/>
      <c r="AJ371" s="852"/>
      <c r="AK371" s="852"/>
      <c r="AL371" s="852"/>
      <c r="AM371" s="852"/>
      <c r="AN371" s="852"/>
      <c r="AO371" s="852"/>
      <c r="AP371" s="852"/>
      <c r="AQ371" s="852"/>
      <c r="AR371" s="852"/>
      <c r="AS371" s="852"/>
      <c r="AT371" s="852"/>
      <c r="AU371" s="852"/>
      <c r="AV371" s="852"/>
      <c r="AW371" s="852"/>
      <c r="AX371" s="849"/>
      <c r="AY371" s="847"/>
      <c r="AZ371" s="847"/>
      <c r="BA371" s="847"/>
      <c r="BB371" s="847"/>
      <c r="BC371" s="853"/>
      <c r="BD371" s="854"/>
      <c r="BE371" s="854"/>
      <c r="BF371" s="854"/>
      <c r="BG371" s="870">
        <f t="shared" si="116"/>
        <v>48</v>
      </c>
      <c r="BH371" s="860" t="s">
        <v>392</v>
      </c>
      <c r="BI371" s="912"/>
      <c r="BJ371" s="871">
        <v>-2919</v>
      </c>
      <c r="BK371" s="872">
        <f t="shared" si="112"/>
        <v>-15.093666055293543</v>
      </c>
      <c r="BL371" s="871">
        <v>-61053</v>
      </c>
      <c r="BM371" s="872">
        <f t="shared" si="113"/>
        <v>-28.069953030795407</v>
      </c>
      <c r="BN371" s="871">
        <v>151</v>
      </c>
      <c r="BO371" s="872">
        <f t="shared" si="114"/>
        <v>0.79238374576180071</v>
      </c>
      <c r="BP371" s="871">
        <v>-1689</v>
      </c>
      <c r="BQ371" s="872">
        <f t="shared" si="115"/>
        <v>-0.41424643316951787</v>
      </c>
      <c r="BR371" s="854"/>
      <c r="BS371" s="854"/>
      <c r="BT371" s="854"/>
      <c r="BU371" s="854"/>
      <c r="BV371" s="854"/>
      <c r="BW371" s="854"/>
      <c r="BX371" s="854"/>
      <c r="BY371" s="854"/>
      <c r="BZ371" s="854"/>
      <c r="CA371" s="854"/>
      <c r="CB371" s="854"/>
      <c r="CC371" s="854"/>
      <c r="CD371" s="854"/>
      <c r="CE371" s="854"/>
      <c r="CF371" s="854"/>
      <c r="CG371" s="854" t="s">
        <v>45</v>
      </c>
    </row>
    <row r="372" spans="1:85" ht="15.75" customHeight="1">
      <c r="A372" s="847"/>
      <c r="B372" s="1126"/>
      <c r="C372" s="1126"/>
      <c r="D372" s="1126"/>
      <c r="E372" s="1126"/>
      <c r="F372" s="1126"/>
      <c r="G372" s="1126"/>
      <c r="H372" s="1126"/>
      <c r="I372" s="1126"/>
      <c r="J372" s="1126"/>
      <c r="K372" s="1126"/>
      <c r="L372" s="1126"/>
      <c r="M372" s="848"/>
      <c r="N372" s="849"/>
      <c r="O372" s="850"/>
      <c r="P372" s="850"/>
      <c r="Q372" s="850"/>
      <c r="R372" s="850"/>
      <c r="S372" s="850"/>
      <c r="T372" s="851"/>
      <c r="U372" s="851"/>
      <c r="V372" s="851"/>
      <c r="W372" s="851"/>
      <c r="X372" s="851"/>
      <c r="Y372" s="851"/>
      <c r="Z372" s="851"/>
      <c r="AA372" s="851"/>
      <c r="AB372" s="851"/>
      <c r="AC372" s="851"/>
      <c r="AD372" s="851"/>
      <c r="AE372" s="851"/>
      <c r="AF372" s="851"/>
      <c r="AG372" s="851"/>
      <c r="AH372" s="852"/>
      <c r="AI372" s="852"/>
      <c r="AJ372" s="852"/>
      <c r="AK372" s="852"/>
      <c r="AL372" s="852"/>
      <c r="AM372" s="852"/>
      <c r="AN372" s="852"/>
      <c r="AO372" s="852"/>
      <c r="AP372" s="852"/>
      <c r="AQ372" s="852"/>
      <c r="AR372" s="852"/>
      <c r="AS372" s="852"/>
      <c r="AT372" s="852"/>
      <c r="AU372" s="852"/>
      <c r="AV372" s="852"/>
      <c r="AW372" s="852"/>
      <c r="AX372" s="849"/>
      <c r="AY372" s="847"/>
      <c r="AZ372" s="847"/>
      <c r="BA372" s="847"/>
      <c r="BB372" s="847"/>
      <c r="BC372" s="853"/>
      <c r="BD372" s="854"/>
      <c r="BE372" s="854"/>
      <c r="BF372" s="854"/>
      <c r="BG372" s="870">
        <f t="shared" si="116"/>
        <v>49</v>
      </c>
      <c r="BH372" s="860" t="s">
        <v>393</v>
      </c>
      <c r="BI372" s="912"/>
      <c r="BJ372" s="871">
        <v>0</v>
      </c>
      <c r="BK372" s="872">
        <f t="shared" si="112"/>
        <v>0</v>
      </c>
      <c r="BL372" s="871">
        <v>0</v>
      </c>
      <c r="BM372" s="872">
        <f t="shared" si="113"/>
        <v>0</v>
      </c>
      <c r="BN372" s="871">
        <v>0</v>
      </c>
      <c r="BO372" s="872">
        <f t="shared" si="114"/>
        <v>0</v>
      </c>
      <c r="BP372" s="871">
        <v>0</v>
      </c>
      <c r="BQ372" s="872">
        <f t="shared" si="115"/>
        <v>0</v>
      </c>
      <c r="BR372" s="854"/>
      <c r="BS372" s="854"/>
      <c r="BT372" s="854"/>
      <c r="BU372" s="854"/>
      <c r="BV372" s="854"/>
      <c r="BW372" s="854"/>
      <c r="BX372" s="854"/>
      <c r="BY372" s="854"/>
      <c r="BZ372" s="854"/>
      <c r="CA372" s="854"/>
      <c r="CB372" s="854"/>
      <c r="CC372" s="854"/>
      <c r="CD372" s="854"/>
      <c r="CE372" s="854"/>
      <c r="CF372" s="854"/>
      <c r="CG372" s="854" t="s">
        <v>45</v>
      </c>
    </row>
    <row r="373" spans="1:85" ht="15.75" customHeight="1">
      <c r="A373" s="847"/>
      <c r="B373" s="1126"/>
      <c r="C373" s="1126"/>
      <c r="D373" s="1126"/>
      <c r="E373" s="1126"/>
      <c r="F373" s="1126"/>
      <c r="G373" s="1126"/>
      <c r="H373" s="1126"/>
      <c r="I373" s="1126"/>
      <c r="J373" s="1126"/>
      <c r="K373" s="1126"/>
      <c r="L373" s="1126"/>
      <c r="M373" s="848"/>
      <c r="N373" s="849"/>
      <c r="O373" s="850"/>
      <c r="P373" s="850"/>
      <c r="Q373" s="850"/>
      <c r="R373" s="850"/>
      <c r="S373" s="850"/>
      <c r="T373" s="851"/>
      <c r="U373" s="851"/>
      <c r="V373" s="851"/>
      <c r="W373" s="851"/>
      <c r="X373" s="851"/>
      <c r="Y373" s="851"/>
      <c r="Z373" s="851"/>
      <c r="AA373" s="851"/>
      <c r="AB373" s="851"/>
      <c r="AC373" s="851"/>
      <c r="AD373" s="851"/>
      <c r="AE373" s="851"/>
      <c r="AF373" s="851"/>
      <c r="AG373" s="851"/>
      <c r="AH373" s="852"/>
      <c r="AI373" s="852"/>
      <c r="AJ373" s="852"/>
      <c r="AK373" s="852"/>
      <c r="AL373" s="852"/>
      <c r="AM373" s="852"/>
      <c r="AN373" s="852"/>
      <c r="AO373" s="852"/>
      <c r="AP373" s="852"/>
      <c r="AQ373" s="852"/>
      <c r="AR373" s="852"/>
      <c r="AS373" s="852"/>
      <c r="AT373" s="852"/>
      <c r="AU373" s="852"/>
      <c r="AV373" s="852"/>
      <c r="AW373" s="852"/>
      <c r="AX373" s="849"/>
      <c r="AY373" s="847"/>
      <c r="AZ373" s="847"/>
      <c r="BA373" s="847"/>
      <c r="BB373" s="847"/>
      <c r="BC373" s="853"/>
      <c r="BD373" s="854"/>
      <c r="BE373" s="854"/>
      <c r="BF373" s="854"/>
      <c r="BG373" s="870">
        <f t="shared" si="116"/>
        <v>50</v>
      </c>
      <c r="BH373" s="860" t="s">
        <v>394</v>
      </c>
      <c r="BI373" s="912"/>
      <c r="BJ373" s="871">
        <v>0</v>
      </c>
      <c r="BK373" s="872">
        <f t="shared" si="112"/>
        <v>0</v>
      </c>
      <c r="BL373" s="871">
        <v>0</v>
      </c>
      <c r="BM373" s="872">
        <f t="shared" si="113"/>
        <v>0</v>
      </c>
      <c r="BN373" s="871">
        <v>0</v>
      </c>
      <c r="BO373" s="872">
        <f t="shared" si="114"/>
        <v>0</v>
      </c>
      <c r="BP373" s="871">
        <v>0</v>
      </c>
      <c r="BQ373" s="872">
        <f t="shared" si="115"/>
        <v>0</v>
      </c>
      <c r="BR373" s="854"/>
      <c r="BS373" s="854"/>
      <c r="BT373" s="854"/>
      <c r="BU373" s="854"/>
      <c r="BV373" s="854"/>
      <c r="BW373" s="854"/>
      <c r="BX373" s="854"/>
      <c r="BY373" s="854"/>
      <c r="BZ373" s="854"/>
      <c r="CA373" s="854"/>
      <c r="CB373" s="854"/>
      <c r="CC373" s="854"/>
      <c r="CD373" s="854"/>
      <c r="CE373" s="854"/>
      <c r="CF373" s="854"/>
      <c r="CG373" s="854" t="s">
        <v>45</v>
      </c>
    </row>
    <row r="374" spans="1:85" ht="15.75" customHeight="1">
      <c r="A374" s="847"/>
      <c r="B374" s="1126"/>
      <c r="C374" s="1126"/>
      <c r="D374" s="1126"/>
      <c r="E374" s="1126"/>
      <c r="F374" s="1126"/>
      <c r="G374" s="1126"/>
      <c r="H374" s="1126"/>
      <c r="I374" s="1126"/>
      <c r="J374" s="1126"/>
      <c r="K374" s="1126"/>
      <c r="L374" s="1126"/>
      <c r="M374" s="848"/>
      <c r="N374" s="849"/>
      <c r="O374" s="850"/>
      <c r="P374" s="850"/>
      <c r="Q374" s="850"/>
      <c r="R374" s="850"/>
      <c r="S374" s="850"/>
      <c r="T374" s="851"/>
      <c r="U374" s="851"/>
      <c r="V374" s="851"/>
      <c r="W374" s="851"/>
      <c r="X374" s="851"/>
      <c r="Y374" s="851"/>
      <c r="Z374" s="851"/>
      <c r="AA374" s="851"/>
      <c r="AB374" s="851"/>
      <c r="AC374" s="851"/>
      <c r="AD374" s="851"/>
      <c r="AE374" s="851"/>
      <c r="AF374" s="851"/>
      <c r="AG374" s="851"/>
      <c r="AH374" s="852"/>
      <c r="AI374" s="852"/>
      <c r="AJ374" s="852"/>
      <c r="AK374" s="852"/>
      <c r="AL374" s="852"/>
      <c r="AM374" s="852"/>
      <c r="AN374" s="852"/>
      <c r="AO374" s="852"/>
      <c r="AP374" s="852"/>
      <c r="AQ374" s="852"/>
      <c r="AR374" s="852"/>
      <c r="AS374" s="852"/>
      <c r="AT374" s="852"/>
      <c r="AU374" s="852"/>
      <c r="AV374" s="852"/>
      <c r="AW374" s="852"/>
      <c r="AX374" s="849"/>
      <c r="AY374" s="847"/>
      <c r="AZ374" s="847"/>
      <c r="BA374" s="847"/>
      <c r="BB374" s="847"/>
      <c r="BC374" s="853"/>
      <c r="BD374" s="854"/>
      <c r="BE374" s="854"/>
      <c r="BF374" s="854"/>
      <c r="BG374" s="870">
        <f t="shared" si="116"/>
        <v>51</v>
      </c>
      <c r="BH374" s="860" t="s">
        <v>395</v>
      </c>
      <c r="BI374" s="912"/>
      <c r="BJ374" s="871">
        <v>0</v>
      </c>
      <c r="BK374" s="872">
        <f t="shared" si="112"/>
        <v>0</v>
      </c>
      <c r="BL374" s="871">
        <v>0</v>
      </c>
      <c r="BM374" s="872">
        <f t="shared" si="113"/>
        <v>0</v>
      </c>
      <c r="BN374" s="871">
        <v>0</v>
      </c>
      <c r="BO374" s="872">
        <f t="shared" si="114"/>
        <v>0</v>
      </c>
      <c r="BP374" s="871">
        <v>0</v>
      </c>
      <c r="BQ374" s="872">
        <f t="shared" si="115"/>
        <v>0</v>
      </c>
      <c r="BR374" s="854"/>
      <c r="BS374" s="854"/>
      <c r="BT374" s="854"/>
      <c r="BU374" s="854"/>
      <c r="BV374" s="854"/>
      <c r="BW374" s="854"/>
      <c r="BX374" s="854"/>
      <c r="BY374" s="854"/>
      <c r="BZ374" s="854"/>
      <c r="CA374" s="854"/>
      <c r="CB374" s="854"/>
      <c r="CC374" s="854"/>
      <c r="CD374" s="854"/>
      <c r="CE374" s="854"/>
      <c r="CF374" s="854"/>
      <c r="CG374" s="854" t="s">
        <v>45</v>
      </c>
    </row>
    <row r="375" spans="1:85" ht="15.75" customHeight="1">
      <c r="A375" s="847"/>
      <c r="B375" s="1126"/>
      <c r="C375" s="1126"/>
      <c r="D375" s="1126"/>
      <c r="E375" s="1126"/>
      <c r="F375" s="1126"/>
      <c r="G375" s="1126"/>
      <c r="H375" s="1126"/>
      <c r="I375" s="1126"/>
      <c r="J375" s="1126"/>
      <c r="K375" s="1126"/>
      <c r="L375" s="1126"/>
      <c r="M375" s="848"/>
      <c r="N375" s="849"/>
      <c r="O375" s="850"/>
      <c r="P375" s="850"/>
      <c r="Q375" s="850"/>
      <c r="R375" s="850"/>
      <c r="S375" s="850"/>
      <c r="T375" s="851"/>
      <c r="U375" s="851"/>
      <c r="V375" s="851"/>
      <c r="W375" s="851"/>
      <c r="X375" s="851"/>
      <c r="Y375" s="851"/>
      <c r="Z375" s="851"/>
      <c r="AA375" s="851"/>
      <c r="AB375" s="851"/>
      <c r="AC375" s="851"/>
      <c r="AD375" s="851"/>
      <c r="AE375" s="851"/>
      <c r="AF375" s="851"/>
      <c r="AG375" s="851"/>
      <c r="AH375" s="852"/>
      <c r="AI375" s="852"/>
      <c r="AJ375" s="852"/>
      <c r="AK375" s="852"/>
      <c r="AL375" s="852"/>
      <c r="AM375" s="852"/>
      <c r="AN375" s="852"/>
      <c r="AO375" s="852"/>
      <c r="AP375" s="852"/>
      <c r="AQ375" s="852"/>
      <c r="AR375" s="852"/>
      <c r="AS375" s="852"/>
      <c r="AT375" s="852"/>
      <c r="AU375" s="852"/>
      <c r="AV375" s="852"/>
      <c r="AW375" s="852"/>
      <c r="AX375" s="849"/>
      <c r="AY375" s="847"/>
      <c r="AZ375" s="847"/>
      <c r="BA375" s="847"/>
      <c r="BB375" s="847"/>
      <c r="BC375" s="853"/>
      <c r="BD375" s="854"/>
      <c r="BE375" s="854"/>
      <c r="BF375" s="854"/>
      <c r="BG375" s="870">
        <f t="shared" si="116"/>
        <v>52</v>
      </c>
      <c r="BH375" s="860" t="s">
        <v>396</v>
      </c>
      <c r="BI375" s="912"/>
      <c r="BJ375" s="871">
        <v>0</v>
      </c>
      <c r="BK375" s="872">
        <f t="shared" si="112"/>
        <v>0</v>
      </c>
      <c r="BL375" s="871">
        <v>0</v>
      </c>
      <c r="BM375" s="872">
        <f t="shared" si="113"/>
        <v>0</v>
      </c>
      <c r="BN375" s="871">
        <v>0</v>
      </c>
      <c r="BO375" s="872">
        <f t="shared" si="114"/>
        <v>0</v>
      </c>
      <c r="BP375" s="871">
        <v>0</v>
      </c>
      <c r="BQ375" s="872">
        <f t="shared" si="115"/>
        <v>0</v>
      </c>
      <c r="BR375" s="854"/>
      <c r="BS375" s="854"/>
      <c r="BT375" s="854"/>
      <c r="BU375" s="854"/>
      <c r="BV375" s="854"/>
      <c r="BW375" s="854"/>
      <c r="BX375" s="854"/>
      <c r="BY375" s="854"/>
      <c r="BZ375" s="854"/>
      <c r="CA375" s="854"/>
      <c r="CB375" s="854"/>
      <c r="CC375" s="854"/>
      <c r="CD375" s="854"/>
      <c r="CE375" s="854"/>
      <c r="CF375" s="854"/>
      <c r="CG375" s="854" t="s">
        <v>45</v>
      </c>
    </row>
    <row r="376" spans="1:85" ht="15.75" customHeight="1">
      <c r="A376" s="847"/>
      <c r="B376" s="1126"/>
      <c r="C376" s="1126"/>
      <c r="D376" s="1126"/>
      <c r="E376" s="1126"/>
      <c r="F376" s="1126"/>
      <c r="G376" s="1126"/>
      <c r="H376" s="1126"/>
      <c r="I376" s="1126"/>
      <c r="J376" s="1126"/>
      <c r="K376" s="1126"/>
      <c r="L376" s="1126"/>
      <c r="M376" s="848"/>
      <c r="N376" s="849"/>
      <c r="O376" s="850"/>
      <c r="P376" s="850"/>
      <c r="Q376" s="850"/>
      <c r="R376" s="850"/>
      <c r="S376" s="850"/>
      <c r="T376" s="851"/>
      <c r="U376" s="851"/>
      <c r="V376" s="851"/>
      <c r="W376" s="851"/>
      <c r="X376" s="851"/>
      <c r="Y376" s="851"/>
      <c r="Z376" s="851"/>
      <c r="AA376" s="851"/>
      <c r="AB376" s="851"/>
      <c r="AC376" s="851"/>
      <c r="AD376" s="851"/>
      <c r="AE376" s="851"/>
      <c r="AF376" s="851"/>
      <c r="AG376" s="851"/>
      <c r="AH376" s="852"/>
      <c r="AI376" s="852"/>
      <c r="AJ376" s="852"/>
      <c r="AK376" s="852"/>
      <c r="AL376" s="852"/>
      <c r="AM376" s="852"/>
      <c r="AN376" s="852"/>
      <c r="AO376" s="852"/>
      <c r="AP376" s="852"/>
      <c r="AQ376" s="852"/>
      <c r="AR376" s="852"/>
      <c r="AS376" s="852"/>
      <c r="AT376" s="852"/>
      <c r="AU376" s="852"/>
      <c r="AV376" s="852"/>
      <c r="AW376" s="852"/>
      <c r="AX376" s="849"/>
      <c r="AY376" s="847"/>
      <c r="AZ376" s="847"/>
      <c r="BA376" s="847"/>
      <c r="BB376" s="847"/>
      <c r="BC376" s="853"/>
      <c r="BD376" s="854"/>
      <c r="BE376" s="854"/>
      <c r="BF376" s="854"/>
      <c r="BG376" s="870">
        <f t="shared" si="116"/>
        <v>53</v>
      </c>
      <c r="BH376" s="860" t="s">
        <v>397</v>
      </c>
      <c r="BI376" s="912"/>
      <c r="BJ376" s="871">
        <v>0</v>
      </c>
      <c r="BK376" s="872">
        <f t="shared" si="112"/>
        <v>0</v>
      </c>
      <c r="BL376" s="871">
        <v>0</v>
      </c>
      <c r="BM376" s="872">
        <f t="shared" si="113"/>
        <v>0</v>
      </c>
      <c r="BN376" s="871">
        <v>0</v>
      </c>
      <c r="BO376" s="872">
        <f t="shared" si="114"/>
        <v>0</v>
      </c>
      <c r="BP376" s="871">
        <v>0</v>
      </c>
      <c r="BQ376" s="872">
        <f t="shared" si="115"/>
        <v>0</v>
      </c>
      <c r="BR376" s="854"/>
      <c r="BS376" s="854"/>
      <c r="BT376" s="854"/>
      <c r="BU376" s="854"/>
      <c r="BV376" s="854"/>
      <c r="BW376" s="854"/>
      <c r="BX376" s="854"/>
      <c r="BY376" s="854"/>
      <c r="BZ376" s="854"/>
      <c r="CA376" s="854"/>
      <c r="CB376" s="854"/>
      <c r="CC376" s="854"/>
      <c r="CD376" s="854"/>
      <c r="CE376" s="854"/>
      <c r="CF376" s="854"/>
      <c r="CG376" s="854" t="s">
        <v>45</v>
      </c>
    </row>
    <row r="377" spans="1:85" ht="15.75" customHeight="1">
      <c r="A377" s="847"/>
      <c r="B377" s="1126"/>
      <c r="C377" s="1126"/>
      <c r="D377" s="1126"/>
      <c r="E377" s="1126"/>
      <c r="F377" s="1126"/>
      <c r="G377" s="1126"/>
      <c r="H377" s="1126"/>
      <c r="I377" s="1126"/>
      <c r="J377" s="1126"/>
      <c r="K377" s="1126"/>
      <c r="L377" s="1126"/>
      <c r="M377" s="848"/>
      <c r="N377" s="849"/>
      <c r="O377" s="850"/>
      <c r="P377" s="850"/>
      <c r="Q377" s="850"/>
      <c r="R377" s="850"/>
      <c r="S377" s="850"/>
      <c r="T377" s="851"/>
      <c r="U377" s="851"/>
      <c r="V377" s="851"/>
      <c r="W377" s="851"/>
      <c r="X377" s="851"/>
      <c r="Y377" s="851"/>
      <c r="Z377" s="851"/>
      <c r="AA377" s="851"/>
      <c r="AB377" s="851"/>
      <c r="AC377" s="851"/>
      <c r="AD377" s="851"/>
      <c r="AE377" s="851"/>
      <c r="AF377" s="851"/>
      <c r="AG377" s="851"/>
      <c r="AH377" s="852"/>
      <c r="AI377" s="852"/>
      <c r="AJ377" s="852"/>
      <c r="AK377" s="852"/>
      <c r="AL377" s="852"/>
      <c r="AM377" s="852"/>
      <c r="AN377" s="852"/>
      <c r="AO377" s="852"/>
      <c r="AP377" s="852"/>
      <c r="AQ377" s="852"/>
      <c r="AR377" s="852"/>
      <c r="AS377" s="852"/>
      <c r="AT377" s="852"/>
      <c r="AU377" s="852"/>
      <c r="AV377" s="852"/>
      <c r="AW377" s="852"/>
      <c r="AX377" s="849"/>
      <c r="AY377" s="847"/>
      <c r="AZ377" s="847"/>
      <c r="BA377" s="847"/>
      <c r="BB377" s="847"/>
      <c r="BC377" s="853"/>
      <c r="BD377" s="854"/>
      <c r="BE377" s="854"/>
      <c r="BF377" s="854"/>
      <c r="BG377" s="854"/>
      <c r="BH377" s="854"/>
      <c r="BI377" s="854"/>
      <c r="BJ377" s="854"/>
      <c r="BK377" s="854"/>
      <c r="BL377" s="854"/>
      <c r="BM377" s="854"/>
      <c r="BN377" s="854"/>
      <c r="BO377" s="854"/>
      <c r="BP377" s="854"/>
      <c r="BQ377" s="854"/>
      <c r="BR377" s="854"/>
      <c r="BS377" s="854"/>
      <c r="BT377" s="870">
        <f>BG376+1</f>
        <v>54</v>
      </c>
      <c r="BU377" s="860" t="s">
        <v>398</v>
      </c>
      <c r="BV377" s="912"/>
      <c r="BW377" s="871">
        <v>0</v>
      </c>
      <c r="BX377" s="872">
        <f t="shared" ref="BX377:BX378" si="117">IF(SUM(BJ$324:BJ$338)=0,0,BW377/SUM(BJ$324:BJ$338)*100)</f>
        <v>0</v>
      </c>
      <c r="BY377" s="871">
        <v>0</v>
      </c>
      <c r="BZ377" s="872">
        <f t="shared" ref="BZ377:BZ378" si="118">IF(SUM(BL$324:BL$338)=0,0,BY377/SUM(BL$324:BL$338)*100)</f>
        <v>0</v>
      </c>
      <c r="CA377" s="871">
        <v>0</v>
      </c>
      <c r="CB377" s="872">
        <f t="shared" ref="CB377:CB378" si="119">IF(SUM(BN$324:BN$338)=0,0,CA377/SUM(BN$324:BN$338)*100)</f>
        <v>0</v>
      </c>
      <c r="CC377" s="871">
        <v>0</v>
      </c>
      <c r="CD377" s="872">
        <f t="shared" ref="CD377:CD378" si="120">IF(SUM(BP$324:BP$338)=0,0,CC377/SUM(BP$324:BP$338)*100)</f>
        <v>0</v>
      </c>
      <c r="CE377" s="854"/>
      <c r="CF377" s="854"/>
      <c r="CG377" s="854" t="s">
        <v>45</v>
      </c>
    </row>
    <row r="378" spans="1:85" ht="15.75" customHeight="1">
      <c r="A378" s="847"/>
      <c r="B378" s="1126"/>
      <c r="C378" s="1126"/>
      <c r="D378" s="1126"/>
      <c r="E378" s="1126"/>
      <c r="F378" s="1126"/>
      <c r="G378" s="1126"/>
      <c r="H378" s="1126"/>
      <c r="I378" s="1126"/>
      <c r="J378" s="1126"/>
      <c r="K378" s="1126"/>
      <c r="L378" s="1126"/>
      <c r="M378" s="848"/>
      <c r="N378" s="849"/>
      <c r="O378" s="850"/>
      <c r="P378" s="850"/>
      <c r="Q378" s="850"/>
      <c r="R378" s="850"/>
      <c r="S378" s="850"/>
      <c r="T378" s="851"/>
      <c r="U378" s="851"/>
      <c r="V378" s="851"/>
      <c r="W378" s="851"/>
      <c r="X378" s="851"/>
      <c r="Y378" s="851"/>
      <c r="Z378" s="851"/>
      <c r="AA378" s="851"/>
      <c r="AB378" s="851"/>
      <c r="AC378" s="851"/>
      <c r="AD378" s="851"/>
      <c r="AE378" s="851"/>
      <c r="AF378" s="851"/>
      <c r="AG378" s="851"/>
      <c r="AH378" s="852"/>
      <c r="AI378" s="852"/>
      <c r="AJ378" s="852"/>
      <c r="AK378" s="852"/>
      <c r="AL378" s="852"/>
      <c r="AM378" s="852"/>
      <c r="AN378" s="852"/>
      <c r="AO378" s="852"/>
      <c r="AP378" s="852"/>
      <c r="AQ378" s="852"/>
      <c r="AR378" s="852"/>
      <c r="AS378" s="852"/>
      <c r="AT378" s="852"/>
      <c r="AU378" s="852"/>
      <c r="AV378" s="852"/>
      <c r="AW378" s="852"/>
      <c r="AX378" s="849"/>
      <c r="AY378" s="847"/>
      <c r="AZ378" s="847"/>
      <c r="BA378" s="847"/>
      <c r="BB378" s="847"/>
      <c r="BC378" s="853"/>
      <c r="BD378" s="854"/>
      <c r="BE378" s="854"/>
      <c r="BF378" s="854"/>
      <c r="BG378" s="854"/>
      <c r="BH378" s="854"/>
      <c r="BI378" s="854"/>
      <c r="BJ378" s="854"/>
      <c r="BK378" s="854"/>
      <c r="BL378" s="854"/>
      <c r="BM378" s="854"/>
      <c r="BN378" s="854"/>
      <c r="BO378" s="854"/>
      <c r="BP378" s="854"/>
      <c r="BQ378" s="854"/>
      <c r="BR378" s="854"/>
      <c r="BS378" s="854"/>
      <c r="BT378" s="870">
        <f>BT377+1</f>
        <v>55</v>
      </c>
      <c r="BU378" s="860" t="s">
        <v>399</v>
      </c>
      <c r="BV378" s="912"/>
      <c r="BW378" s="871">
        <v>0</v>
      </c>
      <c r="BX378" s="872">
        <f t="shared" si="117"/>
        <v>0</v>
      </c>
      <c r="BY378" s="871">
        <v>0</v>
      </c>
      <c r="BZ378" s="872">
        <f t="shared" si="118"/>
        <v>0</v>
      </c>
      <c r="CA378" s="871">
        <v>0</v>
      </c>
      <c r="CB378" s="872">
        <f t="shared" si="119"/>
        <v>0</v>
      </c>
      <c r="CC378" s="871">
        <v>0</v>
      </c>
      <c r="CD378" s="872">
        <f t="shared" si="120"/>
        <v>0</v>
      </c>
      <c r="CE378" s="854"/>
      <c r="CF378" s="854"/>
      <c r="CG378" s="854" t="s">
        <v>45</v>
      </c>
    </row>
    <row r="379" spans="1:85" ht="15.75" customHeight="1">
      <c r="A379" s="847"/>
      <c r="B379" s="1126"/>
      <c r="C379" s="1126"/>
      <c r="D379" s="1126"/>
      <c r="E379" s="1126"/>
      <c r="F379" s="1126"/>
      <c r="G379" s="1126"/>
      <c r="H379" s="1126"/>
      <c r="I379" s="1126"/>
      <c r="J379" s="1126"/>
      <c r="K379" s="1126"/>
      <c r="L379" s="1126"/>
      <c r="M379" s="848"/>
      <c r="N379" s="849"/>
      <c r="O379" s="850"/>
      <c r="P379" s="850"/>
      <c r="Q379" s="850"/>
      <c r="R379" s="850"/>
      <c r="S379" s="850"/>
      <c r="T379" s="851"/>
      <c r="U379" s="851"/>
      <c r="V379" s="851"/>
      <c r="W379" s="851"/>
      <c r="X379" s="851"/>
      <c r="Y379" s="851"/>
      <c r="Z379" s="851"/>
      <c r="AA379" s="851"/>
      <c r="AB379" s="851"/>
      <c r="AC379" s="851"/>
      <c r="AD379" s="851"/>
      <c r="AE379" s="851"/>
      <c r="AF379" s="851"/>
      <c r="AG379" s="851"/>
      <c r="AH379" s="852"/>
      <c r="AI379" s="852"/>
      <c r="AJ379" s="852"/>
      <c r="AK379" s="852"/>
      <c r="AL379" s="852"/>
      <c r="AM379" s="852"/>
      <c r="AN379" s="852"/>
      <c r="AO379" s="852"/>
      <c r="AP379" s="852"/>
      <c r="AQ379" s="852"/>
      <c r="AR379" s="852"/>
      <c r="AS379" s="852"/>
      <c r="AT379" s="852"/>
      <c r="AU379" s="852"/>
      <c r="AV379" s="852"/>
      <c r="AW379" s="852"/>
      <c r="AX379" s="849"/>
      <c r="AY379" s="847"/>
      <c r="AZ379" s="847"/>
      <c r="BA379" s="847"/>
      <c r="BB379" s="847"/>
      <c r="BC379" s="853"/>
      <c r="BD379" s="854"/>
      <c r="BE379" s="854"/>
      <c r="BF379" s="854"/>
      <c r="BG379" s="870">
        <f>BT378+1</f>
        <v>56</v>
      </c>
      <c r="BH379" s="860" t="s">
        <v>400</v>
      </c>
      <c r="BI379" s="912"/>
      <c r="BJ379" s="871">
        <v>0</v>
      </c>
      <c r="BK379" s="872">
        <f t="shared" ref="BK379:BK418" si="121">IF(SUM(BJ$324:BJ$338)=0,0,BJ379/SUM(BJ$324:BJ$338)*100)</f>
        <v>0</v>
      </c>
      <c r="BL379" s="871">
        <v>0</v>
      </c>
      <c r="BM379" s="872">
        <f t="shared" ref="BM379:BM418" si="122">IF(SUM(BL$324:BL$338)=0,0,BL379/SUM(BL$324:BL$338)*100)</f>
        <v>0</v>
      </c>
      <c r="BN379" s="871">
        <v>0</v>
      </c>
      <c r="BO379" s="872">
        <f t="shared" ref="BO379:BO418" si="123">IF(SUM(BN$324:BN$338)=0,0,BN379/SUM(BN$324:BN$338)*100)</f>
        <v>0</v>
      </c>
      <c r="BP379" s="871">
        <v>0</v>
      </c>
      <c r="BQ379" s="872">
        <f t="shared" ref="BQ379:BQ418" si="124">IF(SUM(BP$324:BP$338)=0,0,BP379/SUM(BP$324:BP$338)*100)</f>
        <v>0</v>
      </c>
      <c r="BR379" s="854"/>
      <c r="BS379" s="854"/>
      <c r="BT379" s="854"/>
      <c r="BU379" s="854"/>
      <c r="BV379" s="854"/>
      <c r="BW379" s="854"/>
      <c r="BX379" s="854"/>
      <c r="BY379" s="854"/>
      <c r="BZ379" s="854"/>
      <c r="CA379" s="854"/>
      <c r="CB379" s="854"/>
      <c r="CC379" s="854"/>
      <c r="CD379" s="854"/>
      <c r="CE379" s="854"/>
      <c r="CF379" s="854"/>
      <c r="CG379" s="854" t="s">
        <v>45</v>
      </c>
    </row>
    <row r="380" spans="1:85" ht="15.75" customHeight="1">
      <c r="A380" s="847"/>
      <c r="B380" s="1126"/>
      <c r="C380" s="1126"/>
      <c r="D380" s="1126"/>
      <c r="E380" s="1126"/>
      <c r="F380" s="1126"/>
      <c r="G380" s="1126"/>
      <c r="H380" s="1126"/>
      <c r="I380" s="1126"/>
      <c r="J380" s="1126"/>
      <c r="K380" s="1126"/>
      <c r="L380" s="1126"/>
      <c r="M380" s="848"/>
      <c r="N380" s="849"/>
      <c r="O380" s="850"/>
      <c r="P380" s="850"/>
      <c r="Q380" s="850"/>
      <c r="R380" s="850"/>
      <c r="S380" s="850"/>
      <c r="T380" s="851"/>
      <c r="U380" s="851"/>
      <c r="V380" s="851"/>
      <c r="W380" s="851"/>
      <c r="X380" s="851"/>
      <c r="Y380" s="851"/>
      <c r="Z380" s="851"/>
      <c r="AA380" s="851"/>
      <c r="AB380" s="851"/>
      <c r="AC380" s="851"/>
      <c r="AD380" s="851"/>
      <c r="AE380" s="851"/>
      <c r="AF380" s="851"/>
      <c r="AG380" s="851"/>
      <c r="AH380" s="852"/>
      <c r="AI380" s="852"/>
      <c r="AJ380" s="852"/>
      <c r="AK380" s="852"/>
      <c r="AL380" s="852"/>
      <c r="AM380" s="852"/>
      <c r="AN380" s="852"/>
      <c r="AO380" s="852"/>
      <c r="AP380" s="852"/>
      <c r="AQ380" s="852"/>
      <c r="AR380" s="852"/>
      <c r="AS380" s="852"/>
      <c r="AT380" s="852"/>
      <c r="AU380" s="852"/>
      <c r="AV380" s="852"/>
      <c r="AW380" s="852"/>
      <c r="AX380" s="849"/>
      <c r="AY380" s="847"/>
      <c r="AZ380" s="847"/>
      <c r="BA380" s="847"/>
      <c r="BB380" s="847"/>
      <c r="BC380" s="853"/>
      <c r="BD380" s="854"/>
      <c r="BE380" s="854"/>
      <c r="BF380" s="854"/>
      <c r="BG380" s="870">
        <f t="shared" ref="BG380:BG418" si="125">BG379+1</f>
        <v>57</v>
      </c>
      <c r="BH380" s="860" t="s">
        <v>45</v>
      </c>
      <c r="BI380" s="912"/>
      <c r="BJ380" s="871">
        <v>0</v>
      </c>
      <c r="BK380" s="872">
        <f t="shared" si="121"/>
        <v>0</v>
      </c>
      <c r="BL380" s="871">
        <v>0</v>
      </c>
      <c r="BM380" s="872">
        <f t="shared" si="122"/>
        <v>0</v>
      </c>
      <c r="BN380" s="871">
        <v>0</v>
      </c>
      <c r="BO380" s="872">
        <f t="shared" si="123"/>
        <v>0</v>
      </c>
      <c r="BP380" s="871">
        <v>0</v>
      </c>
      <c r="BQ380" s="872">
        <f t="shared" si="124"/>
        <v>0</v>
      </c>
      <c r="BR380" s="854"/>
      <c r="BS380" s="854"/>
      <c r="BT380" s="854"/>
      <c r="BU380" s="854"/>
      <c r="BV380" s="854"/>
      <c r="BW380" s="854"/>
      <c r="BX380" s="854"/>
      <c r="BY380" s="854"/>
      <c r="BZ380" s="854"/>
      <c r="CA380" s="854"/>
      <c r="CB380" s="854"/>
      <c r="CC380" s="854"/>
      <c r="CD380" s="854"/>
      <c r="CE380" s="854"/>
      <c r="CF380" s="854"/>
      <c r="CG380" s="854" t="s">
        <v>45</v>
      </c>
    </row>
    <row r="381" spans="1:85" ht="15.75" customHeight="1">
      <c r="A381" s="847"/>
      <c r="B381" s="1126"/>
      <c r="C381" s="1126"/>
      <c r="D381" s="1126"/>
      <c r="E381" s="1126"/>
      <c r="F381" s="1126"/>
      <c r="G381" s="1126"/>
      <c r="H381" s="1126"/>
      <c r="I381" s="1126"/>
      <c r="J381" s="1126"/>
      <c r="K381" s="1126"/>
      <c r="L381" s="1126"/>
      <c r="M381" s="848"/>
      <c r="N381" s="849"/>
      <c r="O381" s="850"/>
      <c r="P381" s="850"/>
      <c r="Q381" s="850"/>
      <c r="R381" s="850"/>
      <c r="S381" s="850"/>
      <c r="T381" s="851"/>
      <c r="U381" s="851"/>
      <c r="V381" s="851"/>
      <c r="W381" s="851"/>
      <c r="X381" s="851"/>
      <c r="Y381" s="851"/>
      <c r="Z381" s="851"/>
      <c r="AA381" s="851"/>
      <c r="AB381" s="851"/>
      <c r="AC381" s="851"/>
      <c r="AD381" s="851"/>
      <c r="AE381" s="851"/>
      <c r="AF381" s="851"/>
      <c r="AG381" s="851"/>
      <c r="AH381" s="852"/>
      <c r="AI381" s="852"/>
      <c r="AJ381" s="852"/>
      <c r="AK381" s="852"/>
      <c r="AL381" s="852"/>
      <c r="AM381" s="852"/>
      <c r="AN381" s="852"/>
      <c r="AO381" s="852"/>
      <c r="AP381" s="852"/>
      <c r="AQ381" s="852"/>
      <c r="AR381" s="852"/>
      <c r="AS381" s="852"/>
      <c r="AT381" s="852"/>
      <c r="AU381" s="852"/>
      <c r="AV381" s="852"/>
      <c r="AW381" s="852"/>
      <c r="AX381" s="849"/>
      <c r="AY381" s="847"/>
      <c r="AZ381" s="847"/>
      <c r="BA381" s="847"/>
      <c r="BB381" s="847"/>
      <c r="BC381" s="853"/>
      <c r="BD381" s="854"/>
      <c r="BE381" s="854"/>
      <c r="BF381" s="854"/>
      <c r="BG381" s="870">
        <f t="shared" si="125"/>
        <v>58</v>
      </c>
      <c r="BH381" s="860" t="s">
        <v>45</v>
      </c>
      <c r="BI381" s="912"/>
      <c r="BJ381" s="871">
        <v>0</v>
      </c>
      <c r="BK381" s="872">
        <f t="shared" si="121"/>
        <v>0</v>
      </c>
      <c r="BL381" s="871">
        <v>0</v>
      </c>
      <c r="BM381" s="872">
        <f t="shared" si="122"/>
        <v>0</v>
      </c>
      <c r="BN381" s="871">
        <v>0</v>
      </c>
      <c r="BO381" s="872">
        <f t="shared" si="123"/>
        <v>0</v>
      </c>
      <c r="BP381" s="871">
        <v>0</v>
      </c>
      <c r="BQ381" s="872">
        <f t="shared" si="124"/>
        <v>0</v>
      </c>
      <c r="BR381" s="854"/>
      <c r="BS381" s="854"/>
      <c r="BT381" s="854"/>
      <c r="BU381" s="854"/>
      <c r="BV381" s="854"/>
      <c r="BW381" s="854"/>
      <c r="BX381" s="854"/>
      <c r="BY381" s="854"/>
      <c r="BZ381" s="854"/>
      <c r="CA381" s="854"/>
      <c r="CB381" s="854"/>
      <c r="CC381" s="854"/>
      <c r="CD381" s="854"/>
      <c r="CE381" s="854"/>
      <c r="CF381" s="854"/>
      <c r="CG381" s="854" t="s">
        <v>45</v>
      </c>
    </row>
    <row r="382" spans="1:85" ht="15.75" customHeight="1">
      <c r="A382" s="847"/>
      <c r="B382" s="1126"/>
      <c r="C382" s="1126"/>
      <c r="D382" s="1126"/>
      <c r="E382" s="1126"/>
      <c r="F382" s="1126"/>
      <c r="G382" s="1126"/>
      <c r="H382" s="1126"/>
      <c r="I382" s="1126"/>
      <c r="J382" s="1126"/>
      <c r="K382" s="1126"/>
      <c r="L382" s="1126"/>
      <c r="M382" s="848"/>
      <c r="N382" s="849"/>
      <c r="O382" s="850"/>
      <c r="P382" s="850"/>
      <c r="Q382" s="850"/>
      <c r="R382" s="850"/>
      <c r="S382" s="850"/>
      <c r="T382" s="851"/>
      <c r="U382" s="851"/>
      <c r="V382" s="851"/>
      <c r="W382" s="851"/>
      <c r="X382" s="851"/>
      <c r="Y382" s="851"/>
      <c r="Z382" s="851"/>
      <c r="AA382" s="851"/>
      <c r="AB382" s="851"/>
      <c r="AC382" s="851"/>
      <c r="AD382" s="851"/>
      <c r="AE382" s="851"/>
      <c r="AF382" s="851"/>
      <c r="AG382" s="851"/>
      <c r="AH382" s="852"/>
      <c r="AI382" s="852"/>
      <c r="AJ382" s="852"/>
      <c r="AK382" s="852"/>
      <c r="AL382" s="852"/>
      <c r="AM382" s="852"/>
      <c r="AN382" s="852"/>
      <c r="AO382" s="852"/>
      <c r="AP382" s="852"/>
      <c r="AQ382" s="852"/>
      <c r="AR382" s="852"/>
      <c r="AS382" s="852"/>
      <c r="AT382" s="852"/>
      <c r="AU382" s="852"/>
      <c r="AV382" s="852"/>
      <c r="AW382" s="852"/>
      <c r="AX382" s="849"/>
      <c r="AY382" s="847"/>
      <c r="AZ382" s="847"/>
      <c r="BA382" s="847"/>
      <c r="BB382" s="847"/>
      <c r="BC382" s="853"/>
      <c r="BD382" s="854"/>
      <c r="BE382" s="854"/>
      <c r="BF382" s="854"/>
      <c r="BG382" s="870">
        <f t="shared" si="125"/>
        <v>59</v>
      </c>
      <c r="BH382" s="860" t="s">
        <v>45</v>
      </c>
      <c r="BI382" s="854"/>
      <c r="BJ382" s="871">
        <v>0</v>
      </c>
      <c r="BK382" s="872">
        <f t="shared" si="121"/>
        <v>0</v>
      </c>
      <c r="BL382" s="871">
        <v>0</v>
      </c>
      <c r="BM382" s="872">
        <f t="shared" si="122"/>
        <v>0</v>
      </c>
      <c r="BN382" s="871">
        <v>0</v>
      </c>
      <c r="BO382" s="872">
        <f t="shared" si="123"/>
        <v>0</v>
      </c>
      <c r="BP382" s="871">
        <v>0</v>
      </c>
      <c r="BQ382" s="872">
        <f t="shared" si="124"/>
        <v>0</v>
      </c>
      <c r="BR382" s="854"/>
      <c r="BS382" s="854"/>
      <c r="BT382" s="854"/>
      <c r="BU382" s="854"/>
      <c r="BV382" s="854"/>
      <c r="BW382" s="854"/>
      <c r="BX382" s="854"/>
      <c r="BY382" s="854"/>
      <c r="BZ382" s="854"/>
      <c r="CA382" s="854"/>
      <c r="CB382" s="854"/>
      <c r="CC382" s="854"/>
      <c r="CD382" s="854"/>
      <c r="CE382" s="854"/>
      <c r="CF382" s="854"/>
      <c r="CG382" s="854" t="s">
        <v>45</v>
      </c>
    </row>
    <row r="383" spans="1:85" ht="15.75" customHeight="1">
      <c r="A383" s="847"/>
      <c r="B383" s="1126"/>
      <c r="C383" s="1126"/>
      <c r="D383" s="1126"/>
      <c r="E383" s="1126"/>
      <c r="F383" s="1126"/>
      <c r="G383" s="1126"/>
      <c r="H383" s="1126"/>
      <c r="I383" s="1126"/>
      <c r="J383" s="1126"/>
      <c r="K383" s="1126"/>
      <c r="L383" s="1126"/>
      <c r="M383" s="848"/>
      <c r="N383" s="849"/>
      <c r="O383" s="850"/>
      <c r="P383" s="850"/>
      <c r="Q383" s="850"/>
      <c r="R383" s="850"/>
      <c r="S383" s="850"/>
      <c r="T383" s="851"/>
      <c r="U383" s="851"/>
      <c r="V383" s="851"/>
      <c r="W383" s="851"/>
      <c r="X383" s="851"/>
      <c r="Y383" s="851"/>
      <c r="Z383" s="851"/>
      <c r="AA383" s="851"/>
      <c r="AB383" s="851"/>
      <c r="AC383" s="851"/>
      <c r="AD383" s="851"/>
      <c r="AE383" s="851"/>
      <c r="AF383" s="851"/>
      <c r="AG383" s="851"/>
      <c r="AH383" s="852"/>
      <c r="AI383" s="852"/>
      <c r="AJ383" s="852"/>
      <c r="AK383" s="852"/>
      <c r="AL383" s="852"/>
      <c r="AM383" s="852"/>
      <c r="AN383" s="852"/>
      <c r="AO383" s="852"/>
      <c r="AP383" s="852"/>
      <c r="AQ383" s="852"/>
      <c r="AR383" s="852"/>
      <c r="AS383" s="852"/>
      <c r="AT383" s="852"/>
      <c r="AU383" s="852"/>
      <c r="AV383" s="852"/>
      <c r="AW383" s="852"/>
      <c r="AX383" s="849"/>
      <c r="AY383" s="847"/>
      <c r="AZ383" s="847"/>
      <c r="BA383" s="847"/>
      <c r="BB383" s="847"/>
      <c r="BC383" s="853"/>
      <c r="BD383" s="854"/>
      <c r="BE383" s="854"/>
      <c r="BF383" s="854"/>
      <c r="BG383" s="870">
        <f t="shared" si="125"/>
        <v>60</v>
      </c>
      <c r="BH383" s="860" t="s">
        <v>45</v>
      </c>
      <c r="BI383" s="854"/>
      <c r="BJ383" s="871">
        <v>0</v>
      </c>
      <c r="BK383" s="872">
        <f t="shared" si="121"/>
        <v>0</v>
      </c>
      <c r="BL383" s="871">
        <v>0</v>
      </c>
      <c r="BM383" s="872">
        <f t="shared" si="122"/>
        <v>0</v>
      </c>
      <c r="BN383" s="871">
        <v>0</v>
      </c>
      <c r="BO383" s="872">
        <f t="shared" si="123"/>
        <v>0</v>
      </c>
      <c r="BP383" s="871">
        <v>0</v>
      </c>
      <c r="BQ383" s="872">
        <f t="shared" si="124"/>
        <v>0</v>
      </c>
      <c r="BR383" s="854"/>
      <c r="BS383" s="854"/>
      <c r="BT383" s="854"/>
      <c r="BU383" s="854"/>
      <c r="BV383" s="854"/>
      <c r="BW383" s="854"/>
      <c r="BX383" s="854"/>
      <c r="BY383" s="854"/>
      <c r="BZ383" s="854"/>
      <c r="CA383" s="854"/>
      <c r="CB383" s="854"/>
      <c r="CC383" s="854"/>
      <c r="CD383" s="854"/>
      <c r="CE383" s="854"/>
      <c r="CF383" s="854"/>
      <c r="CG383" s="854" t="s">
        <v>45</v>
      </c>
    </row>
    <row r="384" spans="1:85" ht="15.75" customHeight="1">
      <c r="A384" s="847"/>
      <c r="B384" s="1126"/>
      <c r="C384" s="1126"/>
      <c r="D384" s="1126"/>
      <c r="E384" s="1126"/>
      <c r="F384" s="1126"/>
      <c r="G384" s="1126"/>
      <c r="H384" s="1126"/>
      <c r="I384" s="1126"/>
      <c r="J384" s="1126"/>
      <c r="K384" s="1126"/>
      <c r="L384" s="1126"/>
      <c r="M384" s="848"/>
      <c r="N384" s="849"/>
      <c r="O384" s="850"/>
      <c r="P384" s="850"/>
      <c r="Q384" s="850"/>
      <c r="R384" s="850"/>
      <c r="S384" s="850"/>
      <c r="T384" s="851"/>
      <c r="U384" s="851"/>
      <c r="V384" s="851"/>
      <c r="W384" s="851"/>
      <c r="X384" s="851"/>
      <c r="Y384" s="851"/>
      <c r="Z384" s="851"/>
      <c r="AA384" s="851"/>
      <c r="AB384" s="851"/>
      <c r="AC384" s="851"/>
      <c r="AD384" s="851"/>
      <c r="AE384" s="851"/>
      <c r="AF384" s="851"/>
      <c r="AG384" s="851"/>
      <c r="AH384" s="852"/>
      <c r="AI384" s="852"/>
      <c r="AJ384" s="852"/>
      <c r="AK384" s="852"/>
      <c r="AL384" s="852"/>
      <c r="AM384" s="852"/>
      <c r="AN384" s="852"/>
      <c r="AO384" s="852"/>
      <c r="AP384" s="852"/>
      <c r="AQ384" s="852"/>
      <c r="AR384" s="852"/>
      <c r="AS384" s="852"/>
      <c r="AT384" s="852"/>
      <c r="AU384" s="852"/>
      <c r="AV384" s="852"/>
      <c r="AW384" s="852"/>
      <c r="AX384" s="849"/>
      <c r="AY384" s="847"/>
      <c r="AZ384" s="847"/>
      <c r="BA384" s="847"/>
      <c r="BB384" s="847"/>
      <c r="BC384" s="853"/>
      <c r="BD384" s="854"/>
      <c r="BE384" s="854"/>
      <c r="BF384" s="854"/>
      <c r="BG384" s="870">
        <f t="shared" si="125"/>
        <v>61</v>
      </c>
      <c r="BH384" s="860" t="s">
        <v>45</v>
      </c>
      <c r="BI384" s="854"/>
      <c r="BJ384" s="871">
        <v>0</v>
      </c>
      <c r="BK384" s="872">
        <f t="shared" si="121"/>
        <v>0</v>
      </c>
      <c r="BL384" s="871">
        <v>0</v>
      </c>
      <c r="BM384" s="872">
        <f t="shared" si="122"/>
        <v>0</v>
      </c>
      <c r="BN384" s="871">
        <v>0</v>
      </c>
      <c r="BO384" s="872">
        <f t="shared" si="123"/>
        <v>0</v>
      </c>
      <c r="BP384" s="871">
        <v>0</v>
      </c>
      <c r="BQ384" s="872">
        <f t="shared" si="124"/>
        <v>0</v>
      </c>
      <c r="BR384" s="854"/>
      <c r="BS384" s="854"/>
      <c r="BT384" s="854"/>
      <c r="BU384" s="854"/>
      <c r="BV384" s="854"/>
      <c r="BW384" s="854"/>
      <c r="BX384" s="854"/>
      <c r="BY384" s="854"/>
      <c r="BZ384" s="854"/>
      <c r="CA384" s="854"/>
      <c r="CB384" s="854"/>
      <c r="CC384" s="854"/>
      <c r="CD384" s="854"/>
      <c r="CE384" s="854"/>
      <c r="CF384" s="854"/>
      <c r="CG384" s="854" t="s">
        <v>45</v>
      </c>
    </row>
    <row r="385" spans="1:85" ht="15.75" customHeight="1">
      <c r="A385" s="847"/>
      <c r="B385" s="1126"/>
      <c r="C385" s="1126"/>
      <c r="D385" s="1126"/>
      <c r="E385" s="1126"/>
      <c r="F385" s="1126"/>
      <c r="G385" s="1126"/>
      <c r="H385" s="1126"/>
      <c r="I385" s="1126"/>
      <c r="J385" s="1126"/>
      <c r="K385" s="1126"/>
      <c r="L385" s="1126"/>
      <c r="M385" s="848"/>
      <c r="N385" s="849"/>
      <c r="O385" s="850"/>
      <c r="P385" s="850"/>
      <c r="Q385" s="850"/>
      <c r="R385" s="850"/>
      <c r="S385" s="850"/>
      <c r="T385" s="851"/>
      <c r="U385" s="851"/>
      <c r="V385" s="851"/>
      <c r="W385" s="851"/>
      <c r="X385" s="851"/>
      <c r="Y385" s="851"/>
      <c r="Z385" s="851"/>
      <c r="AA385" s="851"/>
      <c r="AB385" s="851"/>
      <c r="AC385" s="851"/>
      <c r="AD385" s="851"/>
      <c r="AE385" s="851"/>
      <c r="AF385" s="851"/>
      <c r="AG385" s="851"/>
      <c r="AH385" s="852"/>
      <c r="AI385" s="852"/>
      <c r="AJ385" s="852"/>
      <c r="AK385" s="852"/>
      <c r="AL385" s="852"/>
      <c r="AM385" s="852"/>
      <c r="AN385" s="852"/>
      <c r="AO385" s="852"/>
      <c r="AP385" s="852"/>
      <c r="AQ385" s="852"/>
      <c r="AR385" s="852"/>
      <c r="AS385" s="852"/>
      <c r="AT385" s="852"/>
      <c r="AU385" s="852"/>
      <c r="AV385" s="852"/>
      <c r="AW385" s="852"/>
      <c r="AX385" s="849"/>
      <c r="AY385" s="847"/>
      <c r="AZ385" s="847"/>
      <c r="BA385" s="847"/>
      <c r="BB385" s="847"/>
      <c r="BC385" s="853"/>
      <c r="BD385" s="854"/>
      <c r="BE385" s="854"/>
      <c r="BF385" s="854"/>
      <c r="BG385" s="870">
        <f t="shared" si="125"/>
        <v>62</v>
      </c>
      <c r="BH385" s="860" t="s">
        <v>45</v>
      </c>
      <c r="BI385" s="854"/>
      <c r="BJ385" s="871">
        <v>0</v>
      </c>
      <c r="BK385" s="872">
        <f t="shared" si="121"/>
        <v>0</v>
      </c>
      <c r="BL385" s="871">
        <v>0</v>
      </c>
      <c r="BM385" s="872">
        <f t="shared" si="122"/>
        <v>0</v>
      </c>
      <c r="BN385" s="871">
        <v>0</v>
      </c>
      <c r="BO385" s="872">
        <f t="shared" si="123"/>
        <v>0</v>
      </c>
      <c r="BP385" s="871">
        <v>0</v>
      </c>
      <c r="BQ385" s="872">
        <f t="shared" si="124"/>
        <v>0</v>
      </c>
      <c r="BR385" s="854"/>
      <c r="BS385" s="854"/>
      <c r="BT385" s="854"/>
      <c r="BU385" s="854"/>
      <c r="BV385" s="854"/>
      <c r="BW385" s="854"/>
      <c r="BX385" s="854"/>
      <c r="BY385" s="854"/>
      <c r="BZ385" s="854"/>
      <c r="CA385" s="854"/>
      <c r="CB385" s="854"/>
      <c r="CC385" s="854"/>
      <c r="CD385" s="854"/>
      <c r="CE385" s="854"/>
      <c r="CF385" s="854"/>
      <c r="CG385" s="854" t="s">
        <v>45</v>
      </c>
    </row>
    <row r="386" spans="1:85" ht="15.75" customHeight="1">
      <c r="A386" s="847"/>
      <c r="B386" s="1126"/>
      <c r="C386" s="1126"/>
      <c r="D386" s="1126"/>
      <c r="E386" s="1126"/>
      <c r="F386" s="1126"/>
      <c r="G386" s="1126"/>
      <c r="H386" s="1126"/>
      <c r="I386" s="1126"/>
      <c r="J386" s="1126"/>
      <c r="K386" s="1126"/>
      <c r="L386" s="1126"/>
      <c r="M386" s="848"/>
      <c r="N386" s="849"/>
      <c r="O386" s="850"/>
      <c r="P386" s="850"/>
      <c r="Q386" s="850"/>
      <c r="R386" s="850"/>
      <c r="S386" s="850"/>
      <c r="T386" s="851"/>
      <c r="U386" s="851"/>
      <c r="V386" s="851"/>
      <c r="W386" s="851"/>
      <c r="X386" s="851"/>
      <c r="Y386" s="851"/>
      <c r="Z386" s="851"/>
      <c r="AA386" s="851"/>
      <c r="AB386" s="851"/>
      <c r="AC386" s="851"/>
      <c r="AD386" s="851"/>
      <c r="AE386" s="851"/>
      <c r="AF386" s="851"/>
      <c r="AG386" s="851"/>
      <c r="AH386" s="852"/>
      <c r="AI386" s="852"/>
      <c r="AJ386" s="852"/>
      <c r="AK386" s="852"/>
      <c r="AL386" s="852"/>
      <c r="AM386" s="852"/>
      <c r="AN386" s="852"/>
      <c r="AO386" s="852"/>
      <c r="AP386" s="852"/>
      <c r="AQ386" s="852"/>
      <c r="AR386" s="852"/>
      <c r="AS386" s="852"/>
      <c r="AT386" s="852"/>
      <c r="AU386" s="852"/>
      <c r="AV386" s="852"/>
      <c r="AW386" s="852"/>
      <c r="AX386" s="849"/>
      <c r="AY386" s="847"/>
      <c r="AZ386" s="847"/>
      <c r="BA386" s="847"/>
      <c r="BB386" s="847"/>
      <c r="BC386" s="853"/>
      <c r="BD386" s="854"/>
      <c r="BE386" s="854"/>
      <c r="BF386" s="854"/>
      <c r="BG386" s="870">
        <f t="shared" si="125"/>
        <v>63</v>
      </c>
      <c r="BH386" s="905" t="s">
        <v>401</v>
      </c>
      <c r="BI386" s="912"/>
      <c r="BJ386" s="854">
        <f>BJ370-(SUM(BJ371:BJ385)+BX356+BX357)</f>
        <v>-43008.889216999996</v>
      </c>
      <c r="BK386" s="872">
        <f t="shared" si="121"/>
        <v>-222.39185037701722</v>
      </c>
      <c r="BL386" s="854">
        <f>BL370-(SUM(BL371:BL385)+BZ356+BZ357)</f>
        <v>65139.081410999999</v>
      </c>
      <c r="BM386" s="872">
        <f t="shared" si="122"/>
        <v>29.948584929093215</v>
      </c>
      <c r="BN386" s="854">
        <f>BN370-(SUM(BN371:BN385)+CB356+CB357)</f>
        <v>8800.2926369999986</v>
      </c>
      <c r="BO386" s="872">
        <f t="shared" si="123"/>
        <v>46.180191016596382</v>
      </c>
      <c r="BP386" s="854">
        <f>BP370-(SUM(BP371:BP385)+CD356+CD357)</f>
        <v>35241.913115000003</v>
      </c>
      <c r="BQ386" s="872">
        <f t="shared" si="124"/>
        <v>8.6434794588270005</v>
      </c>
      <c r="BR386" s="854"/>
      <c r="BS386" s="854"/>
      <c r="BT386" s="854"/>
      <c r="BU386" s="854"/>
      <c r="BV386" s="854"/>
      <c r="BW386" s="854"/>
      <c r="BX386" s="854"/>
      <c r="BY386" s="854"/>
      <c r="BZ386" s="854"/>
      <c r="CA386" s="854"/>
      <c r="CB386" s="854"/>
      <c r="CC386" s="854"/>
      <c r="CD386" s="854"/>
      <c r="CE386" s="854"/>
      <c r="CF386" s="854"/>
      <c r="CG386" s="854" t="s">
        <v>45</v>
      </c>
    </row>
    <row r="387" spans="1:85" ht="15.75" customHeight="1">
      <c r="A387" s="847"/>
      <c r="B387" s="1126"/>
      <c r="C387" s="1126"/>
      <c r="D387" s="1126"/>
      <c r="E387" s="1126"/>
      <c r="F387" s="1126"/>
      <c r="G387" s="1126"/>
      <c r="H387" s="1126"/>
      <c r="I387" s="1126"/>
      <c r="J387" s="1126"/>
      <c r="K387" s="1126"/>
      <c r="L387" s="1126"/>
      <c r="M387" s="848"/>
      <c r="N387" s="849"/>
      <c r="O387" s="850"/>
      <c r="P387" s="850"/>
      <c r="Q387" s="850"/>
      <c r="R387" s="850"/>
      <c r="S387" s="850"/>
      <c r="T387" s="851"/>
      <c r="U387" s="851"/>
      <c r="V387" s="851"/>
      <c r="W387" s="851"/>
      <c r="X387" s="851"/>
      <c r="Y387" s="851"/>
      <c r="Z387" s="851"/>
      <c r="AA387" s="851"/>
      <c r="AB387" s="851"/>
      <c r="AC387" s="851"/>
      <c r="AD387" s="851"/>
      <c r="AE387" s="851"/>
      <c r="AF387" s="851"/>
      <c r="AG387" s="851"/>
      <c r="AH387" s="852"/>
      <c r="AI387" s="852"/>
      <c r="AJ387" s="852"/>
      <c r="AK387" s="852"/>
      <c r="AL387" s="852"/>
      <c r="AM387" s="852"/>
      <c r="AN387" s="852"/>
      <c r="AO387" s="852"/>
      <c r="AP387" s="852"/>
      <c r="AQ387" s="852"/>
      <c r="AR387" s="852"/>
      <c r="AS387" s="852"/>
      <c r="AT387" s="852"/>
      <c r="AU387" s="852"/>
      <c r="AV387" s="852"/>
      <c r="AW387" s="852"/>
      <c r="AX387" s="849"/>
      <c r="AY387" s="847"/>
      <c r="AZ387" s="847"/>
      <c r="BA387" s="847"/>
      <c r="BB387" s="847"/>
      <c r="BC387" s="853"/>
      <c r="BD387" s="854"/>
      <c r="BE387" s="854"/>
      <c r="BF387" s="854"/>
      <c r="BG387" s="870">
        <f t="shared" si="125"/>
        <v>64</v>
      </c>
      <c r="BH387" s="860" t="s">
        <v>402</v>
      </c>
      <c r="BI387" s="912"/>
      <c r="BJ387" s="871">
        <v>5247.2668169999997</v>
      </c>
      <c r="BK387" s="872">
        <f t="shared" si="121"/>
        <v>27.132748557321374</v>
      </c>
      <c r="BL387" s="871">
        <v>10.881856000000001</v>
      </c>
      <c r="BM387" s="872">
        <f t="shared" si="122"/>
        <v>5.0030823515286593E-3</v>
      </c>
      <c r="BN387" s="871">
        <v>7563.729746</v>
      </c>
      <c r="BO387" s="872">
        <f t="shared" si="123"/>
        <v>39.691235152751219</v>
      </c>
      <c r="BP387" s="871">
        <v>10185.847018</v>
      </c>
      <c r="BQ387" s="872">
        <f t="shared" si="124"/>
        <v>2.4981946690449197</v>
      </c>
      <c r="BR387" s="854"/>
      <c r="BS387" s="854"/>
      <c r="BT387" s="854"/>
      <c r="BU387" s="854"/>
      <c r="BV387" s="854"/>
      <c r="BW387" s="854"/>
      <c r="BX387" s="854"/>
      <c r="BY387" s="854"/>
      <c r="BZ387" s="854"/>
      <c r="CA387" s="854"/>
      <c r="CB387" s="854"/>
      <c r="CC387" s="854"/>
      <c r="CD387" s="854"/>
      <c r="CE387" s="854"/>
      <c r="CF387" s="854"/>
      <c r="CG387" s="854" t="s">
        <v>45</v>
      </c>
    </row>
    <row r="388" spans="1:85" ht="15.75" customHeight="1">
      <c r="A388" s="847"/>
      <c r="B388" s="1126"/>
      <c r="C388" s="1126"/>
      <c r="D388" s="1126"/>
      <c r="E388" s="1126"/>
      <c r="F388" s="1126"/>
      <c r="G388" s="1126"/>
      <c r="H388" s="1126"/>
      <c r="I388" s="1126"/>
      <c r="J388" s="1126"/>
      <c r="K388" s="1126"/>
      <c r="L388" s="1126"/>
      <c r="M388" s="848"/>
      <c r="N388" s="849"/>
      <c r="O388" s="850"/>
      <c r="P388" s="850"/>
      <c r="Q388" s="850"/>
      <c r="R388" s="850"/>
      <c r="S388" s="850"/>
      <c r="T388" s="851"/>
      <c r="U388" s="851"/>
      <c r="V388" s="851"/>
      <c r="W388" s="851"/>
      <c r="X388" s="851"/>
      <c r="Y388" s="851"/>
      <c r="Z388" s="851"/>
      <c r="AA388" s="851"/>
      <c r="AB388" s="851"/>
      <c r="AC388" s="851"/>
      <c r="AD388" s="851"/>
      <c r="AE388" s="851"/>
      <c r="AF388" s="851"/>
      <c r="AG388" s="851"/>
      <c r="AH388" s="852"/>
      <c r="AI388" s="852"/>
      <c r="AJ388" s="852"/>
      <c r="AK388" s="852"/>
      <c r="AL388" s="852"/>
      <c r="AM388" s="852"/>
      <c r="AN388" s="852"/>
      <c r="AO388" s="852"/>
      <c r="AP388" s="852"/>
      <c r="AQ388" s="852"/>
      <c r="AR388" s="852"/>
      <c r="AS388" s="852"/>
      <c r="AT388" s="852"/>
      <c r="AU388" s="852"/>
      <c r="AV388" s="852"/>
      <c r="AW388" s="852"/>
      <c r="AX388" s="849"/>
      <c r="AY388" s="847"/>
      <c r="AZ388" s="847"/>
      <c r="BA388" s="847"/>
      <c r="BB388" s="847"/>
      <c r="BC388" s="853"/>
      <c r="BD388" s="854"/>
      <c r="BE388" s="854"/>
      <c r="BF388" s="854"/>
      <c r="BG388" s="870">
        <f t="shared" si="125"/>
        <v>65</v>
      </c>
      <c r="BH388" s="860" t="s">
        <v>403</v>
      </c>
      <c r="BI388" s="912"/>
      <c r="BJ388" s="871">
        <v>0</v>
      </c>
      <c r="BK388" s="872">
        <f t="shared" si="121"/>
        <v>0</v>
      </c>
      <c r="BL388" s="871">
        <v>0</v>
      </c>
      <c r="BM388" s="872">
        <f t="shared" si="122"/>
        <v>0</v>
      </c>
      <c r="BN388" s="871">
        <v>0</v>
      </c>
      <c r="BO388" s="872">
        <f t="shared" si="123"/>
        <v>0</v>
      </c>
      <c r="BP388" s="871">
        <v>0</v>
      </c>
      <c r="BQ388" s="872">
        <f t="shared" si="124"/>
        <v>0</v>
      </c>
      <c r="BR388" s="854"/>
      <c r="BS388" s="854"/>
      <c r="BT388" s="854"/>
      <c r="BU388" s="854"/>
      <c r="BV388" s="854"/>
      <c r="BW388" s="854"/>
      <c r="BX388" s="854"/>
      <c r="BY388" s="854"/>
      <c r="BZ388" s="854"/>
      <c r="CA388" s="854"/>
      <c r="CB388" s="854"/>
      <c r="CC388" s="854"/>
      <c r="CD388" s="854"/>
      <c r="CE388" s="854"/>
      <c r="CF388" s="854"/>
      <c r="CG388" s="854" t="s">
        <v>45</v>
      </c>
    </row>
    <row r="389" spans="1:85" ht="15.75" customHeight="1">
      <c r="A389" s="847"/>
      <c r="B389" s="1126"/>
      <c r="C389" s="1126"/>
      <c r="D389" s="1126"/>
      <c r="E389" s="1126"/>
      <c r="F389" s="1126"/>
      <c r="G389" s="1126"/>
      <c r="H389" s="1126"/>
      <c r="I389" s="1126"/>
      <c r="J389" s="1126"/>
      <c r="K389" s="1126"/>
      <c r="L389" s="1126"/>
      <c r="M389" s="848"/>
      <c r="N389" s="849"/>
      <c r="O389" s="850"/>
      <c r="P389" s="850"/>
      <c r="Q389" s="850"/>
      <c r="R389" s="850"/>
      <c r="S389" s="850"/>
      <c r="T389" s="851"/>
      <c r="U389" s="851"/>
      <c r="V389" s="851"/>
      <c r="W389" s="851"/>
      <c r="X389" s="851"/>
      <c r="Y389" s="851"/>
      <c r="Z389" s="851"/>
      <c r="AA389" s="851"/>
      <c r="AB389" s="851"/>
      <c r="AC389" s="851"/>
      <c r="AD389" s="851"/>
      <c r="AE389" s="851"/>
      <c r="AF389" s="851"/>
      <c r="AG389" s="851"/>
      <c r="AH389" s="852"/>
      <c r="AI389" s="852"/>
      <c r="AJ389" s="852"/>
      <c r="AK389" s="852"/>
      <c r="AL389" s="852"/>
      <c r="AM389" s="852"/>
      <c r="AN389" s="852"/>
      <c r="AO389" s="852"/>
      <c r="AP389" s="852"/>
      <c r="AQ389" s="852"/>
      <c r="AR389" s="852"/>
      <c r="AS389" s="852"/>
      <c r="AT389" s="852"/>
      <c r="AU389" s="852"/>
      <c r="AV389" s="852"/>
      <c r="AW389" s="852"/>
      <c r="AX389" s="849"/>
      <c r="AY389" s="847"/>
      <c r="AZ389" s="847"/>
      <c r="BA389" s="847"/>
      <c r="BB389" s="847"/>
      <c r="BC389" s="853"/>
      <c r="BD389" s="854"/>
      <c r="BE389" s="854"/>
      <c r="BF389" s="854"/>
      <c r="BG389" s="870">
        <f t="shared" si="125"/>
        <v>66</v>
      </c>
      <c r="BH389" s="860" t="s">
        <v>404</v>
      </c>
      <c r="BI389" s="912"/>
      <c r="BJ389" s="871">
        <v>0</v>
      </c>
      <c r="BK389" s="872">
        <f t="shared" si="121"/>
        <v>0</v>
      </c>
      <c r="BL389" s="871">
        <v>0</v>
      </c>
      <c r="BM389" s="872">
        <f t="shared" si="122"/>
        <v>0</v>
      </c>
      <c r="BN389" s="871">
        <v>0</v>
      </c>
      <c r="BO389" s="872">
        <f t="shared" si="123"/>
        <v>0</v>
      </c>
      <c r="BP389" s="871">
        <v>0</v>
      </c>
      <c r="BQ389" s="872">
        <f t="shared" si="124"/>
        <v>0</v>
      </c>
      <c r="BR389" s="854"/>
      <c r="BS389" s="854"/>
      <c r="BT389" s="854"/>
      <c r="BU389" s="854"/>
      <c r="BV389" s="854"/>
      <c r="BW389" s="854"/>
      <c r="BX389" s="854"/>
      <c r="BY389" s="854"/>
      <c r="BZ389" s="854"/>
      <c r="CA389" s="854"/>
      <c r="CB389" s="854"/>
      <c r="CC389" s="854"/>
      <c r="CD389" s="854"/>
      <c r="CE389" s="854"/>
      <c r="CF389" s="854"/>
      <c r="CG389" s="854" t="s">
        <v>45</v>
      </c>
    </row>
    <row r="390" spans="1:85" ht="15.75" customHeight="1">
      <c r="A390" s="847"/>
      <c r="B390" s="1126"/>
      <c r="C390" s="1126"/>
      <c r="D390" s="1126"/>
      <c r="E390" s="1126"/>
      <c r="F390" s="1126"/>
      <c r="G390" s="1126"/>
      <c r="H390" s="1126"/>
      <c r="I390" s="1126"/>
      <c r="J390" s="1126"/>
      <c r="K390" s="1126"/>
      <c r="L390" s="1126"/>
      <c r="M390" s="848"/>
      <c r="N390" s="849"/>
      <c r="O390" s="850"/>
      <c r="P390" s="850"/>
      <c r="Q390" s="850"/>
      <c r="R390" s="850"/>
      <c r="S390" s="850"/>
      <c r="T390" s="851"/>
      <c r="U390" s="851"/>
      <c r="V390" s="851"/>
      <c r="W390" s="851"/>
      <c r="X390" s="851"/>
      <c r="Y390" s="851"/>
      <c r="Z390" s="851"/>
      <c r="AA390" s="851"/>
      <c r="AB390" s="851"/>
      <c r="AC390" s="851"/>
      <c r="AD390" s="851"/>
      <c r="AE390" s="851"/>
      <c r="AF390" s="851"/>
      <c r="AG390" s="851"/>
      <c r="AH390" s="852"/>
      <c r="AI390" s="852"/>
      <c r="AJ390" s="852"/>
      <c r="AK390" s="852"/>
      <c r="AL390" s="852"/>
      <c r="AM390" s="852"/>
      <c r="AN390" s="852"/>
      <c r="AO390" s="852"/>
      <c r="AP390" s="852"/>
      <c r="AQ390" s="852"/>
      <c r="AR390" s="852"/>
      <c r="AS390" s="852"/>
      <c r="AT390" s="852"/>
      <c r="AU390" s="852"/>
      <c r="AV390" s="852"/>
      <c r="AW390" s="852"/>
      <c r="AX390" s="849"/>
      <c r="AY390" s="847"/>
      <c r="AZ390" s="847"/>
      <c r="BA390" s="847"/>
      <c r="BB390" s="847"/>
      <c r="BC390" s="853"/>
      <c r="BD390" s="854"/>
      <c r="BE390" s="854"/>
      <c r="BF390" s="854"/>
      <c r="BG390" s="870">
        <f t="shared" si="125"/>
        <v>67</v>
      </c>
      <c r="BH390" s="860" t="s">
        <v>405</v>
      </c>
      <c r="BI390" s="912"/>
      <c r="BJ390" s="871">
        <v>0</v>
      </c>
      <c r="BK390" s="872">
        <f t="shared" si="121"/>
        <v>0</v>
      </c>
      <c r="BL390" s="871">
        <v>0</v>
      </c>
      <c r="BM390" s="872">
        <f t="shared" si="122"/>
        <v>0</v>
      </c>
      <c r="BN390" s="871">
        <v>0</v>
      </c>
      <c r="BO390" s="872">
        <f t="shared" si="123"/>
        <v>0</v>
      </c>
      <c r="BP390" s="871">
        <v>0</v>
      </c>
      <c r="BQ390" s="872">
        <f t="shared" si="124"/>
        <v>0</v>
      </c>
      <c r="BR390" s="854"/>
      <c r="BS390" s="854"/>
      <c r="BT390" s="854"/>
      <c r="BU390" s="854"/>
      <c r="BV390" s="854"/>
      <c r="BW390" s="854"/>
      <c r="BX390" s="854"/>
      <c r="BY390" s="854"/>
      <c r="BZ390" s="854"/>
      <c r="CA390" s="854"/>
      <c r="CB390" s="854"/>
      <c r="CC390" s="854"/>
      <c r="CD390" s="854"/>
      <c r="CE390" s="854"/>
      <c r="CF390" s="854"/>
      <c r="CG390" s="854" t="s">
        <v>45</v>
      </c>
    </row>
    <row r="391" spans="1:85" ht="15.75" customHeight="1">
      <c r="A391" s="847"/>
      <c r="B391" s="1126"/>
      <c r="C391" s="1126"/>
      <c r="D391" s="1126"/>
      <c r="E391" s="1126"/>
      <c r="F391" s="1126"/>
      <c r="G391" s="1126"/>
      <c r="H391" s="1126"/>
      <c r="I391" s="1126"/>
      <c r="J391" s="1126"/>
      <c r="K391" s="1126"/>
      <c r="L391" s="1126"/>
      <c r="M391" s="848"/>
      <c r="N391" s="849"/>
      <c r="O391" s="850"/>
      <c r="P391" s="850"/>
      <c r="Q391" s="850"/>
      <c r="R391" s="850"/>
      <c r="S391" s="850"/>
      <c r="T391" s="851"/>
      <c r="U391" s="851"/>
      <c r="V391" s="851"/>
      <c r="W391" s="851"/>
      <c r="X391" s="851"/>
      <c r="Y391" s="851"/>
      <c r="Z391" s="851"/>
      <c r="AA391" s="851"/>
      <c r="AB391" s="851"/>
      <c r="AC391" s="851"/>
      <c r="AD391" s="851"/>
      <c r="AE391" s="851"/>
      <c r="AF391" s="851"/>
      <c r="AG391" s="851"/>
      <c r="AH391" s="852"/>
      <c r="AI391" s="852"/>
      <c r="AJ391" s="852"/>
      <c r="AK391" s="852"/>
      <c r="AL391" s="852"/>
      <c r="AM391" s="852"/>
      <c r="AN391" s="852"/>
      <c r="AO391" s="852"/>
      <c r="AP391" s="852"/>
      <c r="AQ391" s="852"/>
      <c r="AR391" s="852"/>
      <c r="AS391" s="852"/>
      <c r="AT391" s="852"/>
      <c r="AU391" s="852"/>
      <c r="AV391" s="852"/>
      <c r="AW391" s="852"/>
      <c r="AX391" s="849"/>
      <c r="AY391" s="847"/>
      <c r="AZ391" s="847"/>
      <c r="BA391" s="847"/>
      <c r="BB391" s="847"/>
      <c r="BC391" s="853"/>
      <c r="BD391" s="854"/>
      <c r="BE391" s="854"/>
      <c r="BF391" s="854"/>
      <c r="BG391" s="870">
        <f t="shared" si="125"/>
        <v>68</v>
      </c>
      <c r="BH391" s="860" t="s">
        <v>45</v>
      </c>
      <c r="BI391" s="912"/>
      <c r="BJ391" s="871">
        <v>0</v>
      </c>
      <c r="BK391" s="872">
        <f t="shared" si="121"/>
        <v>0</v>
      </c>
      <c r="BL391" s="871">
        <v>0</v>
      </c>
      <c r="BM391" s="872">
        <f t="shared" si="122"/>
        <v>0</v>
      </c>
      <c r="BN391" s="871">
        <v>0</v>
      </c>
      <c r="BO391" s="872">
        <f t="shared" si="123"/>
        <v>0</v>
      </c>
      <c r="BP391" s="871">
        <v>0</v>
      </c>
      <c r="BQ391" s="872">
        <f t="shared" si="124"/>
        <v>0</v>
      </c>
      <c r="BR391" s="854"/>
      <c r="BS391" s="854"/>
      <c r="BT391" s="854"/>
      <c r="BU391" s="854"/>
      <c r="BV391" s="854"/>
      <c r="BW391" s="854"/>
      <c r="BX391" s="854"/>
      <c r="BY391" s="854"/>
      <c r="BZ391" s="854"/>
      <c r="CA391" s="854"/>
      <c r="CB391" s="854"/>
      <c r="CC391" s="854"/>
      <c r="CD391" s="854"/>
      <c r="CE391" s="854"/>
      <c r="CF391" s="854"/>
      <c r="CG391" s="854" t="s">
        <v>45</v>
      </c>
    </row>
    <row r="392" spans="1:85" ht="15.75" customHeight="1">
      <c r="A392" s="847"/>
      <c r="B392" s="1126"/>
      <c r="C392" s="1126"/>
      <c r="D392" s="1126"/>
      <c r="E392" s="1126"/>
      <c r="F392" s="1126"/>
      <c r="G392" s="1126"/>
      <c r="H392" s="1126"/>
      <c r="I392" s="1126"/>
      <c r="J392" s="1126"/>
      <c r="K392" s="1126"/>
      <c r="L392" s="1126"/>
      <c r="M392" s="848"/>
      <c r="N392" s="849"/>
      <c r="O392" s="850"/>
      <c r="P392" s="850"/>
      <c r="Q392" s="850"/>
      <c r="R392" s="850"/>
      <c r="S392" s="850"/>
      <c r="T392" s="851"/>
      <c r="U392" s="851"/>
      <c r="V392" s="851"/>
      <c r="W392" s="851"/>
      <c r="X392" s="851"/>
      <c r="Y392" s="851"/>
      <c r="Z392" s="851"/>
      <c r="AA392" s="851"/>
      <c r="AB392" s="851"/>
      <c r="AC392" s="851"/>
      <c r="AD392" s="851"/>
      <c r="AE392" s="851"/>
      <c r="AF392" s="851"/>
      <c r="AG392" s="851"/>
      <c r="AH392" s="852"/>
      <c r="AI392" s="852"/>
      <c r="AJ392" s="852"/>
      <c r="AK392" s="852"/>
      <c r="AL392" s="852"/>
      <c r="AM392" s="852"/>
      <c r="AN392" s="852"/>
      <c r="AO392" s="852"/>
      <c r="AP392" s="852"/>
      <c r="AQ392" s="852"/>
      <c r="AR392" s="852"/>
      <c r="AS392" s="852"/>
      <c r="AT392" s="852"/>
      <c r="AU392" s="852"/>
      <c r="AV392" s="852"/>
      <c r="AW392" s="852"/>
      <c r="AX392" s="849"/>
      <c r="AY392" s="847"/>
      <c r="AZ392" s="847"/>
      <c r="BA392" s="847"/>
      <c r="BB392" s="847"/>
      <c r="BC392" s="853"/>
      <c r="BD392" s="854"/>
      <c r="BE392" s="854"/>
      <c r="BF392" s="854"/>
      <c r="BG392" s="870">
        <f t="shared" si="125"/>
        <v>69</v>
      </c>
      <c r="BH392" s="860" t="s">
        <v>45</v>
      </c>
      <c r="BI392" s="912"/>
      <c r="BJ392" s="871">
        <v>0</v>
      </c>
      <c r="BK392" s="872">
        <f t="shared" si="121"/>
        <v>0</v>
      </c>
      <c r="BL392" s="871">
        <v>0</v>
      </c>
      <c r="BM392" s="872">
        <f t="shared" si="122"/>
        <v>0</v>
      </c>
      <c r="BN392" s="871">
        <v>0</v>
      </c>
      <c r="BO392" s="872">
        <f t="shared" si="123"/>
        <v>0</v>
      </c>
      <c r="BP392" s="871">
        <v>0</v>
      </c>
      <c r="BQ392" s="872">
        <f t="shared" si="124"/>
        <v>0</v>
      </c>
      <c r="BR392" s="854"/>
      <c r="BS392" s="854"/>
      <c r="BT392" s="854"/>
      <c r="BU392" s="854"/>
      <c r="BV392" s="854"/>
      <c r="BW392" s="854"/>
      <c r="BX392" s="854"/>
      <c r="BY392" s="854"/>
      <c r="BZ392" s="854"/>
      <c r="CA392" s="854"/>
      <c r="CB392" s="854"/>
      <c r="CC392" s="854"/>
      <c r="CD392" s="854"/>
      <c r="CE392" s="854"/>
      <c r="CF392" s="854"/>
      <c r="CG392" s="854" t="s">
        <v>45</v>
      </c>
    </row>
    <row r="393" spans="1:85" ht="15.75" customHeight="1">
      <c r="A393" s="847"/>
      <c r="B393" s="1126"/>
      <c r="C393" s="1126"/>
      <c r="D393" s="1126"/>
      <c r="E393" s="1126"/>
      <c r="F393" s="1126"/>
      <c r="G393" s="1126"/>
      <c r="H393" s="1126"/>
      <c r="I393" s="1126"/>
      <c r="J393" s="1126"/>
      <c r="K393" s="1126"/>
      <c r="L393" s="1126"/>
      <c r="M393" s="848"/>
      <c r="N393" s="849"/>
      <c r="O393" s="850"/>
      <c r="P393" s="850"/>
      <c r="Q393" s="850"/>
      <c r="R393" s="850"/>
      <c r="S393" s="850"/>
      <c r="T393" s="851"/>
      <c r="U393" s="851"/>
      <c r="V393" s="851"/>
      <c r="W393" s="851"/>
      <c r="X393" s="851"/>
      <c r="Y393" s="851"/>
      <c r="Z393" s="851"/>
      <c r="AA393" s="851"/>
      <c r="AB393" s="851"/>
      <c r="AC393" s="851"/>
      <c r="AD393" s="851"/>
      <c r="AE393" s="851"/>
      <c r="AF393" s="851"/>
      <c r="AG393" s="851"/>
      <c r="AH393" s="852"/>
      <c r="AI393" s="852"/>
      <c r="AJ393" s="852"/>
      <c r="AK393" s="852"/>
      <c r="AL393" s="852"/>
      <c r="AM393" s="852"/>
      <c r="AN393" s="852"/>
      <c r="AO393" s="852"/>
      <c r="AP393" s="852"/>
      <c r="AQ393" s="852"/>
      <c r="AR393" s="852"/>
      <c r="AS393" s="852"/>
      <c r="AT393" s="852"/>
      <c r="AU393" s="852"/>
      <c r="AV393" s="852"/>
      <c r="AW393" s="852"/>
      <c r="AX393" s="849"/>
      <c r="AY393" s="847"/>
      <c r="AZ393" s="847"/>
      <c r="BA393" s="847"/>
      <c r="BB393" s="847"/>
      <c r="BC393" s="853"/>
      <c r="BD393" s="854"/>
      <c r="BE393" s="854"/>
      <c r="BF393" s="854"/>
      <c r="BG393" s="870">
        <f t="shared" si="125"/>
        <v>70</v>
      </c>
      <c r="BH393" s="860" t="s">
        <v>45</v>
      </c>
      <c r="BI393" s="912"/>
      <c r="BJ393" s="871">
        <v>0</v>
      </c>
      <c r="BK393" s="872">
        <f t="shared" si="121"/>
        <v>0</v>
      </c>
      <c r="BL393" s="871">
        <v>0</v>
      </c>
      <c r="BM393" s="872">
        <f t="shared" si="122"/>
        <v>0</v>
      </c>
      <c r="BN393" s="871">
        <v>0</v>
      </c>
      <c r="BO393" s="872">
        <f t="shared" si="123"/>
        <v>0</v>
      </c>
      <c r="BP393" s="871">
        <v>0</v>
      </c>
      <c r="BQ393" s="872">
        <f t="shared" si="124"/>
        <v>0</v>
      </c>
      <c r="BR393" s="854"/>
      <c r="BS393" s="854"/>
      <c r="BT393" s="854"/>
      <c r="BU393" s="854"/>
      <c r="BV393" s="854"/>
      <c r="BW393" s="854"/>
      <c r="BX393" s="854"/>
      <c r="BY393" s="854"/>
      <c r="BZ393" s="854"/>
      <c r="CA393" s="854"/>
      <c r="CB393" s="854"/>
      <c r="CC393" s="854"/>
      <c r="CD393" s="854"/>
      <c r="CE393" s="854"/>
      <c r="CF393" s="854"/>
      <c r="CG393" s="854" t="s">
        <v>45</v>
      </c>
    </row>
    <row r="394" spans="1:85" ht="15.75" customHeight="1">
      <c r="A394" s="847"/>
      <c r="B394" s="1126"/>
      <c r="C394" s="1126"/>
      <c r="D394" s="1126"/>
      <c r="E394" s="1126"/>
      <c r="F394" s="1126"/>
      <c r="G394" s="1126"/>
      <c r="H394" s="1126"/>
      <c r="I394" s="1126"/>
      <c r="J394" s="1126"/>
      <c r="K394" s="1126"/>
      <c r="L394" s="1126"/>
      <c r="M394" s="848"/>
      <c r="N394" s="849"/>
      <c r="O394" s="850"/>
      <c r="P394" s="850"/>
      <c r="Q394" s="850"/>
      <c r="R394" s="850"/>
      <c r="S394" s="850"/>
      <c r="T394" s="851"/>
      <c r="U394" s="851"/>
      <c r="V394" s="851"/>
      <c r="W394" s="851"/>
      <c r="X394" s="851"/>
      <c r="Y394" s="851"/>
      <c r="Z394" s="851"/>
      <c r="AA394" s="851"/>
      <c r="AB394" s="851"/>
      <c r="AC394" s="851"/>
      <c r="AD394" s="851"/>
      <c r="AE394" s="851"/>
      <c r="AF394" s="851"/>
      <c r="AG394" s="851"/>
      <c r="AH394" s="852"/>
      <c r="AI394" s="852"/>
      <c r="AJ394" s="852"/>
      <c r="AK394" s="852"/>
      <c r="AL394" s="852"/>
      <c r="AM394" s="852"/>
      <c r="AN394" s="852"/>
      <c r="AO394" s="852"/>
      <c r="AP394" s="852"/>
      <c r="AQ394" s="852"/>
      <c r="AR394" s="852"/>
      <c r="AS394" s="852"/>
      <c r="AT394" s="852"/>
      <c r="AU394" s="852"/>
      <c r="AV394" s="852"/>
      <c r="AW394" s="852"/>
      <c r="AX394" s="849"/>
      <c r="AY394" s="847"/>
      <c r="AZ394" s="847"/>
      <c r="BA394" s="847"/>
      <c r="BB394" s="847"/>
      <c r="BC394" s="853"/>
      <c r="BD394" s="854"/>
      <c r="BE394" s="854"/>
      <c r="BF394" s="854"/>
      <c r="BG394" s="870">
        <f t="shared" si="125"/>
        <v>71</v>
      </c>
      <c r="BH394" s="860" t="s">
        <v>45</v>
      </c>
      <c r="BI394" s="912"/>
      <c r="BJ394" s="871">
        <v>0</v>
      </c>
      <c r="BK394" s="872">
        <f t="shared" si="121"/>
        <v>0</v>
      </c>
      <c r="BL394" s="871">
        <v>0</v>
      </c>
      <c r="BM394" s="872">
        <f t="shared" si="122"/>
        <v>0</v>
      </c>
      <c r="BN394" s="871">
        <v>0</v>
      </c>
      <c r="BO394" s="872">
        <f t="shared" si="123"/>
        <v>0</v>
      </c>
      <c r="BP394" s="871">
        <v>0</v>
      </c>
      <c r="BQ394" s="872">
        <f t="shared" si="124"/>
        <v>0</v>
      </c>
      <c r="BR394" s="854"/>
      <c r="BS394" s="854"/>
      <c r="BT394" s="854"/>
      <c r="BU394" s="854"/>
      <c r="BV394" s="854"/>
      <c r="BW394" s="854"/>
      <c r="BX394" s="854"/>
      <c r="BY394" s="854"/>
      <c r="BZ394" s="854"/>
      <c r="CA394" s="854"/>
      <c r="CB394" s="854"/>
      <c r="CC394" s="854"/>
      <c r="CD394" s="854"/>
      <c r="CE394" s="854"/>
      <c r="CF394" s="854"/>
      <c r="CG394" s="854" t="s">
        <v>45</v>
      </c>
    </row>
    <row r="395" spans="1:85" ht="15.75" customHeight="1">
      <c r="A395" s="847"/>
      <c r="B395" s="1126"/>
      <c r="C395" s="1126"/>
      <c r="D395" s="1126"/>
      <c r="E395" s="1126"/>
      <c r="F395" s="1126"/>
      <c r="G395" s="1126"/>
      <c r="H395" s="1126"/>
      <c r="I395" s="1126"/>
      <c r="J395" s="1126"/>
      <c r="K395" s="1126"/>
      <c r="L395" s="1126"/>
      <c r="M395" s="848"/>
      <c r="N395" s="849"/>
      <c r="O395" s="850"/>
      <c r="P395" s="850"/>
      <c r="Q395" s="850"/>
      <c r="R395" s="850"/>
      <c r="S395" s="850"/>
      <c r="T395" s="851"/>
      <c r="U395" s="851"/>
      <c r="V395" s="851"/>
      <c r="W395" s="851"/>
      <c r="X395" s="851"/>
      <c r="Y395" s="851"/>
      <c r="Z395" s="851"/>
      <c r="AA395" s="851"/>
      <c r="AB395" s="851"/>
      <c r="AC395" s="851"/>
      <c r="AD395" s="851"/>
      <c r="AE395" s="851"/>
      <c r="AF395" s="851"/>
      <c r="AG395" s="851"/>
      <c r="AH395" s="852"/>
      <c r="AI395" s="852"/>
      <c r="AJ395" s="852"/>
      <c r="AK395" s="852"/>
      <c r="AL395" s="852"/>
      <c r="AM395" s="852"/>
      <c r="AN395" s="852"/>
      <c r="AO395" s="852"/>
      <c r="AP395" s="852"/>
      <c r="AQ395" s="852"/>
      <c r="AR395" s="852"/>
      <c r="AS395" s="852"/>
      <c r="AT395" s="852"/>
      <c r="AU395" s="852"/>
      <c r="AV395" s="852"/>
      <c r="AW395" s="852"/>
      <c r="AX395" s="849"/>
      <c r="AY395" s="847"/>
      <c r="AZ395" s="847"/>
      <c r="BA395" s="847"/>
      <c r="BB395" s="847"/>
      <c r="BC395" s="853"/>
      <c r="BD395" s="854"/>
      <c r="BE395" s="854"/>
      <c r="BF395" s="854"/>
      <c r="BG395" s="870">
        <f t="shared" si="125"/>
        <v>72</v>
      </c>
      <c r="BH395" s="860" t="s">
        <v>45</v>
      </c>
      <c r="BI395" s="912"/>
      <c r="BJ395" s="871">
        <v>0</v>
      </c>
      <c r="BK395" s="872">
        <f t="shared" si="121"/>
        <v>0</v>
      </c>
      <c r="BL395" s="871">
        <v>0</v>
      </c>
      <c r="BM395" s="872">
        <f t="shared" si="122"/>
        <v>0</v>
      </c>
      <c r="BN395" s="871">
        <v>0</v>
      </c>
      <c r="BO395" s="872">
        <f t="shared" si="123"/>
        <v>0</v>
      </c>
      <c r="BP395" s="871">
        <v>0</v>
      </c>
      <c r="BQ395" s="872">
        <f t="shared" si="124"/>
        <v>0</v>
      </c>
      <c r="BR395" s="854"/>
      <c r="BS395" s="854"/>
      <c r="BT395" s="854"/>
      <c r="BU395" s="854"/>
      <c r="BV395" s="854"/>
      <c r="BW395" s="854"/>
      <c r="BX395" s="854"/>
      <c r="BY395" s="854"/>
      <c r="BZ395" s="854"/>
      <c r="CA395" s="854"/>
      <c r="CB395" s="854"/>
      <c r="CC395" s="854"/>
      <c r="CD395" s="854"/>
      <c r="CE395" s="854"/>
      <c r="CF395" s="854"/>
      <c r="CG395" s="854" t="s">
        <v>45</v>
      </c>
    </row>
    <row r="396" spans="1:85" ht="15.75" customHeight="1">
      <c r="A396" s="847"/>
      <c r="B396" s="1126"/>
      <c r="C396" s="1126"/>
      <c r="D396" s="1126"/>
      <c r="E396" s="1126"/>
      <c r="F396" s="1126"/>
      <c r="G396" s="1126"/>
      <c r="H396" s="1126"/>
      <c r="I396" s="1126"/>
      <c r="J396" s="1126"/>
      <c r="K396" s="1126"/>
      <c r="L396" s="1126"/>
      <c r="M396" s="848"/>
      <c r="N396" s="849"/>
      <c r="O396" s="850"/>
      <c r="P396" s="850"/>
      <c r="Q396" s="850"/>
      <c r="R396" s="850"/>
      <c r="S396" s="850"/>
      <c r="T396" s="851"/>
      <c r="U396" s="851"/>
      <c r="V396" s="851"/>
      <c r="W396" s="851"/>
      <c r="X396" s="851"/>
      <c r="Y396" s="851"/>
      <c r="Z396" s="851"/>
      <c r="AA396" s="851"/>
      <c r="AB396" s="851"/>
      <c r="AC396" s="851"/>
      <c r="AD396" s="851"/>
      <c r="AE396" s="851"/>
      <c r="AF396" s="851"/>
      <c r="AG396" s="851"/>
      <c r="AH396" s="852"/>
      <c r="AI396" s="852"/>
      <c r="AJ396" s="852"/>
      <c r="AK396" s="852"/>
      <c r="AL396" s="852"/>
      <c r="AM396" s="852"/>
      <c r="AN396" s="852"/>
      <c r="AO396" s="852"/>
      <c r="AP396" s="852"/>
      <c r="AQ396" s="852"/>
      <c r="AR396" s="852"/>
      <c r="AS396" s="852"/>
      <c r="AT396" s="852"/>
      <c r="AU396" s="852"/>
      <c r="AV396" s="852"/>
      <c r="AW396" s="852"/>
      <c r="AX396" s="849"/>
      <c r="AY396" s="847"/>
      <c r="AZ396" s="847"/>
      <c r="BA396" s="847"/>
      <c r="BB396" s="847"/>
      <c r="BC396" s="853"/>
      <c r="BD396" s="854"/>
      <c r="BE396" s="854"/>
      <c r="BF396" s="854"/>
      <c r="BG396" s="870">
        <f t="shared" si="125"/>
        <v>73</v>
      </c>
      <c r="BH396" s="860" t="s">
        <v>45</v>
      </c>
      <c r="BI396" s="912"/>
      <c r="BJ396" s="871">
        <v>0</v>
      </c>
      <c r="BK396" s="872">
        <f t="shared" si="121"/>
        <v>0</v>
      </c>
      <c r="BL396" s="871">
        <v>0</v>
      </c>
      <c r="BM396" s="872">
        <f t="shared" si="122"/>
        <v>0</v>
      </c>
      <c r="BN396" s="871">
        <v>0</v>
      </c>
      <c r="BO396" s="872">
        <f t="shared" si="123"/>
        <v>0</v>
      </c>
      <c r="BP396" s="871">
        <v>0</v>
      </c>
      <c r="BQ396" s="872">
        <f t="shared" si="124"/>
        <v>0</v>
      </c>
      <c r="BR396" s="854"/>
      <c r="BS396" s="854"/>
      <c r="BT396" s="854"/>
      <c r="BU396" s="854"/>
      <c r="BV396" s="854"/>
      <c r="BW396" s="854"/>
      <c r="BX396" s="854"/>
      <c r="BY396" s="854"/>
      <c r="BZ396" s="854"/>
      <c r="CA396" s="854"/>
      <c r="CB396" s="854"/>
      <c r="CC396" s="854"/>
      <c r="CD396" s="854"/>
      <c r="CE396" s="854"/>
      <c r="CF396" s="854"/>
      <c r="CG396" s="854" t="s">
        <v>45</v>
      </c>
    </row>
    <row r="397" spans="1:85" ht="15.75" customHeight="1">
      <c r="A397" s="847"/>
      <c r="B397" s="1126"/>
      <c r="C397" s="1126"/>
      <c r="D397" s="1126"/>
      <c r="E397" s="1126"/>
      <c r="F397" s="1126"/>
      <c r="G397" s="1126"/>
      <c r="H397" s="1126"/>
      <c r="I397" s="1126"/>
      <c r="J397" s="1126"/>
      <c r="K397" s="1126"/>
      <c r="L397" s="1126"/>
      <c r="M397" s="848"/>
      <c r="N397" s="849"/>
      <c r="O397" s="850"/>
      <c r="P397" s="850"/>
      <c r="Q397" s="850"/>
      <c r="R397" s="850"/>
      <c r="S397" s="850"/>
      <c r="T397" s="851"/>
      <c r="U397" s="851"/>
      <c r="V397" s="851"/>
      <c r="W397" s="851"/>
      <c r="X397" s="851"/>
      <c r="Y397" s="851"/>
      <c r="Z397" s="851"/>
      <c r="AA397" s="851"/>
      <c r="AB397" s="851"/>
      <c r="AC397" s="851"/>
      <c r="AD397" s="851"/>
      <c r="AE397" s="851"/>
      <c r="AF397" s="851"/>
      <c r="AG397" s="851"/>
      <c r="AH397" s="852"/>
      <c r="AI397" s="852"/>
      <c r="AJ397" s="852"/>
      <c r="AK397" s="852"/>
      <c r="AL397" s="852"/>
      <c r="AM397" s="852"/>
      <c r="AN397" s="852"/>
      <c r="AO397" s="852"/>
      <c r="AP397" s="852"/>
      <c r="AQ397" s="852"/>
      <c r="AR397" s="852"/>
      <c r="AS397" s="852"/>
      <c r="AT397" s="852"/>
      <c r="AU397" s="852"/>
      <c r="AV397" s="852"/>
      <c r="AW397" s="852"/>
      <c r="AX397" s="849"/>
      <c r="AY397" s="847"/>
      <c r="AZ397" s="847"/>
      <c r="BA397" s="847"/>
      <c r="BB397" s="847"/>
      <c r="BC397" s="853"/>
      <c r="BD397" s="854"/>
      <c r="BE397" s="854"/>
      <c r="BF397" s="854"/>
      <c r="BG397" s="870">
        <f t="shared" si="125"/>
        <v>74</v>
      </c>
      <c r="BH397" s="860" t="s">
        <v>45</v>
      </c>
      <c r="BI397" s="912"/>
      <c r="BJ397" s="871">
        <v>0</v>
      </c>
      <c r="BK397" s="872">
        <f t="shared" si="121"/>
        <v>0</v>
      </c>
      <c r="BL397" s="871">
        <v>0</v>
      </c>
      <c r="BM397" s="872">
        <f t="shared" si="122"/>
        <v>0</v>
      </c>
      <c r="BN397" s="871">
        <v>0</v>
      </c>
      <c r="BO397" s="872">
        <f t="shared" si="123"/>
        <v>0</v>
      </c>
      <c r="BP397" s="871">
        <v>0</v>
      </c>
      <c r="BQ397" s="872">
        <f t="shared" si="124"/>
        <v>0</v>
      </c>
      <c r="BR397" s="854"/>
      <c r="BS397" s="854"/>
      <c r="BT397" s="854"/>
      <c r="BU397" s="854"/>
      <c r="BV397" s="854"/>
      <c r="BW397" s="854"/>
      <c r="BX397" s="854"/>
      <c r="BY397" s="854"/>
      <c r="BZ397" s="854"/>
      <c r="CA397" s="854"/>
      <c r="CB397" s="854"/>
      <c r="CC397" s="854"/>
      <c r="CD397" s="854"/>
      <c r="CE397" s="854"/>
      <c r="CF397" s="854"/>
      <c r="CG397" s="854" t="s">
        <v>45</v>
      </c>
    </row>
    <row r="398" spans="1:85" ht="15.75" customHeight="1">
      <c r="A398" s="847"/>
      <c r="B398" s="1126"/>
      <c r="C398" s="1126"/>
      <c r="D398" s="1126"/>
      <c r="E398" s="1126"/>
      <c r="F398" s="1126"/>
      <c r="G398" s="1126"/>
      <c r="H398" s="1126"/>
      <c r="I398" s="1126"/>
      <c r="J398" s="1126"/>
      <c r="K398" s="1126"/>
      <c r="L398" s="1126"/>
      <c r="M398" s="848"/>
      <c r="N398" s="849"/>
      <c r="O398" s="850"/>
      <c r="P398" s="850"/>
      <c r="Q398" s="850"/>
      <c r="R398" s="850"/>
      <c r="S398" s="850"/>
      <c r="T398" s="851"/>
      <c r="U398" s="851"/>
      <c r="V398" s="851"/>
      <c r="W398" s="851"/>
      <c r="X398" s="851"/>
      <c r="Y398" s="851"/>
      <c r="Z398" s="851"/>
      <c r="AA398" s="851"/>
      <c r="AB398" s="851"/>
      <c r="AC398" s="851"/>
      <c r="AD398" s="851"/>
      <c r="AE398" s="851"/>
      <c r="AF398" s="851"/>
      <c r="AG398" s="851"/>
      <c r="AH398" s="852"/>
      <c r="AI398" s="852"/>
      <c r="AJ398" s="852"/>
      <c r="AK398" s="852"/>
      <c r="AL398" s="852"/>
      <c r="AM398" s="852"/>
      <c r="AN398" s="852"/>
      <c r="AO398" s="852"/>
      <c r="AP398" s="852"/>
      <c r="AQ398" s="852"/>
      <c r="AR398" s="852"/>
      <c r="AS398" s="852"/>
      <c r="AT398" s="852"/>
      <c r="AU398" s="852"/>
      <c r="AV398" s="852"/>
      <c r="AW398" s="852"/>
      <c r="AX398" s="849"/>
      <c r="AY398" s="847"/>
      <c r="AZ398" s="847"/>
      <c r="BA398" s="847"/>
      <c r="BB398" s="847"/>
      <c r="BC398" s="853"/>
      <c r="BD398" s="854"/>
      <c r="BE398" s="854"/>
      <c r="BF398" s="854"/>
      <c r="BG398" s="870">
        <f t="shared" si="125"/>
        <v>75</v>
      </c>
      <c r="BH398" s="860" t="s">
        <v>45</v>
      </c>
      <c r="BI398" s="912"/>
      <c r="BJ398" s="871">
        <v>0</v>
      </c>
      <c r="BK398" s="872">
        <f t="shared" si="121"/>
        <v>0</v>
      </c>
      <c r="BL398" s="871">
        <v>0</v>
      </c>
      <c r="BM398" s="872">
        <f t="shared" si="122"/>
        <v>0</v>
      </c>
      <c r="BN398" s="871">
        <v>0</v>
      </c>
      <c r="BO398" s="872">
        <f t="shared" si="123"/>
        <v>0</v>
      </c>
      <c r="BP398" s="871">
        <v>0</v>
      </c>
      <c r="BQ398" s="872">
        <f t="shared" si="124"/>
        <v>0</v>
      </c>
      <c r="BR398" s="854"/>
      <c r="BS398" s="854"/>
      <c r="BT398" s="854"/>
      <c r="BU398" s="854"/>
      <c r="BV398" s="854"/>
      <c r="BW398" s="854"/>
      <c r="BX398" s="854"/>
      <c r="BY398" s="854"/>
      <c r="BZ398" s="854"/>
      <c r="CA398" s="854"/>
      <c r="CB398" s="854"/>
      <c r="CC398" s="854"/>
      <c r="CD398" s="854"/>
      <c r="CE398" s="854"/>
      <c r="CF398" s="854"/>
      <c r="CG398" s="854" t="s">
        <v>45</v>
      </c>
    </row>
    <row r="399" spans="1:85" ht="15.75" customHeight="1">
      <c r="A399" s="847"/>
      <c r="B399" s="1126"/>
      <c r="C399" s="1126"/>
      <c r="D399" s="1126"/>
      <c r="E399" s="1126"/>
      <c r="F399" s="1126"/>
      <c r="G399" s="1126"/>
      <c r="H399" s="1126"/>
      <c r="I399" s="1126"/>
      <c r="J399" s="1126"/>
      <c r="K399" s="1126"/>
      <c r="L399" s="1126"/>
      <c r="M399" s="848"/>
      <c r="N399" s="849"/>
      <c r="O399" s="850"/>
      <c r="P399" s="850"/>
      <c r="Q399" s="850"/>
      <c r="R399" s="850"/>
      <c r="S399" s="850"/>
      <c r="T399" s="851"/>
      <c r="U399" s="851"/>
      <c r="V399" s="851"/>
      <c r="W399" s="851"/>
      <c r="X399" s="851"/>
      <c r="Y399" s="851"/>
      <c r="Z399" s="851"/>
      <c r="AA399" s="851"/>
      <c r="AB399" s="851"/>
      <c r="AC399" s="851"/>
      <c r="AD399" s="851"/>
      <c r="AE399" s="851"/>
      <c r="AF399" s="851"/>
      <c r="AG399" s="851"/>
      <c r="AH399" s="852"/>
      <c r="AI399" s="852"/>
      <c r="AJ399" s="852"/>
      <c r="AK399" s="852"/>
      <c r="AL399" s="852"/>
      <c r="AM399" s="852"/>
      <c r="AN399" s="852"/>
      <c r="AO399" s="852"/>
      <c r="AP399" s="852"/>
      <c r="AQ399" s="852"/>
      <c r="AR399" s="852"/>
      <c r="AS399" s="852"/>
      <c r="AT399" s="852"/>
      <c r="AU399" s="852"/>
      <c r="AV399" s="852"/>
      <c r="AW399" s="852"/>
      <c r="AX399" s="849"/>
      <c r="AY399" s="847"/>
      <c r="AZ399" s="847"/>
      <c r="BA399" s="847"/>
      <c r="BB399" s="847"/>
      <c r="BC399" s="853"/>
      <c r="BD399" s="854"/>
      <c r="BE399" s="854"/>
      <c r="BF399" s="854"/>
      <c r="BG399" s="870">
        <f t="shared" si="125"/>
        <v>76</v>
      </c>
      <c r="BH399" s="860" t="s">
        <v>45</v>
      </c>
      <c r="BI399" s="912"/>
      <c r="BJ399" s="871">
        <v>0</v>
      </c>
      <c r="BK399" s="872">
        <f t="shared" si="121"/>
        <v>0</v>
      </c>
      <c r="BL399" s="871">
        <v>0</v>
      </c>
      <c r="BM399" s="872">
        <f t="shared" si="122"/>
        <v>0</v>
      </c>
      <c r="BN399" s="871">
        <v>0</v>
      </c>
      <c r="BO399" s="872">
        <f t="shared" si="123"/>
        <v>0</v>
      </c>
      <c r="BP399" s="871">
        <v>0</v>
      </c>
      <c r="BQ399" s="872">
        <f t="shared" si="124"/>
        <v>0</v>
      </c>
      <c r="BR399" s="854"/>
      <c r="BS399" s="854"/>
      <c r="BT399" s="854"/>
      <c r="BU399" s="854"/>
      <c r="BV399" s="854"/>
      <c r="BW399" s="854"/>
      <c r="BX399" s="854"/>
      <c r="BY399" s="854"/>
      <c r="BZ399" s="854"/>
      <c r="CA399" s="854"/>
      <c r="CB399" s="854"/>
      <c r="CC399" s="854"/>
      <c r="CD399" s="854"/>
      <c r="CE399" s="854"/>
      <c r="CF399" s="854"/>
      <c r="CG399" s="854" t="s">
        <v>45</v>
      </c>
    </row>
    <row r="400" spans="1:85" ht="15.75" customHeight="1">
      <c r="A400" s="847"/>
      <c r="B400" s="1126"/>
      <c r="C400" s="1126"/>
      <c r="D400" s="1126"/>
      <c r="E400" s="1126"/>
      <c r="F400" s="1126"/>
      <c r="G400" s="1126"/>
      <c r="H400" s="1126"/>
      <c r="I400" s="1126"/>
      <c r="J400" s="1126"/>
      <c r="K400" s="1126"/>
      <c r="L400" s="1126"/>
      <c r="M400" s="848"/>
      <c r="N400" s="849"/>
      <c r="O400" s="850"/>
      <c r="P400" s="850"/>
      <c r="Q400" s="850"/>
      <c r="R400" s="850"/>
      <c r="S400" s="850"/>
      <c r="T400" s="851"/>
      <c r="U400" s="851"/>
      <c r="V400" s="851"/>
      <c r="W400" s="851"/>
      <c r="X400" s="851"/>
      <c r="Y400" s="851"/>
      <c r="Z400" s="851"/>
      <c r="AA400" s="851"/>
      <c r="AB400" s="851"/>
      <c r="AC400" s="851"/>
      <c r="AD400" s="851"/>
      <c r="AE400" s="851"/>
      <c r="AF400" s="851"/>
      <c r="AG400" s="851"/>
      <c r="AH400" s="852"/>
      <c r="AI400" s="852"/>
      <c r="AJ400" s="852"/>
      <c r="AK400" s="852"/>
      <c r="AL400" s="852"/>
      <c r="AM400" s="852"/>
      <c r="AN400" s="852"/>
      <c r="AO400" s="852"/>
      <c r="AP400" s="852"/>
      <c r="AQ400" s="852"/>
      <c r="AR400" s="852"/>
      <c r="AS400" s="852"/>
      <c r="AT400" s="852"/>
      <c r="AU400" s="852"/>
      <c r="AV400" s="852"/>
      <c r="AW400" s="852"/>
      <c r="AX400" s="849"/>
      <c r="AY400" s="847"/>
      <c r="AZ400" s="847"/>
      <c r="BA400" s="847"/>
      <c r="BB400" s="847"/>
      <c r="BC400" s="853"/>
      <c r="BD400" s="854"/>
      <c r="BE400" s="854"/>
      <c r="BF400" s="854"/>
      <c r="BG400" s="870">
        <f t="shared" si="125"/>
        <v>77</v>
      </c>
      <c r="BH400" s="860" t="s">
        <v>45</v>
      </c>
      <c r="BI400" s="912"/>
      <c r="BJ400" s="871">
        <v>0</v>
      </c>
      <c r="BK400" s="872">
        <f t="shared" si="121"/>
        <v>0</v>
      </c>
      <c r="BL400" s="871">
        <v>0</v>
      </c>
      <c r="BM400" s="872">
        <f t="shared" si="122"/>
        <v>0</v>
      </c>
      <c r="BN400" s="871">
        <v>0</v>
      </c>
      <c r="BO400" s="872">
        <f t="shared" si="123"/>
        <v>0</v>
      </c>
      <c r="BP400" s="871">
        <v>0</v>
      </c>
      <c r="BQ400" s="872">
        <f t="shared" si="124"/>
        <v>0</v>
      </c>
      <c r="BR400" s="854"/>
      <c r="BS400" s="854"/>
      <c r="BT400" s="854"/>
      <c r="BU400" s="854"/>
      <c r="BV400" s="854"/>
      <c r="BW400" s="854"/>
      <c r="BX400" s="854"/>
      <c r="BY400" s="854"/>
      <c r="BZ400" s="854"/>
      <c r="CA400" s="854"/>
      <c r="CB400" s="854"/>
      <c r="CC400" s="854"/>
      <c r="CD400" s="854"/>
      <c r="CE400" s="854"/>
      <c r="CF400" s="854"/>
      <c r="CG400" s="854" t="s">
        <v>45</v>
      </c>
    </row>
    <row r="401" spans="1:85" ht="15.75" customHeight="1">
      <c r="A401" s="847"/>
      <c r="B401" s="1126"/>
      <c r="C401" s="1126"/>
      <c r="D401" s="1126"/>
      <c r="E401" s="1126"/>
      <c r="F401" s="1126"/>
      <c r="G401" s="1126"/>
      <c r="H401" s="1126"/>
      <c r="I401" s="1126"/>
      <c r="J401" s="1126"/>
      <c r="K401" s="1126"/>
      <c r="L401" s="1126"/>
      <c r="M401" s="848"/>
      <c r="N401" s="849"/>
      <c r="O401" s="850"/>
      <c r="P401" s="850"/>
      <c r="Q401" s="850"/>
      <c r="R401" s="850"/>
      <c r="S401" s="850"/>
      <c r="T401" s="851"/>
      <c r="U401" s="851"/>
      <c r="V401" s="851"/>
      <c r="W401" s="851"/>
      <c r="X401" s="851"/>
      <c r="Y401" s="851"/>
      <c r="Z401" s="851"/>
      <c r="AA401" s="851"/>
      <c r="AB401" s="851"/>
      <c r="AC401" s="851"/>
      <c r="AD401" s="851"/>
      <c r="AE401" s="851"/>
      <c r="AF401" s="851"/>
      <c r="AG401" s="851"/>
      <c r="AH401" s="852"/>
      <c r="AI401" s="852"/>
      <c r="AJ401" s="852"/>
      <c r="AK401" s="852"/>
      <c r="AL401" s="852"/>
      <c r="AM401" s="852"/>
      <c r="AN401" s="852"/>
      <c r="AO401" s="852"/>
      <c r="AP401" s="852"/>
      <c r="AQ401" s="852"/>
      <c r="AR401" s="852"/>
      <c r="AS401" s="852"/>
      <c r="AT401" s="852"/>
      <c r="AU401" s="852"/>
      <c r="AV401" s="852"/>
      <c r="AW401" s="852"/>
      <c r="AX401" s="849"/>
      <c r="AY401" s="847"/>
      <c r="AZ401" s="847"/>
      <c r="BA401" s="847"/>
      <c r="BB401" s="847"/>
      <c r="BC401" s="853"/>
      <c r="BD401" s="854"/>
      <c r="BE401" s="854"/>
      <c r="BF401" s="854"/>
      <c r="BG401" s="870">
        <f t="shared" si="125"/>
        <v>78</v>
      </c>
      <c r="BH401" s="860" t="s">
        <v>45</v>
      </c>
      <c r="BI401" s="912"/>
      <c r="BJ401" s="871">
        <v>0</v>
      </c>
      <c r="BK401" s="872">
        <f t="shared" si="121"/>
        <v>0</v>
      </c>
      <c r="BL401" s="871">
        <v>0</v>
      </c>
      <c r="BM401" s="872">
        <f t="shared" si="122"/>
        <v>0</v>
      </c>
      <c r="BN401" s="871">
        <v>0</v>
      </c>
      <c r="BO401" s="872">
        <f t="shared" si="123"/>
        <v>0</v>
      </c>
      <c r="BP401" s="871">
        <v>0</v>
      </c>
      <c r="BQ401" s="872">
        <f t="shared" si="124"/>
        <v>0</v>
      </c>
      <c r="BR401" s="854"/>
      <c r="BS401" s="854"/>
      <c r="BT401" s="854"/>
      <c r="BU401" s="854"/>
      <c r="BV401" s="854"/>
      <c r="BW401" s="854"/>
      <c r="BX401" s="854"/>
      <c r="BY401" s="854"/>
      <c r="BZ401" s="854"/>
      <c r="CA401" s="854"/>
      <c r="CB401" s="854"/>
      <c r="CC401" s="854"/>
      <c r="CD401" s="854"/>
      <c r="CE401" s="854"/>
      <c r="CF401" s="854"/>
      <c r="CG401" s="854" t="s">
        <v>45</v>
      </c>
    </row>
    <row r="402" spans="1:85" ht="15.75" customHeight="1">
      <c r="A402" s="847"/>
      <c r="B402" s="1126"/>
      <c r="C402" s="1126"/>
      <c r="D402" s="1126"/>
      <c r="E402" s="1126"/>
      <c r="F402" s="1126"/>
      <c r="G402" s="1126"/>
      <c r="H402" s="1126"/>
      <c r="I402" s="1126"/>
      <c r="J402" s="1126"/>
      <c r="K402" s="1126"/>
      <c r="L402" s="1126"/>
      <c r="M402" s="848"/>
      <c r="N402" s="849"/>
      <c r="O402" s="850"/>
      <c r="P402" s="850"/>
      <c r="Q402" s="850"/>
      <c r="R402" s="850"/>
      <c r="S402" s="850"/>
      <c r="T402" s="851"/>
      <c r="U402" s="851"/>
      <c r="V402" s="851"/>
      <c r="W402" s="851"/>
      <c r="X402" s="851"/>
      <c r="Y402" s="851"/>
      <c r="Z402" s="851"/>
      <c r="AA402" s="851"/>
      <c r="AB402" s="851"/>
      <c r="AC402" s="851"/>
      <c r="AD402" s="851"/>
      <c r="AE402" s="851"/>
      <c r="AF402" s="851"/>
      <c r="AG402" s="851"/>
      <c r="AH402" s="852"/>
      <c r="AI402" s="852"/>
      <c r="AJ402" s="852"/>
      <c r="AK402" s="852"/>
      <c r="AL402" s="852"/>
      <c r="AM402" s="852"/>
      <c r="AN402" s="852"/>
      <c r="AO402" s="852"/>
      <c r="AP402" s="852"/>
      <c r="AQ402" s="852"/>
      <c r="AR402" s="852"/>
      <c r="AS402" s="852"/>
      <c r="AT402" s="852"/>
      <c r="AU402" s="852"/>
      <c r="AV402" s="852"/>
      <c r="AW402" s="852"/>
      <c r="AX402" s="849"/>
      <c r="AY402" s="847"/>
      <c r="AZ402" s="847"/>
      <c r="BA402" s="847"/>
      <c r="BB402" s="847"/>
      <c r="BC402" s="853"/>
      <c r="BD402" s="854"/>
      <c r="BE402" s="854"/>
      <c r="BF402" s="854"/>
      <c r="BG402" s="870">
        <f t="shared" si="125"/>
        <v>79</v>
      </c>
      <c r="BH402" s="905" t="s">
        <v>406</v>
      </c>
      <c r="BI402" s="912"/>
      <c r="BJ402" s="854">
        <f>BJ386-SUM(BJ387:BJ401)</f>
        <v>-48256.156034</v>
      </c>
      <c r="BK402" s="872">
        <f t="shared" si="121"/>
        <v>-249.5245989343386</v>
      </c>
      <c r="BL402" s="854">
        <f>BL386-SUM(BL387:BL401)</f>
        <v>65128.199554999999</v>
      </c>
      <c r="BM402" s="872">
        <f t="shared" si="122"/>
        <v>29.943581846741687</v>
      </c>
      <c r="BN402" s="854">
        <f>BN386-SUM(BN387:BN401)</f>
        <v>1236.5628909999987</v>
      </c>
      <c r="BO402" s="872">
        <f t="shared" si="123"/>
        <v>6.4889558638451676</v>
      </c>
      <c r="BP402" s="854">
        <f>BP386-SUM(BP387:BP401)</f>
        <v>25056.066097000003</v>
      </c>
      <c r="BQ402" s="872">
        <f t="shared" si="124"/>
        <v>6.1452847897820799</v>
      </c>
      <c r="BR402" s="854"/>
      <c r="BS402" s="854"/>
      <c r="BT402" s="854"/>
      <c r="BU402" s="854"/>
      <c r="BV402" s="854"/>
      <c r="BW402" s="854"/>
      <c r="BX402" s="854"/>
      <c r="BY402" s="854"/>
      <c r="BZ402" s="854"/>
      <c r="CA402" s="854"/>
      <c r="CB402" s="854"/>
      <c r="CC402" s="854"/>
      <c r="CD402" s="854"/>
      <c r="CE402" s="854"/>
      <c r="CF402" s="854"/>
      <c r="CG402" s="854" t="s">
        <v>45</v>
      </c>
    </row>
    <row r="403" spans="1:85" ht="15.75" customHeight="1">
      <c r="A403" s="847"/>
      <c r="B403" s="1126"/>
      <c r="C403" s="1126"/>
      <c r="D403" s="1126"/>
      <c r="E403" s="1126"/>
      <c r="F403" s="1126"/>
      <c r="G403" s="1126"/>
      <c r="H403" s="1126"/>
      <c r="I403" s="1126"/>
      <c r="J403" s="1126"/>
      <c r="K403" s="1126"/>
      <c r="L403" s="1126"/>
      <c r="M403" s="848"/>
      <c r="N403" s="849"/>
      <c r="O403" s="850"/>
      <c r="P403" s="850"/>
      <c r="Q403" s="850"/>
      <c r="R403" s="850"/>
      <c r="S403" s="850"/>
      <c r="T403" s="851"/>
      <c r="U403" s="851"/>
      <c r="V403" s="851"/>
      <c r="W403" s="851"/>
      <c r="X403" s="851"/>
      <c r="Y403" s="851"/>
      <c r="Z403" s="851"/>
      <c r="AA403" s="851"/>
      <c r="AB403" s="851"/>
      <c r="AC403" s="851"/>
      <c r="AD403" s="851"/>
      <c r="AE403" s="851"/>
      <c r="AF403" s="851"/>
      <c r="AG403" s="851"/>
      <c r="AH403" s="852"/>
      <c r="AI403" s="852"/>
      <c r="AJ403" s="852"/>
      <c r="AK403" s="852"/>
      <c r="AL403" s="852"/>
      <c r="AM403" s="852"/>
      <c r="AN403" s="852"/>
      <c r="AO403" s="852"/>
      <c r="AP403" s="852"/>
      <c r="AQ403" s="852"/>
      <c r="AR403" s="852"/>
      <c r="AS403" s="852"/>
      <c r="AT403" s="852"/>
      <c r="AU403" s="852"/>
      <c r="AV403" s="852"/>
      <c r="AW403" s="852"/>
      <c r="AX403" s="849"/>
      <c r="AY403" s="847"/>
      <c r="AZ403" s="847"/>
      <c r="BA403" s="847"/>
      <c r="BB403" s="847"/>
      <c r="BC403" s="853"/>
      <c r="BD403" s="854"/>
      <c r="BE403" s="854"/>
      <c r="BF403" s="854"/>
      <c r="BG403" s="870">
        <f t="shared" si="125"/>
        <v>80</v>
      </c>
      <c r="BH403" s="860" t="s">
        <v>407</v>
      </c>
      <c r="BI403" s="912"/>
      <c r="BJ403" s="871">
        <v>-819.78650000000005</v>
      </c>
      <c r="BK403" s="872">
        <f t="shared" si="121"/>
        <v>-4.2389803589030146</v>
      </c>
      <c r="BL403" s="871">
        <v>4769.0629129999998</v>
      </c>
      <c r="BM403" s="872">
        <f t="shared" si="122"/>
        <v>2.192641999063409</v>
      </c>
      <c r="BN403" s="871">
        <v>350.39600000000002</v>
      </c>
      <c r="BO403" s="872">
        <f t="shared" si="123"/>
        <v>1.8387291058274964</v>
      </c>
      <c r="BP403" s="871">
        <v>0</v>
      </c>
      <c r="BQ403" s="872">
        <f t="shared" si="124"/>
        <v>0</v>
      </c>
      <c r="BR403" s="854"/>
      <c r="BS403" s="854"/>
      <c r="BT403" s="854"/>
      <c r="BU403" s="854"/>
      <c r="BV403" s="854"/>
      <c r="BW403" s="854"/>
      <c r="BX403" s="854"/>
      <c r="BY403" s="854"/>
      <c r="BZ403" s="854"/>
      <c r="CA403" s="854"/>
      <c r="CB403" s="854"/>
      <c r="CC403" s="854"/>
      <c r="CD403" s="854"/>
      <c r="CE403" s="854"/>
      <c r="CF403" s="854"/>
      <c r="CG403" s="854" t="s">
        <v>45</v>
      </c>
    </row>
    <row r="404" spans="1:85" ht="15.75" customHeight="1">
      <c r="A404" s="847"/>
      <c r="B404" s="1126"/>
      <c r="C404" s="1126"/>
      <c r="D404" s="1126"/>
      <c r="E404" s="1126"/>
      <c r="F404" s="1126"/>
      <c r="G404" s="1126"/>
      <c r="H404" s="1126"/>
      <c r="I404" s="1126"/>
      <c r="J404" s="1126"/>
      <c r="K404" s="1126"/>
      <c r="L404" s="1126"/>
      <c r="M404" s="848"/>
      <c r="N404" s="849"/>
      <c r="O404" s="850"/>
      <c r="P404" s="850"/>
      <c r="Q404" s="850"/>
      <c r="R404" s="850"/>
      <c r="S404" s="850"/>
      <c r="T404" s="851"/>
      <c r="U404" s="851"/>
      <c r="V404" s="851"/>
      <c r="W404" s="851"/>
      <c r="X404" s="851"/>
      <c r="Y404" s="851"/>
      <c r="Z404" s="851"/>
      <c r="AA404" s="851"/>
      <c r="AB404" s="851"/>
      <c r="AC404" s="851"/>
      <c r="AD404" s="851"/>
      <c r="AE404" s="851"/>
      <c r="AF404" s="851"/>
      <c r="AG404" s="851"/>
      <c r="AH404" s="852"/>
      <c r="AI404" s="852"/>
      <c r="AJ404" s="852"/>
      <c r="AK404" s="852"/>
      <c r="AL404" s="852"/>
      <c r="AM404" s="852"/>
      <c r="AN404" s="852"/>
      <c r="AO404" s="852"/>
      <c r="AP404" s="852"/>
      <c r="AQ404" s="852"/>
      <c r="AR404" s="852"/>
      <c r="AS404" s="852"/>
      <c r="AT404" s="852"/>
      <c r="AU404" s="852"/>
      <c r="AV404" s="852"/>
      <c r="AW404" s="852"/>
      <c r="AX404" s="849"/>
      <c r="AY404" s="847"/>
      <c r="AZ404" s="847"/>
      <c r="BA404" s="847"/>
      <c r="BB404" s="847"/>
      <c r="BC404" s="853"/>
      <c r="BD404" s="854"/>
      <c r="BE404" s="854"/>
      <c r="BF404" s="854"/>
      <c r="BG404" s="870">
        <f t="shared" si="125"/>
        <v>81</v>
      </c>
      <c r="BH404" s="860" t="s">
        <v>408</v>
      </c>
      <c r="BI404" s="912"/>
      <c r="BJ404" s="871">
        <v>0</v>
      </c>
      <c r="BK404" s="872">
        <f t="shared" si="121"/>
        <v>0</v>
      </c>
      <c r="BL404" s="871">
        <v>0</v>
      </c>
      <c r="BM404" s="872">
        <f t="shared" si="122"/>
        <v>0</v>
      </c>
      <c r="BN404" s="871">
        <v>0</v>
      </c>
      <c r="BO404" s="872">
        <f t="shared" si="123"/>
        <v>0</v>
      </c>
      <c r="BP404" s="871">
        <v>0</v>
      </c>
      <c r="BQ404" s="872">
        <f t="shared" si="124"/>
        <v>0</v>
      </c>
      <c r="BR404" s="854"/>
      <c r="BS404" s="854"/>
      <c r="BT404" s="854"/>
      <c r="BU404" s="854"/>
      <c r="BV404" s="854"/>
      <c r="BW404" s="854"/>
      <c r="BX404" s="854"/>
      <c r="BY404" s="854"/>
      <c r="BZ404" s="854"/>
      <c r="CA404" s="854"/>
      <c r="CB404" s="854"/>
      <c r="CC404" s="854"/>
      <c r="CD404" s="854"/>
      <c r="CE404" s="854"/>
      <c r="CF404" s="854"/>
      <c r="CG404" s="854" t="s">
        <v>45</v>
      </c>
    </row>
    <row r="405" spans="1:85" ht="15.75" customHeight="1">
      <c r="A405" s="847"/>
      <c r="B405" s="1126"/>
      <c r="C405" s="1126"/>
      <c r="D405" s="1126"/>
      <c r="E405" s="1126"/>
      <c r="F405" s="1126"/>
      <c r="G405" s="1126"/>
      <c r="H405" s="1126"/>
      <c r="I405" s="1126"/>
      <c r="J405" s="1126"/>
      <c r="K405" s="1126"/>
      <c r="L405" s="1126"/>
      <c r="M405" s="848"/>
      <c r="N405" s="849"/>
      <c r="O405" s="850"/>
      <c r="P405" s="850"/>
      <c r="Q405" s="850"/>
      <c r="R405" s="850"/>
      <c r="S405" s="850"/>
      <c r="T405" s="851"/>
      <c r="U405" s="851"/>
      <c r="V405" s="851"/>
      <c r="W405" s="851"/>
      <c r="X405" s="851"/>
      <c r="Y405" s="851"/>
      <c r="Z405" s="851"/>
      <c r="AA405" s="851"/>
      <c r="AB405" s="851"/>
      <c r="AC405" s="851"/>
      <c r="AD405" s="851"/>
      <c r="AE405" s="851"/>
      <c r="AF405" s="851"/>
      <c r="AG405" s="851"/>
      <c r="AH405" s="852"/>
      <c r="AI405" s="852"/>
      <c r="AJ405" s="852"/>
      <c r="AK405" s="852"/>
      <c r="AL405" s="852"/>
      <c r="AM405" s="852"/>
      <c r="AN405" s="852"/>
      <c r="AO405" s="852"/>
      <c r="AP405" s="852"/>
      <c r="AQ405" s="852"/>
      <c r="AR405" s="852"/>
      <c r="AS405" s="852"/>
      <c r="AT405" s="852"/>
      <c r="AU405" s="852"/>
      <c r="AV405" s="852"/>
      <c r="AW405" s="852"/>
      <c r="AX405" s="849"/>
      <c r="AY405" s="847"/>
      <c r="AZ405" s="847"/>
      <c r="BA405" s="847"/>
      <c r="BB405" s="847"/>
      <c r="BC405" s="853"/>
      <c r="BD405" s="854"/>
      <c r="BE405" s="854"/>
      <c r="BF405" s="854"/>
      <c r="BG405" s="870">
        <f t="shared" si="125"/>
        <v>82</v>
      </c>
      <c r="BH405" s="860" t="s">
        <v>409</v>
      </c>
      <c r="BI405" s="912"/>
      <c r="BJ405" s="871">
        <v>0</v>
      </c>
      <c r="BK405" s="872">
        <f t="shared" si="121"/>
        <v>0</v>
      </c>
      <c r="BL405" s="871">
        <v>0</v>
      </c>
      <c r="BM405" s="872">
        <f t="shared" si="122"/>
        <v>0</v>
      </c>
      <c r="BN405" s="871">
        <v>0</v>
      </c>
      <c r="BO405" s="872">
        <f t="shared" si="123"/>
        <v>0</v>
      </c>
      <c r="BP405" s="871">
        <v>0</v>
      </c>
      <c r="BQ405" s="872">
        <f t="shared" si="124"/>
        <v>0</v>
      </c>
      <c r="BR405" s="854"/>
      <c r="BS405" s="854"/>
      <c r="BT405" s="854"/>
      <c r="BU405" s="854"/>
      <c r="BV405" s="854"/>
      <c r="BW405" s="854"/>
      <c r="BX405" s="854"/>
      <c r="BY405" s="854"/>
      <c r="BZ405" s="854"/>
      <c r="CA405" s="854"/>
      <c r="CB405" s="854"/>
      <c r="CC405" s="854"/>
      <c r="CD405" s="854"/>
      <c r="CE405" s="854"/>
      <c r="CF405" s="854"/>
      <c r="CG405" s="854" t="s">
        <v>45</v>
      </c>
    </row>
    <row r="406" spans="1:85" ht="15.75" customHeight="1">
      <c r="A406" s="847"/>
      <c r="B406" s="1126"/>
      <c r="C406" s="1126"/>
      <c r="D406" s="1126"/>
      <c r="E406" s="1126"/>
      <c r="F406" s="1126"/>
      <c r="G406" s="1126"/>
      <c r="H406" s="1126"/>
      <c r="I406" s="1126"/>
      <c r="J406" s="1126"/>
      <c r="K406" s="1126"/>
      <c r="L406" s="1126"/>
      <c r="M406" s="848"/>
      <c r="N406" s="849"/>
      <c r="O406" s="850"/>
      <c r="P406" s="850"/>
      <c r="Q406" s="850"/>
      <c r="R406" s="850"/>
      <c r="S406" s="850"/>
      <c r="T406" s="851"/>
      <c r="U406" s="851"/>
      <c r="V406" s="851"/>
      <c r="W406" s="851"/>
      <c r="X406" s="851"/>
      <c r="Y406" s="851"/>
      <c r="Z406" s="851"/>
      <c r="AA406" s="851"/>
      <c r="AB406" s="851"/>
      <c r="AC406" s="851"/>
      <c r="AD406" s="851"/>
      <c r="AE406" s="851"/>
      <c r="AF406" s="851"/>
      <c r="AG406" s="851"/>
      <c r="AH406" s="852"/>
      <c r="AI406" s="852"/>
      <c r="AJ406" s="852"/>
      <c r="AK406" s="852"/>
      <c r="AL406" s="852"/>
      <c r="AM406" s="852"/>
      <c r="AN406" s="852"/>
      <c r="AO406" s="852"/>
      <c r="AP406" s="852"/>
      <c r="AQ406" s="852"/>
      <c r="AR406" s="852"/>
      <c r="AS406" s="852"/>
      <c r="AT406" s="852"/>
      <c r="AU406" s="852"/>
      <c r="AV406" s="852"/>
      <c r="AW406" s="852"/>
      <c r="AX406" s="849"/>
      <c r="AY406" s="847"/>
      <c r="AZ406" s="847"/>
      <c r="BA406" s="847"/>
      <c r="BB406" s="847"/>
      <c r="BC406" s="853"/>
      <c r="BD406" s="854"/>
      <c r="BE406" s="854"/>
      <c r="BF406" s="854"/>
      <c r="BG406" s="870">
        <f t="shared" si="125"/>
        <v>83</v>
      </c>
      <c r="BH406" s="860" t="s">
        <v>45</v>
      </c>
      <c r="BI406" s="912"/>
      <c r="BJ406" s="871">
        <v>0</v>
      </c>
      <c r="BK406" s="872">
        <f t="shared" si="121"/>
        <v>0</v>
      </c>
      <c r="BL406" s="871">
        <v>0</v>
      </c>
      <c r="BM406" s="872">
        <f t="shared" si="122"/>
        <v>0</v>
      </c>
      <c r="BN406" s="871">
        <v>0</v>
      </c>
      <c r="BO406" s="872">
        <f t="shared" si="123"/>
        <v>0</v>
      </c>
      <c r="BP406" s="871">
        <v>0</v>
      </c>
      <c r="BQ406" s="872">
        <f t="shared" si="124"/>
        <v>0</v>
      </c>
      <c r="BR406" s="854"/>
      <c r="BS406" s="854"/>
      <c r="BT406" s="854"/>
      <c r="BU406" s="854"/>
      <c r="BV406" s="854"/>
      <c r="BW406" s="854"/>
      <c r="BX406" s="854"/>
      <c r="BY406" s="854"/>
      <c r="BZ406" s="854"/>
      <c r="CA406" s="854"/>
      <c r="CB406" s="854"/>
      <c r="CC406" s="854"/>
      <c r="CD406" s="854"/>
      <c r="CE406" s="854"/>
      <c r="CF406" s="854"/>
      <c r="CG406" s="854" t="s">
        <v>45</v>
      </c>
    </row>
    <row r="407" spans="1:85" ht="15.75" customHeight="1">
      <c r="A407" s="847"/>
      <c r="B407" s="1126"/>
      <c r="C407" s="1126"/>
      <c r="D407" s="1126"/>
      <c r="E407" s="1126"/>
      <c r="F407" s="1126"/>
      <c r="G407" s="1126"/>
      <c r="H407" s="1126"/>
      <c r="I407" s="1126"/>
      <c r="J407" s="1126"/>
      <c r="K407" s="1126"/>
      <c r="L407" s="1126"/>
      <c r="M407" s="848"/>
      <c r="N407" s="849"/>
      <c r="O407" s="850"/>
      <c r="P407" s="850"/>
      <c r="Q407" s="850"/>
      <c r="R407" s="850"/>
      <c r="S407" s="850"/>
      <c r="T407" s="851"/>
      <c r="U407" s="851"/>
      <c r="V407" s="851"/>
      <c r="W407" s="851"/>
      <c r="X407" s="851"/>
      <c r="Y407" s="851"/>
      <c r="Z407" s="851"/>
      <c r="AA407" s="851"/>
      <c r="AB407" s="851"/>
      <c r="AC407" s="851"/>
      <c r="AD407" s="851"/>
      <c r="AE407" s="851"/>
      <c r="AF407" s="851"/>
      <c r="AG407" s="851"/>
      <c r="AH407" s="852"/>
      <c r="AI407" s="852"/>
      <c r="AJ407" s="852"/>
      <c r="AK407" s="852"/>
      <c r="AL407" s="852"/>
      <c r="AM407" s="852"/>
      <c r="AN407" s="852"/>
      <c r="AO407" s="852"/>
      <c r="AP407" s="852"/>
      <c r="AQ407" s="852"/>
      <c r="AR407" s="852"/>
      <c r="AS407" s="852"/>
      <c r="AT407" s="852"/>
      <c r="AU407" s="852"/>
      <c r="AV407" s="852"/>
      <c r="AW407" s="852"/>
      <c r="AX407" s="849"/>
      <c r="AY407" s="847"/>
      <c r="AZ407" s="847"/>
      <c r="BA407" s="847"/>
      <c r="BB407" s="847"/>
      <c r="BC407" s="853"/>
      <c r="BD407" s="854"/>
      <c r="BE407" s="854"/>
      <c r="BF407" s="854"/>
      <c r="BG407" s="870">
        <f t="shared" si="125"/>
        <v>84</v>
      </c>
      <c r="BH407" s="860" t="s">
        <v>45</v>
      </c>
      <c r="BI407" s="912"/>
      <c r="BJ407" s="871">
        <v>0</v>
      </c>
      <c r="BK407" s="872">
        <f t="shared" si="121"/>
        <v>0</v>
      </c>
      <c r="BL407" s="871">
        <v>0</v>
      </c>
      <c r="BM407" s="872">
        <f t="shared" si="122"/>
        <v>0</v>
      </c>
      <c r="BN407" s="871">
        <v>0</v>
      </c>
      <c r="BO407" s="872">
        <f t="shared" si="123"/>
        <v>0</v>
      </c>
      <c r="BP407" s="871">
        <v>0</v>
      </c>
      <c r="BQ407" s="872">
        <f t="shared" si="124"/>
        <v>0</v>
      </c>
      <c r="BR407" s="854"/>
      <c r="BS407" s="854"/>
      <c r="BT407" s="854"/>
      <c r="BU407" s="854"/>
      <c r="BV407" s="854"/>
      <c r="BW407" s="854"/>
      <c r="BX407" s="854"/>
      <c r="BY407" s="854"/>
      <c r="BZ407" s="854"/>
      <c r="CA407" s="854"/>
      <c r="CB407" s="854"/>
      <c r="CC407" s="854"/>
      <c r="CD407" s="854"/>
      <c r="CE407" s="854"/>
      <c r="CF407" s="854"/>
      <c r="CG407" s="854" t="s">
        <v>45</v>
      </c>
    </row>
    <row r="408" spans="1:85" ht="15.75" customHeight="1">
      <c r="A408" s="847"/>
      <c r="B408" s="1126"/>
      <c r="C408" s="1126"/>
      <c r="D408" s="1126"/>
      <c r="E408" s="1126"/>
      <c r="F408" s="1126"/>
      <c r="G408" s="1126"/>
      <c r="H408" s="1126"/>
      <c r="I408" s="1126"/>
      <c r="J408" s="1126"/>
      <c r="K408" s="1126"/>
      <c r="L408" s="1126"/>
      <c r="M408" s="848"/>
      <c r="N408" s="849"/>
      <c r="O408" s="850"/>
      <c r="P408" s="850"/>
      <c r="Q408" s="850"/>
      <c r="R408" s="850"/>
      <c r="S408" s="850"/>
      <c r="T408" s="851"/>
      <c r="U408" s="851"/>
      <c r="V408" s="851"/>
      <c r="W408" s="851"/>
      <c r="X408" s="851"/>
      <c r="Y408" s="851"/>
      <c r="Z408" s="851"/>
      <c r="AA408" s="851"/>
      <c r="AB408" s="851"/>
      <c r="AC408" s="851"/>
      <c r="AD408" s="851"/>
      <c r="AE408" s="851"/>
      <c r="AF408" s="851"/>
      <c r="AG408" s="851"/>
      <c r="AH408" s="852"/>
      <c r="AI408" s="852"/>
      <c r="AJ408" s="852"/>
      <c r="AK408" s="852"/>
      <c r="AL408" s="852"/>
      <c r="AM408" s="852"/>
      <c r="AN408" s="852"/>
      <c r="AO408" s="852"/>
      <c r="AP408" s="852"/>
      <c r="AQ408" s="852"/>
      <c r="AR408" s="852"/>
      <c r="AS408" s="852"/>
      <c r="AT408" s="852"/>
      <c r="AU408" s="852"/>
      <c r="AV408" s="852"/>
      <c r="AW408" s="852"/>
      <c r="AX408" s="849"/>
      <c r="AY408" s="847"/>
      <c r="AZ408" s="847"/>
      <c r="BA408" s="847"/>
      <c r="BB408" s="847"/>
      <c r="BC408" s="853"/>
      <c r="BD408" s="854"/>
      <c r="BE408" s="854"/>
      <c r="BF408" s="854"/>
      <c r="BG408" s="870">
        <f t="shared" si="125"/>
        <v>85</v>
      </c>
      <c r="BH408" s="860" t="s">
        <v>45</v>
      </c>
      <c r="BI408" s="912"/>
      <c r="BJ408" s="871">
        <v>0</v>
      </c>
      <c r="BK408" s="872">
        <f t="shared" si="121"/>
        <v>0</v>
      </c>
      <c r="BL408" s="871">
        <v>0</v>
      </c>
      <c r="BM408" s="872">
        <f t="shared" si="122"/>
        <v>0</v>
      </c>
      <c r="BN408" s="871">
        <v>0</v>
      </c>
      <c r="BO408" s="872">
        <f t="shared" si="123"/>
        <v>0</v>
      </c>
      <c r="BP408" s="871">
        <v>0</v>
      </c>
      <c r="BQ408" s="872">
        <f t="shared" si="124"/>
        <v>0</v>
      </c>
      <c r="BR408" s="854"/>
      <c r="BS408" s="854"/>
      <c r="BT408" s="854"/>
      <c r="BU408" s="854"/>
      <c r="BV408" s="854"/>
      <c r="BW408" s="854"/>
      <c r="BX408" s="854"/>
      <c r="BY408" s="854"/>
      <c r="BZ408" s="854"/>
      <c r="CA408" s="854"/>
      <c r="CB408" s="854"/>
      <c r="CC408" s="854"/>
      <c r="CD408" s="854"/>
      <c r="CE408" s="854"/>
      <c r="CF408" s="854"/>
      <c r="CG408" s="854" t="s">
        <v>45</v>
      </c>
    </row>
    <row r="409" spans="1:85" ht="15.75" customHeight="1">
      <c r="A409" s="847"/>
      <c r="B409" s="1126"/>
      <c r="C409" s="1126"/>
      <c r="D409" s="1126"/>
      <c r="E409" s="1126"/>
      <c r="F409" s="1126"/>
      <c r="G409" s="1126"/>
      <c r="H409" s="1126"/>
      <c r="I409" s="1126"/>
      <c r="J409" s="1126"/>
      <c r="K409" s="1126"/>
      <c r="L409" s="1126"/>
      <c r="M409" s="848"/>
      <c r="N409" s="849"/>
      <c r="O409" s="850"/>
      <c r="P409" s="850"/>
      <c r="Q409" s="850"/>
      <c r="R409" s="850"/>
      <c r="S409" s="850"/>
      <c r="T409" s="851"/>
      <c r="U409" s="851"/>
      <c r="V409" s="851"/>
      <c r="W409" s="851"/>
      <c r="X409" s="851"/>
      <c r="Y409" s="851"/>
      <c r="Z409" s="851"/>
      <c r="AA409" s="851"/>
      <c r="AB409" s="851"/>
      <c r="AC409" s="851"/>
      <c r="AD409" s="851"/>
      <c r="AE409" s="851"/>
      <c r="AF409" s="851"/>
      <c r="AG409" s="851"/>
      <c r="AH409" s="852"/>
      <c r="AI409" s="852"/>
      <c r="AJ409" s="852"/>
      <c r="AK409" s="852"/>
      <c r="AL409" s="852"/>
      <c r="AM409" s="852"/>
      <c r="AN409" s="852"/>
      <c r="AO409" s="852"/>
      <c r="AP409" s="852"/>
      <c r="AQ409" s="852"/>
      <c r="AR409" s="852"/>
      <c r="AS409" s="852"/>
      <c r="AT409" s="852"/>
      <c r="AU409" s="852"/>
      <c r="AV409" s="852"/>
      <c r="AW409" s="852"/>
      <c r="AX409" s="849"/>
      <c r="AY409" s="847"/>
      <c r="AZ409" s="847"/>
      <c r="BA409" s="847"/>
      <c r="BB409" s="847"/>
      <c r="BC409" s="853"/>
      <c r="BD409" s="854"/>
      <c r="BE409" s="854"/>
      <c r="BF409" s="854"/>
      <c r="BG409" s="870">
        <f t="shared" si="125"/>
        <v>86</v>
      </c>
      <c r="BH409" s="860" t="s">
        <v>45</v>
      </c>
      <c r="BI409" s="912"/>
      <c r="BJ409" s="871">
        <v>0</v>
      </c>
      <c r="BK409" s="872">
        <f t="shared" si="121"/>
        <v>0</v>
      </c>
      <c r="BL409" s="871">
        <v>0</v>
      </c>
      <c r="BM409" s="872">
        <f t="shared" si="122"/>
        <v>0</v>
      </c>
      <c r="BN409" s="871">
        <v>0</v>
      </c>
      <c r="BO409" s="872">
        <f t="shared" si="123"/>
        <v>0</v>
      </c>
      <c r="BP409" s="871">
        <v>0</v>
      </c>
      <c r="BQ409" s="872">
        <f t="shared" si="124"/>
        <v>0</v>
      </c>
      <c r="BR409" s="854"/>
      <c r="BS409" s="854"/>
      <c r="BT409" s="854"/>
      <c r="BU409" s="854"/>
      <c r="BV409" s="854"/>
      <c r="BW409" s="854"/>
      <c r="BX409" s="854"/>
      <c r="BY409" s="854"/>
      <c r="BZ409" s="854"/>
      <c r="CA409" s="854"/>
      <c r="CB409" s="854"/>
      <c r="CC409" s="854"/>
      <c r="CD409" s="854"/>
      <c r="CE409" s="854"/>
      <c r="CF409" s="854"/>
      <c r="CG409" s="854" t="s">
        <v>45</v>
      </c>
    </row>
    <row r="410" spans="1:85" ht="15.75" customHeight="1">
      <c r="A410" s="847"/>
      <c r="B410" s="1126"/>
      <c r="C410" s="1126"/>
      <c r="D410" s="1126"/>
      <c r="E410" s="1126"/>
      <c r="F410" s="1126"/>
      <c r="G410" s="1126"/>
      <c r="H410" s="1126"/>
      <c r="I410" s="1126"/>
      <c r="J410" s="1126"/>
      <c r="K410" s="1126"/>
      <c r="L410" s="1126"/>
      <c r="M410" s="848"/>
      <c r="N410" s="849"/>
      <c r="O410" s="850"/>
      <c r="P410" s="850"/>
      <c r="Q410" s="850"/>
      <c r="R410" s="850"/>
      <c r="S410" s="850"/>
      <c r="T410" s="851"/>
      <c r="U410" s="851"/>
      <c r="V410" s="851"/>
      <c r="W410" s="851"/>
      <c r="X410" s="851"/>
      <c r="Y410" s="851"/>
      <c r="Z410" s="851"/>
      <c r="AA410" s="851"/>
      <c r="AB410" s="851"/>
      <c r="AC410" s="851"/>
      <c r="AD410" s="851"/>
      <c r="AE410" s="851"/>
      <c r="AF410" s="851"/>
      <c r="AG410" s="851"/>
      <c r="AH410" s="852"/>
      <c r="AI410" s="852"/>
      <c r="AJ410" s="852"/>
      <c r="AK410" s="852"/>
      <c r="AL410" s="852"/>
      <c r="AM410" s="852"/>
      <c r="AN410" s="852"/>
      <c r="AO410" s="852"/>
      <c r="AP410" s="852"/>
      <c r="AQ410" s="852"/>
      <c r="AR410" s="852"/>
      <c r="AS410" s="852"/>
      <c r="AT410" s="852"/>
      <c r="AU410" s="852"/>
      <c r="AV410" s="852"/>
      <c r="AW410" s="852"/>
      <c r="AX410" s="849"/>
      <c r="AY410" s="847"/>
      <c r="AZ410" s="847"/>
      <c r="BA410" s="847"/>
      <c r="BB410" s="847"/>
      <c r="BC410" s="853"/>
      <c r="BD410" s="854"/>
      <c r="BE410" s="854"/>
      <c r="BF410" s="854"/>
      <c r="BG410" s="870">
        <f t="shared" si="125"/>
        <v>87</v>
      </c>
      <c r="BH410" s="860" t="s">
        <v>45</v>
      </c>
      <c r="BI410" s="912"/>
      <c r="BJ410" s="871">
        <v>0</v>
      </c>
      <c r="BK410" s="872">
        <f t="shared" si="121"/>
        <v>0</v>
      </c>
      <c r="BL410" s="871">
        <v>0</v>
      </c>
      <c r="BM410" s="872">
        <f t="shared" si="122"/>
        <v>0</v>
      </c>
      <c r="BN410" s="871">
        <v>0</v>
      </c>
      <c r="BO410" s="872">
        <f t="shared" si="123"/>
        <v>0</v>
      </c>
      <c r="BP410" s="871">
        <v>0</v>
      </c>
      <c r="BQ410" s="872">
        <f t="shared" si="124"/>
        <v>0</v>
      </c>
      <c r="BR410" s="854"/>
      <c r="BS410" s="854"/>
      <c r="BT410" s="854"/>
      <c r="BU410" s="854"/>
      <c r="BV410" s="854"/>
      <c r="BW410" s="854"/>
      <c r="BX410" s="854"/>
      <c r="BY410" s="854"/>
      <c r="BZ410" s="854"/>
      <c r="CA410" s="854"/>
      <c r="CB410" s="854"/>
      <c r="CC410" s="854"/>
      <c r="CD410" s="854"/>
      <c r="CE410" s="854"/>
      <c r="CF410" s="854"/>
      <c r="CG410" s="854" t="s">
        <v>45</v>
      </c>
    </row>
    <row r="411" spans="1:85" ht="15.75" customHeight="1">
      <c r="A411" s="847"/>
      <c r="B411" s="1126"/>
      <c r="C411" s="1126"/>
      <c r="D411" s="1126"/>
      <c r="E411" s="1126"/>
      <c r="F411" s="1126"/>
      <c r="G411" s="1126"/>
      <c r="H411" s="1126"/>
      <c r="I411" s="1126"/>
      <c r="J411" s="1126"/>
      <c r="K411" s="1126"/>
      <c r="L411" s="1126"/>
      <c r="M411" s="848"/>
      <c r="N411" s="849"/>
      <c r="O411" s="850"/>
      <c r="P411" s="850"/>
      <c r="Q411" s="850"/>
      <c r="R411" s="850"/>
      <c r="S411" s="850"/>
      <c r="T411" s="851"/>
      <c r="U411" s="851"/>
      <c r="V411" s="851"/>
      <c r="W411" s="851"/>
      <c r="X411" s="851"/>
      <c r="Y411" s="851"/>
      <c r="Z411" s="851"/>
      <c r="AA411" s="851"/>
      <c r="AB411" s="851"/>
      <c r="AC411" s="851"/>
      <c r="AD411" s="851"/>
      <c r="AE411" s="851"/>
      <c r="AF411" s="851"/>
      <c r="AG411" s="851"/>
      <c r="AH411" s="852"/>
      <c r="AI411" s="852"/>
      <c r="AJ411" s="852"/>
      <c r="AK411" s="852"/>
      <c r="AL411" s="852"/>
      <c r="AM411" s="852"/>
      <c r="AN411" s="852"/>
      <c r="AO411" s="852"/>
      <c r="AP411" s="852"/>
      <c r="AQ411" s="852"/>
      <c r="AR411" s="852"/>
      <c r="AS411" s="852"/>
      <c r="AT411" s="852"/>
      <c r="AU411" s="852"/>
      <c r="AV411" s="852"/>
      <c r="AW411" s="852"/>
      <c r="AX411" s="849"/>
      <c r="AY411" s="847"/>
      <c r="AZ411" s="847"/>
      <c r="BA411" s="847"/>
      <c r="BB411" s="847"/>
      <c r="BC411" s="853"/>
      <c r="BD411" s="854"/>
      <c r="BE411" s="854"/>
      <c r="BF411" s="854"/>
      <c r="BG411" s="870">
        <f t="shared" si="125"/>
        <v>88</v>
      </c>
      <c r="BH411" s="860" t="s">
        <v>45</v>
      </c>
      <c r="BI411" s="912"/>
      <c r="BJ411" s="871">
        <v>0</v>
      </c>
      <c r="BK411" s="872">
        <f t="shared" si="121"/>
        <v>0</v>
      </c>
      <c r="BL411" s="871">
        <v>0</v>
      </c>
      <c r="BM411" s="872">
        <f t="shared" si="122"/>
        <v>0</v>
      </c>
      <c r="BN411" s="871">
        <v>0</v>
      </c>
      <c r="BO411" s="872">
        <f t="shared" si="123"/>
        <v>0</v>
      </c>
      <c r="BP411" s="871">
        <v>0</v>
      </c>
      <c r="BQ411" s="872">
        <f t="shared" si="124"/>
        <v>0</v>
      </c>
      <c r="BR411" s="854"/>
      <c r="BS411" s="854"/>
      <c r="BT411" s="854"/>
      <c r="BU411" s="854"/>
      <c r="BV411" s="854"/>
      <c r="BW411" s="854"/>
      <c r="BX411" s="854"/>
      <c r="BY411" s="854"/>
      <c r="BZ411" s="854"/>
      <c r="CA411" s="854"/>
      <c r="CB411" s="854"/>
      <c r="CC411" s="854"/>
      <c r="CD411" s="854"/>
      <c r="CE411" s="854"/>
      <c r="CF411" s="854"/>
      <c r="CG411" s="854" t="s">
        <v>45</v>
      </c>
    </row>
    <row r="412" spans="1:85" ht="15.75" customHeight="1">
      <c r="A412" s="847"/>
      <c r="B412" s="1126"/>
      <c r="C412" s="1126"/>
      <c r="D412" s="1126"/>
      <c r="E412" s="1126"/>
      <c r="F412" s="1126"/>
      <c r="G412" s="1126"/>
      <c r="H412" s="1126"/>
      <c r="I412" s="1126"/>
      <c r="J412" s="1126"/>
      <c r="K412" s="1126"/>
      <c r="L412" s="1126"/>
      <c r="M412" s="848"/>
      <c r="N412" s="849"/>
      <c r="O412" s="850"/>
      <c r="P412" s="850"/>
      <c r="Q412" s="850"/>
      <c r="R412" s="850"/>
      <c r="S412" s="850"/>
      <c r="T412" s="851"/>
      <c r="U412" s="851"/>
      <c r="V412" s="851"/>
      <c r="W412" s="851"/>
      <c r="X412" s="851"/>
      <c r="Y412" s="851"/>
      <c r="Z412" s="851"/>
      <c r="AA412" s="851"/>
      <c r="AB412" s="851"/>
      <c r="AC412" s="851"/>
      <c r="AD412" s="851"/>
      <c r="AE412" s="851"/>
      <c r="AF412" s="851"/>
      <c r="AG412" s="851"/>
      <c r="AH412" s="852"/>
      <c r="AI412" s="852"/>
      <c r="AJ412" s="852"/>
      <c r="AK412" s="852"/>
      <c r="AL412" s="852"/>
      <c r="AM412" s="852"/>
      <c r="AN412" s="852"/>
      <c r="AO412" s="852"/>
      <c r="AP412" s="852"/>
      <c r="AQ412" s="852"/>
      <c r="AR412" s="852"/>
      <c r="AS412" s="852"/>
      <c r="AT412" s="852"/>
      <c r="AU412" s="852"/>
      <c r="AV412" s="852"/>
      <c r="AW412" s="852"/>
      <c r="AX412" s="849"/>
      <c r="AY412" s="847"/>
      <c r="AZ412" s="847"/>
      <c r="BA412" s="847"/>
      <c r="BB412" s="847"/>
      <c r="BC412" s="853"/>
      <c r="BD412" s="854"/>
      <c r="BE412" s="854"/>
      <c r="BF412" s="854"/>
      <c r="BG412" s="870">
        <f t="shared" si="125"/>
        <v>89</v>
      </c>
      <c r="BH412" s="860" t="s">
        <v>45</v>
      </c>
      <c r="BI412" s="912"/>
      <c r="BJ412" s="871">
        <v>0</v>
      </c>
      <c r="BK412" s="872">
        <f t="shared" si="121"/>
        <v>0</v>
      </c>
      <c r="BL412" s="871">
        <v>0</v>
      </c>
      <c r="BM412" s="872">
        <f t="shared" si="122"/>
        <v>0</v>
      </c>
      <c r="BN412" s="871">
        <v>0</v>
      </c>
      <c r="BO412" s="872">
        <f t="shared" si="123"/>
        <v>0</v>
      </c>
      <c r="BP412" s="871">
        <v>0</v>
      </c>
      <c r="BQ412" s="872">
        <f t="shared" si="124"/>
        <v>0</v>
      </c>
      <c r="BR412" s="854"/>
      <c r="BS412" s="854"/>
      <c r="BT412" s="854"/>
      <c r="BU412" s="854"/>
      <c r="BV412" s="854"/>
      <c r="BW412" s="854"/>
      <c r="BX412" s="854"/>
      <c r="BY412" s="854"/>
      <c r="BZ412" s="854"/>
      <c r="CA412" s="854"/>
      <c r="CB412" s="854"/>
      <c r="CC412" s="854"/>
      <c r="CD412" s="854"/>
      <c r="CE412" s="854"/>
      <c r="CF412" s="854"/>
      <c r="CG412" s="854" t="s">
        <v>45</v>
      </c>
    </row>
    <row r="413" spans="1:85" ht="15.75" customHeight="1">
      <c r="A413" s="847"/>
      <c r="B413" s="1126"/>
      <c r="C413" s="1126"/>
      <c r="D413" s="1126"/>
      <c r="E413" s="1126"/>
      <c r="F413" s="1126"/>
      <c r="G413" s="1126"/>
      <c r="H413" s="1126"/>
      <c r="I413" s="1126"/>
      <c r="J413" s="1126"/>
      <c r="K413" s="1126"/>
      <c r="L413" s="1126"/>
      <c r="M413" s="848"/>
      <c r="N413" s="849"/>
      <c r="O413" s="850"/>
      <c r="P413" s="850"/>
      <c r="Q413" s="850"/>
      <c r="R413" s="850"/>
      <c r="S413" s="850"/>
      <c r="T413" s="851"/>
      <c r="U413" s="851"/>
      <c r="V413" s="851"/>
      <c r="W413" s="851"/>
      <c r="X413" s="851"/>
      <c r="Y413" s="851"/>
      <c r="Z413" s="851"/>
      <c r="AA413" s="851"/>
      <c r="AB413" s="851"/>
      <c r="AC413" s="851"/>
      <c r="AD413" s="851"/>
      <c r="AE413" s="851"/>
      <c r="AF413" s="851"/>
      <c r="AG413" s="851"/>
      <c r="AH413" s="852"/>
      <c r="AI413" s="852"/>
      <c r="AJ413" s="852"/>
      <c r="AK413" s="852"/>
      <c r="AL413" s="852"/>
      <c r="AM413" s="852"/>
      <c r="AN413" s="852"/>
      <c r="AO413" s="852"/>
      <c r="AP413" s="852"/>
      <c r="AQ413" s="852"/>
      <c r="AR413" s="852"/>
      <c r="AS413" s="852"/>
      <c r="AT413" s="852"/>
      <c r="AU413" s="852"/>
      <c r="AV413" s="852"/>
      <c r="AW413" s="852"/>
      <c r="AX413" s="849"/>
      <c r="AY413" s="847"/>
      <c r="AZ413" s="847"/>
      <c r="BA413" s="847"/>
      <c r="BB413" s="847"/>
      <c r="BC413" s="853"/>
      <c r="BD413" s="854"/>
      <c r="BE413" s="854"/>
      <c r="BF413" s="854"/>
      <c r="BG413" s="870">
        <f t="shared" si="125"/>
        <v>90</v>
      </c>
      <c r="BH413" s="860" t="s">
        <v>45</v>
      </c>
      <c r="BI413" s="912"/>
      <c r="BJ413" s="871">
        <v>0</v>
      </c>
      <c r="BK413" s="872">
        <f t="shared" si="121"/>
        <v>0</v>
      </c>
      <c r="BL413" s="871">
        <v>0</v>
      </c>
      <c r="BM413" s="872">
        <f t="shared" si="122"/>
        <v>0</v>
      </c>
      <c r="BN413" s="871">
        <v>0</v>
      </c>
      <c r="BO413" s="872">
        <f t="shared" si="123"/>
        <v>0</v>
      </c>
      <c r="BP413" s="871">
        <v>0</v>
      </c>
      <c r="BQ413" s="872">
        <f t="shared" si="124"/>
        <v>0</v>
      </c>
      <c r="BR413" s="854"/>
      <c r="BS413" s="854"/>
      <c r="BT413" s="854"/>
      <c r="BU413" s="854"/>
      <c r="BV413" s="854"/>
      <c r="BW413" s="854"/>
      <c r="BX413" s="854"/>
      <c r="BY413" s="854"/>
      <c r="BZ413" s="854"/>
      <c r="CA413" s="854"/>
      <c r="CB413" s="854"/>
      <c r="CC413" s="854"/>
      <c r="CD413" s="854"/>
      <c r="CE413" s="854"/>
      <c r="CF413" s="854"/>
      <c r="CG413" s="854" t="s">
        <v>45</v>
      </c>
    </row>
    <row r="414" spans="1:85" ht="15.75" customHeight="1">
      <c r="A414" s="847"/>
      <c r="B414" s="1126"/>
      <c r="C414" s="1126"/>
      <c r="D414" s="1126"/>
      <c r="E414" s="1126"/>
      <c r="F414" s="1126"/>
      <c r="G414" s="1126"/>
      <c r="H414" s="1126"/>
      <c r="I414" s="1126"/>
      <c r="J414" s="1126"/>
      <c r="K414" s="1126"/>
      <c r="L414" s="1126"/>
      <c r="M414" s="848"/>
      <c r="N414" s="849"/>
      <c r="O414" s="850"/>
      <c r="P414" s="850"/>
      <c r="Q414" s="850"/>
      <c r="R414" s="850"/>
      <c r="S414" s="850"/>
      <c r="T414" s="851"/>
      <c r="U414" s="851"/>
      <c r="V414" s="851"/>
      <c r="W414" s="851"/>
      <c r="X414" s="851"/>
      <c r="Y414" s="851"/>
      <c r="Z414" s="851"/>
      <c r="AA414" s="851"/>
      <c r="AB414" s="851"/>
      <c r="AC414" s="851"/>
      <c r="AD414" s="851"/>
      <c r="AE414" s="851"/>
      <c r="AF414" s="851"/>
      <c r="AG414" s="851"/>
      <c r="AH414" s="852"/>
      <c r="AI414" s="852"/>
      <c r="AJ414" s="852"/>
      <c r="AK414" s="852"/>
      <c r="AL414" s="852"/>
      <c r="AM414" s="852"/>
      <c r="AN414" s="852"/>
      <c r="AO414" s="852"/>
      <c r="AP414" s="852"/>
      <c r="AQ414" s="852"/>
      <c r="AR414" s="852"/>
      <c r="AS414" s="852"/>
      <c r="AT414" s="852"/>
      <c r="AU414" s="852"/>
      <c r="AV414" s="852"/>
      <c r="AW414" s="852"/>
      <c r="AX414" s="849"/>
      <c r="AY414" s="847"/>
      <c r="AZ414" s="847"/>
      <c r="BA414" s="847"/>
      <c r="BB414" s="847"/>
      <c r="BC414" s="853"/>
      <c r="BD414" s="854"/>
      <c r="BE414" s="854"/>
      <c r="BF414" s="854"/>
      <c r="BG414" s="870">
        <f t="shared" si="125"/>
        <v>91</v>
      </c>
      <c r="BH414" s="860" t="s">
        <v>45</v>
      </c>
      <c r="BI414" s="912"/>
      <c r="BJ414" s="871">
        <v>0</v>
      </c>
      <c r="BK414" s="872">
        <f t="shared" si="121"/>
        <v>0</v>
      </c>
      <c r="BL414" s="871">
        <v>0</v>
      </c>
      <c r="BM414" s="872">
        <f t="shared" si="122"/>
        <v>0</v>
      </c>
      <c r="BN414" s="871">
        <v>0</v>
      </c>
      <c r="BO414" s="872">
        <f t="shared" si="123"/>
        <v>0</v>
      </c>
      <c r="BP414" s="871">
        <v>0</v>
      </c>
      <c r="BQ414" s="872">
        <f t="shared" si="124"/>
        <v>0</v>
      </c>
      <c r="BR414" s="854"/>
      <c r="BS414" s="854"/>
      <c r="BT414" s="854"/>
      <c r="BU414" s="854"/>
      <c r="BV414" s="854"/>
      <c r="BW414" s="854"/>
      <c r="BX414" s="854"/>
      <c r="BY414" s="854"/>
      <c r="BZ414" s="854"/>
      <c r="CA414" s="854"/>
      <c r="CB414" s="854"/>
      <c r="CC414" s="854"/>
      <c r="CD414" s="854"/>
      <c r="CE414" s="854"/>
      <c r="CF414" s="854"/>
      <c r="CG414" s="854" t="s">
        <v>45</v>
      </c>
    </row>
    <row r="415" spans="1:85" ht="15.75" customHeight="1">
      <c r="A415" s="847"/>
      <c r="B415" s="1126"/>
      <c r="C415" s="1126"/>
      <c r="D415" s="1126"/>
      <c r="E415" s="1126"/>
      <c r="F415" s="1126"/>
      <c r="G415" s="1126"/>
      <c r="H415" s="1126"/>
      <c r="I415" s="1126"/>
      <c r="J415" s="1126"/>
      <c r="K415" s="1126"/>
      <c r="L415" s="1126"/>
      <c r="M415" s="848"/>
      <c r="N415" s="849"/>
      <c r="O415" s="850"/>
      <c r="P415" s="850"/>
      <c r="Q415" s="850"/>
      <c r="R415" s="850"/>
      <c r="S415" s="850"/>
      <c r="T415" s="851"/>
      <c r="U415" s="851"/>
      <c r="V415" s="851"/>
      <c r="W415" s="851"/>
      <c r="X415" s="851"/>
      <c r="Y415" s="851"/>
      <c r="Z415" s="851"/>
      <c r="AA415" s="851"/>
      <c r="AB415" s="851"/>
      <c r="AC415" s="851"/>
      <c r="AD415" s="851"/>
      <c r="AE415" s="851"/>
      <c r="AF415" s="851"/>
      <c r="AG415" s="851"/>
      <c r="AH415" s="852"/>
      <c r="AI415" s="852"/>
      <c r="AJ415" s="852"/>
      <c r="AK415" s="852"/>
      <c r="AL415" s="852"/>
      <c r="AM415" s="852"/>
      <c r="AN415" s="852"/>
      <c r="AO415" s="852"/>
      <c r="AP415" s="852"/>
      <c r="AQ415" s="852"/>
      <c r="AR415" s="852"/>
      <c r="AS415" s="852"/>
      <c r="AT415" s="852"/>
      <c r="AU415" s="852"/>
      <c r="AV415" s="852"/>
      <c r="AW415" s="852"/>
      <c r="AX415" s="849"/>
      <c r="AY415" s="847"/>
      <c r="AZ415" s="847"/>
      <c r="BA415" s="847"/>
      <c r="BB415" s="847"/>
      <c r="BC415" s="853"/>
      <c r="BD415" s="854"/>
      <c r="BE415" s="854"/>
      <c r="BF415" s="854"/>
      <c r="BG415" s="870">
        <f t="shared" si="125"/>
        <v>92</v>
      </c>
      <c r="BH415" s="860" t="s">
        <v>45</v>
      </c>
      <c r="BI415" s="912"/>
      <c r="BJ415" s="871">
        <v>0</v>
      </c>
      <c r="BK415" s="872">
        <f t="shared" si="121"/>
        <v>0</v>
      </c>
      <c r="BL415" s="871">
        <v>0</v>
      </c>
      <c r="BM415" s="872">
        <f t="shared" si="122"/>
        <v>0</v>
      </c>
      <c r="BN415" s="871">
        <v>0</v>
      </c>
      <c r="BO415" s="872">
        <f t="shared" si="123"/>
        <v>0</v>
      </c>
      <c r="BP415" s="871">
        <v>0</v>
      </c>
      <c r="BQ415" s="872">
        <f t="shared" si="124"/>
        <v>0</v>
      </c>
      <c r="BR415" s="854"/>
      <c r="BS415" s="854"/>
      <c r="BT415" s="854"/>
      <c r="BU415" s="854"/>
      <c r="BV415" s="854"/>
      <c r="BW415" s="854"/>
      <c r="BX415" s="854"/>
      <c r="BY415" s="854"/>
      <c r="BZ415" s="854"/>
      <c r="CA415" s="854"/>
      <c r="CB415" s="854"/>
      <c r="CC415" s="854"/>
      <c r="CD415" s="854"/>
      <c r="CE415" s="854"/>
      <c r="CF415" s="854"/>
      <c r="CG415" s="854" t="s">
        <v>45</v>
      </c>
    </row>
    <row r="416" spans="1:85" ht="15.75" customHeight="1">
      <c r="A416" s="847"/>
      <c r="B416" s="1126"/>
      <c r="C416" s="1126"/>
      <c r="D416" s="1126"/>
      <c r="E416" s="1126"/>
      <c r="F416" s="1126"/>
      <c r="G416" s="1126"/>
      <c r="H416" s="1126"/>
      <c r="I416" s="1126"/>
      <c r="J416" s="1126"/>
      <c r="K416" s="1126"/>
      <c r="L416" s="1126"/>
      <c r="M416" s="848"/>
      <c r="N416" s="849"/>
      <c r="O416" s="850"/>
      <c r="P416" s="850"/>
      <c r="Q416" s="850"/>
      <c r="R416" s="850"/>
      <c r="S416" s="850"/>
      <c r="T416" s="851"/>
      <c r="U416" s="851"/>
      <c r="V416" s="851"/>
      <c r="W416" s="851"/>
      <c r="X416" s="851"/>
      <c r="Y416" s="851"/>
      <c r="Z416" s="851"/>
      <c r="AA416" s="851"/>
      <c r="AB416" s="851"/>
      <c r="AC416" s="851"/>
      <c r="AD416" s="851"/>
      <c r="AE416" s="851"/>
      <c r="AF416" s="851"/>
      <c r="AG416" s="851"/>
      <c r="AH416" s="852"/>
      <c r="AI416" s="852"/>
      <c r="AJ416" s="852"/>
      <c r="AK416" s="852"/>
      <c r="AL416" s="852"/>
      <c r="AM416" s="852"/>
      <c r="AN416" s="852"/>
      <c r="AO416" s="852"/>
      <c r="AP416" s="852"/>
      <c r="AQ416" s="852"/>
      <c r="AR416" s="852"/>
      <c r="AS416" s="852"/>
      <c r="AT416" s="852"/>
      <c r="AU416" s="852"/>
      <c r="AV416" s="852"/>
      <c r="AW416" s="852"/>
      <c r="AX416" s="849"/>
      <c r="AY416" s="847"/>
      <c r="AZ416" s="847"/>
      <c r="BA416" s="847"/>
      <c r="BB416" s="847"/>
      <c r="BC416" s="853"/>
      <c r="BD416" s="854"/>
      <c r="BE416" s="854"/>
      <c r="BF416" s="854"/>
      <c r="BG416" s="870">
        <f t="shared" si="125"/>
        <v>93</v>
      </c>
      <c r="BH416" s="860" t="s">
        <v>45</v>
      </c>
      <c r="BI416" s="912"/>
      <c r="BJ416" s="871">
        <v>0</v>
      </c>
      <c r="BK416" s="872">
        <f t="shared" si="121"/>
        <v>0</v>
      </c>
      <c r="BL416" s="871">
        <v>0</v>
      </c>
      <c r="BM416" s="872">
        <f t="shared" si="122"/>
        <v>0</v>
      </c>
      <c r="BN416" s="871">
        <v>0</v>
      </c>
      <c r="BO416" s="872">
        <f t="shared" si="123"/>
        <v>0</v>
      </c>
      <c r="BP416" s="871">
        <v>0</v>
      </c>
      <c r="BQ416" s="872">
        <f t="shared" si="124"/>
        <v>0</v>
      </c>
      <c r="BR416" s="854"/>
      <c r="BS416" s="854"/>
      <c r="BT416" s="854"/>
      <c r="BU416" s="854"/>
      <c r="BV416" s="854"/>
      <c r="BW416" s="854"/>
      <c r="BX416" s="854"/>
      <c r="BY416" s="854"/>
      <c r="BZ416" s="854"/>
      <c r="CA416" s="854"/>
      <c r="CB416" s="854"/>
      <c r="CC416" s="854"/>
      <c r="CD416" s="854"/>
      <c r="CE416" s="854"/>
      <c r="CF416" s="854"/>
      <c r="CG416" s="854" t="s">
        <v>45</v>
      </c>
    </row>
    <row r="417" spans="1:85" ht="15.75" customHeight="1">
      <c r="A417" s="847"/>
      <c r="B417" s="1126"/>
      <c r="C417" s="1126"/>
      <c r="D417" s="1126"/>
      <c r="E417" s="1126"/>
      <c r="F417" s="1126"/>
      <c r="G417" s="1126"/>
      <c r="H417" s="1126"/>
      <c r="I417" s="1126"/>
      <c r="J417" s="1126"/>
      <c r="K417" s="1126"/>
      <c r="L417" s="1126"/>
      <c r="M417" s="848"/>
      <c r="N417" s="849"/>
      <c r="O417" s="850"/>
      <c r="P417" s="850"/>
      <c r="Q417" s="850"/>
      <c r="R417" s="850"/>
      <c r="S417" s="850"/>
      <c r="T417" s="851"/>
      <c r="U417" s="851"/>
      <c r="V417" s="851"/>
      <c r="W417" s="851"/>
      <c r="X417" s="851"/>
      <c r="Y417" s="851"/>
      <c r="Z417" s="851"/>
      <c r="AA417" s="851"/>
      <c r="AB417" s="851"/>
      <c r="AC417" s="851"/>
      <c r="AD417" s="851"/>
      <c r="AE417" s="851"/>
      <c r="AF417" s="851"/>
      <c r="AG417" s="851"/>
      <c r="AH417" s="852"/>
      <c r="AI417" s="852"/>
      <c r="AJ417" s="852"/>
      <c r="AK417" s="852"/>
      <c r="AL417" s="852"/>
      <c r="AM417" s="852"/>
      <c r="AN417" s="852"/>
      <c r="AO417" s="852"/>
      <c r="AP417" s="852"/>
      <c r="AQ417" s="852"/>
      <c r="AR417" s="852"/>
      <c r="AS417" s="852"/>
      <c r="AT417" s="852"/>
      <c r="AU417" s="852"/>
      <c r="AV417" s="852"/>
      <c r="AW417" s="852"/>
      <c r="AX417" s="849"/>
      <c r="AY417" s="847"/>
      <c r="AZ417" s="847"/>
      <c r="BA417" s="847"/>
      <c r="BB417" s="847"/>
      <c r="BC417" s="853"/>
      <c r="BD417" s="854"/>
      <c r="BE417" s="854"/>
      <c r="BF417" s="854"/>
      <c r="BG417" s="870">
        <f t="shared" si="125"/>
        <v>94</v>
      </c>
      <c r="BH417" s="860" t="s">
        <v>45</v>
      </c>
      <c r="BI417" s="912"/>
      <c r="BJ417" s="871">
        <v>0</v>
      </c>
      <c r="BK417" s="872">
        <f t="shared" si="121"/>
        <v>0</v>
      </c>
      <c r="BL417" s="871">
        <v>0</v>
      </c>
      <c r="BM417" s="872">
        <f t="shared" si="122"/>
        <v>0</v>
      </c>
      <c r="BN417" s="871">
        <v>0</v>
      </c>
      <c r="BO417" s="872">
        <f t="shared" si="123"/>
        <v>0</v>
      </c>
      <c r="BP417" s="871">
        <v>0</v>
      </c>
      <c r="BQ417" s="872">
        <f t="shared" si="124"/>
        <v>0</v>
      </c>
      <c r="BR417" s="854"/>
      <c r="BS417" s="854"/>
      <c r="BT417" s="854"/>
      <c r="BU417" s="854"/>
      <c r="BV417" s="854"/>
      <c r="BW417" s="854"/>
      <c r="BX417" s="854"/>
      <c r="BY417" s="854"/>
      <c r="BZ417" s="854"/>
      <c r="CA417" s="854"/>
      <c r="CB417" s="854"/>
      <c r="CC417" s="854"/>
      <c r="CD417" s="854"/>
      <c r="CE417" s="854"/>
      <c r="CF417" s="854"/>
      <c r="CG417" s="854" t="s">
        <v>45</v>
      </c>
    </row>
    <row r="418" spans="1:85" ht="15.75" customHeight="1">
      <c r="A418" s="847"/>
      <c r="B418" s="1126"/>
      <c r="C418" s="1126"/>
      <c r="D418" s="1126"/>
      <c r="E418" s="1126"/>
      <c r="F418" s="1126"/>
      <c r="G418" s="1126"/>
      <c r="H418" s="1126"/>
      <c r="I418" s="1126"/>
      <c r="J418" s="1126"/>
      <c r="K418" s="1126"/>
      <c r="L418" s="1126"/>
      <c r="M418" s="848"/>
      <c r="N418" s="849"/>
      <c r="O418" s="850"/>
      <c r="P418" s="850"/>
      <c r="Q418" s="850"/>
      <c r="R418" s="850"/>
      <c r="S418" s="850"/>
      <c r="T418" s="851"/>
      <c r="U418" s="851"/>
      <c r="V418" s="851"/>
      <c r="W418" s="851"/>
      <c r="X418" s="851"/>
      <c r="Y418" s="851"/>
      <c r="Z418" s="851"/>
      <c r="AA418" s="851"/>
      <c r="AB418" s="851"/>
      <c r="AC418" s="851"/>
      <c r="AD418" s="851"/>
      <c r="AE418" s="851"/>
      <c r="AF418" s="851"/>
      <c r="AG418" s="851"/>
      <c r="AH418" s="852"/>
      <c r="AI418" s="852"/>
      <c r="AJ418" s="852"/>
      <c r="AK418" s="852"/>
      <c r="AL418" s="852"/>
      <c r="AM418" s="852"/>
      <c r="AN418" s="852"/>
      <c r="AO418" s="852"/>
      <c r="AP418" s="852"/>
      <c r="AQ418" s="852"/>
      <c r="AR418" s="852"/>
      <c r="AS418" s="852"/>
      <c r="AT418" s="852"/>
      <c r="AU418" s="852"/>
      <c r="AV418" s="852"/>
      <c r="AW418" s="852"/>
      <c r="AX418" s="849"/>
      <c r="AY418" s="847"/>
      <c r="AZ418" s="847"/>
      <c r="BA418" s="847"/>
      <c r="BB418" s="847"/>
      <c r="BC418" s="853"/>
      <c r="BD418" s="854"/>
      <c r="BE418" s="854"/>
      <c r="BF418" s="854"/>
      <c r="BG418" s="870">
        <f t="shared" si="125"/>
        <v>95</v>
      </c>
      <c r="BH418" s="860" t="s">
        <v>410</v>
      </c>
      <c r="BI418" s="854"/>
      <c r="BJ418" s="871">
        <v>0</v>
      </c>
      <c r="BK418" s="872">
        <f t="shared" si="121"/>
        <v>0</v>
      </c>
      <c r="BL418" s="871">
        <v>0</v>
      </c>
      <c r="BM418" s="872">
        <f t="shared" si="122"/>
        <v>0</v>
      </c>
      <c r="BN418" s="871">
        <v>0</v>
      </c>
      <c r="BO418" s="872">
        <f t="shared" si="123"/>
        <v>0</v>
      </c>
      <c r="BP418" s="871">
        <v>0</v>
      </c>
      <c r="BQ418" s="872">
        <f t="shared" si="124"/>
        <v>0</v>
      </c>
      <c r="BR418" s="854"/>
      <c r="BS418" s="854"/>
      <c r="BT418" s="854"/>
      <c r="BU418" s="854"/>
      <c r="BV418" s="854"/>
      <c r="BW418" s="854"/>
      <c r="BX418" s="854"/>
      <c r="BY418" s="854"/>
      <c r="BZ418" s="854"/>
      <c r="CA418" s="854"/>
      <c r="CB418" s="854"/>
      <c r="CC418" s="854"/>
      <c r="CD418" s="854"/>
      <c r="CE418" s="854"/>
      <c r="CF418" s="854"/>
      <c r="CG418" s="854" t="s">
        <v>45</v>
      </c>
    </row>
    <row r="419" spans="1:85" ht="15.75" customHeight="1">
      <c r="A419" s="847"/>
      <c r="B419" s="1126"/>
      <c r="C419" s="1126"/>
      <c r="D419" s="1126"/>
      <c r="E419" s="1126"/>
      <c r="F419" s="1126"/>
      <c r="G419" s="1126"/>
      <c r="H419" s="1126"/>
      <c r="I419" s="1126"/>
      <c r="J419" s="1126"/>
      <c r="K419" s="1126"/>
      <c r="L419" s="1126"/>
      <c r="M419" s="848"/>
      <c r="N419" s="849"/>
      <c r="O419" s="850"/>
      <c r="P419" s="850"/>
      <c r="Q419" s="850"/>
      <c r="R419" s="850"/>
      <c r="S419" s="850"/>
      <c r="T419" s="851"/>
      <c r="U419" s="851"/>
      <c r="V419" s="851"/>
      <c r="W419" s="851"/>
      <c r="X419" s="851"/>
      <c r="Y419" s="851"/>
      <c r="Z419" s="851"/>
      <c r="AA419" s="851"/>
      <c r="AB419" s="851"/>
      <c r="AC419" s="851"/>
      <c r="AD419" s="851"/>
      <c r="AE419" s="851"/>
      <c r="AF419" s="851"/>
      <c r="AG419" s="851"/>
      <c r="AH419" s="852"/>
      <c r="AI419" s="852"/>
      <c r="AJ419" s="852"/>
      <c r="AK419" s="852"/>
      <c r="AL419" s="852"/>
      <c r="AM419" s="852"/>
      <c r="AN419" s="852"/>
      <c r="AO419" s="852"/>
      <c r="AP419" s="852"/>
      <c r="AQ419" s="852"/>
      <c r="AR419" s="852"/>
      <c r="AS419" s="852"/>
      <c r="AT419" s="852"/>
      <c r="AU419" s="852"/>
      <c r="AV419" s="852"/>
      <c r="AW419" s="852"/>
      <c r="AX419" s="849"/>
      <c r="AY419" s="847"/>
      <c r="AZ419" s="847"/>
      <c r="BA419" s="847"/>
      <c r="BB419" s="847"/>
      <c r="BC419" s="853"/>
      <c r="BD419" s="854"/>
      <c r="BE419" s="854"/>
      <c r="BF419" s="854"/>
      <c r="BG419" s="854"/>
      <c r="BH419" s="854"/>
      <c r="BI419" s="854"/>
      <c r="BJ419" s="854"/>
      <c r="BK419" s="854"/>
      <c r="BL419" s="854"/>
      <c r="BM419" s="854"/>
      <c r="BN419" s="854"/>
      <c r="BO419" s="854"/>
      <c r="BP419" s="854"/>
      <c r="BQ419" s="854"/>
      <c r="BR419" s="854"/>
      <c r="BS419" s="854"/>
      <c r="BT419" s="854"/>
      <c r="BU419" s="870">
        <f>BG418+1</f>
        <v>96</v>
      </c>
      <c r="BV419" s="860" t="s">
        <v>411</v>
      </c>
      <c r="BW419" s="912"/>
      <c r="BX419" s="871">
        <v>0</v>
      </c>
      <c r="BY419" s="872">
        <f>IF(SUM(BJ$324:BJ$338)=0,0,BX419/SUM(BJ$324:BJ$338)*100)</f>
        <v>0</v>
      </c>
      <c r="BZ419" s="871">
        <v>0</v>
      </c>
      <c r="CA419" s="872">
        <f>IF(SUM(BL$324:BL$338)=0,0,BZ419/SUM(BL$324:BL$338)*100)</f>
        <v>0</v>
      </c>
      <c r="CB419" s="871">
        <v>0</v>
      </c>
      <c r="CC419" s="872">
        <f>IF(SUM(BN$324:BN$338)=0,0,CB419/SUM(BN$324:BN$338)*100)</f>
        <v>0</v>
      </c>
      <c r="CD419" s="871">
        <v>0</v>
      </c>
      <c r="CE419" s="872">
        <f>IF(SUM(BP$324:BP$338)=0,0,CD419/SUM(BP$324:BP$338)*100)</f>
        <v>0</v>
      </c>
      <c r="CF419" s="854"/>
      <c r="CG419" s="854" t="s">
        <v>45</v>
      </c>
    </row>
    <row r="420" spans="1:85" ht="15.75" customHeight="1">
      <c r="A420" s="847"/>
      <c r="B420" s="1126"/>
      <c r="C420" s="1126"/>
      <c r="D420" s="1126"/>
      <c r="E420" s="1126"/>
      <c r="F420" s="1126"/>
      <c r="G420" s="1126"/>
      <c r="H420" s="1126"/>
      <c r="I420" s="1126"/>
      <c r="J420" s="1126"/>
      <c r="K420" s="1126"/>
      <c r="L420" s="1126"/>
      <c r="M420" s="848"/>
      <c r="N420" s="849"/>
      <c r="O420" s="850"/>
      <c r="P420" s="850"/>
      <c r="Q420" s="850"/>
      <c r="R420" s="850"/>
      <c r="S420" s="850"/>
      <c r="T420" s="851"/>
      <c r="U420" s="851"/>
      <c r="V420" s="851"/>
      <c r="W420" s="851"/>
      <c r="X420" s="851"/>
      <c r="Y420" s="851"/>
      <c r="Z420" s="851"/>
      <c r="AA420" s="851"/>
      <c r="AB420" s="851"/>
      <c r="AC420" s="851"/>
      <c r="AD420" s="851"/>
      <c r="AE420" s="851"/>
      <c r="AF420" s="851"/>
      <c r="AG420" s="851"/>
      <c r="AH420" s="852"/>
      <c r="AI420" s="852"/>
      <c r="AJ420" s="852"/>
      <c r="AK420" s="852"/>
      <c r="AL420" s="852"/>
      <c r="AM420" s="852"/>
      <c r="AN420" s="852"/>
      <c r="AO420" s="852"/>
      <c r="AP420" s="852"/>
      <c r="AQ420" s="852"/>
      <c r="AR420" s="852"/>
      <c r="AS420" s="852"/>
      <c r="AT420" s="852"/>
      <c r="AU420" s="852"/>
      <c r="AV420" s="852"/>
      <c r="AW420" s="852"/>
      <c r="AX420" s="849"/>
      <c r="AY420" s="847"/>
      <c r="AZ420" s="847"/>
      <c r="BA420" s="847"/>
      <c r="BB420" s="847"/>
      <c r="BC420" s="853"/>
      <c r="BD420" s="854"/>
      <c r="BE420" s="854"/>
      <c r="BF420" s="854"/>
      <c r="BG420" s="870">
        <f>BU419+1</f>
        <v>97</v>
      </c>
      <c r="BH420" s="860" t="s">
        <v>345</v>
      </c>
      <c r="BI420" s="912"/>
      <c r="BJ420" s="871">
        <v>0</v>
      </c>
      <c r="BK420" s="872">
        <f t="shared" ref="BK420:BK464" si="126">IF(SUM(BJ$324:BJ$338)=0,0,BJ420/SUM(BJ$324:BJ$338)*100)</f>
        <v>0</v>
      </c>
      <c r="BL420" s="871">
        <v>0</v>
      </c>
      <c r="BM420" s="872">
        <f t="shared" ref="BM420:BM464" si="127">IF(SUM(BL$324:BL$338)=0,0,BL420/SUM(BL$324:BL$338)*100)</f>
        <v>0</v>
      </c>
      <c r="BN420" s="871">
        <v>0</v>
      </c>
      <c r="BO420" s="872">
        <f t="shared" ref="BO420:BO464" si="128">IF(SUM(BN$324:BN$338)=0,0,BN420/SUM(BN$324:BN$338)*100)</f>
        <v>0</v>
      </c>
      <c r="BP420" s="871">
        <v>0</v>
      </c>
      <c r="BQ420" s="872">
        <f t="shared" ref="BQ420:BQ464" si="129">IF(SUM(BP$324:BP$338)=0,0,BP420/SUM(BP$324:BP$338)*100)</f>
        <v>0</v>
      </c>
      <c r="BR420" s="854"/>
      <c r="BS420" s="854"/>
      <c r="BT420" s="854"/>
      <c r="BU420" s="854"/>
      <c r="BV420" s="854"/>
      <c r="BW420" s="854"/>
      <c r="BX420" s="854"/>
      <c r="BY420" s="854"/>
      <c r="BZ420" s="854"/>
      <c r="CA420" s="854"/>
      <c r="CB420" s="854"/>
      <c r="CC420" s="854"/>
      <c r="CD420" s="854"/>
      <c r="CE420" s="854"/>
      <c r="CF420" s="854"/>
      <c r="CG420" s="854" t="s">
        <v>45</v>
      </c>
    </row>
    <row r="421" spans="1:85" ht="15.75" customHeight="1">
      <c r="A421" s="847"/>
      <c r="B421" s="1126"/>
      <c r="C421" s="1126"/>
      <c r="D421" s="1126"/>
      <c r="E421" s="1126"/>
      <c r="F421" s="1126"/>
      <c r="G421" s="1126"/>
      <c r="H421" s="1126"/>
      <c r="I421" s="1126"/>
      <c r="J421" s="1126"/>
      <c r="K421" s="1126"/>
      <c r="L421" s="1126"/>
      <c r="M421" s="848"/>
      <c r="N421" s="849"/>
      <c r="O421" s="850"/>
      <c r="P421" s="850"/>
      <c r="Q421" s="850"/>
      <c r="R421" s="850"/>
      <c r="S421" s="850"/>
      <c r="T421" s="851"/>
      <c r="U421" s="851"/>
      <c r="V421" s="851"/>
      <c r="W421" s="851"/>
      <c r="X421" s="851"/>
      <c r="Y421" s="851"/>
      <c r="Z421" s="851"/>
      <c r="AA421" s="851"/>
      <c r="AB421" s="851"/>
      <c r="AC421" s="851"/>
      <c r="AD421" s="851"/>
      <c r="AE421" s="851"/>
      <c r="AF421" s="851"/>
      <c r="AG421" s="851"/>
      <c r="AH421" s="852"/>
      <c r="AI421" s="852"/>
      <c r="AJ421" s="852"/>
      <c r="AK421" s="852"/>
      <c r="AL421" s="852"/>
      <c r="AM421" s="852"/>
      <c r="AN421" s="852"/>
      <c r="AO421" s="852"/>
      <c r="AP421" s="852"/>
      <c r="AQ421" s="852"/>
      <c r="AR421" s="852"/>
      <c r="AS421" s="852"/>
      <c r="AT421" s="852"/>
      <c r="AU421" s="852"/>
      <c r="AV421" s="852"/>
      <c r="AW421" s="852"/>
      <c r="AX421" s="849"/>
      <c r="AY421" s="847"/>
      <c r="AZ421" s="847"/>
      <c r="BA421" s="847"/>
      <c r="BB421" s="847"/>
      <c r="BC421" s="853"/>
      <c r="BD421" s="854"/>
      <c r="BE421" s="854"/>
      <c r="BF421" s="854"/>
      <c r="BG421" s="870">
        <f t="shared" ref="BG421:BG464" si="130">BG420+1</f>
        <v>98</v>
      </c>
      <c r="BH421" s="860" t="s">
        <v>45</v>
      </c>
      <c r="BI421" s="912"/>
      <c r="BJ421" s="871">
        <v>0</v>
      </c>
      <c r="BK421" s="872">
        <f t="shared" si="126"/>
        <v>0</v>
      </c>
      <c r="BL421" s="871">
        <v>0</v>
      </c>
      <c r="BM421" s="872">
        <f t="shared" si="127"/>
        <v>0</v>
      </c>
      <c r="BN421" s="871">
        <v>0</v>
      </c>
      <c r="BO421" s="872">
        <f t="shared" si="128"/>
        <v>0</v>
      </c>
      <c r="BP421" s="871">
        <v>0</v>
      </c>
      <c r="BQ421" s="872">
        <f t="shared" si="129"/>
        <v>0</v>
      </c>
      <c r="BR421" s="854"/>
      <c r="BS421" s="854"/>
      <c r="BT421" s="854"/>
      <c r="BU421" s="854"/>
      <c r="BV421" s="854"/>
      <c r="BW421" s="854"/>
      <c r="BX421" s="854"/>
      <c r="BY421" s="854"/>
      <c r="BZ421" s="854"/>
      <c r="CA421" s="854"/>
      <c r="CB421" s="854"/>
      <c r="CC421" s="854"/>
      <c r="CD421" s="854"/>
      <c r="CE421" s="854"/>
      <c r="CF421" s="854"/>
      <c r="CG421" s="854" t="s">
        <v>45</v>
      </c>
    </row>
    <row r="422" spans="1:85" ht="15.75" customHeight="1">
      <c r="A422" s="847"/>
      <c r="B422" s="1126"/>
      <c r="C422" s="1126"/>
      <c r="D422" s="1126"/>
      <c r="E422" s="1126"/>
      <c r="F422" s="1126"/>
      <c r="G422" s="1126"/>
      <c r="H422" s="1126"/>
      <c r="I422" s="1126"/>
      <c r="J422" s="1126"/>
      <c r="K422" s="1126"/>
      <c r="L422" s="1126"/>
      <c r="M422" s="848"/>
      <c r="N422" s="849"/>
      <c r="O422" s="850"/>
      <c r="P422" s="850"/>
      <c r="Q422" s="850"/>
      <c r="R422" s="850"/>
      <c r="S422" s="850"/>
      <c r="T422" s="851"/>
      <c r="U422" s="851"/>
      <c r="V422" s="851"/>
      <c r="W422" s="851"/>
      <c r="X422" s="851"/>
      <c r="Y422" s="851"/>
      <c r="Z422" s="851"/>
      <c r="AA422" s="851"/>
      <c r="AB422" s="851"/>
      <c r="AC422" s="851"/>
      <c r="AD422" s="851"/>
      <c r="AE422" s="851"/>
      <c r="AF422" s="851"/>
      <c r="AG422" s="851"/>
      <c r="AH422" s="852"/>
      <c r="AI422" s="852"/>
      <c r="AJ422" s="852"/>
      <c r="AK422" s="852"/>
      <c r="AL422" s="852"/>
      <c r="AM422" s="852"/>
      <c r="AN422" s="852"/>
      <c r="AO422" s="852"/>
      <c r="AP422" s="852"/>
      <c r="AQ422" s="852"/>
      <c r="AR422" s="852"/>
      <c r="AS422" s="852"/>
      <c r="AT422" s="852"/>
      <c r="AU422" s="852"/>
      <c r="AV422" s="852"/>
      <c r="AW422" s="852"/>
      <c r="AX422" s="849"/>
      <c r="AY422" s="847"/>
      <c r="AZ422" s="847"/>
      <c r="BA422" s="847"/>
      <c r="BB422" s="847"/>
      <c r="BC422" s="853"/>
      <c r="BD422" s="854"/>
      <c r="BE422" s="854"/>
      <c r="BF422" s="854"/>
      <c r="BG422" s="870">
        <f t="shared" si="130"/>
        <v>99</v>
      </c>
      <c r="BH422" s="860" t="s">
        <v>45</v>
      </c>
      <c r="BI422" s="912"/>
      <c r="BJ422" s="871">
        <v>0</v>
      </c>
      <c r="BK422" s="872">
        <f t="shared" si="126"/>
        <v>0</v>
      </c>
      <c r="BL422" s="871">
        <v>0</v>
      </c>
      <c r="BM422" s="872">
        <f t="shared" si="127"/>
        <v>0</v>
      </c>
      <c r="BN422" s="871">
        <v>0</v>
      </c>
      <c r="BO422" s="872">
        <f t="shared" si="128"/>
        <v>0</v>
      </c>
      <c r="BP422" s="871">
        <v>0</v>
      </c>
      <c r="BQ422" s="872">
        <f t="shared" si="129"/>
        <v>0</v>
      </c>
      <c r="BR422" s="854"/>
      <c r="BS422" s="854"/>
      <c r="BT422" s="854"/>
      <c r="BU422" s="854"/>
      <c r="BV422" s="854"/>
      <c r="BW422" s="854"/>
      <c r="BX422" s="854"/>
      <c r="BY422" s="854"/>
      <c r="BZ422" s="854"/>
      <c r="CA422" s="854"/>
      <c r="CB422" s="854"/>
      <c r="CC422" s="854"/>
      <c r="CD422" s="854"/>
      <c r="CE422" s="854"/>
      <c r="CF422" s="854"/>
      <c r="CG422" s="854" t="s">
        <v>45</v>
      </c>
    </row>
    <row r="423" spans="1:85" ht="15.75" customHeight="1">
      <c r="A423" s="847"/>
      <c r="B423" s="1126"/>
      <c r="C423" s="1126"/>
      <c r="D423" s="1126"/>
      <c r="E423" s="1126"/>
      <c r="F423" s="1126"/>
      <c r="G423" s="1126"/>
      <c r="H423" s="1126"/>
      <c r="I423" s="1126"/>
      <c r="J423" s="1126"/>
      <c r="K423" s="1126"/>
      <c r="L423" s="1126"/>
      <c r="M423" s="848"/>
      <c r="N423" s="849"/>
      <c r="O423" s="850"/>
      <c r="P423" s="850"/>
      <c r="Q423" s="850"/>
      <c r="R423" s="850"/>
      <c r="S423" s="850"/>
      <c r="T423" s="851"/>
      <c r="U423" s="851"/>
      <c r="V423" s="851"/>
      <c r="W423" s="851"/>
      <c r="X423" s="851"/>
      <c r="Y423" s="851"/>
      <c r="Z423" s="851"/>
      <c r="AA423" s="851"/>
      <c r="AB423" s="851"/>
      <c r="AC423" s="851"/>
      <c r="AD423" s="851"/>
      <c r="AE423" s="851"/>
      <c r="AF423" s="851"/>
      <c r="AG423" s="851"/>
      <c r="AH423" s="852"/>
      <c r="AI423" s="852"/>
      <c r="AJ423" s="852"/>
      <c r="AK423" s="852"/>
      <c r="AL423" s="852"/>
      <c r="AM423" s="852"/>
      <c r="AN423" s="852"/>
      <c r="AO423" s="852"/>
      <c r="AP423" s="852"/>
      <c r="AQ423" s="852"/>
      <c r="AR423" s="852"/>
      <c r="AS423" s="852"/>
      <c r="AT423" s="852"/>
      <c r="AU423" s="852"/>
      <c r="AV423" s="852"/>
      <c r="AW423" s="852"/>
      <c r="AX423" s="849"/>
      <c r="AY423" s="847"/>
      <c r="AZ423" s="847"/>
      <c r="BA423" s="847"/>
      <c r="BB423" s="847"/>
      <c r="BC423" s="853"/>
      <c r="BD423" s="854"/>
      <c r="BE423" s="854"/>
      <c r="BF423" s="854"/>
      <c r="BG423" s="870">
        <f t="shared" si="130"/>
        <v>100</v>
      </c>
      <c r="BH423" s="860" t="s">
        <v>45</v>
      </c>
      <c r="BI423" s="912"/>
      <c r="BJ423" s="871">
        <v>0</v>
      </c>
      <c r="BK423" s="872">
        <f t="shared" si="126"/>
        <v>0</v>
      </c>
      <c r="BL423" s="871">
        <v>0</v>
      </c>
      <c r="BM423" s="872">
        <f t="shared" si="127"/>
        <v>0</v>
      </c>
      <c r="BN423" s="871">
        <v>0</v>
      </c>
      <c r="BO423" s="872">
        <f t="shared" si="128"/>
        <v>0</v>
      </c>
      <c r="BP423" s="871">
        <v>0</v>
      </c>
      <c r="BQ423" s="872">
        <f t="shared" si="129"/>
        <v>0</v>
      </c>
      <c r="BR423" s="854"/>
      <c r="BS423" s="854"/>
      <c r="BT423" s="854"/>
      <c r="BU423" s="854"/>
      <c r="BV423" s="854"/>
      <c r="BW423" s="854"/>
      <c r="BX423" s="854"/>
      <c r="BY423" s="854"/>
      <c r="BZ423" s="854"/>
      <c r="CA423" s="854"/>
      <c r="CB423" s="854"/>
      <c r="CC423" s="854"/>
      <c r="CD423" s="854"/>
      <c r="CE423" s="854"/>
      <c r="CF423" s="854"/>
      <c r="CG423" s="854" t="s">
        <v>45</v>
      </c>
    </row>
    <row r="424" spans="1:85" ht="15.75" customHeight="1">
      <c r="A424" s="847"/>
      <c r="B424" s="1126"/>
      <c r="C424" s="1126"/>
      <c r="D424" s="1126"/>
      <c r="E424" s="1126"/>
      <c r="F424" s="1126"/>
      <c r="G424" s="1126"/>
      <c r="H424" s="1126"/>
      <c r="I424" s="1126"/>
      <c r="J424" s="1126"/>
      <c r="K424" s="1126"/>
      <c r="L424" s="1126"/>
      <c r="M424" s="848"/>
      <c r="N424" s="849"/>
      <c r="O424" s="850"/>
      <c r="P424" s="850"/>
      <c r="Q424" s="850"/>
      <c r="R424" s="850"/>
      <c r="S424" s="850"/>
      <c r="T424" s="851"/>
      <c r="U424" s="851"/>
      <c r="V424" s="851"/>
      <c r="W424" s="851"/>
      <c r="X424" s="851"/>
      <c r="Y424" s="851"/>
      <c r="Z424" s="851"/>
      <c r="AA424" s="851"/>
      <c r="AB424" s="851"/>
      <c r="AC424" s="851"/>
      <c r="AD424" s="851"/>
      <c r="AE424" s="851"/>
      <c r="AF424" s="851"/>
      <c r="AG424" s="851"/>
      <c r="AH424" s="852"/>
      <c r="AI424" s="852"/>
      <c r="AJ424" s="852"/>
      <c r="AK424" s="852"/>
      <c r="AL424" s="852"/>
      <c r="AM424" s="852"/>
      <c r="AN424" s="852"/>
      <c r="AO424" s="852"/>
      <c r="AP424" s="852"/>
      <c r="AQ424" s="852"/>
      <c r="AR424" s="852"/>
      <c r="AS424" s="852"/>
      <c r="AT424" s="852"/>
      <c r="AU424" s="852"/>
      <c r="AV424" s="852"/>
      <c r="AW424" s="852"/>
      <c r="AX424" s="849"/>
      <c r="AY424" s="847"/>
      <c r="AZ424" s="847"/>
      <c r="BA424" s="847"/>
      <c r="BB424" s="847"/>
      <c r="BC424" s="853"/>
      <c r="BD424" s="854"/>
      <c r="BE424" s="854"/>
      <c r="BF424" s="854"/>
      <c r="BG424" s="870">
        <f t="shared" si="130"/>
        <v>101</v>
      </c>
      <c r="BH424" s="860" t="s">
        <v>45</v>
      </c>
      <c r="BI424" s="912"/>
      <c r="BJ424" s="871">
        <v>0</v>
      </c>
      <c r="BK424" s="872">
        <f t="shared" si="126"/>
        <v>0</v>
      </c>
      <c r="BL424" s="871">
        <v>0</v>
      </c>
      <c r="BM424" s="872">
        <f t="shared" si="127"/>
        <v>0</v>
      </c>
      <c r="BN424" s="871">
        <v>0</v>
      </c>
      <c r="BO424" s="872">
        <f t="shared" si="128"/>
        <v>0</v>
      </c>
      <c r="BP424" s="871">
        <v>0</v>
      </c>
      <c r="BQ424" s="872">
        <f t="shared" si="129"/>
        <v>0</v>
      </c>
      <c r="BR424" s="854"/>
      <c r="BS424" s="854"/>
      <c r="BT424" s="854"/>
      <c r="BU424" s="854"/>
      <c r="BV424" s="854"/>
      <c r="BW424" s="854"/>
      <c r="BX424" s="854"/>
      <c r="BY424" s="854"/>
      <c r="BZ424" s="854"/>
      <c r="CA424" s="854"/>
      <c r="CB424" s="854"/>
      <c r="CC424" s="854"/>
      <c r="CD424" s="854"/>
      <c r="CE424" s="854"/>
      <c r="CF424" s="854"/>
      <c r="CG424" s="854" t="s">
        <v>45</v>
      </c>
    </row>
    <row r="425" spans="1:85" ht="15.75" customHeight="1">
      <c r="A425" s="847"/>
      <c r="B425" s="1126"/>
      <c r="C425" s="1126"/>
      <c r="D425" s="1126"/>
      <c r="E425" s="1126"/>
      <c r="F425" s="1126"/>
      <c r="G425" s="1126"/>
      <c r="H425" s="1126"/>
      <c r="I425" s="1126"/>
      <c r="J425" s="1126"/>
      <c r="K425" s="1126"/>
      <c r="L425" s="1126"/>
      <c r="M425" s="848"/>
      <c r="N425" s="849"/>
      <c r="O425" s="850"/>
      <c r="P425" s="850"/>
      <c r="Q425" s="850"/>
      <c r="R425" s="850"/>
      <c r="S425" s="850"/>
      <c r="T425" s="851"/>
      <c r="U425" s="851"/>
      <c r="V425" s="851"/>
      <c r="W425" s="851"/>
      <c r="X425" s="851"/>
      <c r="Y425" s="851"/>
      <c r="Z425" s="851"/>
      <c r="AA425" s="851"/>
      <c r="AB425" s="851"/>
      <c r="AC425" s="851"/>
      <c r="AD425" s="851"/>
      <c r="AE425" s="851"/>
      <c r="AF425" s="851"/>
      <c r="AG425" s="851"/>
      <c r="AH425" s="852"/>
      <c r="AI425" s="852"/>
      <c r="AJ425" s="852"/>
      <c r="AK425" s="852"/>
      <c r="AL425" s="852"/>
      <c r="AM425" s="852"/>
      <c r="AN425" s="852"/>
      <c r="AO425" s="852"/>
      <c r="AP425" s="852"/>
      <c r="AQ425" s="852"/>
      <c r="AR425" s="852"/>
      <c r="AS425" s="852"/>
      <c r="AT425" s="852"/>
      <c r="AU425" s="852"/>
      <c r="AV425" s="852"/>
      <c r="AW425" s="852"/>
      <c r="AX425" s="849"/>
      <c r="AY425" s="847"/>
      <c r="AZ425" s="847"/>
      <c r="BA425" s="847"/>
      <c r="BB425" s="847"/>
      <c r="BC425" s="853"/>
      <c r="BD425" s="854"/>
      <c r="BE425" s="854"/>
      <c r="BF425" s="854"/>
      <c r="BG425" s="870">
        <f t="shared" si="130"/>
        <v>102</v>
      </c>
      <c r="BH425" s="860" t="s">
        <v>45</v>
      </c>
      <c r="BI425" s="912"/>
      <c r="BJ425" s="871">
        <v>0</v>
      </c>
      <c r="BK425" s="872">
        <f t="shared" si="126"/>
        <v>0</v>
      </c>
      <c r="BL425" s="871">
        <v>0</v>
      </c>
      <c r="BM425" s="872">
        <f t="shared" si="127"/>
        <v>0</v>
      </c>
      <c r="BN425" s="871">
        <v>0</v>
      </c>
      <c r="BO425" s="872">
        <f t="shared" si="128"/>
        <v>0</v>
      </c>
      <c r="BP425" s="871">
        <v>0</v>
      </c>
      <c r="BQ425" s="872">
        <f t="shared" si="129"/>
        <v>0</v>
      </c>
      <c r="BR425" s="854"/>
      <c r="BS425" s="854"/>
      <c r="BT425" s="854"/>
      <c r="BU425" s="854"/>
      <c r="BV425" s="854"/>
      <c r="BW425" s="854"/>
      <c r="BX425" s="854"/>
      <c r="BY425" s="854"/>
      <c r="BZ425" s="854"/>
      <c r="CA425" s="854"/>
      <c r="CB425" s="854"/>
      <c r="CC425" s="854"/>
      <c r="CD425" s="854"/>
      <c r="CE425" s="854"/>
      <c r="CF425" s="854"/>
      <c r="CG425" s="854" t="s">
        <v>45</v>
      </c>
    </row>
    <row r="426" spans="1:85" ht="15.75" customHeight="1">
      <c r="A426" s="847"/>
      <c r="B426" s="1126"/>
      <c r="C426" s="1126"/>
      <c r="D426" s="1126"/>
      <c r="E426" s="1126"/>
      <c r="F426" s="1126"/>
      <c r="G426" s="1126"/>
      <c r="H426" s="1126"/>
      <c r="I426" s="1126"/>
      <c r="J426" s="1126"/>
      <c r="K426" s="1126"/>
      <c r="L426" s="1126"/>
      <c r="M426" s="848"/>
      <c r="N426" s="849"/>
      <c r="O426" s="850"/>
      <c r="P426" s="850"/>
      <c r="Q426" s="850"/>
      <c r="R426" s="850"/>
      <c r="S426" s="850"/>
      <c r="T426" s="851"/>
      <c r="U426" s="851"/>
      <c r="V426" s="851"/>
      <c r="W426" s="851"/>
      <c r="X426" s="851"/>
      <c r="Y426" s="851"/>
      <c r="Z426" s="851"/>
      <c r="AA426" s="851"/>
      <c r="AB426" s="851"/>
      <c r="AC426" s="851"/>
      <c r="AD426" s="851"/>
      <c r="AE426" s="851"/>
      <c r="AF426" s="851"/>
      <c r="AG426" s="851"/>
      <c r="AH426" s="852"/>
      <c r="AI426" s="852"/>
      <c r="AJ426" s="852"/>
      <c r="AK426" s="852"/>
      <c r="AL426" s="852"/>
      <c r="AM426" s="852"/>
      <c r="AN426" s="852"/>
      <c r="AO426" s="852"/>
      <c r="AP426" s="852"/>
      <c r="AQ426" s="852"/>
      <c r="AR426" s="852"/>
      <c r="AS426" s="852"/>
      <c r="AT426" s="852"/>
      <c r="AU426" s="852"/>
      <c r="AV426" s="852"/>
      <c r="AW426" s="852"/>
      <c r="AX426" s="849"/>
      <c r="AY426" s="847"/>
      <c r="AZ426" s="847"/>
      <c r="BA426" s="847"/>
      <c r="BB426" s="847"/>
      <c r="BC426" s="853"/>
      <c r="BD426" s="854"/>
      <c r="BE426" s="854"/>
      <c r="BF426" s="854"/>
      <c r="BG426" s="870">
        <f t="shared" si="130"/>
        <v>103</v>
      </c>
      <c r="BH426" s="860" t="s">
        <v>45</v>
      </c>
      <c r="BI426" s="861"/>
      <c r="BJ426" s="871">
        <v>0</v>
      </c>
      <c r="BK426" s="872">
        <f t="shared" si="126"/>
        <v>0</v>
      </c>
      <c r="BL426" s="871">
        <v>0</v>
      </c>
      <c r="BM426" s="872">
        <f t="shared" si="127"/>
        <v>0</v>
      </c>
      <c r="BN426" s="871">
        <v>0</v>
      </c>
      <c r="BO426" s="872">
        <f t="shared" si="128"/>
        <v>0</v>
      </c>
      <c r="BP426" s="871">
        <v>0</v>
      </c>
      <c r="BQ426" s="872">
        <f t="shared" si="129"/>
        <v>0</v>
      </c>
      <c r="BR426" s="854"/>
      <c r="BS426" s="854"/>
      <c r="BT426" s="854"/>
      <c r="BU426" s="854"/>
      <c r="BV426" s="854"/>
      <c r="BW426" s="854"/>
      <c r="BX426" s="854"/>
      <c r="BY426" s="854"/>
      <c r="BZ426" s="854"/>
      <c r="CA426" s="854"/>
      <c r="CB426" s="854"/>
      <c r="CC426" s="854"/>
      <c r="CD426" s="854"/>
      <c r="CE426" s="854"/>
      <c r="CF426" s="854"/>
      <c r="CG426" s="854" t="s">
        <v>45</v>
      </c>
    </row>
    <row r="427" spans="1:85" ht="15.75" customHeight="1">
      <c r="A427" s="847"/>
      <c r="B427" s="1126"/>
      <c r="C427" s="1126"/>
      <c r="D427" s="1126"/>
      <c r="E427" s="1126"/>
      <c r="F427" s="1126"/>
      <c r="G427" s="1126"/>
      <c r="H427" s="1126"/>
      <c r="I427" s="1126"/>
      <c r="J427" s="1126"/>
      <c r="K427" s="1126"/>
      <c r="L427" s="1126"/>
      <c r="M427" s="848"/>
      <c r="N427" s="849"/>
      <c r="O427" s="850"/>
      <c r="P427" s="850"/>
      <c r="Q427" s="850"/>
      <c r="R427" s="850"/>
      <c r="S427" s="850"/>
      <c r="T427" s="851"/>
      <c r="U427" s="851"/>
      <c r="V427" s="851"/>
      <c r="W427" s="851"/>
      <c r="X427" s="851"/>
      <c r="Y427" s="851"/>
      <c r="Z427" s="851"/>
      <c r="AA427" s="851"/>
      <c r="AB427" s="851"/>
      <c r="AC427" s="851"/>
      <c r="AD427" s="851"/>
      <c r="AE427" s="851"/>
      <c r="AF427" s="851"/>
      <c r="AG427" s="851"/>
      <c r="AH427" s="852"/>
      <c r="AI427" s="852"/>
      <c r="AJ427" s="852"/>
      <c r="AK427" s="852"/>
      <c r="AL427" s="852"/>
      <c r="AM427" s="852"/>
      <c r="AN427" s="852"/>
      <c r="AO427" s="852"/>
      <c r="AP427" s="852"/>
      <c r="AQ427" s="852"/>
      <c r="AR427" s="852"/>
      <c r="AS427" s="852"/>
      <c r="AT427" s="852"/>
      <c r="AU427" s="852"/>
      <c r="AV427" s="852"/>
      <c r="AW427" s="852"/>
      <c r="AX427" s="849"/>
      <c r="AY427" s="847"/>
      <c r="AZ427" s="847"/>
      <c r="BA427" s="847"/>
      <c r="BB427" s="847"/>
      <c r="BC427" s="853"/>
      <c r="BD427" s="854"/>
      <c r="BE427" s="854"/>
      <c r="BF427" s="854"/>
      <c r="BG427" s="870">
        <f t="shared" si="130"/>
        <v>104</v>
      </c>
      <c r="BH427" s="860" t="s">
        <v>45</v>
      </c>
      <c r="BI427" s="861"/>
      <c r="BJ427" s="871">
        <v>0</v>
      </c>
      <c r="BK427" s="872">
        <f t="shared" si="126"/>
        <v>0</v>
      </c>
      <c r="BL427" s="871">
        <v>0</v>
      </c>
      <c r="BM427" s="872">
        <f t="shared" si="127"/>
        <v>0</v>
      </c>
      <c r="BN427" s="871">
        <v>0</v>
      </c>
      <c r="BO427" s="872">
        <f t="shared" si="128"/>
        <v>0</v>
      </c>
      <c r="BP427" s="871">
        <v>0</v>
      </c>
      <c r="BQ427" s="872">
        <f t="shared" si="129"/>
        <v>0</v>
      </c>
      <c r="BR427" s="854"/>
      <c r="BS427" s="854"/>
      <c r="BT427" s="854"/>
      <c r="BU427" s="854"/>
      <c r="BV427" s="854"/>
      <c r="BW427" s="854"/>
      <c r="BX427" s="854"/>
      <c r="BY427" s="854"/>
      <c r="BZ427" s="854"/>
      <c r="CA427" s="854"/>
      <c r="CB427" s="854"/>
      <c r="CC427" s="854"/>
      <c r="CD427" s="854"/>
      <c r="CE427" s="854"/>
      <c r="CF427" s="854"/>
      <c r="CG427" s="854" t="s">
        <v>45</v>
      </c>
    </row>
    <row r="428" spans="1:85" ht="15.75" customHeight="1">
      <c r="A428" s="847"/>
      <c r="B428" s="1126"/>
      <c r="C428" s="1126"/>
      <c r="D428" s="1126"/>
      <c r="E428" s="1126"/>
      <c r="F428" s="1126"/>
      <c r="G428" s="1126"/>
      <c r="H428" s="1126"/>
      <c r="I428" s="1126"/>
      <c r="J428" s="1126"/>
      <c r="K428" s="1126"/>
      <c r="L428" s="1126"/>
      <c r="M428" s="848"/>
      <c r="N428" s="849"/>
      <c r="O428" s="850"/>
      <c r="P428" s="850"/>
      <c r="Q428" s="850"/>
      <c r="R428" s="850"/>
      <c r="S428" s="850"/>
      <c r="T428" s="851"/>
      <c r="U428" s="851"/>
      <c r="V428" s="851"/>
      <c r="W428" s="851"/>
      <c r="X428" s="851"/>
      <c r="Y428" s="851"/>
      <c r="Z428" s="851"/>
      <c r="AA428" s="851"/>
      <c r="AB428" s="851"/>
      <c r="AC428" s="851"/>
      <c r="AD428" s="851"/>
      <c r="AE428" s="851"/>
      <c r="AF428" s="851"/>
      <c r="AG428" s="851"/>
      <c r="AH428" s="852"/>
      <c r="AI428" s="852"/>
      <c r="AJ428" s="852"/>
      <c r="AK428" s="852"/>
      <c r="AL428" s="852"/>
      <c r="AM428" s="852"/>
      <c r="AN428" s="852"/>
      <c r="AO428" s="852"/>
      <c r="AP428" s="852"/>
      <c r="AQ428" s="852"/>
      <c r="AR428" s="852"/>
      <c r="AS428" s="852"/>
      <c r="AT428" s="852"/>
      <c r="AU428" s="852"/>
      <c r="AV428" s="852"/>
      <c r="AW428" s="852"/>
      <c r="AX428" s="849"/>
      <c r="AY428" s="847"/>
      <c r="AZ428" s="847"/>
      <c r="BA428" s="847"/>
      <c r="BB428" s="847"/>
      <c r="BC428" s="853"/>
      <c r="BD428" s="854"/>
      <c r="BE428" s="854"/>
      <c r="BF428" s="854"/>
      <c r="BG428" s="870">
        <f t="shared" si="130"/>
        <v>105</v>
      </c>
      <c r="BH428" s="860" t="s">
        <v>45</v>
      </c>
      <c r="BI428" s="912"/>
      <c r="BJ428" s="871">
        <v>0</v>
      </c>
      <c r="BK428" s="872">
        <f t="shared" si="126"/>
        <v>0</v>
      </c>
      <c r="BL428" s="871">
        <v>0</v>
      </c>
      <c r="BM428" s="872">
        <f t="shared" si="127"/>
        <v>0</v>
      </c>
      <c r="BN428" s="871">
        <v>0</v>
      </c>
      <c r="BO428" s="872">
        <f t="shared" si="128"/>
        <v>0</v>
      </c>
      <c r="BP428" s="871">
        <v>0</v>
      </c>
      <c r="BQ428" s="872">
        <f t="shared" si="129"/>
        <v>0</v>
      </c>
      <c r="BR428" s="854"/>
      <c r="BS428" s="854"/>
      <c r="BT428" s="854"/>
      <c r="BU428" s="854"/>
      <c r="BV428" s="854"/>
      <c r="BW428" s="854"/>
      <c r="BX428" s="854"/>
      <c r="BY428" s="854"/>
      <c r="BZ428" s="854"/>
      <c r="CA428" s="854"/>
      <c r="CB428" s="854"/>
      <c r="CC428" s="854"/>
      <c r="CD428" s="854"/>
      <c r="CE428" s="854"/>
      <c r="CF428" s="854"/>
      <c r="CG428" s="854" t="s">
        <v>45</v>
      </c>
    </row>
    <row r="429" spans="1:85" ht="15.75" customHeight="1">
      <c r="A429" s="847"/>
      <c r="B429" s="1126"/>
      <c r="C429" s="1126"/>
      <c r="D429" s="1126"/>
      <c r="E429" s="1126"/>
      <c r="F429" s="1126"/>
      <c r="G429" s="1126"/>
      <c r="H429" s="1126"/>
      <c r="I429" s="1126"/>
      <c r="J429" s="1126"/>
      <c r="K429" s="1126"/>
      <c r="L429" s="1126"/>
      <c r="M429" s="848"/>
      <c r="N429" s="849"/>
      <c r="O429" s="850"/>
      <c r="P429" s="850"/>
      <c r="Q429" s="850"/>
      <c r="R429" s="850"/>
      <c r="S429" s="850"/>
      <c r="T429" s="851"/>
      <c r="U429" s="851"/>
      <c r="V429" s="851"/>
      <c r="W429" s="851"/>
      <c r="X429" s="851"/>
      <c r="Y429" s="851"/>
      <c r="Z429" s="851"/>
      <c r="AA429" s="851"/>
      <c r="AB429" s="851"/>
      <c r="AC429" s="851"/>
      <c r="AD429" s="851"/>
      <c r="AE429" s="851"/>
      <c r="AF429" s="851"/>
      <c r="AG429" s="851"/>
      <c r="AH429" s="852"/>
      <c r="AI429" s="852"/>
      <c r="AJ429" s="852"/>
      <c r="AK429" s="852"/>
      <c r="AL429" s="852"/>
      <c r="AM429" s="852"/>
      <c r="AN429" s="852"/>
      <c r="AO429" s="852"/>
      <c r="AP429" s="852"/>
      <c r="AQ429" s="852"/>
      <c r="AR429" s="852"/>
      <c r="AS429" s="852"/>
      <c r="AT429" s="852"/>
      <c r="AU429" s="852"/>
      <c r="AV429" s="852"/>
      <c r="AW429" s="852"/>
      <c r="AX429" s="849"/>
      <c r="AY429" s="847"/>
      <c r="AZ429" s="847"/>
      <c r="BA429" s="847"/>
      <c r="BB429" s="847"/>
      <c r="BC429" s="853"/>
      <c r="BD429" s="854"/>
      <c r="BE429" s="854"/>
      <c r="BF429" s="854"/>
      <c r="BG429" s="870">
        <f t="shared" si="130"/>
        <v>106</v>
      </c>
      <c r="BH429" s="860" t="s">
        <v>45</v>
      </c>
      <c r="BI429" s="912"/>
      <c r="BJ429" s="871">
        <v>0</v>
      </c>
      <c r="BK429" s="872">
        <f t="shared" si="126"/>
        <v>0</v>
      </c>
      <c r="BL429" s="871">
        <v>0</v>
      </c>
      <c r="BM429" s="872">
        <f t="shared" si="127"/>
        <v>0</v>
      </c>
      <c r="BN429" s="871">
        <v>0</v>
      </c>
      <c r="BO429" s="872">
        <f t="shared" si="128"/>
        <v>0</v>
      </c>
      <c r="BP429" s="871">
        <v>0</v>
      </c>
      <c r="BQ429" s="872">
        <f t="shared" si="129"/>
        <v>0</v>
      </c>
      <c r="BR429" s="854"/>
      <c r="BS429" s="854"/>
      <c r="BT429" s="854"/>
      <c r="BU429" s="854"/>
      <c r="BV429" s="854"/>
      <c r="BW429" s="854"/>
      <c r="BX429" s="854"/>
      <c r="BY429" s="854"/>
      <c r="BZ429" s="854"/>
      <c r="CA429" s="854"/>
      <c r="CB429" s="854"/>
      <c r="CC429" s="854"/>
      <c r="CD429" s="854"/>
      <c r="CE429" s="854"/>
      <c r="CF429" s="854"/>
      <c r="CG429" s="854" t="s">
        <v>45</v>
      </c>
    </row>
    <row r="430" spans="1:85" ht="15.75" customHeight="1">
      <c r="A430" s="847"/>
      <c r="B430" s="1126"/>
      <c r="C430" s="1126"/>
      <c r="D430" s="1126"/>
      <c r="E430" s="1126"/>
      <c r="F430" s="1126"/>
      <c r="G430" s="1126"/>
      <c r="H430" s="1126"/>
      <c r="I430" s="1126"/>
      <c r="J430" s="1126"/>
      <c r="K430" s="1126"/>
      <c r="L430" s="1126"/>
      <c r="M430" s="848"/>
      <c r="N430" s="849"/>
      <c r="O430" s="850"/>
      <c r="P430" s="850"/>
      <c r="Q430" s="850"/>
      <c r="R430" s="850"/>
      <c r="S430" s="850"/>
      <c r="T430" s="851"/>
      <c r="U430" s="851"/>
      <c r="V430" s="851"/>
      <c r="W430" s="851"/>
      <c r="X430" s="851"/>
      <c r="Y430" s="851"/>
      <c r="Z430" s="851"/>
      <c r="AA430" s="851"/>
      <c r="AB430" s="851"/>
      <c r="AC430" s="851"/>
      <c r="AD430" s="851"/>
      <c r="AE430" s="851"/>
      <c r="AF430" s="851"/>
      <c r="AG430" s="851"/>
      <c r="AH430" s="852"/>
      <c r="AI430" s="852"/>
      <c r="AJ430" s="852"/>
      <c r="AK430" s="852"/>
      <c r="AL430" s="852"/>
      <c r="AM430" s="852"/>
      <c r="AN430" s="852"/>
      <c r="AO430" s="852"/>
      <c r="AP430" s="852"/>
      <c r="AQ430" s="852"/>
      <c r="AR430" s="852"/>
      <c r="AS430" s="852"/>
      <c r="AT430" s="852"/>
      <c r="AU430" s="852"/>
      <c r="AV430" s="852"/>
      <c r="AW430" s="852"/>
      <c r="AX430" s="849"/>
      <c r="AY430" s="847"/>
      <c r="AZ430" s="847"/>
      <c r="BA430" s="847"/>
      <c r="BB430" s="847"/>
      <c r="BC430" s="853"/>
      <c r="BD430" s="854"/>
      <c r="BE430" s="854"/>
      <c r="BF430" s="854"/>
      <c r="BG430" s="870">
        <f t="shared" si="130"/>
        <v>107</v>
      </c>
      <c r="BH430" s="860" t="s">
        <v>45</v>
      </c>
      <c r="BI430" s="912"/>
      <c r="BJ430" s="871">
        <v>0</v>
      </c>
      <c r="BK430" s="872">
        <f t="shared" si="126"/>
        <v>0</v>
      </c>
      <c r="BL430" s="871">
        <v>0</v>
      </c>
      <c r="BM430" s="872">
        <f t="shared" si="127"/>
        <v>0</v>
      </c>
      <c r="BN430" s="871">
        <v>0</v>
      </c>
      <c r="BO430" s="872">
        <f t="shared" si="128"/>
        <v>0</v>
      </c>
      <c r="BP430" s="871">
        <v>0</v>
      </c>
      <c r="BQ430" s="872">
        <f t="shared" si="129"/>
        <v>0</v>
      </c>
      <c r="BR430" s="854"/>
      <c r="BS430" s="854"/>
      <c r="BT430" s="854"/>
      <c r="BU430" s="854"/>
      <c r="BV430" s="854"/>
      <c r="BW430" s="854"/>
      <c r="BX430" s="854"/>
      <c r="BY430" s="854"/>
      <c r="BZ430" s="854"/>
      <c r="CA430" s="854"/>
      <c r="CB430" s="854"/>
      <c r="CC430" s="854"/>
      <c r="CD430" s="854"/>
      <c r="CE430" s="854"/>
      <c r="CF430" s="854"/>
      <c r="CG430" s="854" t="s">
        <v>45</v>
      </c>
    </row>
    <row r="431" spans="1:85" ht="15.75" customHeight="1">
      <c r="A431" s="847"/>
      <c r="B431" s="1126"/>
      <c r="C431" s="1126"/>
      <c r="D431" s="1126"/>
      <c r="E431" s="1126"/>
      <c r="F431" s="1126"/>
      <c r="G431" s="1126"/>
      <c r="H431" s="1126"/>
      <c r="I431" s="1126"/>
      <c r="J431" s="1126"/>
      <c r="K431" s="1126"/>
      <c r="L431" s="1126"/>
      <c r="M431" s="848"/>
      <c r="N431" s="849"/>
      <c r="O431" s="850"/>
      <c r="P431" s="850"/>
      <c r="Q431" s="850"/>
      <c r="R431" s="850"/>
      <c r="S431" s="850"/>
      <c r="T431" s="851"/>
      <c r="U431" s="851"/>
      <c r="V431" s="851"/>
      <c r="W431" s="851"/>
      <c r="X431" s="851"/>
      <c r="Y431" s="851"/>
      <c r="Z431" s="851"/>
      <c r="AA431" s="851"/>
      <c r="AB431" s="851"/>
      <c r="AC431" s="851"/>
      <c r="AD431" s="851"/>
      <c r="AE431" s="851"/>
      <c r="AF431" s="851"/>
      <c r="AG431" s="851"/>
      <c r="AH431" s="852"/>
      <c r="AI431" s="852"/>
      <c r="AJ431" s="852"/>
      <c r="AK431" s="852"/>
      <c r="AL431" s="852"/>
      <c r="AM431" s="852"/>
      <c r="AN431" s="852"/>
      <c r="AO431" s="852"/>
      <c r="AP431" s="852"/>
      <c r="AQ431" s="852"/>
      <c r="AR431" s="852"/>
      <c r="AS431" s="852"/>
      <c r="AT431" s="852"/>
      <c r="AU431" s="852"/>
      <c r="AV431" s="852"/>
      <c r="AW431" s="852"/>
      <c r="AX431" s="849"/>
      <c r="AY431" s="847"/>
      <c r="AZ431" s="847"/>
      <c r="BA431" s="847"/>
      <c r="BB431" s="847"/>
      <c r="BC431" s="853"/>
      <c r="BD431" s="854"/>
      <c r="BE431" s="854"/>
      <c r="BF431" s="854"/>
      <c r="BG431" s="870">
        <f t="shared" si="130"/>
        <v>108</v>
      </c>
      <c r="BH431" s="860" t="s">
        <v>45</v>
      </c>
      <c r="BI431" s="912"/>
      <c r="BJ431" s="871">
        <v>0</v>
      </c>
      <c r="BK431" s="872">
        <f t="shared" si="126"/>
        <v>0</v>
      </c>
      <c r="BL431" s="871">
        <v>0</v>
      </c>
      <c r="BM431" s="872">
        <f t="shared" si="127"/>
        <v>0</v>
      </c>
      <c r="BN431" s="871">
        <v>0</v>
      </c>
      <c r="BO431" s="872">
        <f t="shared" si="128"/>
        <v>0</v>
      </c>
      <c r="BP431" s="871">
        <v>0</v>
      </c>
      <c r="BQ431" s="872">
        <f t="shared" si="129"/>
        <v>0</v>
      </c>
      <c r="BR431" s="854"/>
      <c r="BS431" s="854"/>
      <c r="BT431" s="854"/>
      <c r="BU431" s="854"/>
      <c r="BV431" s="854"/>
      <c r="BW431" s="854"/>
      <c r="BX431" s="854"/>
      <c r="BY431" s="854"/>
      <c r="BZ431" s="854"/>
      <c r="CA431" s="854"/>
      <c r="CB431" s="854"/>
      <c r="CC431" s="854"/>
      <c r="CD431" s="854"/>
      <c r="CE431" s="854"/>
      <c r="CF431" s="854"/>
      <c r="CG431" s="854" t="s">
        <v>45</v>
      </c>
    </row>
    <row r="432" spans="1:85" ht="15.75" customHeight="1">
      <c r="A432" s="847"/>
      <c r="B432" s="1126"/>
      <c r="C432" s="1126"/>
      <c r="D432" s="1126"/>
      <c r="E432" s="1126"/>
      <c r="F432" s="1126"/>
      <c r="G432" s="1126"/>
      <c r="H432" s="1126"/>
      <c r="I432" s="1126"/>
      <c r="J432" s="1126"/>
      <c r="K432" s="1126"/>
      <c r="L432" s="1126"/>
      <c r="M432" s="848"/>
      <c r="N432" s="849"/>
      <c r="O432" s="850"/>
      <c r="P432" s="850"/>
      <c r="Q432" s="850"/>
      <c r="R432" s="850"/>
      <c r="S432" s="850"/>
      <c r="T432" s="851"/>
      <c r="U432" s="851"/>
      <c r="V432" s="851"/>
      <c r="W432" s="851"/>
      <c r="X432" s="851"/>
      <c r="Y432" s="851"/>
      <c r="Z432" s="851"/>
      <c r="AA432" s="851"/>
      <c r="AB432" s="851"/>
      <c r="AC432" s="851"/>
      <c r="AD432" s="851"/>
      <c r="AE432" s="851"/>
      <c r="AF432" s="851"/>
      <c r="AG432" s="851"/>
      <c r="AH432" s="852"/>
      <c r="AI432" s="852"/>
      <c r="AJ432" s="852"/>
      <c r="AK432" s="852"/>
      <c r="AL432" s="852"/>
      <c r="AM432" s="852"/>
      <c r="AN432" s="852"/>
      <c r="AO432" s="852"/>
      <c r="AP432" s="852"/>
      <c r="AQ432" s="852"/>
      <c r="AR432" s="852"/>
      <c r="AS432" s="852"/>
      <c r="AT432" s="852"/>
      <c r="AU432" s="852"/>
      <c r="AV432" s="852"/>
      <c r="AW432" s="852"/>
      <c r="AX432" s="849"/>
      <c r="AY432" s="847"/>
      <c r="AZ432" s="847"/>
      <c r="BA432" s="847"/>
      <c r="BB432" s="847"/>
      <c r="BC432" s="853"/>
      <c r="BD432" s="854"/>
      <c r="BE432" s="854"/>
      <c r="BF432" s="854"/>
      <c r="BG432" s="870">
        <f t="shared" si="130"/>
        <v>109</v>
      </c>
      <c r="BH432" s="860" t="s">
        <v>45</v>
      </c>
      <c r="BI432" s="854"/>
      <c r="BJ432" s="871">
        <v>0</v>
      </c>
      <c r="BK432" s="872">
        <f t="shared" si="126"/>
        <v>0</v>
      </c>
      <c r="BL432" s="871">
        <v>0</v>
      </c>
      <c r="BM432" s="872">
        <f t="shared" si="127"/>
        <v>0</v>
      </c>
      <c r="BN432" s="871">
        <v>0</v>
      </c>
      <c r="BO432" s="872">
        <f t="shared" si="128"/>
        <v>0</v>
      </c>
      <c r="BP432" s="871">
        <v>0</v>
      </c>
      <c r="BQ432" s="872">
        <f t="shared" si="129"/>
        <v>0</v>
      </c>
      <c r="BR432" s="854"/>
      <c r="BS432" s="854"/>
      <c r="BT432" s="854"/>
      <c r="BU432" s="854"/>
      <c r="BV432" s="854"/>
      <c r="BW432" s="854"/>
      <c r="BX432" s="854"/>
      <c r="BY432" s="854"/>
      <c r="BZ432" s="854"/>
      <c r="CA432" s="854"/>
      <c r="CB432" s="854"/>
      <c r="CC432" s="854"/>
      <c r="CD432" s="854"/>
      <c r="CE432" s="854"/>
      <c r="CF432" s="854"/>
      <c r="CG432" s="854" t="s">
        <v>45</v>
      </c>
    </row>
    <row r="433" spans="1:85" ht="15.75" customHeight="1">
      <c r="A433" s="847"/>
      <c r="B433" s="1126"/>
      <c r="C433" s="1126"/>
      <c r="D433" s="1126"/>
      <c r="E433" s="1126"/>
      <c r="F433" s="1126"/>
      <c r="G433" s="1126"/>
      <c r="H433" s="1126"/>
      <c r="I433" s="1126"/>
      <c r="J433" s="1126"/>
      <c r="K433" s="1126"/>
      <c r="L433" s="1126"/>
      <c r="M433" s="848"/>
      <c r="N433" s="849"/>
      <c r="O433" s="850"/>
      <c r="P433" s="850"/>
      <c r="Q433" s="850"/>
      <c r="R433" s="850"/>
      <c r="S433" s="850"/>
      <c r="T433" s="851"/>
      <c r="U433" s="851"/>
      <c r="V433" s="851"/>
      <c r="W433" s="851"/>
      <c r="X433" s="851"/>
      <c r="Y433" s="851"/>
      <c r="Z433" s="851"/>
      <c r="AA433" s="851"/>
      <c r="AB433" s="851"/>
      <c r="AC433" s="851"/>
      <c r="AD433" s="851"/>
      <c r="AE433" s="851"/>
      <c r="AF433" s="851"/>
      <c r="AG433" s="851"/>
      <c r="AH433" s="852"/>
      <c r="AI433" s="852"/>
      <c r="AJ433" s="852"/>
      <c r="AK433" s="852"/>
      <c r="AL433" s="852"/>
      <c r="AM433" s="852"/>
      <c r="AN433" s="852"/>
      <c r="AO433" s="852"/>
      <c r="AP433" s="852"/>
      <c r="AQ433" s="852"/>
      <c r="AR433" s="852"/>
      <c r="AS433" s="852"/>
      <c r="AT433" s="852"/>
      <c r="AU433" s="852"/>
      <c r="AV433" s="852"/>
      <c r="AW433" s="852"/>
      <c r="AX433" s="849"/>
      <c r="AY433" s="847"/>
      <c r="AZ433" s="847"/>
      <c r="BA433" s="847"/>
      <c r="BB433" s="847"/>
      <c r="BC433" s="853"/>
      <c r="BD433" s="854"/>
      <c r="BE433" s="854"/>
      <c r="BF433" s="854"/>
      <c r="BG433" s="870">
        <f t="shared" si="130"/>
        <v>110</v>
      </c>
      <c r="BH433" s="905" t="s">
        <v>412</v>
      </c>
      <c r="BI433" s="912"/>
      <c r="BJ433" s="854">
        <f>BJ402-SUM(BJ403:BJ432)</f>
        <v>-47436.369533999998</v>
      </c>
      <c r="BK433" s="872">
        <f t="shared" si="126"/>
        <v>-245.28561857543559</v>
      </c>
      <c r="BL433" s="854">
        <f>BL402-SUM(BL403:BL432)</f>
        <v>60359.136641999998</v>
      </c>
      <c r="BM433" s="872">
        <f t="shared" si="127"/>
        <v>27.750939847678278</v>
      </c>
      <c r="BN433" s="854">
        <f>BN402-SUM(BN403:BN432)</f>
        <v>886.16689099999871</v>
      </c>
      <c r="BO433" s="872">
        <f t="shared" si="128"/>
        <v>4.6502267580176708</v>
      </c>
      <c r="BP433" s="854">
        <f>BP402-SUM(BP403:BP432)</f>
        <v>25056.066097000003</v>
      </c>
      <c r="BQ433" s="872">
        <f t="shared" si="129"/>
        <v>6.1452847897820799</v>
      </c>
      <c r="BR433" s="854"/>
      <c r="BS433" s="854"/>
      <c r="BT433" s="854"/>
      <c r="BU433" s="854"/>
      <c r="BV433" s="854"/>
      <c r="BW433" s="854"/>
      <c r="BX433" s="854"/>
      <c r="BY433" s="854"/>
      <c r="BZ433" s="854"/>
      <c r="CA433" s="854"/>
      <c r="CB433" s="854"/>
      <c r="CC433" s="854"/>
      <c r="CD433" s="854"/>
      <c r="CE433" s="854"/>
      <c r="CF433" s="854"/>
      <c r="CG433" s="854" t="s">
        <v>45</v>
      </c>
    </row>
    <row r="434" spans="1:85" ht="15.75" customHeight="1">
      <c r="A434" s="847"/>
      <c r="B434" s="1126"/>
      <c r="C434" s="1126"/>
      <c r="D434" s="1126"/>
      <c r="E434" s="1126"/>
      <c r="F434" s="1126"/>
      <c r="G434" s="1126"/>
      <c r="H434" s="1126"/>
      <c r="I434" s="1126"/>
      <c r="J434" s="1126"/>
      <c r="K434" s="1126"/>
      <c r="L434" s="1126"/>
      <c r="M434" s="848"/>
      <c r="N434" s="849"/>
      <c r="O434" s="850"/>
      <c r="P434" s="850"/>
      <c r="Q434" s="850"/>
      <c r="R434" s="850"/>
      <c r="S434" s="850"/>
      <c r="T434" s="851"/>
      <c r="U434" s="851"/>
      <c r="V434" s="851"/>
      <c r="W434" s="851"/>
      <c r="X434" s="851"/>
      <c r="Y434" s="851"/>
      <c r="Z434" s="851"/>
      <c r="AA434" s="851"/>
      <c r="AB434" s="851"/>
      <c r="AC434" s="851"/>
      <c r="AD434" s="851"/>
      <c r="AE434" s="851"/>
      <c r="AF434" s="851"/>
      <c r="AG434" s="851"/>
      <c r="AH434" s="852"/>
      <c r="AI434" s="852"/>
      <c r="AJ434" s="852"/>
      <c r="AK434" s="852"/>
      <c r="AL434" s="852"/>
      <c r="AM434" s="852"/>
      <c r="AN434" s="852"/>
      <c r="AO434" s="852"/>
      <c r="AP434" s="852"/>
      <c r="AQ434" s="852"/>
      <c r="AR434" s="852"/>
      <c r="AS434" s="852"/>
      <c r="AT434" s="852"/>
      <c r="AU434" s="852"/>
      <c r="AV434" s="852"/>
      <c r="AW434" s="852"/>
      <c r="AX434" s="849"/>
      <c r="AY434" s="847"/>
      <c r="AZ434" s="847"/>
      <c r="BA434" s="847"/>
      <c r="BB434" s="847"/>
      <c r="BC434" s="853"/>
      <c r="BD434" s="854"/>
      <c r="BE434" s="854"/>
      <c r="BF434" s="854"/>
      <c r="BG434" s="870">
        <f t="shared" si="130"/>
        <v>111</v>
      </c>
      <c r="BH434" s="860" t="s">
        <v>413</v>
      </c>
      <c r="BI434" s="912"/>
      <c r="BJ434" s="871">
        <v>0</v>
      </c>
      <c r="BK434" s="872">
        <f t="shared" si="126"/>
        <v>0</v>
      </c>
      <c r="BL434" s="871">
        <v>0</v>
      </c>
      <c r="BM434" s="872">
        <f t="shared" si="127"/>
        <v>0</v>
      </c>
      <c r="BN434" s="871">
        <v>0</v>
      </c>
      <c r="BO434" s="872">
        <f t="shared" si="128"/>
        <v>0</v>
      </c>
      <c r="BP434" s="871">
        <v>0</v>
      </c>
      <c r="BQ434" s="872">
        <f t="shared" si="129"/>
        <v>0</v>
      </c>
      <c r="BR434" s="854"/>
      <c r="BS434" s="854"/>
      <c r="BT434" s="854"/>
      <c r="BU434" s="854"/>
      <c r="BV434" s="854"/>
      <c r="BW434" s="854"/>
      <c r="BX434" s="854"/>
      <c r="BY434" s="854"/>
      <c r="BZ434" s="854"/>
      <c r="CA434" s="854"/>
      <c r="CB434" s="854"/>
      <c r="CC434" s="854"/>
      <c r="CD434" s="854"/>
      <c r="CE434" s="854"/>
      <c r="CF434" s="854"/>
      <c r="CG434" s="854" t="s">
        <v>45</v>
      </c>
    </row>
    <row r="435" spans="1:85" ht="15.75" customHeight="1">
      <c r="A435" s="847"/>
      <c r="B435" s="1126"/>
      <c r="C435" s="1126"/>
      <c r="D435" s="1126"/>
      <c r="E435" s="1126"/>
      <c r="F435" s="1126"/>
      <c r="G435" s="1126"/>
      <c r="H435" s="1126"/>
      <c r="I435" s="1126"/>
      <c r="J435" s="1126"/>
      <c r="K435" s="1126"/>
      <c r="L435" s="1126"/>
      <c r="M435" s="848"/>
      <c r="N435" s="849"/>
      <c r="O435" s="850"/>
      <c r="P435" s="850"/>
      <c r="Q435" s="850"/>
      <c r="R435" s="850"/>
      <c r="S435" s="850"/>
      <c r="T435" s="851"/>
      <c r="U435" s="851"/>
      <c r="V435" s="851"/>
      <c r="W435" s="851"/>
      <c r="X435" s="851"/>
      <c r="Y435" s="851"/>
      <c r="Z435" s="851"/>
      <c r="AA435" s="851"/>
      <c r="AB435" s="851"/>
      <c r="AC435" s="851"/>
      <c r="AD435" s="851"/>
      <c r="AE435" s="851"/>
      <c r="AF435" s="851"/>
      <c r="AG435" s="851"/>
      <c r="AH435" s="852"/>
      <c r="AI435" s="852"/>
      <c r="AJ435" s="852"/>
      <c r="AK435" s="852"/>
      <c r="AL435" s="852"/>
      <c r="AM435" s="852"/>
      <c r="AN435" s="852"/>
      <c r="AO435" s="852"/>
      <c r="AP435" s="852"/>
      <c r="AQ435" s="852"/>
      <c r="AR435" s="852"/>
      <c r="AS435" s="852"/>
      <c r="AT435" s="852"/>
      <c r="AU435" s="852"/>
      <c r="AV435" s="852"/>
      <c r="AW435" s="852"/>
      <c r="AX435" s="849"/>
      <c r="AY435" s="847"/>
      <c r="AZ435" s="847"/>
      <c r="BA435" s="847"/>
      <c r="BB435" s="847"/>
      <c r="BC435" s="853"/>
      <c r="BD435" s="854"/>
      <c r="BE435" s="854"/>
      <c r="BF435" s="854"/>
      <c r="BG435" s="870">
        <f t="shared" si="130"/>
        <v>112</v>
      </c>
      <c r="BH435" s="860" t="s">
        <v>414</v>
      </c>
      <c r="BI435" s="912"/>
      <c r="BJ435" s="871">
        <v>0</v>
      </c>
      <c r="BK435" s="872">
        <f t="shared" si="126"/>
        <v>0</v>
      </c>
      <c r="BL435" s="871">
        <v>0</v>
      </c>
      <c r="BM435" s="872">
        <f t="shared" si="127"/>
        <v>0</v>
      </c>
      <c r="BN435" s="871">
        <v>0</v>
      </c>
      <c r="BO435" s="872">
        <f t="shared" si="128"/>
        <v>0</v>
      </c>
      <c r="BP435" s="871">
        <v>0</v>
      </c>
      <c r="BQ435" s="872">
        <f t="shared" si="129"/>
        <v>0</v>
      </c>
      <c r="BR435" s="854"/>
      <c r="BS435" s="854"/>
      <c r="BT435" s="854"/>
      <c r="BU435" s="854"/>
      <c r="BV435" s="854"/>
      <c r="BW435" s="854"/>
      <c r="BX435" s="854"/>
      <c r="BY435" s="854"/>
      <c r="BZ435" s="854"/>
      <c r="CA435" s="854"/>
      <c r="CB435" s="854"/>
      <c r="CC435" s="854"/>
      <c r="CD435" s="854"/>
      <c r="CE435" s="854"/>
      <c r="CF435" s="854"/>
      <c r="CG435" s="854" t="s">
        <v>45</v>
      </c>
    </row>
    <row r="436" spans="1:85" ht="15.75" customHeight="1">
      <c r="A436" s="847"/>
      <c r="B436" s="1126"/>
      <c r="C436" s="1126"/>
      <c r="D436" s="1126"/>
      <c r="E436" s="1126"/>
      <c r="F436" s="1126"/>
      <c r="G436" s="1126"/>
      <c r="H436" s="1126"/>
      <c r="I436" s="1126"/>
      <c r="J436" s="1126"/>
      <c r="K436" s="1126"/>
      <c r="L436" s="1126"/>
      <c r="M436" s="848"/>
      <c r="N436" s="849"/>
      <c r="O436" s="850"/>
      <c r="P436" s="850"/>
      <c r="Q436" s="850"/>
      <c r="R436" s="850"/>
      <c r="S436" s="850"/>
      <c r="T436" s="851"/>
      <c r="U436" s="851"/>
      <c r="V436" s="851"/>
      <c r="W436" s="851"/>
      <c r="X436" s="851"/>
      <c r="Y436" s="851"/>
      <c r="Z436" s="851"/>
      <c r="AA436" s="851"/>
      <c r="AB436" s="851"/>
      <c r="AC436" s="851"/>
      <c r="AD436" s="851"/>
      <c r="AE436" s="851"/>
      <c r="AF436" s="851"/>
      <c r="AG436" s="851"/>
      <c r="AH436" s="852"/>
      <c r="AI436" s="852"/>
      <c r="AJ436" s="852"/>
      <c r="AK436" s="852"/>
      <c r="AL436" s="852"/>
      <c r="AM436" s="852"/>
      <c r="AN436" s="852"/>
      <c r="AO436" s="852"/>
      <c r="AP436" s="852"/>
      <c r="AQ436" s="852"/>
      <c r="AR436" s="852"/>
      <c r="AS436" s="852"/>
      <c r="AT436" s="852"/>
      <c r="AU436" s="852"/>
      <c r="AV436" s="852"/>
      <c r="AW436" s="852"/>
      <c r="AX436" s="849"/>
      <c r="AY436" s="847"/>
      <c r="AZ436" s="847"/>
      <c r="BA436" s="847"/>
      <c r="BB436" s="847"/>
      <c r="BC436" s="853"/>
      <c r="BD436" s="854"/>
      <c r="BE436" s="854"/>
      <c r="BF436" s="854"/>
      <c r="BG436" s="870">
        <f t="shared" si="130"/>
        <v>113</v>
      </c>
      <c r="BH436" s="860" t="s">
        <v>45</v>
      </c>
      <c r="BI436" s="912"/>
      <c r="BJ436" s="871">
        <v>0</v>
      </c>
      <c r="BK436" s="872">
        <f t="shared" si="126"/>
        <v>0</v>
      </c>
      <c r="BL436" s="871">
        <v>0</v>
      </c>
      <c r="BM436" s="872">
        <f t="shared" si="127"/>
        <v>0</v>
      </c>
      <c r="BN436" s="871">
        <v>0</v>
      </c>
      <c r="BO436" s="872">
        <f t="shared" si="128"/>
        <v>0</v>
      </c>
      <c r="BP436" s="871">
        <v>0</v>
      </c>
      <c r="BQ436" s="872">
        <f t="shared" si="129"/>
        <v>0</v>
      </c>
      <c r="BR436" s="854"/>
      <c r="BS436" s="854"/>
      <c r="BT436" s="854"/>
      <c r="BU436" s="854"/>
      <c r="BV436" s="854"/>
      <c r="BW436" s="854"/>
      <c r="BX436" s="854"/>
      <c r="BY436" s="854"/>
      <c r="BZ436" s="854"/>
      <c r="CA436" s="854"/>
      <c r="CB436" s="854"/>
      <c r="CC436" s="854"/>
      <c r="CD436" s="854"/>
      <c r="CE436" s="854"/>
      <c r="CF436" s="854"/>
      <c r="CG436" s="854" t="s">
        <v>45</v>
      </c>
    </row>
    <row r="437" spans="1:85" ht="15.75" customHeight="1">
      <c r="A437" s="847"/>
      <c r="B437" s="1126"/>
      <c r="C437" s="1126"/>
      <c r="D437" s="1126"/>
      <c r="E437" s="1126"/>
      <c r="F437" s="1126"/>
      <c r="G437" s="1126"/>
      <c r="H437" s="1126"/>
      <c r="I437" s="1126"/>
      <c r="J437" s="1126"/>
      <c r="K437" s="1126"/>
      <c r="L437" s="1126"/>
      <c r="M437" s="848"/>
      <c r="N437" s="849"/>
      <c r="O437" s="850"/>
      <c r="P437" s="850"/>
      <c r="Q437" s="850"/>
      <c r="R437" s="850"/>
      <c r="S437" s="850"/>
      <c r="T437" s="851"/>
      <c r="U437" s="851"/>
      <c r="V437" s="851"/>
      <c r="W437" s="851"/>
      <c r="X437" s="851"/>
      <c r="Y437" s="851"/>
      <c r="Z437" s="851"/>
      <c r="AA437" s="851"/>
      <c r="AB437" s="851"/>
      <c r="AC437" s="851"/>
      <c r="AD437" s="851"/>
      <c r="AE437" s="851"/>
      <c r="AF437" s="851"/>
      <c r="AG437" s="851"/>
      <c r="AH437" s="852"/>
      <c r="AI437" s="852"/>
      <c r="AJ437" s="852"/>
      <c r="AK437" s="852"/>
      <c r="AL437" s="852"/>
      <c r="AM437" s="852"/>
      <c r="AN437" s="852"/>
      <c r="AO437" s="852"/>
      <c r="AP437" s="852"/>
      <c r="AQ437" s="852"/>
      <c r="AR437" s="852"/>
      <c r="AS437" s="852"/>
      <c r="AT437" s="852"/>
      <c r="AU437" s="852"/>
      <c r="AV437" s="852"/>
      <c r="AW437" s="852"/>
      <c r="AX437" s="849"/>
      <c r="AY437" s="847"/>
      <c r="AZ437" s="847"/>
      <c r="BA437" s="847"/>
      <c r="BB437" s="847"/>
      <c r="BC437" s="853"/>
      <c r="BD437" s="854"/>
      <c r="BE437" s="854"/>
      <c r="BF437" s="854"/>
      <c r="BG437" s="870">
        <f t="shared" si="130"/>
        <v>114</v>
      </c>
      <c r="BH437" s="860" t="s">
        <v>45</v>
      </c>
      <c r="BI437" s="912"/>
      <c r="BJ437" s="871">
        <v>0</v>
      </c>
      <c r="BK437" s="872">
        <f t="shared" si="126"/>
        <v>0</v>
      </c>
      <c r="BL437" s="871">
        <v>0</v>
      </c>
      <c r="BM437" s="872">
        <f t="shared" si="127"/>
        <v>0</v>
      </c>
      <c r="BN437" s="871">
        <v>0</v>
      </c>
      <c r="BO437" s="872">
        <f t="shared" si="128"/>
        <v>0</v>
      </c>
      <c r="BP437" s="871">
        <v>0</v>
      </c>
      <c r="BQ437" s="872">
        <f t="shared" si="129"/>
        <v>0</v>
      </c>
      <c r="BR437" s="854"/>
      <c r="BS437" s="854"/>
      <c r="BT437" s="854"/>
      <c r="BU437" s="854"/>
      <c r="BV437" s="854"/>
      <c r="BW437" s="854"/>
      <c r="BX437" s="854"/>
      <c r="BY437" s="854"/>
      <c r="BZ437" s="854"/>
      <c r="CA437" s="854"/>
      <c r="CB437" s="854"/>
      <c r="CC437" s="854"/>
      <c r="CD437" s="854"/>
      <c r="CE437" s="854"/>
      <c r="CF437" s="854"/>
      <c r="CG437" s="854" t="s">
        <v>45</v>
      </c>
    </row>
    <row r="438" spans="1:85" ht="15.75" customHeight="1">
      <c r="A438" s="847"/>
      <c r="B438" s="1126"/>
      <c r="C438" s="1126"/>
      <c r="D438" s="1126"/>
      <c r="E438" s="1126"/>
      <c r="F438" s="1126"/>
      <c r="G438" s="1126"/>
      <c r="H438" s="1126"/>
      <c r="I438" s="1126"/>
      <c r="J438" s="1126"/>
      <c r="K438" s="1126"/>
      <c r="L438" s="1126"/>
      <c r="M438" s="848"/>
      <c r="N438" s="849"/>
      <c r="O438" s="850"/>
      <c r="P438" s="850"/>
      <c r="Q438" s="850"/>
      <c r="R438" s="850"/>
      <c r="S438" s="850"/>
      <c r="T438" s="851"/>
      <c r="U438" s="851"/>
      <c r="V438" s="851"/>
      <c r="W438" s="851"/>
      <c r="X438" s="851"/>
      <c r="Y438" s="851"/>
      <c r="Z438" s="851"/>
      <c r="AA438" s="851"/>
      <c r="AB438" s="851"/>
      <c r="AC438" s="851"/>
      <c r="AD438" s="851"/>
      <c r="AE438" s="851"/>
      <c r="AF438" s="851"/>
      <c r="AG438" s="851"/>
      <c r="AH438" s="852"/>
      <c r="AI438" s="852"/>
      <c r="AJ438" s="852"/>
      <c r="AK438" s="852"/>
      <c r="AL438" s="852"/>
      <c r="AM438" s="852"/>
      <c r="AN438" s="852"/>
      <c r="AO438" s="852"/>
      <c r="AP438" s="852"/>
      <c r="AQ438" s="852"/>
      <c r="AR438" s="852"/>
      <c r="AS438" s="852"/>
      <c r="AT438" s="852"/>
      <c r="AU438" s="852"/>
      <c r="AV438" s="852"/>
      <c r="AW438" s="852"/>
      <c r="AX438" s="849"/>
      <c r="AY438" s="847"/>
      <c r="AZ438" s="847"/>
      <c r="BA438" s="847"/>
      <c r="BB438" s="847"/>
      <c r="BC438" s="853"/>
      <c r="BD438" s="854"/>
      <c r="BE438" s="854"/>
      <c r="BF438" s="854"/>
      <c r="BG438" s="870">
        <f t="shared" si="130"/>
        <v>115</v>
      </c>
      <c r="BH438" s="860" t="s">
        <v>45</v>
      </c>
      <c r="BI438" s="912"/>
      <c r="BJ438" s="871">
        <v>0</v>
      </c>
      <c r="BK438" s="872">
        <f t="shared" si="126"/>
        <v>0</v>
      </c>
      <c r="BL438" s="871">
        <v>0</v>
      </c>
      <c r="BM438" s="872">
        <f t="shared" si="127"/>
        <v>0</v>
      </c>
      <c r="BN438" s="871">
        <v>0</v>
      </c>
      <c r="BO438" s="872">
        <f t="shared" si="128"/>
        <v>0</v>
      </c>
      <c r="BP438" s="871">
        <v>0</v>
      </c>
      <c r="BQ438" s="872">
        <f t="shared" si="129"/>
        <v>0</v>
      </c>
      <c r="BR438" s="854"/>
      <c r="BS438" s="854"/>
      <c r="BT438" s="854"/>
      <c r="BU438" s="854"/>
      <c r="BV438" s="854"/>
      <c r="BW438" s="854"/>
      <c r="BX438" s="854"/>
      <c r="BY438" s="854"/>
      <c r="BZ438" s="854"/>
      <c r="CA438" s="854"/>
      <c r="CB438" s="854"/>
      <c r="CC438" s="854"/>
      <c r="CD438" s="854"/>
      <c r="CE438" s="854"/>
      <c r="CF438" s="854"/>
      <c r="CG438" s="854" t="s">
        <v>45</v>
      </c>
    </row>
    <row r="439" spans="1:85" ht="15.75" customHeight="1">
      <c r="A439" s="847"/>
      <c r="B439" s="1126"/>
      <c r="C439" s="1126"/>
      <c r="D439" s="1126"/>
      <c r="E439" s="1126"/>
      <c r="F439" s="1126"/>
      <c r="G439" s="1126"/>
      <c r="H439" s="1126"/>
      <c r="I439" s="1126"/>
      <c r="J439" s="1126"/>
      <c r="K439" s="1126"/>
      <c r="L439" s="1126"/>
      <c r="M439" s="848"/>
      <c r="N439" s="849"/>
      <c r="O439" s="850"/>
      <c r="P439" s="850"/>
      <c r="Q439" s="850"/>
      <c r="R439" s="850"/>
      <c r="S439" s="850"/>
      <c r="T439" s="851"/>
      <c r="U439" s="851"/>
      <c r="V439" s="851"/>
      <c r="W439" s="851"/>
      <c r="X439" s="851"/>
      <c r="Y439" s="851"/>
      <c r="Z439" s="851"/>
      <c r="AA439" s="851"/>
      <c r="AB439" s="851"/>
      <c r="AC439" s="851"/>
      <c r="AD439" s="851"/>
      <c r="AE439" s="851"/>
      <c r="AF439" s="851"/>
      <c r="AG439" s="851"/>
      <c r="AH439" s="852"/>
      <c r="AI439" s="852"/>
      <c r="AJ439" s="852"/>
      <c r="AK439" s="852"/>
      <c r="AL439" s="852"/>
      <c r="AM439" s="852"/>
      <c r="AN439" s="852"/>
      <c r="AO439" s="852"/>
      <c r="AP439" s="852"/>
      <c r="AQ439" s="852"/>
      <c r="AR439" s="852"/>
      <c r="AS439" s="852"/>
      <c r="AT439" s="852"/>
      <c r="AU439" s="852"/>
      <c r="AV439" s="852"/>
      <c r="AW439" s="852"/>
      <c r="AX439" s="849"/>
      <c r="AY439" s="847"/>
      <c r="AZ439" s="847"/>
      <c r="BA439" s="847"/>
      <c r="BB439" s="847"/>
      <c r="BC439" s="853"/>
      <c r="BD439" s="854"/>
      <c r="BE439" s="854"/>
      <c r="BF439" s="854"/>
      <c r="BG439" s="870">
        <f t="shared" si="130"/>
        <v>116</v>
      </c>
      <c r="BH439" s="860" t="s">
        <v>45</v>
      </c>
      <c r="BI439" s="912"/>
      <c r="BJ439" s="871">
        <v>0</v>
      </c>
      <c r="BK439" s="872">
        <f t="shared" si="126"/>
        <v>0</v>
      </c>
      <c r="BL439" s="871">
        <v>0</v>
      </c>
      <c r="BM439" s="872">
        <f t="shared" si="127"/>
        <v>0</v>
      </c>
      <c r="BN439" s="871">
        <v>0</v>
      </c>
      <c r="BO439" s="872">
        <f t="shared" si="128"/>
        <v>0</v>
      </c>
      <c r="BP439" s="871">
        <v>0</v>
      </c>
      <c r="BQ439" s="872">
        <f t="shared" si="129"/>
        <v>0</v>
      </c>
      <c r="BR439" s="854"/>
      <c r="BS439" s="854"/>
      <c r="BT439" s="854"/>
      <c r="BU439" s="854"/>
      <c r="BV439" s="854"/>
      <c r="BW439" s="854"/>
      <c r="BX439" s="854"/>
      <c r="BY439" s="854"/>
      <c r="BZ439" s="854"/>
      <c r="CA439" s="854"/>
      <c r="CB439" s="854"/>
      <c r="CC439" s="854"/>
      <c r="CD439" s="854"/>
      <c r="CE439" s="854"/>
      <c r="CF439" s="854"/>
      <c r="CG439" s="854" t="s">
        <v>45</v>
      </c>
    </row>
    <row r="440" spans="1:85" ht="15.75" customHeight="1">
      <c r="A440" s="847"/>
      <c r="B440" s="1126"/>
      <c r="C440" s="1126"/>
      <c r="D440" s="1126"/>
      <c r="E440" s="1126"/>
      <c r="F440" s="1126"/>
      <c r="G440" s="1126"/>
      <c r="H440" s="1126"/>
      <c r="I440" s="1126"/>
      <c r="J440" s="1126"/>
      <c r="K440" s="1126"/>
      <c r="L440" s="1126"/>
      <c r="M440" s="848"/>
      <c r="N440" s="849"/>
      <c r="O440" s="850"/>
      <c r="P440" s="850"/>
      <c r="Q440" s="850"/>
      <c r="R440" s="850"/>
      <c r="S440" s="850"/>
      <c r="T440" s="851"/>
      <c r="U440" s="851"/>
      <c r="V440" s="851"/>
      <c r="W440" s="851"/>
      <c r="X440" s="851"/>
      <c r="Y440" s="851"/>
      <c r="Z440" s="851"/>
      <c r="AA440" s="851"/>
      <c r="AB440" s="851"/>
      <c r="AC440" s="851"/>
      <c r="AD440" s="851"/>
      <c r="AE440" s="851"/>
      <c r="AF440" s="851"/>
      <c r="AG440" s="851"/>
      <c r="AH440" s="852"/>
      <c r="AI440" s="852"/>
      <c r="AJ440" s="852"/>
      <c r="AK440" s="852"/>
      <c r="AL440" s="852"/>
      <c r="AM440" s="852"/>
      <c r="AN440" s="852"/>
      <c r="AO440" s="852"/>
      <c r="AP440" s="852"/>
      <c r="AQ440" s="852"/>
      <c r="AR440" s="852"/>
      <c r="AS440" s="852"/>
      <c r="AT440" s="852"/>
      <c r="AU440" s="852"/>
      <c r="AV440" s="852"/>
      <c r="AW440" s="852"/>
      <c r="AX440" s="849"/>
      <c r="AY440" s="847"/>
      <c r="AZ440" s="847"/>
      <c r="BA440" s="847"/>
      <c r="BB440" s="847"/>
      <c r="BC440" s="853"/>
      <c r="BD440" s="854"/>
      <c r="BE440" s="854"/>
      <c r="BF440" s="854"/>
      <c r="BG440" s="870">
        <f t="shared" si="130"/>
        <v>117</v>
      </c>
      <c r="BH440" s="860" t="s">
        <v>45</v>
      </c>
      <c r="BI440" s="912"/>
      <c r="BJ440" s="871">
        <v>0</v>
      </c>
      <c r="BK440" s="872">
        <f t="shared" si="126"/>
        <v>0</v>
      </c>
      <c r="BL440" s="871">
        <v>0</v>
      </c>
      <c r="BM440" s="872">
        <f t="shared" si="127"/>
        <v>0</v>
      </c>
      <c r="BN440" s="871">
        <v>0</v>
      </c>
      <c r="BO440" s="872">
        <f t="shared" si="128"/>
        <v>0</v>
      </c>
      <c r="BP440" s="871">
        <v>0</v>
      </c>
      <c r="BQ440" s="872">
        <f t="shared" si="129"/>
        <v>0</v>
      </c>
      <c r="BR440" s="854"/>
      <c r="BS440" s="854"/>
      <c r="BT440" s="854"/>
      <c r="BU440" s="854"/>
      <c r="BV440" s="854"/>
      <c r="BW440" s="854"/>
      <c r="BX440" s="854"/>
      <c r="BY440" s="854"/>
      <c r="BZ440" s="854"/>
      <c r="CA440" s="854"/>
      <c r="CB440" s="854"/>
      <c r="CC440" s="854"/>
      <c r="CD440" s="854"/>
      <c r="CE440" s="854"/>
      <c r="CF440" s="854"/>
      <c r="CG440" s="854" t="s">
        <v>45</v>
      </c>
    </row>
    <row r="441" spans="1:85" ht="15.75" customHeight="1">
      <c r="A441" s="847"/>
      <c r="B441" s="1126"/>
      <c r="C441" s="1126"/>
      <c r="D441" s="1126"/>
      <c r="E441" s="1126"/>
      <c r="F441" s="1126"/>
      <c r="G441" s="1126"/>
      <c r="H441" s="1126"/>
      <c r="I441" s="1126"/>
      <c r="J441" s="1126"/>
      <c r="K441" s="1126"/>
      <c r="L441" s="1126"/>
      <c r="M441" s="848"/>
      <c r="N441" s="849"/>
      <c r="O441" s="850"/>
      <c r="P441" s="850"/>
      <c r="Q441" s="850"/>
      <c r="R441" s="850"/>
      <c r="S441" s="850"/>
      <c r="T441" s="851"/>
      <c r="U441" s="851"/>
      <c r="V441" s="851"/>
      <c r="W441" s="851"/>
      <c r="X441" s="851"/>
      <c r="Y441" s="851"/>
      <c r="Z441" s="851"/>
      <c r="AA441" s="851"/>
      <c r="AB441" s="851"/>
      <c r="AC441" s="851"/>
      <c r="AD441" s="851"/>
      <c r="AE441" s="851"/>
      <c r="AF441" s="851"/>
      <c r="AG441" s="851"/>
      <c r="AH441" s="852"/>
      <c r="AI441" s="852"/>
      <c r="AJ441" s="852"/>
      <c r="AK441" s="852"/>
      <c r="AL441" s="852"/>
      <c r="AM441" s="852"/>
      <c r="AN441" s="852"/>
      <c r="AO441" s="852"/>
      <c r="AP441" s="852"/>
      <c r="AQ441" s="852"/>
      <c r="AR441" s="852"/>
      <c r="AS441" s="852"/>
      <c r="AT441" s="852"/>
      <c r="AU441" s="852"/>
      <c r="AV441" s="852"/>
      <c r="AW441" s="852"/>
      <c r="AX441" s="849"/>
      <c r="AY441" s="847"/>
      <c r="AZ441" s="847"/>
      <c r="BA441" s="847"/>
      <c r="BB441" s="847"/>
      <c r="BC441" s="853"/>
      <c r="BD441" s="854"/>
      <c r="BE441" s="854"/>
      <c r="BF441" s="854"/>
      <c r="BG441" s="870">
        <f t="shared" si="130"/>
        <v>118</v>
      </c>
      <c r="BH441" s="860" t="s">
        <v>45</v>
      </c>
      <c r="BI441" s="912"/>
      <c r="BJ441" s="871">
        <v>0</v>
      </c>
      <c r="BK441" s="872">
        <f t="shared" si="126"/>
        <v>0</v>
      </c>
      <c r="BL441" s="871">
        <v>0</v>
      </c>
      <c r="BM441" s="872">
        <f t="shared" si="127"/>
        <v>0</v>
      </c>
      <c r="BN441" s="871">
        <v>0</v>
      </c>
      <c r="BO441" s="872">
        <f t="shared" si="128"/>
        <v>0</v>
      </c>
      <c r="BP441" s="871">
        <v>0</v>
      </c>
      <c r="BQ441" s="872">
        <f t="shared" si="129"/>
        <v>0</v>
      </c>
      <c r="BR441" s="854"/>
      <c r="BS441" s="854"/>
      <c r="BT441" s="854"/>
      <c r="BU441" s="854"/>
      <c r="BV441" s="854"/>
      <c r="BW441" s="854"/>
      <c r="BX441" s="854"/>
      <c r="BY441" s="854"/>
      <c r="BZ441" s="854"/>
      <c r="CA441" s="854"/>
      <c r="CB441" s="854"/>
      <c r="CC441" s="854"/>
      <c r="CD441" s="854"/>
      <c r="CE441" s="854"/>
      <c r="CF441" s="854"/>
      <c r="CG441" s="854" t="s">
        <v>45</v>
      </c>
    </row>
    <row r="442" spans="1:85" ht="15.75" customHeight="1">
      <c r="A442" s="847"/>
      <c r="B442" s="1126"/>
      <c r="C442" s="1126"/>
      <c r="D442" s="1126"/>
      <c r="E442" s="1126"/>
      <c r="F442" s="1126"/>
      <c r="G442" s="1126"/>
      <c r="H442" s="1126"/>
      <c r="I442" s="1126"/>
      <c r="J442" s="1126"/>
      <c r="K442" s="1126"/>
      <c r="L442" s="1126"/>
      <c r="M442" s="848"/>
      <c r="N442" s="849"/>
      <c r="O442" s="850"/>
      <c r="P442" s="850"/>
      <c r="Q442" s="850"/>
      <c r="R442" s="850"/>
      <c r="S442" s="850"/>
      <c r="T442" s="851"/>
      <c r="U442" s="851"/>
      <c r="V442" s="851"/>
      <c r="W442" s="851"/>
      <c r="X442" s="851"/>
      <c r="Y442" s="851"/>
      <c r="Z442" s="851"/>
      <c r="AA442" s="851"/>
      <c r="AB442" s="851"/>
      <c r="AC442" s="851"/>
      <c r="AD442" s="851"/>
      <c r="AE442" s="851"/>
      <c r="AF442" s="851"/>
      <c r="AG442" s="851"/>
      <c r="AH442" s="852"/>
      <c r="AI442" s="852"/>
      <c r="AJ442" s="852"/>
      <c r="AK442" s="852"/>
      <c r="AL442" s="852"/>
      <c r="AM442" s="852"/>
      <c r="AN442" s="852"/>
      <c r="AO442" s="852"/>
      <c r="AP442" s="852"/>
      <c r="AQ442" s="852"/>
      <c r="AR442" s="852"/>
      <c r="AS442" s="852"/>
      <c r="AT442" s="852"/>
      <c r="AU442" s="852"/>
      <c r="AV442" s="852"/>
      <c r="AW442" s="852"/>
      <c r="AX442" s="849"/>
      <c r="AY442" s="847"/>
      <c r="AZ442" s="847"/>
      <c r="BA442" s="847"/>
      <c r="BB442" s="847"/>
      <c r="BC442" s="853"/>
      <c r="BD442" s="854"/>
      <c r="BE442" s="854"/>
      <c r="BF442" s="854"/>
      <c r="BG442" s="870">
        <f t="shared" si="130"/>
        <v>119</v>
      </c>
      <c r="BH442" s="860" t="s">
        <v>45</v>
      </c>
      <c r="BI442" s="912"/>
      <c r="BJ442" s="871">
        <v>0</v>
      </c>
      <c r="BK442" s="872">
        <f t="shared" si="126"/>
        <v>0</v>
      </c>
      <c r="BL442" s="871">
        <v>0</v>
      </c>
      <c r="BM442" s="872">
        <f t="shared" si="127"/>
        <v>0</v>
      </c>
      <c r="BN442" s="871">
        <v>0</v>
      </c>
      <c r="BO442" s="872">
        <f t="shared" si="128"/>
        <v>0</v>
      </c>
      <c r="BP442" s="871">
        <v>0</v>
      </c>
      <c r="BQ442" s="872">
        <f t="shared" si="129"/>
        <v>0</v>
      </c>
      <c r="BR442" s="854"/>
      <c r="BS442" s="854"/>
      <c r="BT442" s="854"/>
      <c r="BU442" s="854"/>
      <c r="BV442" s="854"/>
      <c r="BW442" s="854"/>
      <c r="BX442" s="854"/>
      <c r="BY442" s="854"/>
      <c r="BZ442" s="854"/>
      <c r="CA442" s="854"/>
      <c r="CB442" s="854"/>
      <c r="CC442" s="854"/>
      <c r="CD442" s="854"/>
      <c r="CE442" s="854"/>
      <c r="CF442" s="854"/>
      <c r="CG442" s="854" t="s">
        <v>45</v>
      </c>
    </row>
    <row r="443" spans="1:85" ht="15.75" customHeight="1">
      <c r="A443" s="847"/>
      <c r="B443" s="1126"/>
      <c r="C443" s="1126"/>
      <c r="D443" s="1126"/>
      <c r="E443" s="1126"/>
      <c r="F443" s="1126"/>
      <c r="G443" s="1126"/>
      <c r="H443" s="1126"/>
      <c r="I443" s="1126"/>
      <c r="J443" s="1126"/>
      <c r="K443" s="1126"/>
      <c r="L443" s="1126"/>
      <c r="M443" s="848"/>
      <c r="N443" s="849"/>
      <c r="O443" s="850"/>
      <c r="P443" s="850"/>
      <c r="Q443" s="850"/>
      <c r="R443" s="850"/>
      <c r="S443" s="850"/>
      <c r="T443" s="851"/>
      <c r="U443" s="851"/>
      <c r="V443" s="851"/>
      <c r="W443" s="851"/>
      <c r="X443" s="851"/>
      <c r="Y443" s="851"/>
      <c r="Z443" s="851"/>
      <c r="AA443" s="851"/>
      <c r="AB443" s="851"/>
      <c r="AC443" s="851"/>
      <c r="AD443" s="851"/>
      <c r="AE443" s="851"/>
      <c r="AF443" s="851"/>
      <c r="AG443" s="851"/>
      <c r="AH443" s="852"/>
      <c r="AI443" s="852"/>
      <c r="AJ443" s="852"/>
      <c r="AK443" s="852"/>
      <c r="AL443" s="852"/>
      <c r="AM443" s="852"/>
      <c r="AN443" s="852"/>
      <c r="AO443" s="852"/>
      <c r="AP443" s="852"/>
      <c r="AQ443" s="852"/>
      <c r="AR443" s="852"/>
      <c r="AS443" s="852"/>
      <c r="AT443" s="852"/>
      <c r="AU443" s="852"/>
      <c r="AV443" s="852"/>
      <c r="AW443" s="852"/>
      <c r="AX443" s="849"/>
      <c r="AY443" s="847"/>
      <c r="AZ443" s="847"/>
      <c r="BA443" s="847"/>
      <c r="BB443" s="847"/>
      <c r="BC443" s="853"/>
      <c r="BD443" s="854"/>
      <c r="BE443" s="854"/>
      <c r="BF443" s="854"/>
      <c r="BG443" s="870">
        <f t="shared" si="130"/>
        <v>120</v>
      </c>
      <c r="BH443" s="860" t="s">
        <v>45</v>
      </c>
      <c r="BI443" s="912"/>
      <c r="BJ443" s="871">
        <v>0</v>
      </c>
      <c r="BK443" s="872">
        <f t="shared" si="126"/>
        <v>0</v>
      </c>
      <c r="BL443" s="871">
        <v>0</v>
      </c>
      <c r="BM443" s="872">
        <f t="shared" si="127"/>
        <v>0</v>
      </c>
      <c r="BN443" s="871">
        <v>0</v>
      </c>
      <c r="BO443" s="872">
        <f t="shared" si="128"/>
        <v>0</v>
      </c>
      <c r="BP443" s="871">
        <v>0</v>
      </c>
      <c r="BQ443" s="872">
        <f t="shared" si="129"/>
        <v>0</v>
      </c>
      <c r="BR443" s="854"/>
      <c r="BS443" s="854"/>
      <c r="BT443" s="854"/>
      <c r="BU443" s="854"/>
      <c r="BV443" s="854"/>
      <c r="BW443" s="854"/>
      <c r="BX443" s="854"/>
      <c r="BY443" s="854"/>
      <c r="BZ443" s="854"/>
      <c r="CA443" s="854"/>
      <c r="CB443" s="854"/>
      <c r="CC443" s="854"/>
      <c r="CD443" s="854"/>
      <c r="CE443" s="854"/>
      <c r="CF443" s="854"/>
      <c r="CG443" s="854" t="s">
        <v>45</v>
      </c>
    </row>
    <row r="444" spans="1:85" ht="15.75" customHeight="1">
      <c r="A444" s="847"/>
      <c r="B444" s="1126"/>
      <c r="C444" s="1126"/>
      <c r="D444" s="1126"/>
      <c r="E444" s="1126"/>
      <c r="F444" s="1126"/>
      <c r="G444" s="1126"/>
      <c r="H444" s="1126"/>
      <c r="I444" s="1126"/>
      <c r="J444" s="1126"/>
      <c r="K444" s="1126"/>
      <c r="L444" s="1126"/>
      <c r="M444" s="848"/>
      <c r="N444" s="849"/>
      <c r="O444" s="850"/>
      <c r="P444" s="850"/>
      <c r="Q444" s="850"/>
      <c r="R444" s="850"/>
      <c r="S444" s="850"/>
      <c r="T444" s="851"/>
      <c r="U444" s="851"/>
      <c r="V444" s="851"/>
      <c r="W444" s="851"/>
      <c r="X444" s="851"/>
      <c r="Y444" s="851"/>
      <c r="Z444" s="851"/>
      <c r="AA444" s="851"/>
      <c r="AB444" s="851"/>
      <c r="AC444" s="851"/>
      <c r="AD444" s="851"/>
      <c r="AE444" s="851"/>
      <c r="AF444" s="851"/>
      <c r="AG444" s="851"/>
      <c r="AH444" s="852"/>
      <c r="AI444" s="852"/>
      <c r="AJ444" s="852"/>
      <c r="AK444" s="852"/>
      <c r="AL444" s="852"/>
      <c r="AM444" s="852"/>
      <c r="AN444" s="852"/>
      <c r="AO444" s="852"/>
      <c r="AP444" s="852"/>
      <c r="AQ444" s="852"/>
      <c r="AR444" s="852"/>
      <c r="AS444" s="852"/>
      <c r="AT444" s="852"/>
      <c r="AU444" s="852"/>
      <c r="AV444" s="852"/>
      <c r="AW444" s="852"/>
      <c r="AX444" s="849"/>
      <c r="AY444" s="847"/>
      <c r="AZ444" s="847"/>
      <c r="BA444" s="847"/>
      <c r="BB444" s="847"/>
      <c r="BC444" s="853"/>
      <c r="BD444" s="854"/>
      <c r="BE444" s="854"/>
      <c r="BF444" s="854"/>
      <c r="BG444" s="870">
        <f t="shared" si="130"/>
        <v>121</v>
      </c>
      <c r="BH444" s="860" t="s">
        <v>45</v>
      </c>
      <c r="BI444" s="912"/>
      <c r="BJ444" s="871">
        <v>0</v>
      </c>
      <c r="BK444" s="872">
        <f t="shared" si="126"/>
        <v>0</v>
      </c>
      <c r="BL444" s="871">
        <v>0</v>
      </c>
      <c r="BM444" s="872">
        <f t="shared" si="127"/>
        <v>0</v>
      </c>
      <c r="BN444" s="871">
        <v>0</v>
      </c>
      <c r="BO444" s="872">
        <f t="shared" si="128"/>
        <v>0</v>
      </c>
      <c r="BP444" s="871">
        <v>0</v>
      </c>
      <c r="BQ444" s="872">
        <f t="shared" si="129"/>
        <v>0</v>
      </c>
      <c r="BR444" s="854"/>
      <c r="BS444" s="854"/>
      <c r="BT444" s="854"/>
      <c r="BU444" s="854"/>
      <c r="BV444" s="854"/>
      <c r="BW444" s="854"/>
      <c r="BX444" s="854"/>
      <c r="BY444" s="854"/>
      <c r="BZ444" s="854"/>
      <c r="CA444" s="854"/>
      <c r="CB444" s="854"/>
      <c r="CC444" s="854"/>
      <c r="CD444" s="854"/>
      <c r="CE444" s="854"/>
      <c r="CF444" s="854"/>
      <c r="CG444" s="854" t="s">
        <v>45</v>
      </c>
    </row>
    <row r="445" spans="1:85" ht="15.75" customHeight="1">
      <c r="A445" s="847"/>
      <c r="B445" s="1126"/>
      <c r="C445" s="1126"/>
      <c r="D445" s="1126"/>
      <c r="E445" s="1126"/>
      <c r="F445" s="1126"/>
      <c r="G445" s="1126"/>
      <c r="H445" s="1126"/>
      <c r="I445" s="1126"/>
      <c r="J445" s="1126"/>
      <c r="K445" s="1126"/>
      <c r="L445" s="1126"/>
      <c r="M445" s="848"/>
      <c r="N445" s="849"/>
      <c r="O445" s="850"/>
      <c r="P445" s="850"/>
      <c r="Q445" s="850"/>
      <c r="R445" s="850"/>
      <c r="S445" s="850"/>
      <c r="T445" s="851"/>
      <c r="U445" s="851"/>
      <c r="V445" s="851"/>
      <c r="W445" s="851"/>
      <c r="X445" s="851"/>
      <c r="Y445" s="851"/>
      <c r="Z445" s="851"/>
      <c r="AA445" s="851"/>
      <c r="AB445" s="851"/>
      <c r="AC445" s="851"/>
      <c r="AD445" s="851"/>
      <c r="AE445" s="851"/>
      <c r="AF445" s="851"/>
      <c r="AG445" s="851"/>
      <c r="AH445" s="852"/>
      <c r="AI445" s="852"/>
      <c r="AJ445" s="852"/>
      <c r="AK445" s="852"/>
      <c r="AL445" s="852"/>
      <c r="AM445" s="852"/>
      <c r="AN445" s="852"/>
      <c r="AO445" s="852"/>
      <c r="AP445" s="852"/>
      <c r="AQ445" s="852"/>
      <c r="AR445" s="852"/>
      <c r="AS445" s="852"/>
      <c r="AT445" s="852"/>
      <c r="AU445" s="852"/>
      <c r="AV445" s="852"/>
      <c r="AW445" s="852"/>
      <c r="AX445" s="849"/>
      <c r="AY445" s="847"/>
      <c r="AZ445" s="847"/>
      <c r="BA445" s="847"/>
      <c r="BB445" s="847"/>
      <c r="BC445" s="853"/>
      <c r="BD445" s="854"/>
      <c r="BE445" s="854"/>
      <c r="BF445" s="854"/>
      <c r="BG445" s="870">
        <f t="shared" si="130"/>
        <v>122</v>
      </c>
      <c r="BH445" s="860" t="s">
        <v>45</v>
      </c>
      <c r="BI445" s="912"/>
      <c r="BJ445" s="871">
        <v>0</v>
      </c>
      <c r="BK445" s="872">
        <f t="shared" si="126"/>
        <v>0</v>
      </c>
      <c r="BL445" s="871">
        <v>0</v>
      </c>
      <c r="BM445" s="872">
        <f t="shared" si="127"/>
        <v>0</v>
      </c>
      <c r="BN445" s="871">
        <v>0</v>
      </c>
      <c r="BO445" s="872">
        <f t="shared" si="128"/>
        <v>0</v>
      </c>
      <c r="BP445" s="871">
        <v>0</v>
      </c>
      <c r="BQ445" s="872">
        <f t="shared" si="129"/>
        <v>0</v>
      </c>
      <c r="BR445" s="854"/>
      <c r="BS445" s="854"/>
      <c r="BT445" s="854"/>
      <c r="BU445" s="854"/>
      <c r="BV445" s="854"/>
      <c r="BW445" s="854"/>
      <c r="BX445" s="854"/>
      <c r="BY445" s="854"/>
      <c r="BZ445" s="854"/>
      <c r="CA445" s="854"/>
      <c r="CB445" s="854"/>
      <c r="CC445" s="854"/>
      <c r="CD445" s="854"/>
      <c r="CE445" s="854"/>
      <c r="CF445" s="854"/>
      <c r="CG445" s="854" t="s">
        <v>45</v>
      </c>
    </row>
    <row r="446" spans="1:85" ht="15.75" customHeight="1">
      <c r="A446" s="847"/>
      <c r="B446" s="1126"/>
      <c r="C446" s="1126"/>
      <c r="D446" s="1126"/>
      <c r="E446" s="1126"/>
      <c r="F446" s="1126"/>
      <c r="G446" s="1126"/>
      <c r="H446" s="1126"/>
      <c r="I446" s="1126"/>
      <c r="J446" s="1126"/>
      <c r="K446" s="1126"/>
      <c r="L446" s="1126"/>
      <c r="M446" s="848"/>
      <c r="N446" s="849"/>
      <c r="O446" s="850"/>
      <c r="P446" s="850"/>
      <c r="Q446" s="850"/>
      <c r="R446" s="850"/>
      <c r="S446" s="850"/>
      <c r="T446" s="851"/>
      <c r="U446" s="851"/>
      <c r="V446" s="851"/>
      <c r="W446" s="851"/>
      <c r="X446" s="851"/>
      <c r="Y446" s="851"/>
      <c r="Z446" s="851"/>
      <c r="AA446" s="851"/>
      <c r="AB446" s="851"/>
      <c r="AC446" s="851"/>
      <c r="AD446" s="851"/>
      <c r="AE446" s="851"/>
      <c r="AF446" s="851"/>
      <c r="AG446" s="851"/>
      <c r="AH446" s="852"/>
      <c r="AI446" s="852"/>
      <c r="AJ446" s="852"/>
      <c r="AK446" s="852"/>
      <c r="AL446" s="852"/>
      <c r="AM446" s="852"/>
      <c r="AN446" s="852"/>
      <c r="AO446" s="852"/>
      <c r="AP446" s="852"/>
      <c r="AQ446" s="852"/>
      <c r="AR446" s="852"/>
      <c r="AS446" s="852"/>
      <c r="AT446" s="852"/>
      <c r="AU446" s="852"/>
      <c r="AV446" s="852"/>
      <c r="AW446" s="852"/>
      <c r="AX446" s="849"/>
      <c r="AY446" s="847"/>
      <c r="AZ446" s="847"/>
      <c r="BA446" s="847"/>
      <c r="BB446" s="847"/>
      <c r="BC446" s="853"/>
      <c r="BD446" s="854"/>
      <c r="BE446" s="854"/>
      <c r="BF446" s="854"/>
      <c r="BG446" s="870">
        <f t="shared" si="130"/>
        <v>123</v>
      </c>
      <c r="BH446" s="860" t="s">
        <v>45</v>
      </c>
      <c r="BI446" s="912"/>
      <c r="BJ446" s="871">
        <v>0</v>
      </c>
      <c r="BK446" s="872">
        <f t="shared" si="126"/>
        <v>0</v>
      </c>
      <c r="BL446" s="871">
        <v>0</v>
      </c>
      <c r="BM446" s="872">
        <f t="shared" si="127"/>
        <v>0</v>
      </c>
      <c r="BN446" s="871">
        <v>0</v>
      </c>
      <c r="BO446" s="872">
        <f t="shared" si="128"/>
        <v>0</v>
      </c>
      <c r="BP446" s="871">
        <v>0</v>
      </c>
      <c r="BQ446" s="872">
        <f t="shared" si="129"/>
        <v>0</v>
      </c>
      <c r="BR446" s="854"/>
      <c r="BS446" s="854"/>
      <c r="BT446" s="854"/>
      <c r="BU446" s="854"/>
      <c r="BV446" s="854"/>
      <c r="BW446" s="854"/>
      <c r="BX446" s="854"/>
      <c r="BY446" s="854"/>
      <c r="BZ446" s="854"/>
      <c r="CA446" s="854"/>
      <c r="CB446" s="854"/>
      <c r="CC446" s="854"/>
      <c r="CD446" s="854"/>
      <c r="CE446" s="854"/>
      <c r="CF446" s="854"/>
      <c r="CG446" s="854" t="s">
        <v>45</v>
      </c>
    </row>
    <row r="447" spans="1:85" ht="15.75" customHeight="1">
      <c r="A447" s="847"/>
      <c r="B447" s="1126"/>
      <c r="C447" s="1126"/>
      <c r="D447" s="1126"/>
      <c r="E447" s="1126"/>
      <c r="F447" s="1126"/>
      <c r="G447" s="1126"/>
      <c r="H447" s="1126"/>
      <c r="I447" s="1126"/>
      <c r="J447" s="1126"/>
      <c r="K447" s="1126"/>
      <c r="L447" s="1126"/>
      <c r="M447" s="848"/>
      <c r="N447" s="849"/>
      <c r="O447" s="850"/>
      <c r="P447" s="850"/>
      <c r="Q447" s="850"/>
      <c r="R447" s="850"/>
      <c r="S447" s="850"/>
      <c r="T447" s="851"/>
      <c r="U447" s="851"/>
      <c r="V447" s="851"/>
      <c r="W447" s="851"/>
      <c r="X447" s="851"/>
      <c r="Y447" s="851"/>
      <c r="Z447" s="851"/>
      <c r="AA447" s="851"/>
      <c r="AB447" s="851"/>
      <c r="AC447" s="851"/>
      <c r="AD447" s="851"/>
      <c r="AE447" s="851"/>
      <c r="AF447" s="851"/>
      <c r="AG447" s="851"/>
      <c r="AH447" s="852"/>
      <c r="AI447" s="852"/>
      <c r="AJ447" s="852"/>
      <c r="AK447" s="852"/>
      <c r="AL447" s="852"/>
      <c r="AM447" s="852"/>
      <c r="AN447" s="852"/>
      <c r="AO447" s="852"/>
      <c r="AP447" s="852"/>
      <c r="AQ447" s="852"/>
      <c r="AR447" s="852"/>
      <c r="AS447" s="852"/>
      <c r="AT447" s="852"/>
      <c r="AU447" s="852"/>
      <c r="AV447" s="852"/>
      <c r="AW447" s="852"/>
      <c r="AX447" s="849"/>
      <c r="AY447" s="847"/>
      <c r="AZ447" s="847"/>
      <c r="BA447" s="847"/>
      <c r="BB447" s="847"/>
      <c r="BC447" s="853"/>
      <c r="BD447" s="854"/>
      <c r="BE447" s="854"/>
      <c r="BF447" s="854"/>
      <c r="BG447" s="870">
        <f t="shared" si="130"/>
        <v>124</v>
      </c>
      <c r="BH447" s="860" t="s">
        <v>45</v>
      </c>
      <c r="BI447" s="912"/>
      <c r="BJ447" s="871">
        <v>0</v>
      </c>
      <c r="BK447" s="872">
        <f t="shared" si="126"/>
        <v>0</v>
      </c>
      <c r="BL447" s="871">
        <v>0</v>
      </c>
      <c r="BM447" s="872">
        <f t="shared" si="127"/>
        <v>0</v>
      </c>
      <c r="BN447" s="871">
        <v>0</v>
      </c>
      <c r="BO447" s="872">
        <f t="shared" si="128"/>
        <v>0</v>
      </c>
      <c r="BP447" s="871">
        <v>0</v>
      </c>
      <c r="BQ447" s="872">
        <f t="shared" si="129"/>
        <v>0</v>
      </c>
      <c r="BR447" s="854"/>
      <c r="BS447" s="854"/>
      <c r="BT447" s="854"/>
      <c r="BU447" s="854"/>
      <c r="BV447" s="854"/>
      <c r="BW447" s="854"/>
      <c r="BX447" s="854"/>
      <c r="BY447" s="854"/>
      <c r="BZ447" s="854"/>
      <c r="CA447" s="854"/>
      <c r="CB447" s="854"/>
      <c r="CC447" s="854"/>
      <c r="CD447" s="854"/>
      <c r="CE447" s="854"/>
      <c r="CF447" s="854"/>
      <c r="CG447" s="854" t="s">
        <v>45</v>
      </c>
    </row>
    <row r="448" spans="1:85" ht="15.75" customHeight="1">
      <c r="A448" s="847"/>
      <c r="B448" s="1126"/>
      <c r="C448" s="1126"/>
      <c r="D448" s="1126"/>
      <c r="E448" s="1126"/>
      <c r="F448" s="1126"/>
      <c r="G448" s="1126"/>
      <c r="H448" s="1126"/>
      <c r="I448" s="1126"/>
      <c r="J448" s="1126"/>
      <c r="K448" s="1126"/>
      <c r="L448" s="1126"/>
      <c r="M448" s="848"/>
      <c r="N448" s="849"/>
      <c r="O448" s="850"/>
      <c r="P448" s="850"/>
      <c r="Q448" s="850"/>
      <c r="R448" s="850"/>
      <c r="S448" s="850"/>
      <c r="T448" s="851"/>
      <c r="U448" s="851"/>
      <c r="V448" s="851"/>
      <c r="W448" s="851"/>
      <c r="X448" s="851"/>
      <c r="Y448" s="851"/>
      <c r="Z448" s="851"/>
      <c r="AA448" s="851"/>
      <c r="AB448" s="851"/>
      <c r="AC448" s="851"/>
      <c r="AD448" s="851"/>
      <c r="AE448" s="851"/>
      <c r="AF448" s="851"/>
      <c r="AG448" s="851"/>
      <c r="AH448" s="852"/>
      <c r="AI448" s="852"/>
      <c r="AJ448" s="852"/>
      <c r="AK448" s="852"/>
      <c r="AL448" s="852"/>
      <c r="AM448" s="852"/>
      <c r="AN448" s="852"/>
      <c r="AO448" s="852"/>
      <c r="AP448" s="852"/>
      <c r="AQ448" s="852"/>
      <c r="AR448" s="852"/>
      <c r="AS448" s="852"/>
      <c r="AT448" s="852"/>
      <c r="AU448" s="852"/>
      <c r="AV448" s="852"/>
      <c r="AW448" s="852"/>
      <c r="AX448" s="849"/>
      <c r="AY448" s="847"/>
      <c r="AZ448" s="847"/>
      <c r="BA448" s="847"/>
      <c r="BB448" s="847"/>
      <c r="BC448" s="853"/>
      <c r="BD448" s="854"/>
      <c r="BE448" s="854"/>
      <c r="BF448" s="854"/>
      <c r="BG448" s="870">
        <f t="shared" si="130"/>
        <v>125</v>
      </c>
      <c r="BH448" s="860" t="s">
        <v>45</v>
      </c>
      <c r="BI448" s="912"/>
      <c r="BJ448" s="871">
        <v>0</v>
      </c>
      <c r="BK448" s="872">
        <f t="shared" si="126"/>
        <v>0</v>
      </c>
      <c r="BL448" s="871">
        <v>0</v>
      </c>
      <c r="BM448" s="872">
        <f t="shared" si="127"/>
        <v>0</v>
      </c>
      <c r="BN448" s="871">
        <v>0</v>
      </c>
      <c r="BO448" s="872">
        <f t="shared" si="128"/>
        <v>0</v>
      </c>
      <c r="BP448" s="871">
        <v>0</v>
      </c>
      <c r="BQ448" s="872">
        <f t="shared" si="129"/>
        <v>0</v>
      </c>
      <c r="BR448" s="854"/>
      <c r="BS448" s="854"/>
      <c r="BT448" s="854"/>
      <c r="BU448" s="854"/>
      <c r="BV448" s="854"/>
      <c r="BW448" s="854"/>
      <c r="BX448" s="854"/>
      <c r="BY448" s="854"/>
      <c r="BZ448" s="854"/>
      <c r="CA448" s="854"/>
      <c r="CB448" s="854"/>
      <c r="CC448" s="854"/>
      <c r="CD448" s="854"/>
      <c r="CE448" s="854"/>
      <c r="CF448" s="854"/>
      <c r="CG448" s="854" t="s">
        <v>45</v>
      </c>
    </row>
    <row r="449" spans="1:85" ht="15.75" customHeight="1">
      <c r="A449" s="847"/>
      <c r="B449" s="1126"/>
      <c r="C449" s="1126"/>
      <c r="D449" s="1126"/>
      <c r="E449" s="1126"/>
      <c r="F449" s="1126"/>
      <c r="G449" s="1126"/>
      <c r="H449" s="1126"/>
      <c r="I449" s="1126"/>
      <c r="J449" s="1126"/>
      <c r="K449" s="1126"/>
      <c r="L449" s="1126"/>
      <c r="M449" s="848"/>
      <c r="N449" s="849"/>
      <c r="O449" s="850"/>
      <c r="P449" s="850"/>
      <c r="Q449" s="850"/>
      <c r="R449" s="850"/>
      <c r="S449" s="850"/>
      <c r="T449" s="851"/>
      <c r="U449" s="851"/>
      <c r="V449" s="851"/>
      <c r="W449" s="851"/>
      <c r="X449" s="851"/>
      <c r="Y449" s="851"/>
      <c r="Z449" s="851"/>
      <c r="AA449" s="851"/>
      <c r="AB449" s="851"/>
      <c r="AC449" s="851"/>
      <c r="AD449" s="851"/>
      <c r="AE449" s="851"/>
      <c r="AF449" s="851"/>
      <c r="AG449" s="851"/>
      <c r="AH449" s="852"/>
      <c r="AI449" s="852"/>
      <c r="AJ449" s="852"/>
      <c r="AK449" s="852"/>
      <c r="AL449" s="852"/>
      <c r="AM449" s="852"/>
      <c r="AN449" s="852"/>
      <c r="AO449" s="852"/>
      <c r="AP449" s="852"/>
      <c r="AQ449" s="852"/>
      <c r="AR449" s="852"/>
      <c r="AS449" s="852"/>
      <c r="AT449" s="852"/>
      <c r="AU449" s="852"/>
      <c r="AV449" s="852"/>
      <c r="AW449" s="852"/>
      <c r="AX449" s="849"/>
      <c r="AY449" s="847"/>
      <c r="AZ449" s="847"/>
      <c r="BA449" s="847"/>
      <c r="BB449" s="847"/>
      <c r="BC449" s="853"/>
      <c r="BD449" s="854"/>
      <c r="BE449" s="854"/>
      <c r="BF449" s="854"/>
      <c r="BG449" s="870">
        <f t="shared" si="130"/>
        <v>126</v>
      </c>
      <c r="BH449" s="860" t="s">
        <v>415</v>
      </c>
      <c r="BI449" s="912"/>
      <c r="BJ449" s="871">
        <v>0</v>
      </c>
      <c r="BK449" s="872">
        <f t="shared" si="126"/>
        <v>0</v>
      </c>
      <c r="BL449" s="871">
        <v>-51394</v>
      </c>
      <c r="BM449" s="872">
        <f t="shared" si="127"/>
        <v>-23.629095475483581</v>
      </c>
      <c r="BN449" s="871">
        <v>0</v>
      </c>
      <c r="BO449" s="872">
        <f t="shared" si="128"/>
        <v>0</v>
      </c>
      <c r="BP449" s="871">
        <v>0</v>
      </c>
      <c r="BQ449" s="872">
        <f t="shared" si="129"/>
        <v>0</v>
      </c>
      <c r="BR449" s="854"/>
      <c r="BS449" s="854"/>
      <c r="BT449" s="854"/>
      <c r="BU449" s="854"/>
      <c r="BV449" s="854"/>
      <c r="BW449" s="854"/>
      <c r="BX449" s="854"/>
      <c r="BY449" s="854"/>
      <c r="BZ449" s="854"/>
      <c r="CA449" s="854"/>
      <c r="CB449" s="854"/>
      <c r="CC449" s="854"/>
      <c r="CD449" s="854"/>
      <c r="CE449" s="854"/>
      <c r="CF449" s="854"/>
      <c r="CG449" s="854" t="s">
        <v>45</v>
      </c>
    </row>
    <row r="450" spans="1:85" ht="15.75" customHeight="1">
      <c r="A450" s="847"/>
      <c r="B450" s="1126"/>
      <c r="C450" s="1126"/>
      <c r="D450" s="1126"/>
      <c r="E450" s="1126"/>
      <c r="F450" s="1126"/>
      <c r="G450" s="1126"/>
      <c r="H450" s="1126"/>
      <c r="I450" s="1126"/>
      <c r="J450" s="1126"/>
      <c r="K450" s="1126"/>
      <c r="L450" s="1126"/>
      <c r="M450" s="848"/>
      <c r="N450" s="849"/>
      <c r="O450" s="850"/>
      <c r="P450" s="850"/>
      <c r="Q450" s="850"/>
      <c r="R450" s="850"/>
      <c r="S450" s="850"/>
      <c r="T450" s="851"/>
      <c r="U450" s="851"/>
      <c r="V450" s="851"/>
      <c r="W450" s="851"/>
      <c r="X450" s="851"/>
      <c r="Y450" s="851"/>
      <c r="Z450" s="851"/>
      <c r="AA450" s="851"/>
      <c r="AB450" s="851"/>
      <c r="AC450" s="851"/>
      <c r="AD450" s="851"/>
      <c r="AE450" s="851"/>
      <c r="AF450" s="851"/>
      <c r="AG450" s="851"/>
      <c r="AH450" s="852"/>
      <c r="AI450" s="852"/>
      <c r="AJ450" s="852"/>
      <c r="AK450" s="852"/>
      <c r="AL450" s="852"/>
      <c r="AM450" s="852"/>
      <c r="AN450" s="852"/>
      <c r="AO450" s="852"/>
      <c r="AP450" s="852"/>
      <c r="AQ450" s="852"/>
      <c r="AR450" s="852"/>
      <c r="AS450" s="852"/>
      <c r="AT450" s="852"/>
      <c r="AU450" s="852"/>
      <c r="AV450" s="852"/>
      <c r="AW450" s="852"/>
      <c r="AX450" s="849"/>
      <c r="AY450" s="847"/>
      <c r="AZ450" s="847"/>
      <c r="BA450" s="847"/>
      <c r="BB450" s="847"/>
      <c r="BC450" s="853"/>
      <c r="BD450" s="854"/>
      <c r="BE450" s="854"/>
      <c r="BF450" s="854"/>
      <c r="BG450" s="870">
        <f t="shared" si="130"/>
        <v>127</v>
      </c>
      <c r="BH450" s="860" t="s">
        <v>45</v>
      </c>
      <c r="BI450" s="912"/>
      <c r="BJ450" s="871">
        <v>0</v>
      </c>
      <c r="BK450" s="872">
        <f t="shared" si="126"/>
        <v>0</v>
      </c>
      <c r="BL450" s="871">
        <v>0</v>
      </c>
      <c r="BM450" s="872">
        <f t="shared" si="127"/>
        <v>0</v>
      </c>
      <c r="BN450" s="871">
        <v>0</v>
      </c>
      <c r="BO450" s="872">
        <f t="shared" si="128"/>
        <v>0</v>
      </c>
      <c r="BP450" s="871">
        <v>0</v>
      </c>
      <c r="BQ450" s="872">
        <f t="shared" si="129"/>
        <v>0</v>
      </c>
      <c r="BR450" s="854"/>
      <c r="BS450" s="854"/>
      <c r="BT450" s="854"/>
      <c r="BU450" s="854"/>
      <c r="BV450" s="854"/>
      <c r="BW450" s="854"/>
      <c r="BX450" s="854"/>
      <c r="BY450" s="854"/>
      <c r="BZ450" s="854"/>
      <c r="CA450" s="854"/>
      <c r="CB450" s="854"/>
      <c r="CC450" s="854"/>
      <c r="CD450" s="854"/>
      <c r="CE450" s="854"/>
      <c r="CF450" s="854"/>
      <c r="CG450" s="854" t="s">
        <v>45</v>
      </c>
    </row>
    <row r="451" spans="1:85" ht="15.75" customHeight="1">
      <c r="A451" s="847"/>
      <c r="B451" s="1126"/>
      <c r="C451" s="1126"/>
      <c r="D451" s="1126"/>
      <c r="E451" s="1126"/>
      <c r="F451" s="1126"/>
      <c r="G451" s="1126"/>
      <c r="H451" s="1126"/>
      <c r="I451" s="1126"/>
      <c r="J451" s="1126"/>
      <c r="K451" s="1126"/>
      <c r="L451" s="1126"/>
      <c r="M451" s="848"/>
      <c r="N451" s="849"/>
      <c r="O451" s="850"/>
      <c r="P451" s="850"/>
      <c r="Q451" s="850"/>
      <c r="R451" s="850"/>
      <c r="S451" s="850"/>
      <c r="T451" s="851"/>
      <c r="U451" s="851"/>
      <c r="V451" s="851"/>
      <c r="W451" s="851"/>
      <c r="X451" s="851"/>
      <c r="Y451" s="851"/>
      <c r="Z451" s="851"/>
      <c r="AA451" s="851"/>
      <c r="AB451" s="851"/>
      <c r="AC451" s="851"/>
      <c r="AD451" s="851"/>
      <c r="AE451" s="851"/>
      <c r="AF451" s="851"/>
      <c r="AG451" s="851"/>
      <c r="AH451" s="852"/>
      <c r="AI451" s="852"/>
      <c r="AJ451" s="852"/>
      <c r="AK451" s="852"/>
      <c r="AL451" s="852"/>
      <c r="AM451" s="852"/>
      <c r="AN451" s="852"/>
      <c r="AO451" s="852"/>
      <c r="AP451" s="852"/>
      <c r="AQ451" s="852"/>
      <c r="AR451" s="852"/>
      <c r="AS451" s="852"/>
      <c r="AT451" s="852"/>
      <c r="AU451" s="852"/>
      <c r="AV451" s="852"/>
      <c r="AW451" s="852"/>
      <c r="AX451" s="849"/>
      <c r="AY451" s="847"/>
      <c r="AZ451" s="847"/>
      <c r="BA451" s="847"/>
      <c r="BB451" s="847"/>
      <c r="BC451" s="853"/>
      <c r="BD451" s="854"/>
      <c r="BE451" s="854"/>
      <c r="BF451" s="854"/>
      <c r="BG451" s="870">
        <f t="shared" si="130"/>
        <v>128</v>
      </c>
      <c r="BH451" s="860" t="s">
        <v>45</v>
      </c>
      <c r="BI451" s="912"/>
      <c r="BJ451" s="871">
        <v>0</v>
      </c>
      <c r="BK451" s="872">
        <f t="shared" si="126"/>
        <v>0</v>
      </c>
      <c r="BL451" s="871">
        <v>0</v>
      </c>
      <c r="BM451" s="872">
        <f t="shared" si="127"/>
        <v>0</v>
      </c>
      <c r="BN451" s="871">
        <v>0</v>
      </c>
      <c r="BO451" s="872">
        <f t="shared" si="128"/>
        <v>0</v>
      </c>
      <c r="BP451" s="871">
        <v>0</v>
      </c>
      <c r="BQ451" s="872">
        <f t="shared" si="129"/>
        <v>0</v>
      </c>
      <c r="BR451" s="854"/>
      <c r="BS451" s="854"/>
      <c r="BT451" s="854"/>
      <c r="BU451" s="854"/>
      <c r="BV451" s="854"/>
      <c r="BW451" s="854"/>
      <c r="BX451" s="854"/>
      <c r="BY451" s="854"/>
      <c r="BZ451" s="854"/>
      <c r="CA451" s="854"/>
      <c r="CB451" s="854"/>
      <c r="CC451" s="854"/>
      <c r="CD451" s="854"/>
      <c r="CE451" s="854"/>
      <c r="CF451" s="854"/>
      <c r="CG451" s="854" t="s">
        <v>45</v>
      </c>
    </row>
    <row r="452" spans="1:85" ht="15.75" customHeight="1">
      <c r="A452" s="847"/>
      <c r="B452" s="1126"/>
      <c r="C452" s="1126"/>
      <c r="D452" s="1126"/>
      <c r="E452" s="1126"/>
      <c r="F452" s="1126"/>
      <c r="G452" s="1126"/>
      <c r="H452" s="1126"/>
      <c r="I452" s="1126"/>
      <c r="J452" s="1126"/>
      <c r="K452" s="1126"/>
      <c r="L452" s="1126"/>
      <c r="M452" s="848"/>
      <c r="N452" s="849"/>
      <c r="O452" s="850"/>
      <c r="P452" s="850"/>
      <c r="Q452" s="850"/>
      <c r="R452" s="850"/>
      <c r="S452" s="850"/>
      <c r="T452" s="851"/>
      <c r="U452" s="851"/>
      <c r="V452" s="851"/>
      <c r="W452" s="851"/>
      <c r="X452" s="851"/>
      <c r="Y452" s="851"/>
      <c r="Z452" s="851"/>
      <c r="AA452" s="851"/>
      <c r="AB452" s="851"/>
      <c r="AC452" s="851"/>
      <c r="AD452" s="851"/>
      <c r="AE452" s="851"/>
      <c r="AF452" s="851"/>
      <c r="AG452" s="851"/>
      <c r="AH452" s="852"/>
      <c r="AI452" s="852"/>
      <c r="AJ452" s="852"/>
      <c r="AK452" s="852"/>
      <c r="AL452" s="852"/>
      <c r="AM452" s="852"/>
      <c r="AN452" s="852"/>
      <c r="AO452" s="852"/>
      <c r="AP452" s="852"/>
      <c r="AQ452" s="852"/>
      <c r="AR452" s="852"/>
      <c r="AS452" s="852"/>
      <c r="AT452" s="852"/>
      <c r="AU452" s="852"/>
      <c r="AV452" s="852"/>
      <c r="AW452" s="852"/>
      <c r="AX452" s="849"/>
      <c r="AY452" s="847"/>
      <c r="AZ452" s="847"/>
      <c r="BA452" s="847"/>
      <c r="BB452" s="847"/>
      <c r="BC452" s="853"/>
      <c r="BD452" s="854"/>
      <c r="BE452" s="854"/>
      <c r="BF452" s="854"/>
      <c r="BG452" s="870">
        <f t="shared" si="130"/>
        <v>129</v>
      </c>
      <c r="BH452" s="860" t="s">
        <v>45</v>
      </c>
      <c r="BI452" s="912"/>
      <c r="BJ452" s="871">
        <v>0</v>
      </c>
      <c r="BK452" s="872">
        <f t="shared" si="126"/>
        <v>0</v>
      </c>
      <c r="BL452" s="871">
        <v>0</v>
      </c>
      <c r="BM452" s="872">
        <f t="shared" si="127"/>
        <v>0</v>
      </c>
      <c r="BN452" s="871">
        <v>0</v>
      </c>
      <c r="BO452" s="872">
        <f t="shared" si="128"/>
        <v>0</v>
      </c>
      <c r="BP452" s="871">
        <v>0</v>
      </c>
      <c r="BQ452" s="872">
        <f t="shared" si="129"/>
        <v>0</v>
      </c>
      <c r="BR452" s="854"/>
      <c r="BS452" s="854"/>
      <c r="BT452" s="854"/>
      <c r="BU452" s="854"/>
      <c r="BV452" s="854"/>
      <c r="BW452" s="854"/>
      <c r="BX452" s="854"/>
      <c r="BY452" s="854"/>
      <c r="BZ452" s="854"/>
      <c r="CA452" s="854"/>
      <c r="CB452" s="854"/>
      <c r="CC452" s="854"/>
      <c r="CD452" s="854"/>
      <c r="CE452" s="854"/>
      <c r="CF452" s="854"/>
      <c r="CG452" s="854" t="s">
        <v>45</v>
      </c>
    </row>
    <row r="453" spans="1:85" ht="15.75" customHeight="1">
      <c r="A453" s="847"/>
      <c r="B453" s="1126"/>
      <c r="C453" s="1126"/>
      <c r="D453" s="1126"/>
      <c r="E453" s="1126"/>
      <c r="F453" s="1126"/>
      <c r="G453" s="1126"/>
      <c r="H453" s="1126"/>
      <c r="I453" s="1126"/>
      <c r="J453" s="1126"/>
      <c r="K453" s="1126"/>
      <c r="L453" s="1126"/>
      <c r="M453" s="848"/>
      <c r="N453" s="849"/>
      <c r="O453" s="850"/>
      <c r="P453" s="850"/>
      <c r="Q453" s="850"/>
      <c r="R453" s="850"/>
      <c r="S453" s="850"/>
      <c r="T453" s="851"/>
      <c r="U453" s="851"/>
      <c r="V453" s="851"/>
      <c r="W453" s="851"/>
      <c r="X453" s="851"/>
      <c r="Y453" s="851"/>
      <c r="Z453" s="851"/>
      <c r="AA453" s="851"/>
      <c r="AB453" s="851"/>
      <c r="AC453" s="851"/>
      <c r="AD453" s="851"/>
      <c r="AE453" s="851"/>
      <c r="AF453" s="851"/>
      <c r="AG453" s="851"/>
      <c r="AH453" s="852"/>
      <c r="AI453" s="852"/>
      <c r="AJ453" s="852"/>
      <c r="AK453" s="852"/>
      <c r="AL453" s="852"/>
      <c r="AM453" s="852"/>
      <c r="AN453" s="852"/>
      <c r="AO453" s="852"/>
      <c r="AP453" s="852"/>
      <c r="AQ453" s="852"/>
      <c r="AR453" s="852"/>
      <c r="AS453" s="852"/>
      <c r="AT453" s="852"/>
      <c r="AU453" s="852"/>
      <c r="AV453" s="852"/>
      <c r="AW453" s="852"/>
      <c r="AX453" s="849"/>
      <c r="AY453" s="847"/>
      <c r="AZ453" s="847"/>
      <c r="BA453" s="847"/>
      <c r="BB453" s="847"/>
      <c r="BC453" s="853"/>
      <c r="BD453" s="854"/>
      <c r="BE453" s="854"/>
      <c r="BF453" s="854"/>
      <c r="BG453" s="870">
        <f t="shared" si="130"/>
        <v>130</v>
      </c>
      <c r="BH453" s="860" t="s">
        <v>45</v>
      </c>
      <c r="BI453" s="912"/>
      <c r="BJ453" s="871">
        <v>0</v>
      </c>
      <c r="BK453" s="872">
        <f t="shared" si="126"/>
        <v>0</v>
      </c>
      <c r="BL453" s="871">
        <v>0</v>
      </c>
      <c r="BM453" s="872">
        <f t="shared" si="127"/>
        <v>0</v>
      </c>
      <c r="BN453" s="871">
        <v>0</v>
      </c>
      <c r="BO453" s="872">
        <f t="shared" si="128"/>
        <v>0</v>
      </c>
      <c r="BP453" s="871">
        <v>0</v>
      </c>
      <c r="BQ453" s="872">
        <f t="shared" si="129"/>
        <v>0</v>
      </c>
      <c r="BR453" s="854"/>
      <c r="BS453" s="854"/>
      <c r="BT453" s="854"/>
      <c r="BU453" s="854"/>
      <c r="BV453" s="854"/>
      <c r="BW453" s="854"/>
      <c r="BX453" s="854"/>
      <c r="BY453" s="854"/>
      <c r="BZ453" s="854"/>
      <c r="CA453" s="854"/>
      <c r="CB453" s="854"/>
      <c r="CC453" s="854"/>
      <c r="CD453" s="854"/>
      <c r="CE453" s="854"/>
      <c r="CF453" s="854"/>
      <c r="CG453" s="854" t="s">
        <v>45</v>
      </c>
    </row>
    <row r="454" spans="1:85" ht="15.75" customHeight="1">
      <c r="A454" s="847"/>
      <c r="B454" s="1126"/>
      <c r="C454" s="1126"/>
      <c r="D454" s="1126"/>
      <c r="E454" s="1126"/>
      <c r="F454" s="1126"/>
      <c r="G454" s="1126"/>
      <c r="H454" s="1126"/>
      <c r="I454" s="1126"/>
      <c r="J454" s="1126"/>
      <c r="K454" s="1126"/>
      <c r="L454" s="1126"/>
      <c r="M454" s="848"/>
      <c r="N454" s="849"/>
      <c r="O454" s="850"/>
      <c r="P454" s="850"/>
      <c r="Q454" s="850"/>
      <c r="R454" s="850"/>
      <c r="S454" s="850"/>
      <c r="T454" s="851"/>
      <c r="U454" s="851"/>
      <c r="V454" s="851"/>
      <c r="W454" s="851"/>
      <c r="X454" s="851"/>
      <c r="Y454" s="851"/>
      <c r="Z454" s="851"/>
      <c r="AA454" s="851"/>
      <c r="AB454" s="851"/>
      <c r="AC454" s="851"/>
      <c r="AD454" s="851"/>
      <c r="AE454" s="851"/>
      <c r="AF454" s="851"/>
      <c r="AG454" s="851"/>
      <c r="AH454" s="852"/>
      <c r="AI454" s="852"/>
      <c r="AJ454" s="852"/>
      <c r="AK454" s="852"/>
      <c r="AL454" s="852"/>
      <c r="AM454" s="852"/>
      <c r="AN454" s="852"/>
      <c r="AO454" s="852"/>
      <c r="AP454" s="852"/>
      <c r="AQ454" s="852"/>
      <c r="AR454" s="852"/>
      <c r="AS454" s="852"/>
      <c r="AT454" s="852"/>
      <c r="AU454" s="852"/>
      <c r="AV454" s="852"/>
      <c r="AW454" s="852"/>
      <c r="AX454" s="849"/>
      <c r="AY454" s="847"/>
      <c r="AZ454" s="847"/>
      <c r="BA454" s="847"/>
      <c r="BB454" s="847"/>
      <c r="BC454" s="853"/>
      <c r="BD454" s="854"/>
      <c r="BE454" s="854"/>
      <c r="BF454" s="854"/>
      <c r="BG454" s="870">
        <f t="shared" si="130"/>
        <v>131</v>
      </c>
      <c r="BH454" s="860" t="s">
        <v>45</v>
      </c>
      <c r="BI454" s="912"/>
      <c r="BJ454" s="871">
        <v>0</v>
      </c>
      <c r="BK454" s="872">
        <f t="shared" si="126"/>
        <v>0</v>
      </c>
      <c r="BL454" s="871">
        <v>0</v>
      </c>
      <c r="BM454" s="872">
        <f t="shared" si="127"/>
        <v>0</v>
      </c>
      <c r="BN454" s="871">
        <v>0</v>
      </c>
      <c r="BO454" s="872">
        <f t="shared" si="128"/>
        <v>0</v>
      </c>
      <c r="BP454" s="871">
        <v>0</v>
      </c>
      <c r="BQ454" s="872">
        <f t="shared" si="129"/>
        <v>0</v>
      </c>
      <c r="BR454" s="854"/>
      <c r="BS454" s="854"/>
      <c r="BT454" s="854"/>
      <c r="BU454" s="854"/>
      <c r="BV454" s="854"/>
      <c r="BW454" s="854"/>
      <c r="BX454" s="854"/>
      <c r="BY454" s="854"/>
      <c r="BZ454" s="854"/>
      <c r="CA454" s="854"/>
      <c r="CB454" s="854"/>
      <c r="CC454" s="854"/>
      <c r="CD454" s="854"/>
      <c r="CE454" s="854"/>
      <c r="CF454" s="854"/>
      <c r="CG454" s="854" t="s">
        <v>45</v>
      </c>
    </row>
    <row r="455" spans="1:85" ht="15.75" customHeight="1">
      <c r="A455" s="847"/>
      <c r="B455" s="1126"/>
      <c r="C455" s="1126"/>
      <c r="D455" s="1126"/>
      <c r="E455" s="1126"/>
      <c r="F455" s="1126"/>
      <c r="G455" s="1126"/>
      <c r="H455" s="1126"/>
      <c r="I455" s="1126"/>
      <c r="J455" s="1126"/>
      <c r="K455" s="1126"/>
      <c r="L455" s="1126"/>
      <c r="M455" s="848"/>
      <c r="N455" s="849"/>
      <c r="O455" s="850"/>
      <c r="P455" s="850"/>
      <c r="Q455" s="850"/>
      <c r="R455" s="850"/>
      <c r="S455" s="850"/>
      <c r="T455" s="851"/>
      <c r="U455" s="851"/>
      <c r="V455" s="851"/>
      <c r="W455" s="851"/>
      <c r="X455" s="851"/>
      <c r="Y455" s="851"/>
      <c r="Z455" s="851"/>
      <c r="AA455" s="851"/>
      <c r="AB455" s="851"/>
      <c r="AC455" s="851"/>
      <c r="AD455" s="851"/>
      <c r="AE455" s="851"/>
      <c r="AF455" s="851"/>
      <c r="AG455" s="851"/>
      <c r="AH455" s="852"/>
      <c r="AI455" s="852"/>
      <c r="AJ455" s="852"/>
      <c r="AK455" s="852"/>
      <c r="AL455" s="852"/>
      <c r="AM455" s="852"/>
      <c r="AN455" s="852"/>
      <c r="AO455" s="852"/>
      <c r="AP455" s="852"/>
      <c r="AQ455" s="852"/>
      <c r="AR455" s="852"/>
      <c r="AS455" s="852"/>
      <c r="AT455" s="852"/>
      <c r="AU455" s="852"/>
      <c r="AV455" s="852"/>
      <c r="AW455" s="852"/>
      <c r="AX455" s="849"/>
      <c r="AY455" s="847"/>
      <c r="AZ455" s="847"/>
      <c r="BA455" s="847"/>
      <c r="BB455" s="847"/>
      <c r="BC455" s="853"/>
      <c r="BD455" s="854"/>
      <c r="BE455" s="854"/>
      <c r="BF455" s="854"/>
      <c r="BG455" s="870">
        <f t="shared" si="130"/>
        <v>132</v>
      </c>
      <c r="BH455" s="860" t="s">
        <v>45</v>
      </c>
      <c r="BI455" s="912"/>
      <c r="BJ455" s="871">
        <v>0</v>
      </c>
      <c r="BK455" s="872">
        <f t="shared" si="126"/>
        <v>0</v>
      </c>
      <c r="BL455" s="871">
        <v>0</v>
      </c>
      <c r="BM455" s="872">
        <f t="shared" si="127"/>
        <v>0</v>
      </c>
      <c r="BN455" s="871">
        <v>0</v>
      </c>
      <c r="BO455" s="872">
        <f t="shared" si="128"/>
        <v>0</v>
      </c>
      <c r="BP455" s="871">
        <v>0</v>
      </c>
      <c r="BQ455" s="872">
        <f t="shared" si="129"/>
        <v>0</v>
      </c>
      <c r="BR455" s="854"/>
      <c r="BS455" s="854"/>
      <c r="BT455" s="854"/>
      <c r="BU455" s="854"/>
      <c r="BV455" s="854"/>
      <c r="BW455" s="854"/>
      <c r="BX455" s="854"/>
      <c r="BY455" s="854"/>
      <c r="BZ455" s="854"/>
      <c r="CA455" s="854"/>
      <c r="CB455" s="854"/>
      <c r="CC455" s="854"/>
      <c r="CD455" s="854"/>
      <c r="CE455" s="854"/>
      <c r="CF455" s="854"/>
      <c r="CG455" s="854" t="s">
        <v>45</v>
      </c>
    </row>
    <row r="456" spans="1:85" ht="15.75" customHeight="1">
      <c r="A456" s="847"/>
      <c r="B456" s="1126"/>
      <c r="C456" s="1126"/>
      <c r="D456" s="1126"/>
      <c r="E456" s="1126"/>
      <c r="F456" s="1126"/>
      <c r="G456" s="1126"/>
      <c r="H456" s="1126"/>
      <c r="I456" s="1126"/>
      <c r="J456" s="1126"/>
      <c r="K456" s="1126"/>
      <c r="L456" s="1126"/>
      <c r="M456" s="848"/>
      <c r="N456" s="849"/>
      <c r="O456" s="850"/>
      <c r="P456" s="850"/>
      <c r="Q456" s="850"/>
      <c r="R456" s="850"/>
      <c r="S456" s="850"/>
      <c r="T456" s="851"/>
      <c r="U456" s="851"/>
      <c r="V456" s="851"/>
      <c r="W456" s="851"/>
      <c r="X456" s="851"/>
      <c r="Y456" s="851"/>
      <c r="Z456" s="851"/>
      <c r="AA456" s="851"/>
      <c r="AB456" s="851"/>
      <c r="AC456" s="851"/>
      <c r="AD456" s="851"/>
      <c r="AE456" s="851"/>
      <c r="AF456" s="851"/>
      <c r="AG456" s="851"/>
      <c r="AH456" s="852"/>
      <c r="AI456" s="852"/>
      <c r="AJ456" s="852"/>
      <c r="AK456" s="852"/>
      <c r="AL456" s="852"/>
      <c r="AM456" s="852"/>
      <c r="AN456" s="852"/>
      <c r="AO456" s="852"/>
      <c r="AP456" s="852"/>
      <c r="AQ456" s="852"/>
      <c r="AR456" s="852"/>
      <c r="AS456" s="852"/>
      <c r="AT456" s="852"/>
      <c r="AU456" s="852"/>
      <c r="AV456" s="852"/>
      <c r="AW456" s="852"/>
      <c r="AX456" s="849"/>
      <c r="AY456" s="847"/>
      <c r="AZ456" s="847"/>
      <c r="BA456" s="847"/>
      <c r="BB456" s="847"/>
      <c r="BC456" s="853"/>
      <c r="BD456" s="854"/>
      <c r="BE456" s="854"/>
      <c r="BF456" s="854"/>
      <c r="BG456" s="870">
        <f t="shared" si="130"/>
        <v>133</v>
      </c>
      <c r="BH456" s="860" t="s">
        <v>45</v>
      </c>
      <c r="BI456" s="912"/>
      <c r="BJ456" s="871">
        <v>0</v>
      </c>
      <c r="BK456" s="872">
        <f t="shared" si="126"/>
        <v>0</v>
      </c>
      <c r="BL456" s="871">
        <v>0</v>
      </c>
      <c r="BM456" s="872">
        <f t="shared" si="127"/>
        <v>0</v>
      </c>
      <c r="BN456" s="871">
        <v>0</v>
      </c>
      <c r="BO456" s="872">
        <f t="shared" si="128"/>
        <v>0</v>
      </c>
      <c r="BP456" s="871">
        <v>0</v>
      </c>
      <c r="BQ456" s="872">
        <f t="shared" si="129"/>
        <v>0</v>
      </c>
      <c r="BR456" s="854"/>
      <c r="BS456" s="854"/>
      <c r="BT456" s="854"/>
      <c r="BU456" s="854"/>
      <c r="BV456" s="854"/>
      <c r="BW456" s="854"/>
      <c r="BX456" s="854"/>
      <c r="BY456" s="854"/>
      <c r="BZ456" s="854"/>
      <c r="CA456" s="854"/>
      <c r="CB456" s="854"/>
      <c r="CC456" s="854"/>
      <c r="CD456" s="854"/>
      <c r="CE456" s="854"/>
      <c r="CF456" s="854"/>
      <c r="CG456" s="854" t="s">
        <v>45</v>
      </c>
    </row>
    <row r="457" spans="1:85" ht="15.75" customHeight="1">
      <c r="A457" s="847"/>
      <c r="B457" s="1126"/>
      <c r="C457" s="1126"/>
      <c r="D457" s="1126"/>
      <c r="E457" s="1126"/>
      <c r="F457" s="1126"/>
      <c r="G457" s="1126"/>
      <c r="H457" s="1126"/>
      <c r="I457" s="1126"/>
      <c r="J457" s="1126"/>
      <c r="K457" s="1126"/>
      <c r="L457" s="1126"/>
      <c r="M457" s="848"/>
      <c r="N457" s="849"/>
      <c r="O457" s="850"/>
      <c r="P457" s="850"/>
      <c r="Q457" s="850"/>
      <c r="R457" s="850"/>
      <c r="S457" s="850"/>
      <c r="T457" s="851"/>
      <c r="U457" s="851"/>
      <c r="V457" s="851"/>
      <c r="W457" s="851"/>
      <c r="X457" s="851"/>
      <c r="Y457" s="851"/>
      <c r="Z457" s="851"/>
      <c r="AA457" s="851"/>
      <c r="AB457" s="851"/>
      <c r="AC457" s="851"/>
      <c r="AD457" s="851"/>
      <c r="AE457" s="851"/>
      <c r="AF457" s="851"/>
      <c r="AG457" s="851"/>
      <c r="AH457" s="852"/>
      <c r="AI457" s="852"/>
      <c r="AJ457" s="852"/>
      <c r="AK457" s="852"/>
      <c r="AL457" s="852"/>
      <c r="AM457" s="852"/>
      <c r="AN457" s="852"/>
      <c r="AO457" s="852"/>
      <c r="AP457" s="852"/>
      <c r="AQ457" s="852"/>
      <c r="AR457" s="852"/>
      <c r="AS457" s="852"/>
      <c r="AT457" s="852"/>
      <c r="AU457" s="852"/>
      <c r="AV457" s="852"/>
      <c r="AW457" s="852"/>
      <c r="AX457" s="849"/>
      <c r="AY457" s="847"/>
      <c r="AZ457" s="847"/>
      <c r="BA457" s="847"/>
      <c r="BB457" s="847"/>
      <c r="BC457" s="853"/>
      <c r="BD457" s="854"/>
      <c r="BE457" s="854"/>
      <c r="BF457" s="854"/>
      <c r="BG457" s="870">
        <f t="shared" si="130"/>
        <v>134</v>
      </c>
      <c r="BH457" s="860" t="s">
        <v>45</v>
      </c>
      <c r="BI457" s="912"/>
      <c r="BJ457" s="871">
        <v>0</v>
      </c>
      <c r="BK457" s="872">
        <f t="shared" si="126"/>
        <v>0</v>
      </c>
      <c r="BL457" s="871">
        <v>0</v>
      </c>
      <c r="BM457" s="872">
        <f t="shared" si="127"/>
        <v>0</v>
      </c>
      <c r="BN457" s="871">
        <v>0</v>
      </c>
      <c r="BO457" s="872">
        <f t="shared" si="128"/>
        <v>0</v>
      </c>
      <c r="BP457" s="871">
        <v>0</v>
      </c>
      <c r="BQ457" s="872">
        <f t="shared" si="129"/>
        <v>0</v>
      </c>
      <c r="BR457" s="854"/>
      <c r="BS457" s="854"/>
      <c r="BT457" s="854"/>
      <c r="BU457" s="854"/>
      <c r="BV457" s="854"/>
      <c r="BW457" s="854"/>
      <c r="BX457" s="854"/>
      <c r="BY457" s="854"/>
      <c r="BZ457" s="854"/>
      <c r="CA457" s="854"/>
      <c r="CB457" s="854"/>
      <c r="CC457" s="854"/>
      <c r="CD457" s="854"/>
      <c r="CE457" s="854"/>
      <c r="CF457" s="854"/>
      <c r="CG457" s="854" t="s">
        <v>45</v>
      </c>
    </row>
    <row r="458" spans="1:85" ht="15.75" customHeight="1">
      <c r="A458" s="847"/>
      <c r="B458" s="1126"/>
      <c r="C458" s="1126"/>
      <c r="D458" s="1126"/>
      <c r="E458" s="1126"/>
      <c r="F458" s="1126"/>
      <c r="G458" s="1126"/>
      <c r="H458" s="1126"/>
      <c r="I458" s="1126"/>
      <c r="J458" s="1126"/>
      <c r="K458" s="1126"/>
      <c r="L458" s="1126"/>
      <c r="M458" s="848"/>
      <c r="N458" s="849"/>
      <c r="O458" s="850"/>
      <c r="P458" s="850"/>
      <c r="Q458" s="850"/>
      <c r="R458" s="850"/>
      <c r="S458" s="850"/>
      <c r="T458" s="851"/>
      <c r="U458" s="851"/>
      <c r="V458" s="851"/>
      <c r="W458" s="851"/>
      <c r="X458" s="851"/>
      <c r="Y458" s="851"/>
      <c r="Z458" s="851"/>
      <c r="AA458" s="851"/>
      <c r="AB458" s="851"/>
      <c r="AC458" s="851"/>
      <c r="AD458" s="851"/>
      <c r="AE458" s="851"/>
      <c r="AF458" s="851"/>
      <c r="AG458" s="851"/>
      <c r="AH458" s="852"/>
      <c r="AI458" s="852"/>
      <c r="AJ458" s="852"/>
      <c r="AK458" s="852"/>
      <c r="AL458" s="852"/>
      <c r="AM458" s="852"/>
      <c r="AN458" s="852"/>
      <c r="AO458" s="852"/>
      <c r="AP458" s="852"/>
      <c r="AQ458" s="852"/>
      <c r="AR458" s="852"/>
      <c r="AS458" s="852"/>
      <c r="AT458" s="852"/>
      <c r="AU458" s="852"/>
      <c r="AV458" s="852"/>
      <c r="AW458" s="852"/>
      <c r="AX458" s="849"/>
      <c r="AY458" s="847"/>
      <c r="AZ458" s="847"/>
      <c r="BA458" s="847"/>
      <c r="BB458" s="847"/>
      <c r="BC458" s="853"/>
      <c r="BD458" s="854"/>
      <c r="BE458" s="854"/>
      <c r="BF458" s="854"/>
      <c r="BG458" s="870">
        <f t="shared" si="130"/>
        <v>135</v>
      </c>
      <c r="BH458" s="860" t="s">
        <v>45</v>
      </c>
      <c r="BI458" s="912"/>
      <c r="BJ458" s="871">
        <v>0</v>
      </c>
      <c r="BK458" s="872">
        <f t="shared" si="126"/>
        <v>0</v>
      </c>
      <c r="BL458" s="871">
        <v>0</v>
      </c>
      <c r="BM458" s="872">
        <f t="shared" si="127"/>
        <v>0</v>
      </c>
      <c r="BN458" s="871">
        <v>0</v>
      </c>
      <c r="BO458" s="872">
        <f t="shared" si="128"/>
        <v>0</v>
      </c>
      <c r="BP458" s="871">
        <v>0</v>
      </c>
      <c r="BQ458" s="872">
        <f t="shared" si="129"/>
        <v>0</v>
      </c>
      <c r="BR458" s="854"/>
      <c r="BS458" s="854"/>
      <c r="BT458" s="854"/>
      <c r="BU458" s="854"/>
      <c r="BV458" s="854"/>
      <c r="BW458" s="854"/>
      <c r="BX458" s="854"/>
      <c r="BY458" s="854"/>
      <c r="BZ458" s="854"/>
      <c r="CA458" s="854"/>
      <c r="CB458" s="854"/>
      <c r="CC458" s="854"/>
      <c r="CD458" s="854"/>
      <c r="CE458" s="854"/>
      <c r="CF458" s="854"/>
      <c r="CG458" s="854" t="s">
        <v>45</v>
      </c>
    </row>
    <row r="459" spans="1:85" ht="15.75" customHeight="1">
      <c r="A459" s="847"/>
      <c r="B459" s="1126"/>
      <c r="C459" s="1126"/>
      <c r="D459" s="1126"/>
      <c r="E459" s="1126"/>
      <c r="F459" s="1126"/>
      <c r="G459" s="1126"/>
      <c r="H459" s="1126"/>
      <c r="I459" s="1126"/>
      <c r="J459" s="1126"/>
      <c r="K459" s="1126"/>
      <c r="L459" s="1126"/>
      <c r="M459" s="848"/>
      <c r="N459" s="849"/>
      <c r="O459" s="850"/>
      <c r="P459" s="850"/>
      <c r="Q459" s="850"/>
      <c r="R459" s="850"/>
      <c r="S459" s="850"/>
      <c r="T459" s="851"/>
      <c r="U459" s="851"/>
      <c r="V459" s="851"/>
      <c r="W459" s="851"/>
      <c r="X459" s="851"/>
      <c r="Y459" s="851"/>
      <c r="Z459" s="851"/>
      <c r="AA459" s="851"/>
      <c r="AB459" s="851"/>
      <c r="AC459" s="851"/>
      <c r="AD459" s="851"/>
      <c r="AE459" s="851"/>
      <c r="AF459" s="851"/>
      <c r="AG459" s="851"/>
      <c r="AH459" s="852"/>
      <c r="AI459" s="852"/>
      <c r="AJ459" s="852"/>
      <c r="AK459" s="852"/>
      <c r="AL459" s="852"/>
      <c r="AM459" s="852"/>
      <c r="AN459" s="852"/>
      <c r="AO459" s="852"/>
      <c r="AP459" s="852"/>
      <c r="AQ459" s="852"/>
      <c r="AR459" s="852"/>
      <c r="AS459" s="852"/>
      <c r="AT459" s="852"/>
      <c r="AU459" s="852"/>
      <c r="AV459" s="852"/>
      <c r="AW459" s="852"/>
      <c r="AX459" s="849"/>
      <c r="AY459" s="847"/>
      <c r="AZ459" s="847"/>
      <c r="BA459" s="847"/>
      <c r="BB459" s="847"/>
      <c r="BC459" s="853"/>
      <c r="BD459" s="854"/>
      <c r="BE459" s="854"/>
      <c r="BF459" s="854"/>
      <c r="BG459" s="870">
        <f t="shared" si="130"/>
        <v>136</v>
      </c>
      <c r="BH459" s="860" t="s">
        <v>45</v>
      </c>
      <c r="BI459" s="912"/>
      <c r="BJ459" s="871">
        <v>0</v>
      </c>
      <c r="BK459" s="872">
        <f t="shared" si="126"/>
        <v>0</v>
      </c>
      <c r="BL459" s="871">
        <v>0</v>
      </c>
      <c r="BM459" s="872">
        <f t="shared" si="127"/>
        <v>0</v>
      </c>
      <c r="BN459" s="871">
        <v>0</v>
      </c>
      <c r="BO459" s="872">
        <f t="shared" si="128"/>
        <v>0</v>
      </c>
      <c r="BP459" s="871">
        <v>0</v>
      </c>
      <c r="BQ459" s="872">
        <f t="shared" si="129"/>
        <v>0</v>
      </c>
      <c r="BR459" s="854"/>
      <c r="BS459" s="854"/>
      <c r="BT459" s="854"/>
      <c r="BU459" s="854"/>
      <c r="BV459" s="854"/>
      <c r="BW459" s="854"/>
      <c r="BX459" s="854"/>
      <c r="BY459" s="854"/>
      <c r="BZ459" s="854"/>
      <c r="CA459" s="854"/>
      <c r="CB459" s="854"/>
      <c r="CC459" s="854"/>
      <c r="CD459" s="854"/>
      <c r="CE459" s="854"/>
      <c r="CF459" s="854"/>
      <c r="CG459" s="854" t="s">
        <v>45</v>
      </c>
    </row>
    <row r="460" spans="1:85" ht="15.75" customHeight="1">
      <c r="A460" s="847"/>
      <c r="B460" s="1126"/>
      <c r="C460" s="1126"/>
      <c r="D460" s="1126"/>
      <c r="E460" s="1126"/>
      <c r="F460" s="1126"/>
      <c r="G460" s="1126"/>
      <c r="H460" s="1126"/>
      <c r="I460" s="1126"/>
      <c r="J460" s="1126"/>
      <c r="K460" s="1126"/>
      <c r="L460" s="1126"/>
      <c r="M460" s="848"/>
      <c r="N460" s="849"/>
      <c r="O460" s="850"/>
      <c r="P460" s="850"/>
      <c r="Q460" s="850"/>
      <c r="R460" s="850"/>
      <c r="S460" s="850"/>
      <c r="T460" s="851"/>
      <c r="U460" s="851"/>
      <c r="V460" s="851"/>
      <c r="W460" s="851"/>
      <c r="X460" s="851"/>
      <c r="Y460" s="851"/>
      <c r="Z460" s="851"/>
      <c r="AA460" s="851"/>
      <c r="AB460" s="851"/>
      <c r="AC460" s="851"/>
      <c r="AD460" s="851"/>
      <c r="AE460" s="851"/>
      <c r="AF460" s="851"/>
      <c r="AG460" s="851"/>
      <c r="AH460" s="852"/>
      <c r="AI460" s="852"/>
      <c r="AJ460" s="852"/>
      <c r="AK460" s="852"/>
      <c r="AL460" s="852"/>
      <c r="AM460" s="852"/>
      <c r="AN460" s="852"/>
      <c r="AO460" s="852"/>
      <c r="AP460" s="852"/>
      <c r="AQ460" s="852"/>
      <c r="AR460" s="852"/>
      <c r="AS460" s="852"/>
      <c r="AT460" s="852"/>
      <c r="AU460" s="852"/>
      <c r="AV460" s="852"/>
      <c r="AW460" s="852"/>
      <c r="AX460" s="849"/>
      <c r="AY460" s="847"/>
      <c r="AZ460" s="847"/>
      <c r="BA460" s="847"/>
      <c r="BB460" s="847"/>
      <c r="BC460" s="853"/>
      <c r="BD460" s="854"/>
      <c r="BE460" s="854"/>
      <c r="BF460" s="854"/>
      <c r="BG460" s="870">
        <f t="shared" si="130"/>
        <v>137</v>
      </c>
      <c r="BH460" s="860" t="s">
        <v>45</v>
      </c>
      <c r="BI460" s="912"/>
      <c r="BJ460" s="871">
        <v>0</v>
      </c>
      <c r="BK460" s="872">
        <f t="shared" si="126"/>
        <v>0</v>
      </c>
      <c r="BL460" s="871">
        <v>0</v>
      </c>
      <c r="BM460" s="872">
        <f t="shared" si="127"/>
        <v>0</v>
      </c>
      <c r="BN460" s="871">
        <v>0</v>
      </c>
      <c r="BO460" s="872">
        <f t="shared" si="128"/>
        <v>0</v>
      </c>
      <c r="BP460" s="871">
        <v>0</v>
      </c>
      <c r="BQ460" s="872">
        <f t="shared" si="129"/>
        <v>0</v>
      </c>
      <c r="BR460" s="854"/>
      <c r="BS460" s="854"/>
      <c r="BT460" s="854"/>
      <c r="BU460" s="854"/>
      <c r="BV460" s="854"/>
      <c r="BW460" s="854"/>
      <c r="BX460" s="854"/>
      <c r="BY460" s="854"/>
      <c r="BZ460" s="854"/>
      <c r="CA460" s="854"/>
      <c r="CB460" s="854"/>
      <c r="CC460" s="854"/>
      <c r="CD460" s="854"/>
      <c r="CE460" s="854"/>
      <c r="CF460" s="854"/>
      <c r="CG460" s="854" t="s">
        <v>45</v>
      </c>
    </row>
    <row r="461" spans="1:85" ht="15.75" customHeight="1">
      <c r="A461" s="847"/>
      <c r="B461" s="1126"/>
      <c r="C461" s="1126"/>
      <c r="D461" s="1126"/>
      <c r="E461" s="1126"/>
      <c r="F461" s="1126"/>
      <c r="G461" s="1126"/>
      <c r="H461" s="1126"/>
      <c r="I461" s="1126"/>
      <c r="J461" s="1126"/>
      <c r="K461" s="1126"/>
      <c r="L461" s="1126"/>
      <c r="M461" s="848"/>
      <c r="N461" s="849"/>
      <c r="O461" s="850"/>
      <c r="P461" s="850"/>
      <c r="Q461" s="850"/>
      <c r="R461" s="850"/>
      <c r="S461" s="850"/>
      <c r="T461" s="851"/>
      <c r="U461" s="851"/>
      <c r="V461" s="851"/>
      <c r="W461" s="851"/>
      <c r="X461" s="851"/>
      <c r="Y461" s="851"/>
      <c r="Z461" s="851"/>
      <c r="AA461" s="851"/>
      <c r="AB461" s="851"/>
      <c r="AC461" s="851"/>
      <c r="AD461" s="851"/>
      <c r="AE461" s="851"/>
      <c r="AF461" s="851"/>
      <c r="AG461" s="851"/>
      <c r="AH461" s="852"/>
      <c r="AI461" s="852"/>
      <c r="AJ461" s="852"/>
      <c r="AK461" s="852"/>
      <c r="AL461" s="852"/>
      <c r="AM461" s="852"/>
      <c r="AN461" s="852"/>
      <c r="AO461" s="852"/>
      <c r="AP461" s="852"/>
      <c r="AQ461" s="852"/>
      <c r="AR461" s="852"/>
      <c r="AS461" s="852"/>
      <c r="AT461" s="852"/>
      <c r="AU461" s="852"/>
      <c r="AV461" s="852"/>
      <c r="AW461" s="852"/>
      <c r="AX461" s="849"/>
      <c r="AY461" s="847"/>
      <c r="AZ461" s="847"/>
      <c r="BA461" s="847"/>
      <c r="BB461" s="847"/>
      <c r="BC461" s="853"/>
      <c r="BD461" s="854"/>
      <c r="BE461" s="854"/>
      <c r="BF461" s="854"/>
      <c r="BG461" s="870">
        <f t="shared" si="130"/>
        <v>138</v>
      </c>
      <c r="BH461" s="860" t="s">
        <v>45</v>
      </c>
      <c r="BI461" s="912"/>
      <c r="BJ461" s="871">
        <v>0</v>
      </c>
      <c r="BK461" s="872">
        <f t="shared" si="126"/>
        <v>0</v>
      </c>
      <c r="BL461" s="871">
        <v>0</v>
      </c>
      <c r="BM461" s="872">
        <f t="shared" si="127"/>
        <v>0</v>
      </c>
      <c r="BN461" s="871">
        <v>0</v>
      </c>
      <c r="BO461" s="872">
        <f t="shared" si="128"/>
        <v>0</v>
      </c>
      <c r="BP461" s="871">
        <v>0</v>
      </c>
      <c r="BQ461" s="872">
        <f t="shared" si="129"/>
        <v>0</v>
      </c>
      <c r="BR461" s="854"/>
      <c r="BS461" s="854"/>
      <c r="BT461" s="854"/>
      <c r="BU461" s="854"/>
      <c r="BV461" s="854"/>
      <c r="BW461" s="854"/>
      <c r="BX461" s="854"/>
      <c r="BY461" s="854"/>
      <c r="BZ461" s="854"/>
      <c r="CA461" s="854"/>
      <c r="CB461" s="854"/>
      <c r="CC461" s="854"/>
      <c r="CD461" s="854"/>
      <c r="CE461" s="854"/>
      <c r="CF461" s="854"/>
      <c r="CG461" s="854" t="s">
        <v>45</v>
      </c>
    </row>
    <row r="462" spans="1:85" ht="15.75" customHeight="1">
      <c r="A462" s="847"/>
      <c r="B462" s="1126"/>
      <c r="C462" s="1126"/>
      <c r="D462" s="1126"/>
      <c r="E462" s="1126"/>
      <c r="F462" s="1126"/>
      <c r="G462" s="1126"/>
      <c r="H462" s="1126"/>
      <c r="I462" s="1126"/>
      <c r="J462" s="1126"/>
      <c r="K462" s="1126"/>
      <c r="L462" s="1126"/>
      <c r="M462" s="848"/>
      <c r="N462" s="849"/>
      <c r="O462" s="850"/>
      <c r="P462" s="850"/>
      <c r="Q462" s="850"/>
      <c r="R462" s="850"/>
      <c r="S462" s="850"/>
      <c r="T462" s="851"/>
      <c r="U462" s="851"/>
      <c r="V462" s="851"/>
      <c r="W462" s="851"/>
      <c r="X462" s="851"/>
      <c r="Y462" s="851"/>
      <c r="Z462" s="851"/>
      <c r="AA462" s="851"/>
      <c r="AB462" s="851"/>
      <c r="AC462" s="851"/>
      <c r="AD462" s="851"/>
      <c r="AE462" s="851"/>
      <c r="AF462" s="851"/>
      <c r="AG462" s="851"/>
      <c r="AH462" s="852"/>
      <c r="AI462" s="852"/>
      <c r="AJ462" s="852"/>
      <c r="AK462" s="852"/>
      <c r="AL462" s="852"/>
      <c r="AM462" s="852"/>
      <c r="AN462" s="852"/>
      <c r="AO462" s="852"/>
      <c r="AP462" s="852"/>
      <c r="AQ462" s="852"/>
      <c r="AR462" s="852"/>
      <c r="AS462" s="852"/>
      <c r="AT462" s="852"/>
      <c r="AU462" s="852"/>
      <c r="AV462" s="852"/>
      <c r="AW462" s="852"/>
      <c r="AX462" s="849"/>
      <c r="AY462" s="847"/>
      <c r="AZ462" s="847"/>
      <c r="BA462" s="847"/>
      <c r="BB462" s="847"/>
      <c r="BC462" s="853"/>
      <c r="BD462" s="854"/>
      <c r="BE462" s="854"/>
      <c r="BF462" s="854"/>
      <c r="BG462" s="870">
        <f t="shared" si="130"/>
        <v>139</v>
      </c>
      <c r="BH462" s="860" t="s">
        <v>45</v>
      </c>
      <c r="BI462" s="912"/>
      <c r="BJ462" s="871">
        <v>0</v>
      </c>
      <c r="BK462" s="872">
        <f t="shared" si="126"/>
        <v>0</v>
      </c>
      <c r="BL462" s="871">
        <v>0</v>
      </c>
      <c r="BM462" s="872">
        <f t="shared" si="127"/>
        <v>0</v>
      </c>
      <c r="BN462" s="871">
        <v>0</v>
      </c>
      <c r="BO462" s="872">
        <f t="shared" si="128"/>
        <v>0</v>
      </c>
      <c r="BP462" s="871">
        <v>0</v>
      </c>
      <c r="BQ462" s="872">
        <f t="shared" si="129"/>
        <v>0</v>
      </c>
      <c r="BR462" s="854"/>
      <c r="BS462" s="854"/>
      <c r="BT462" s="854"/>
      <c r="BU462" s="854"/>
      <c r="BV462" s="854"/>
      <c r="BW462" s="854"/>
      <c r="BX462" s="854"/>
      <c r="BY462" s="854"/>
      <c r="BZ462" s="854"/>
      <c r="CA462" s="854"/>
      <c r="CB462" s="854"/>
      <c r="CC462" s="854"/>
      <c r="CD462" s="854"/>
      <c r="CE462" s="854"/>
      <c r="CF462" s="854"/>
      <c r="CG462" s="854" t="s">
        <v>45</v>
      </c>
    </row>
    <row r="463" spans="1:85" ht="15.75" customHeight="1">
      <c r="A463" s="847"/>
      <c r="B463" s="1126"/>
      <c r="C463" s="1126"/>
      <c r="D463" s="1126"/>
      <c r="E463" s="1126"/>
      <c r="F463" s="1126"/>
      <c r="G463" s="1126"/>
      <c r="H463" s="1126"/>
      <c r="I463" s="1126"/>
      <c r="J463" s="1126"/>
      <c r="K463" s="1126"/>
      <c r="L463" s="1126"/>
      <c r="M463" s="848"/>
      <c r="N463" s="849"/>
      <c r="O463" s="850"/>
      <c r="P463" s="850"/>
      <c r="Q463" s="850"/>
      <c r="R463" s="850"/>
      <c r="S463" s="850"/>
      <c r="T463" s="851"/>
      <c r="U463" s="851"/>
      <c r="V463" s="851"/>
      <c r="W463" s="851"/>
      <c r="X463" s="851"/>
      <c r="Y463" s="851"/>
      <c r="Z463" s="851"/>
      <c r="AA463" s="851"/>
      <c r="AB463" s="851"/>
      <c r="AC463" s="851"/>
      <c r="AD463" s="851"/>
      <c r="AE463" s="851"/>
      <c r="AF463" s="851"/>
      <c r="AG463" s="851"/>
      <c r="AH463" s="852"/>
      <c r="AI463" s="852"/>
      <c r="AJ463" s="852"/>
      <c r="AK463" s="852"/>
      <c r="AL463" s="852"/>
      <c r="AM463" s="852"/>
      <c r="AN463" s="852"/>
      <c r="AO463" s="852"/>
      <c r="AP463" s="852"/>
      <c r="AQ463" s="852"/>
      <c r="AR463" s="852"/>
      <c r="AS463" s="852"/>
      <c r="AT463" s="852"/>
      <c r="AU463" s="852"/>
      <c r="AV463" s="852"/>
      <c r="AW463" s="852"/>
      <c r="AX463" s="849"/>
      <c r="AY463" s="847"/>
      <c r="AZ463" s="847"/>
      <c r="BA463" s="847"/>
      <c r="BB463" s="847"/>
      <c r="BC463" s="853"/>
      <c r="BD463" s="854"/>
      <c r="BE463" s="854"/>
      <c r="BF463" s="854"/>
      <c r="BG463" s="870">
        <f t="shared" si="130"/>
        <v>140</v>
      </c>
      <c r="BH463" s="860" t="s">
        <v>45</v>
      </c>
      <c r="BI463" s="912"/>
      <c r="BJ463" s="871">
        <v>0</v>
      </c>
      <c r="BK463" s="872">
        <f t="shared" si="126"/>
        <v>0</v>
      </c>
      <c r="BL463" s="871">
        <v>0</v>
      </c>
      <c r="BM463" s="872">
        <f t="shared" si="127"/>
        <v>0</v>
      </c>
      <c r="BN463" s="871">
        <v>0</v>
      </c>
      <c r="BO463" s="872">
        <f t="shared" si="128"/>
        <v>0</v>
      </c>
      <c r="BP463" s="871">
        <v>0</v>
      </c>
      <c r="BQ463" s="872">
        <f t="shared" si="129"/>
        <v>0</v>
      </c>
      <c r="BR463" s="854"/>
      <c r="BS463" s="854"/>
      <c r="BT463" s="854"/>
      <c r="BU463" s="854"/>
      <c r="BV463" s="854"/>
      <c r="BW463" s="854"/>
      <c r="BX463" s="854"/>
      <c r="BY463" s="854"/>
      <c r="BZ463" s="854"/>
      <c r="CA463" s="854"/>
      <c r="CB463" s="854"/>
      <c r="CC463" s="854"/>
      <c r="CD463" s="854"/>
      <c r="CE463" s="854"/>
      <c r="CF463" s="854"/>
      <c r="CG463" s="854" t="s">
        <v>45</v>
      </c>
    </row>
    <row r="464" spans="1:85" ht="15.75" customHeight="1">
      <c r="A464" s="847"/>
      <c r="B464" s="1126"/>
      <c r="C464" s="1126"/>
      <c r="D464" s="1126"/>
      <c r="E464" s="1126"/>
      <c r="F464" s="1126"/>
      <c r="G464" s="1126"/>
      <c r="H464" s="1126"/>
      <c r="I464" s="1126"/>
      <c r="J464" s="1126"/>
      <c r="K464" s="1126"/>
      <c r="L464" s="1126"/>
      <c r="M464" s="848"/>
      <c r="N464" s="849"/>
      <c r="O464" s="850"/>
      <c r="P464" s="850"/>
      <c r="Q464" s="850"/>
      <c r="R464" s="850"/>
      <c r="S464" s="850"/>
      <c r="T464" s="851"/>
      <c r="U464" s="851"/>
      <c r="V464" s="851"/>
      <c r="W464" s="851"/>
      <c r="X464" s="851"/>
      <c r="Y464" s="851"/>
      <c r="Z464" s="851"/>
      <c r="AA464" s="851"/>
      <c r="AB464" s="851"/>
      <c r="AC464" s="851"/>
      <c r="AD464" s="851"/>
      <c r="AE464" s="851"/>
      <c r="AF464" s="851"/>
      <c r="AG464" s="851"/>
      <c r="AH464" s="852"/>
      <c r="AI464" s="852"/>
      <c r="AJ464" s="852"/>
      <c r="AK464" s="852"/>
      <c r="AL464" s="852"/>
      <c r="AM464" s="852"/>
      <c r="AN464" s="852"/>
      <c r="AO464" s="852"/>
      <c r="AP464" s="852"/>
      <c r="AQ464" s="852"/>
      <c r="AR464" s="852"/>
      <c r="AS464" s="852"/>
      <c r="AT464" s="852"/>
      <c r="AU464" s="852"/>
      <c r="AV464" s="852"/>
      <c r="AW464" s="852"/>
      <c r="AX464" s="849"/>
      <c r="AY464" s="847"/>
      <c r="AZ464" s="847"/>
      <c r="BA464" s="847"/>
      <c r="BB464" s="847"/>
      <c r="BC464" s="853"/>
      <c r="BD464" s="854"/>
      <c r="BE464" s="854"/>
      <c r="BF464" s="854"/>
      <c r="BG464" s="870">
        <f t="shared" si="130"/>
        <v>141</v>
      </c>
      <c r="BH464" s="905" t="s">
        <v>416</v>
      </c>
      <c r="BI464" s="912"/>
      <c r="BJ464" s="871">
        <v>-47436.369533999998</v>
      </c>
      <c r="BK464" s="872">
        <f t="shared" si="126"/>
        <v>-245.28561857543559</v>
      </c>
      <c r="BL464" s="871">
        <v>111753.136642</v>
      </c>
      <c r="BM464" s="872">
        <f t="shared" si="127"/>
        <v>51.380035323161856</v>
      </c>
      <c r="BN464" s="871">
        <v>886.16689099999996</v>
      </c>
      <c r="BO464" s="872">
        <f t="shared" si="128"/>
        <v>4.6502267580176779</v>
      </c>
      <c r="BP464" s="871">
        <v>25056.066096999999</v>
      </c>
      <c r="BQ464" s="872">
        <f t="shared" si="129"/>
        <v>6.145284789782079</v>
      </c>
      <c r="BR464" s="854"/>
      <c r="BS464" s="854"/>
      <c r="BT464" s="854"/>
      <c r="BU464" s="854"/>
      <c r="BV464" s="854"/>
      <c r="BW464" s="854"/>
      <c r="BX464" s="854"/>
      <c r="BY464" s="854"/>
      <c r="BZ464" s="854"/>
      <c r="CA464" s="854"/>
      <c r="CB464" s="854"/>
      <c r="CC464" s="854"/>
      <c r="CD464" s="854"/>
      <c r="CE464" s="854"/>
      <c r="CF464" s="854"/>
      <c r="CG464" s="854" t="s">
        <v>45</v>
      </c>
    </row>
    <row r="465" spans="1:85" ht="15.75" customHeight="1">
      <c r="A465" s="847"/>
      <c r="B465" s="1126"/>
      <c r="C465" s="1126"/>
      <c r="D465" s="1126"/>
      <c r="E465" s="1126"/>
      <c r="F465" s="1126"/>
      <c r="G465" s="1126"/>
      <c r="H465" s="1126"/>
      <c r="I465" s="1126"/>
      <c r="J465" s="1126"/>
      <c r="K465" s="1126"/>
      <c r="L465" s="1126"/>
      <c r="M465" s="848"/>
      <c r="N465" s="849"/>
      <c r="O465" s="850"/>
      <c r="P465" s="850"/>
      <c r="Q465" s="850"/>
      <c r="R465" s="850"/>
      <c r="S465" s="850"/>
      <c r="T465" s="851"/>
      <c r="U465" s="851"/>
      <c r="V465" s="851"/>
      <c r="W465" s="851"/>
      <c r="X465" s="851"/>
      <c r="Y465" s="851"/>
      <c r="Z465" s="851"/>
      <c r="AA465" s="851"/>
      <c r="AB465" s="851"/>
      <c r="AC465" s="851"/>
      <c r="AD465" s="851"/>
      <c r="AE465" s="851"/>
      <c r="AF465" s="851"/>
      <c r="AG465" s="851"/>
      <c r="AH465" s="852"/>
      <c r="AI465" s="852"/>
      <c r="AJ465" s="852"/>
      <c r="AK465" s="852"/>
      <c r="AL465" s="852"/>
      <c r="AM465" s="852"/>
      <c r="AN465" s="852"/>
      <c r="AO465" s="852"/>
      <c r="AP465" s="852"/>
      <c r="AQ465" s="852"/>
      <c r="AR465" s="852"/>
      <c r="AS465" s="852"/>
      <c r="AT465" s="852"/>
      <c r="AU465" s="852"/>
      <c r="AV465" s="852"/>
      <c r="AW465" s="852"/>
      <c r="AX465" s="849"/>
      <c r="AY465" s="847"/>
      <c r="AZ465" s="847"/>
      <c r="BA465" s="847"/>
      <c r="BB465" s="847"/>
      <c r="BC465" s="853"/>
      <c r="BD465" s="854"/>
      <c r="BE465" s="854"/>
      <c r="BF465" s="854"/>
      <c r="BG465" s="854"/>
      <c r="BH465" s="854"/>
      <c r="BI465" s="854"/>
      <c r="BJ465" s="854"/>
      <c r="BK465" s="854"/>
      <c r="BL465" s="854"/>
      <c r="BM465" s="854"/>
      <c r="BN465" s="854"/>
      <c r="BO465" s="854"/>
      <c r="BP465" s="854"/>
      <c r="BQ465" s="854"/>
      <c r="BR465" s="854"/>
      <c r="BS465" s="854"/>
      <c r="BT465" s="854"/>
      <c r="BU465" s="854"/>
      <c r="BV465" s="854"/>
      <c r="BW465" s="854"/>
      <c r="BX465" s="854"/>
      <c r="BY465" s="854"/>
      <c r="BZ465" s="854"/>
      <c r="CA465" s="854"/>
      <c r="CB465" s="854"/>
      <c r="CC465" s="854"/>
      <c r="CD465" s="854"/>
      <c r="CE465" s="854"/>
      <c r="CF465" s="854"/>
      <c r="CG465" s="854" t="s">
        <v>45</v>
      </c>
    </row>
    <row r="466" spans="1:85" ht="15.75" customHeight="1">
      <c r="A466" s="847"/>
      <c r="B466" s="1126"/>
      <c r="C466" s="1126"/>
      <c r="D466" s="1126"/>
      <c r="E466" s="1126"/>
      <c r="F466" s="1126"/>
      <c r="G466" s="1126"/>
      <c r="H466" s="1126"/>
      <c r="I466" s="1126"/>
      <c r="J466" s="1126"/>
      <c r="K466" s="1126"/>
      <c r="L466" s="1126"/>
      <c r="M466" s="848"/>
      <c r="N466" s="849"/>
      <c r="O466" s="850"/>
      <c r="P466" s="850"/>
      <c r="Q466" s="850"/>
      <c r="R466" s="850"/>
      <c r="S466" s="850"/>
      <c r="T466" s="851"/>
      <c r="U466" s="851"/>
      <c r="V466" s="851"/>
      <c r="W466" s="851"/>
      <c r="X466" s="851"/>
      <c r="Y466" s="851"/>
      <c r="Z466" s="851"/>
      <c r="AA466" s="851"/>
      <c r="AB466" s="851"/>
      <c r="AC466" s="851"/>
      <c r="AD466" s="851"/>
      <c r="AE466" s="851"/>
      <c r="AF466" s="851"/>
      <c r="AG466" s="851"/>
      <c r="AH466" s="852"/>
      <c r="AI466" s="852"/>
      <c r="AJ466" s="852"/>
      <c r="AK466" s="852"/>
      <c r="AL466" s="852"/>
      <c r="AM466" s="852"/>
      <c r="AN466" s="852"/>
      <c r="AO466" s="852"/>
      <c r="AP466" s="852"/>
      <c r="AQ466" s="852"/>
      <c r="AR466" s="852"/>
      <c r="AS466" s="852"/>
      <c r="AT466" s="852"/>
      <c r="AU466" s="852"/>
      <c r="AV466" s="852"/>
      <c r="AW466" s="852"/>
      <c r="AX466" s="849"/>
      <c r="AY466" s="847"/>
      <c r="AZ466" s="847"/>
      <c r="BA466" s="847"/>
      <c r="BB466" s="847"/>
      <c r="BC466" s="853"/>
      <c r="BD466" s="854"/>
      <c r="BE466" s="854"/>
      <c r="BF466" s="854"/>
      <c r="BG466" s="854"/>
      <c r="BH466" s="854"/>
      <c r="BI466" s="854"/>
      <c r="BJ466" s="854"/>
      <c r="BK466" s="854"/>
      <c r="BL466" s="854"/>
      <c r="BM466" s="854"/>
      <c r="BN466" s="854"/>
      <c r="BO466" s="854"/>
      <c r="BP466" s="854"/>
      <c r="BQ466" s="854"/>
      <c r="BR466" s="854"/>
      <c r="BS466" s="854"/>
      <c r="BT466" s="854"/>
      <c r="BU466" s="854"/>
      <c r="BV466" s="854"/>
      <c r="BW466" s="854"/>
      <c r="BX466" s="854"/>
      <c r="BY466" s="854"/>
      <c r="BZ466" s="854"/>
      <c r="CA466" s="854"/>
      <c r="CB466" s="854"/>
      <c r="CC466" s="854"/>
      <c r="CD466" s="854"/>
      <c r="CE466" s="854"/>
      <c r="CF466" s="854"/>
      <c r="CG466" s="854" t="s">
        <v>45</v>
      </c>
    </row>
    <row r="467" spans="1:85" ht="15.75" customHeight="1">
      <c r="A467" s="847"/>
      <c r="B467" s="1126"/>
      <c r="C467" s="1126"/>
      <c r="D467" s="1126"/>
      <c r="E467" s="1126"/>
      <c r="F467" s="1126"/>
      <c r="G467" s="1126"/>
      <c r="H467" s="1126"/>
      <c r="I467" s="1126"/>
      <c r="J467" s="1126"/>
      <c r="K467" s="1126"/>
      <c r="L467" s="1126"/>
      <c r="M467" s="848"/>
      <c r="N467" s="849"/>
      <c r="O467" s="850"/>
      <c r="P467" s="850"/>
      <c r="Q467" s="850"/>
      <c r="R467" s="850"/>
      <c r="S467" s="850"/>
      <c r="T467" s="851"/>
      <c r="U467" s="851"/>
      <c r="V467" s="851"/>
      <c r="W467" s="851"/>
      <c r="X467" s="851"/>
      <c r="Y467" s="851"/>
      <c r="Z467" s="851"/>
      <c r="AA467" s="851"/>
      <c r="AB467" s="851"/>
      <c r="AC467" s="851"/>
      <c r="AD467" s="851"/>
      <c r="AE467" s="851"/>
      <c r="AF467" s="851"/>
      <c r="AG467" s="851"/>
      <c r="AH467" s="852"/>
      <c r="AI467" s="852"/>
      <c r="AJ467" s="852"/>
      <c r="AK467" s="852"/>
      <c r="AL467" s="852"/>
      <c r="AM467" s="852"/>
      <c r="AN467" s="852"/>
      <c r="AO467" s="852"/>
      <c r="AP467" s="852"/>
      <c r="AQ467" s="852"/>
      <c r="AR467" s="852"/>
      <c r="AS467" s="852"/>
      <c r="AT467" s="852"/>
      <c r="AU467" s="852"/>
      <c r="AV467" s="852"/>
      <c r="AW467" s="852"/>
      <c r="AX467" s="849"/>
      <c r="AY467" s="847"/>
      <c r="AZ467" s="847"/>
      <c r="BA467" s="847"/>
      <c r="BB467" s="847"/>
      <c r="BC467" s="853"/>
      <c r="BD467" s="854"/>
      <c r="BE467" s="854"/>
      <c r="BF467" s="854"/>
      <c r="BG467" s="854"/>
      <c r="BH467" s="854"/>
      <c r="BI467" s="854"/>
      <c r="BJ467" s="854"/>
      <c r="BK467" s="854"/>
      <c r="BL467" s="854"/>
      <c r="BM467" s="854"/>
      <c r="BN467" s="854"/>
      <c r="BO467" s="854"/>
      <c r="BP467" s="854"/>
      <c r="BQ467" s="854"/>
      <c r="BR467" s="854"/>
      <c r="BS467" s="854"/>
      <c r="BT467" s="854"/>
      <c r="BU467" s="854"/>
      <c r="BV467" s="854"/>
      <c r="BW467" s="854"/>
      <c r="BX467" s="854"/>
      <c r="BY467" s="854"/>
      <c r="BZ467" s="854"/>
      <c r="CA467" s="854"/>
      <c r="CB467" s="854"/>
      <c r="CC467" s="854"/>
      <c r="CD467" s="854"/>
      <c r="CE467" s="854"/>
      <c r="CF467" s="854"/>
      <c r="CG467" s="854" t="s">
        <v>45</v>
      </c>
    </row>
    <row r="468" spans="1:85" ht="15.75" customHeight="1">
      <c r="A468" s="847"/>
      <c r="B468" s="1126"/>
      <c r="C468" s="1126"/>
      <c r="D468" s="1126"/>
      <c r="E468" s="1126"/>
      <c r="F468" s="1126"/>
      <c r="G468" s="1126"/>
      <c r="H468" s="1126"/>
      <c r="I468" s="1126"/>
      <c r="J468" s="1126"/>
      <c r="K468" s="1126"/>
      <c r="L468" s="1126"/>
      <c r="M468" s="848"/>
      <c r="N468" s="849"/>
      <c r="O468" s="850"/>
      <c r="P468" s="850"/>
      <c r="Q468" s="850"/>
      <c r="R468" s="850"/>
      <c r="S468" s="850"/>
      <c r="T468" s="851"/>
      <c r="U468" s="851"/>
      <c r="V468" s="851"/>
      <c r="W468" s="851"/>
      <c r="X468" s="851"/>
      <c r="Y468" s="851"/>
      <c r="Z468" s="851"/>
      <c r="AA468" s="851"/>
      <c r="AB468" s="851"/>
      <c r="AC468" s="851"/>
      <c r="AD468" s="851"/>
      <c r="AE468" s="851"/>
      <c r="AF468" s="851"/>
      <c r="AG468" s="851"/>
      <c r="AH468" s="852"/>
      <c r="AI468" s="852"/>
      <c r="AJ468" s="852"/>
      <c r="AK468" s="852"/>
      <c r="AL468" s="852"/>
      <c r="AM468" s="852"/>
      <c r="AN468" s="852"/>
      <c r="AO468" s="852"/>
      <c r="AP468" s="852"/>
      <c r="AQ468" s="852"/>
      <c r="AR468" s="852"/>
      <c r="AS468" s="852"/>
      <c r="AT468" s="852"/>
      <c r="AU468" s="852"/>
      <c r="AV468" s="852"/>
      <c r="AW468" s="852"/>
      <c r="AX468" s="849"/>
      <c r="AY468" s="847"/>
      <c r="AZ468" s="847"/>
      <c r="BA468" s="847"/>
      <c r="BB468" s="847"/>
      <c r="BC468" s="853"/>
      <c r="BD468" s="854"/>
      <c r="BE468" s="854"/>
      <c r="BF468" s="854"/>
      <c r="BG468" s="854"/>
      <c r="BH468" s="854"/>
      <c r="BI468" s="854"/>
      <c r="BJ468" s="854"/>
      <c r="BK468" s="854"/>
      <c r="BL468" s="854"/>
      <c r="BM468" s="854"/>
      <c r="BN468" s="854"/>
      <c r="BO468" s="854"/>
      <c r="BP468" s="854"/>
      <c r="BQ468" s="854"/>
      <c r="BR468" s="854"/>
      <c r="BS468" s="854"/>
      <c r="BT468" s="854"/>
      <c r="BU468" s="854"/>
      <c r="BV468" s="854"/>
      <c r="BW468" s="854"/>
      <c r="BX468" s="854"/>
      <c r="BY468" s="854"/>
      <c r="BZ468" s="854"/>
      <c r="CA468" s="854"/>
      <c r="CB468" s="854"/>
      <c r="CC468" s="854"/>
      <c r="CD468" s="854"/>
      <c r="CE468" s="854"/>
      <c r="CF468" s="854"/>
      <c r="CG468" s="854" t="s">
        <v>45</v>
      </c>
    </row>
    <row r="469" spans="1:85" ht="15.75" customHeight="1">
      <c r="A469" s="847"/>
      <c r="B469" s="1126"/>
      <c r="C469" s="1126"/>
      <c r="D469" s="1126"/>
      <c r="E469" s="1126"/>
      <c r="F469" s="1126"/>
      <c r="G469" s="1126"/>
      <c r="H469" s="1126"/>
      <c r="I469" s="1126"/>
      <c r="J469" s="1126"/>
      <c r="K469" s="1126"/>
      <c r="L469" s="1126"/>
      <c r="M469" s="848"/>
      <c r="N469" s="849"/>
      <c r="O469" s="850"/>
      <c r="P469" s="850"/>
      <c r="Q469" s="850"/>
      <c r="R469" s="850"/>
      <c r="S469" s="850"/>
      <c r="T469" s="851"/>
      <c r="U469" s="851"/>
      <c r="V469" s="851"/>
      <c r="W469" s="851"/>
      <c r="X469" s="851"/>
      <c r="Y469" s="851"/>
      <c r="Z469" s="851"/>
      <c r="AA469" s="851"/>
      <c r="AB469" s="851"/>
      <c r="AC469" s="851"/>
      <c r="AD469" s="851"/>
      <c r="AE469" s="851"/>
      <c r="AF469" s="851"/>
      <c r="AG469" s="851"/>
      <c r="AH469" s="852"/>
      <c r="AI469" s="852"/>
      <c r="AJ469" s="852"/>
      <c r="AK469" s="852"/>
      <c r="AL469" s="852"/>
      <c r="AM469" s="852"/>
      <c r="AN469" s="852"/>
      <c r="AO469" s="852"/>
      <c r="AP469" s="852"/>
      <c r="AQ469" s="852"/>
      <c r="AR469" s="852"/>
      <c r="AS469" s="852"/>
      <c r="AT469" s="852"/>
      <c r="AU469" s="852"/>
      <c r="AV469" s="852"/>
      <c r="AW469" s="852"/>
      <c r="AX469" s="849"/>
      <c r="AY469" s="847"/>
      <c r="AZ469" s="847"/>
      <c r="BA469" s="847"/>
      <c r="BB469" s="847"/>
      <c r="BC469" s="853"/>
      <c r="BD469" s="854"/>
      <c r="BE469" s="854"/>
      <c r="BF469" s="854"/>
      <c r="BG469" s="854"/>
      <c r="BH469" s="854"/>
      <c r="BI469" s="854"/>
      <c r="BJ469" s="854"/>
      <c r="BK469" s="854"/>
      <c r="BL469" s="854"/>
      <c r="BM469" s="854"/>
      <c r="BN469" s="854"/>
      <c r="BO469" s="854"/>
      <c r="BP469" s="854"/>
      <c r="BQ469" s="854"/>
      <c r="BR469" s="854"/>
      <c r="BS469" s="854"/>
      <c r="BT469" s="854"/>
      <c r="BU469" s="854"/>
      <c r="BV469" s="854"/>
      <c r="BW469" s="854"/>
      <c r="BX469" s="854"/>
      <c r="BY469" s="854"/>
      <c r="BZ469" s="854"/>
      <c r="CA469" s="854"/>
      <c r="CB469" s="854"/>
      <c r="CC469" s="854"/>
      <c r="CD469" s="854"/>
      <c r="CE469" s="854"/>
      <c r="CF469" s="854"/>
      <c r="CG469" s="854" t="s">
        <v>45</v>
      </c>
    </row>
    <row r="470" spans="1:85" ht="15.75" customHeight="1">
      <c r="A470" s="847"/>
      <c r="B470" s="1126"/>
      <c r="C470" s="1126"/>
      <c r="D470" s="1126"/>
      <c r="E470" s="1126"/>
      <c r="F470" s="1126"/>
      <c r="G470" s="1126"/>
      <c r="H470" s="1126"/>
      <c r="I470" s="1126"/>
      <c r="J470" s="1126"/>
      <c r="K470" s="1126"/>
      <c r="L470" s="1126"/>
      <c r="M470" s="848"/>
      <c r="N470" s="849"/>
      <c r="O470" s="850"/>
      <c r="P470" s="850"/>
      <c r="Q470" s="850"/>
      <c r="R470" s="850"/>
      <c r="S470" s="850"/>
      <c r="T470" s="851"/>
      <c r="U470" s="851"/>
      <c r="V470" s="851"/>
      <c r="W470" s="851"/>
      <c r="X470" s="851"/>
      <c r="Y470" s="851"/>
      <c r="Z470" s="851"/>
      <c r="AA470" s="851"/>
      <c r="AB470" s="851"/>
      <c r="AC470" s="851"/>
      <c r="AD470" s="851"/>
      <c r="AE470" s="851"/>
      <c r="AF470" s="851"/>
      <c r="AG470" s="851"/>
      <c r="AH470" s="852"/>
      <c r="AI470" s="852"/>
      <c r="AJ470" s="852"/>
      <c r="AK470" s="852"/>
      <c r="AL470" s="852"/>
      <c r="AM470" s="852"/>
      <c r="AN470" s="852"/>
      <c r="AO470" s="852"/>
      <c r="AP470" s="852"/>
      <c r="AQ470" s="852"/>
      <c r="AR470" s="852"/>
      <c r="AS470" s="852"/>
      <c r="AT470" s="852"/>
      <c r="AU470" s="852"/>
      <c r="AV470" s="852"/>
      <c r="AW470" s="852"/>
      <c r="AX470" s="849"/>
      <c r="AY470" s="847"/>
      <c r="AZ470" s="847"/>
      <c r="BA470" s="847"/>
      <c r="BB470" s="847"/>
      <c r="BC470" s="853"/>
      <c r="BD470" s="854"/>
      <c r="BE470" s="854"/>
      <c r="BF470" s="854"/>
      <c r="BG470" s="854"/>
      <c r="BH470" s="854"/>
      <c r="BI470" s="854"/>
      <c r="BJ470" s="854"/>
      <c r="BK470" s="854"/>
      <c r="BL470" s="854"/>
      <c r="BM470" s="854"/>
      <c r="BN470" s="854"/>
      <c r="BO470" s="854"/>
      <c r="BP470" s="854"/>
      <c r="BQ470" s="854"/>
      <c r="BR470" s="854"/>
      <c r="BS470" s="854"/>
      <c r="BT470" s="854"/>
      <c r="BU470" s="854"/>
      <c r="BV470" s="854"/>
      <c r="BW470" s="854"/>
      <c r="BX470" s="854"/>
      <c r="BY470" s="854"/>
      <c r="BZ470" s="854"/>
      <c r="CA470" s="854"/>
      <c r="CB470" s="854"/>
      <c r="CC470" s="854"/>
      <c r="CD470" s="854"/>
      <c r="CE470" s="854"/>
      <c r="CF470" s="854"/>
      <c r="CG470" s="854" t="s">
        <v>45</v>
      </c>
    </row>
    <row r="471" spans="1:85" ht="15.75" customHeight="1">
      <c r="A471" s="847"/>
      <c r="B471" s="1126"/>
      <c r="C471" s="1126"/>
      <c r="D471" s="1126"/>
      <c r="E471" s="1126"/>
      <c r="F471" s="1126"/>
      <c r="G471" s="1126"/>
      <c r="H471" s="1126"/>
      <c r="I471" s="1126"/>
      <c r="J471" s="1126"/>
      <c r="K471" s="1126"/>
      <c r="L471" s="1126"/>
      <c r="M471" s="848"/>
      <c r="N471" s="849"/>
      <c r="O471" s="850"/>
      <c r="P471" s="850"/>
      <c r="Q471" s="850"/>
      <c r="R471" s="850"/>
      <c r="S471" s="850"/>
      <c r="T471" s="851"/>
      <c r="U471" s="851"/>
      <c r="V471" s="851"/>
      <c r="W471" s="851"/>
      <c r="X471" s="851"/>
      <c r="Y471" s="851"/>
      <c r="Z471" s="851"/>
      <c r="AA471" s="851"/>
      <c r="AB471" s="851"/>
      <c r="AC471" s="851"/>
      <c r="AD471" s="851"/>
      <c r="AE471" s="851"/>
      <c r="AF471" s="851"/>
      <c r="AG471" s="851"/>
      <c r="AH471" s="852"/>
      <c r="AI471" s="852"/>
      <c r="AJ471" s="852"/>
      <c r="AK471" s="852"/>
      <c r="AL471" s="852"/>
      <c r="AM471" s="852"/>
      <c r="AN471" s="852"/>
      <c r="AO471" s="852"/>
      <c r="AP471" s="852"/>
      <c r="AQ471" s="852"/>
      <c r="AR471" s="852"/>
      <c r="AS471" s="852"/>
      <c r="AT471" s="852"/>
      <c r="AU471" s="852"/>
      <c r="AV471" s="852"/>
      <c r="AW471" s="852"/>
      <c r="AX471" s="849"/>
      <c r="AY471" s="847"/>
      <c r="AZ471" s="847"/>
      <c r="BA471" s="847"/>
      <c r="BB471" s="847"/>
      <c r="BC471" s="853"/>
      <c r="BD471" s="854"/>
      <c r="BE471" s="854"/>
      <c r="BF471" s="854"/>
      <c r="BG471" s="854"/>
      <c r="BH471" s="854"/>
      <c r="BI471" s="854"/>
      <c r="BJ471" s="854"/>
      <c r="BK471" s="854"/>
      <c r="BL471" s="854"/>
      <c r="BM471" s="854"/>
      <c r="BN471" s="854"/>
      <c r="BO471" s="854"/>
      <c r="BP471" s="854"/>
      <c r="BQ471" s="854"/>
      <c r="BR471" s="854"/>
      <c r="BS471" s="854"/>
      <c r="BT471" s="854"/>
      <c r="BU471" s="854"/>
      <c r="BV471" s="854"/>
      <c r="BW471" s="854"/>
      <c r="BX471" s="854"/>
      <c r="BY471" s="854"/>
      <c r="BZ471" s="854"/>
      <c r="CA471" s="854"/>
      <c r="CB471" s="854"/>
      <c r="CC471" s="854"/>
      <c r="CD471" s="854"/>
      <c r="CE471" s="854"/>
      <c r="CF471" s="854"/>
      <c r="CG471" s="854" t="s">
        <v>45</v>
      </c>
    </row>
    <row r="472" spans="1:85" ht="15.75" customHeight="1">
      <c r="A472" s="847"/>
      <c r="B472" s="1126"/>
      <c r="C472" s="1126"/>
      <c r="D472" s="1126"/>
      <c r="E472" s="1126"/>
      <c r="F472" s="1126"/>
      <c r="G472" s="1126"/>
      <c r="H472" s="1126"/>
      <c r="I472" s="1126"/>
      <c r="J472" s="1126"/>
      <c r="K472" s="1126"/>
      <c r="L472" s="1126"/>
      <c r="M472" s="848"/>
      <c r="N472" s="849"/>
      <c r="O472" s="850"/>
      <c r="P472" s="850"/>
      <c r="Q472" s="850"/>
      <c r="R472" s="850"/>
      <c r="S472" s="850"/>
      <c r="T472" s="851"/>
      <c r="U472" s="851"/>
      <c r="V472" s="851"/>
      <c r="W472" s="851"/>
      <c r="X472" s="851"/>
      <c r="Y472" s="851"/>
      <c r="Z472" s="851"/>
      <c r="AA472" s="851"/>
      <c r="AB472" s="851"/>
      <c r="AC472" s="851"/>
      <c r="AD472" s="851"/>
      <c r="AE472" s="851"/>
      <c r="AF472" s="851"/>
      <c r="AG472" s="851"/>
      <c r="AH472" s="852"/>
      <c r="AI472" s="852"/>
      <c r="AJ472" s="852"/>
      <c r="AK472" s="852"/>
      <c r="AL472" s="852"/>
      <c r="AM472" s="852"/>
      <c r="AN472" s="852"/>
      <c r="AO472" s="852"/>
      <c r="AP472" s="852"/>
      <c r="AQ472" s="852"/>
      <c r="AR472" s="852"/>
      <c r="AS472" s="852"/>
      <c r="AT472" s="852"/>
      <c r="AU472" s="852"/>
      <c r="AV472" s="852"/>
      <c r="AW472" s="852"/>
      <c r="AX472" s="849"/>
      <c r="AY472" s="847"/>
      <c r="AZ472" s="847"/>
      <c r="BA472" s="847"/>
      <c r="BB472" s="847"/>
      <c r="BC472" s="853"/>
      <c r="BD472" s="854"/>
      <c r="BE472" s="854"/>
      <c r="BF472" s="854"/>
      <c r="BG472" s="854"/>
      <c r="BH472" s="854"/>
      <c r="BI472" s="854"/>
      <c r="BJ472" s="854"/>
      <c r="BK472" s="854"/>
      <c r="BL472" s="854"/>
      <c r="BM472" s="854"/>
      <c r="BN472" s="854"/>
      <c r="BO472" s="854"/>
      <c r="BP472" s="854"/>
      <c r="BQ472" s="854"/>
      <c r="BR472" s="854"/>
      <c r="BS472" s="854"/>
      <c r="BT472" s="854"/>
      <c r="BU472" s="854"/>
      <c r="BV472" s="854"/>
      <c r="BW472" s="854"/>
      <c r="BX472" s="854"/>
      <c r="BY472" s="854"/>
      <c r="BZ472" s="854"/>
      <c r="CA472" s="854"/>
      <c r="CB472" s="854"/>
      <c r="CC472" s="854"/>
      <c r="CD472" s="854"/>
      <c r="CE472" s="854"/>
      <c r="CF472" s="854"/>
      <c r="CG472" s="854" t="s">
        <v>45</v>
      </c>
    </row>
    <row r="473" spans="1:85" ht="15.75" customHeight="1">
      <c r="A473" s="847"/>
      <c r="B473" s="1126"/>
      <c r="C473" s="1126"/>
      <c r="D473" s="1126"/>
      <c r="E473" s="1126"/>
      <c r="F473" s="1126"/>
      <c r="G473" s="1126"/>
      <c r="H473" s="1126"/>
      <c r="I473" s="1126"/>
      <c r="J473" s="1126"/>
      <c r="K473" s="1126"/>
      <c r="L473" s="1126"/>
      <c r="M473" s="848"/>
      <c r="N473" s="849"/>
      <c r="O473" s="850"/>
      <c r="P473" s="850"/>
      <c r="Q473" s="850"/>
      <c r="R473" s="850"/>
      <c r="S473" s="850"/>
      <c r="T473" s="851"/>
      <c r="U473" s="851"/>
      <c r="V473" s="851"/>
      <c r="W473" s="851"/>
      <c r="X473" s="851"/>
      <c r="Y473" s="851"/>
      <c r="Z473" s="851"/>
      <c r="AA473" s="851"/>
      <c r="AB473" s="851"/>
      <c r="AC473" s="851"/>
      <c r="AD473" s="851"/>
      <c r="AE473" s="851"/>
      <c r="AF473" s="851"/>
      <c r="AG473" s="851"/>
      <c r="AH473" s="852"/>
      <c r="AI473" s="852"/>
      <c r="AJ473" s="852"/>
      <c r="AK473" s="852"/>
      <c r="AL473" s="852"/>
      <c r="AM473" s="852"/>
      <c r="AN473" s="852"/>
      <c r="AO473" s="852"/>
      <c r="AP473" s="852"/>
      <c r="AQ473" s="852"/>
      <c r="AR473" s="852"/>
      <c r="AS473" s="852"/>
      <c r="AT473" s="852"/>
      <c r="AU473" s="852"/>
      <c r="AV473" s="852"/>
      <c r="AW473" s="852"/>
      <c r="AX473" s="849"/>
      <c r="AY473" s="847"/>
      <c r="AZ473" s="847"/>
      <c r="BA473" s="847"/>
      <c r="BB473" s="847"/>
      <c r="BC473" s="853"/>
      <c r="BD473" s="854"/>
      <c r="BE473" s="854"/>
      <c r="BF473" s="854"/>
      <c r="BG473" s="854"/>
      <c r="BH473" s="854"/>
      <c r="BI473" s="854"/>
      <c r="BJ473" s="854"/>
      <c r="BK473" s="854"/>
      <c r="BL473" s="854"/>
      <c r="BM473" s="854"/>
      <c r="BN473" s="854"/>
      <c r="BO473" s="854"/>
      <c r="BP473" s="854"/>
      <c r="BQ473" s="854"/>
      <c r="BR473" s="854"/>
      <c r="BS473" s="854"/>
      <c r="BT473" s="854"/>
      <c r="BU473" s="854"/>
      <c r="BV473" s="854"/>
      <c r="BW473" s="854"/>
      <c r="BX473" s="854"/>
      <c r="BY473" s="854"/>
      <c r="BZ473" s="854"/>
      <c r="CA473" s="854"/>
      <c r="CB473" s="854"/>
      <c r="CC473" s="854"/>
      <c r="CD473" s="854"/>
      <c r="CE473" s="854"/>
      <c r="CF473" s="854"/>
      <c r="CG473" s="854" t="s">
        <v>45</v>
      </c>
    </row>
    <row r="474" spans="1:85" ht="15.75" customHeight="1">
      <c r="A474" s="847"/>
      <c r="B474" s="1126"/>
      <c r="C474" s="1126"/>
      <c r="D474" s="1126"/>
      <c r="E474" s="1126"/>
      <c r="F474" s="1126"/>
      <c r="G474" s="1126"/>
      <c r="H474" s="1126"/>
      <c r="I474" s="1126"/>
      <c r="J474" s="1126"/>
      <c r="K474" s="1126"/>
      <c r="L474" s="1126"/>
      <c r="M474" s="848"/>
      <c r="N474" s="849"/>
      <c r="O474" s="850"/>
      <c r="P474" s="850"/>
      <c r="Q474" s="850"/>
      <c r="R474" s="850"/>
      <c r="S474" s="850"/>
      <c r="T474" s="851"/>
      <c r="U474" s="851"/>
      <c r="V474" s="851"/>
      <c r="W474" s="851"/>
      <c r="X474" s="851"/>
      <c r="Y474" s="851"/>
      <c r="Z474" s="851"/>
      <c r="AA474" s="851"/>
      <c r="AB474" s="851"/>
      <c r="AC474" s="851"/>
      <c r="AD474" s="851"/>
      <c r="AE474" s="851"/>
      <c r="AF474" s="851"/>
      <c r="AG474" s="851"/>
      <c r="AH474" s="852"/>
      <c r="AI474" s="852"/>
      <c r="AJ474" s="852"/>
      <c r="AK474" s="852"/>
      <c r="AL474" s="852"/>
      <c r="AM474" s="852"/>
      <c r="AN474" s="852"/>
      <c r="AO474" s="852"/>
      <c r="AP474" s="852"/>
      <c r="AQ474" s="852"/>
      <c r="AR474" s="852"/>
      <c r="AS474" s="852"/>
      <c r="AT474" s="852"/>
      <c r="AU474" s="852"/>
      <c r="AV474" s="852"/>
      <c r="AW474" s="852"/>
      <c r="AX474" s="849"/>
      <c r="AY474" s="847"/>
      <c r="AZ474" s="847"/>
      <c r="BA474" s="847"/>
      <c r="BB474" s="847"/>
      <c r="BC474" s="853"/>
      <c r="BD474" s="854"/>
      <c r="BE474" s="854"/>
      <c r="BF474" s="854"/>
      <c r="BG474" s="854"/>
      <c r="BH474" s="854"/>
      <c r="BI474" s="854"/>
      <c r="BJ474" s="854"/>
      <c r="BK474" s="854"/>
      <c r="BL474" s="854"/>
      <c r="BM474" s="854"/>
      <c r="BN474" s="854"/>
      <c r="BO474" s="854"/>
      <c r="BP474" s="854"/>
      <c r="BQ474" s="854"/>
      <c r="BR474" s="854"/>
      <c r="BS474" s="854"/>
      <c r="BT474" s="854"/>
      <c r="BU474" s="854"/>
      <c r="BV474" s="854"/>
      <c r="BW474" s="854"/>
      <c r="BX474" s="854"/>
      <c r="BY474" s="854"/>
      <c r="BZ474" s="854"/>
      <c r="CA474" s="854"/>
      <c r="CB474" s="854"/>
      <c r="CC474" s="854"/>
      <c r="CD474" s="854"/>
      <c r="CE474" s="854"/>
      <c r="CF474" s="854"/>
      <c r="CG474" s="854" t="s">
        <v>45</v>
      </c>
    </row>
    <row r="475" spans="1:85" ht="15.75" customHeight="1">
      <c r="A475" s="847"/>
      <c r="B475" s="1126"/>
      <c r="C475" s="1126"/>
      <c r="D475" s="1126"/>
      <c r="E475" s="1126"/>
      <c r="F475" s="1126"/>
      <c r="G475" s="1126"/>
      <c r="H475" s="1126"/>
      <c r="I475" s="1126"/>
      <c r="J475" s="1126"/>
      <c r="K475" s="1126"/>
      <c r="L475" s="1126"/>
      <c r="M475" s="848"/>
      <c r="N475" s="849"/>
      <c r="O475" s="850"/>
      <c r="P475" s="850"/>
      <c r="Q475" s="850"/>
      <c r="R475" s="850"/>
      <c r="S475" s="850"/>
      <c r="T475" s="851"/>
      <c r="U475" s="851"/>
      <c r="V475" s="851"/>
      <c r="W475" s="851"/>
      <c r="X475" s="851"/>
      <c r="Y475" s="851"/>
      <c r="Z475" s="851"/>
      <c r="AA475" s="851"/>
      <c r="AB475" s="851"/>
      <c r="AC475" s="851"/>
      <c r="AD475" s="851"/>
      <c r="AE475" s="851"/>
      <c r="AF475" s="851"/>
      <c r="AG475" s="851"/>
      <c r="AH475" s="852"/>
      <c r="AI475" s="852"/>
      <c r="AJ475" s="852"/>
      <c r="AK475" s="852"/>
      <c r="AL475" s="852"/>
      <c r="AM475" s="852"/>
      <c r="AN475" s="852"/>
      <c r="AO475" s="852"/>
      <c r="AP475" s="852"/>
      <c r="AQ475" s="852"/>
      <c r="AR475" s="852"/>
      <c r="AS475" s="852"/>
      <c r="AT475" s="852"/>
      <c r="AU475" s="852"/>
      <c r="AV475" s="852"/>
      <c r="AW475" s="852"/>
      <c r="AX475" s="849"/>
      <c r="AY475" s="847"/>
      <c r="AZ475" s="847"/>
      <c r="BA475" s="847"/>
      <c r="BB475" s="847"/>
      <c r="BC475" s="853"/>
      <c r="BD475" s="854"/>
      <c r="BE475" s="854"/>
      <c r="BF475" s="854"/>
      <c r="BG475" s="854"/>
      <c r="BH475" s="854"/>
      <c r="BI475" s="854"/>
      <c r="BJ475" s="854"/>
      <c r="BK475" s="854"/>
      <c r="BL475" s="854"/>
      <c r="BM475" s="854"/>
      <c r="BN475" s="854"/>
      <c r="BO475" s="854"/>
      <c r="BP475" s="854"/>
      <c r="BQ475" s="854"/>
      <c r="BR475" s="854"/>
      <c r="BS475" s="854"/>
      <c r="BT475" s="854"/>
      <c r="BU475" s="854"/>
      <c r="BV475" s="854"/>
      <c r="BW475" s="854"/>
      <c r="BX475" s="854"/>
      <c r="BY475" s="854"/>
      <c r="BZ475" s="854"/>
      <c r="CA475" s="854"/>
      <c r="CB475" s="854"/>
      <c r="CC475" s="854"/>
      <c r="CD475" s="854"/>
      <c r="CE475" s="854"/>
      <c r="CF475" s="854"/>
      <c r="CG475" s="854" t="s">
        <v>45</v>
      </c>
    </row>
    <row r="476" spans="1:85" ht="15.75" customHeight="1">
      <c r="A476" s="847"/>
      <c r="B476" s="1126"/>
      <c r="C476" s="1126"/>
      <c r="D476" s="1126"/>
      <c r="E476" s="1126"/>
      <c r="F476" s="1126"/>
      <c r="G476" s="1126"/>
      <c r="H476" s="1126"/>
      <c r="I476" s="1126"/>
      <c r="J476" s="1126"/>
      <c r="K476" s="1126"/>
      <c r="L476" s="1126"/>
      <c r="M476" s="848"/>
      <c r="N476" s="849"/>
      <c r="O476" s="850"/>
      <c r="P476" s="850"/>
      <c r="Q476" s="850"/>
      <c r="R476" s="850"/>
      <c r="S476" s="850"/>
      <c r="T476" s="851"/>
      <c r="U476" s="851"/>
      <c r="V476" s="851"/>
      <c r="W476" s="851"/>
      <c r="X476" s="851"/>
      <c r="Y476" s="851"/>
      <c r="Z476" s="851"/>
      <c r="AA476" s="851"/>
      <c r="AB476" s="851"/>
      <c r="AC476" s="851"/>
      <c r="AD476" s="851"/>
      <c r="AE476" s="851"/>
      <c r="AF476" s="851"/>
      <c r="AG476" s="851"/>
      <c r="AH476" s="852"/>
      <c r="AI476" s="852"/>
      <c r="AJ476" s="852"/>
      <c r="AK476" s="852"/>
      <c r="AL476" s="852"/>
      <c r="AM476" s="852"/>
      <c r="AN476" s="852"/>
      <c r="AO476" s="852"/>
      <c r="AP476" s="852"/>
      <c r="AQ476" s="852"/>
      <c r="AR476" s="852"/>
      <c r="AS476" s="852"/>
      <c r="AT476" s="852"/>
      <c r="AU476" s="852"/>
      <c r="AV476" s="852"/>
      <c r="AW476" s="852"/>
      <c r="AX476" s="849"/>
      <c r="AY476" s="847"/>
      <c r="AZ476" s="847"/>
      <c r="BA476" s="847"/>
      <c r="BB476" s="847"/>
      <c r="BC476" s="853"/>
      <c r="BD476" s="854"/>
      <c r="BE476" s="854"/>
      <c r="BF476" s="854"/>
      <c r="BG476" s="854"/>
      <c r="BH476" s="854"/>
      <c r="BI476" s="854"/>
      <c r="BJ476" s="854"/>
      <c r="BK476" s="854"/>
      <c r="BL476" s="854"/>
      <c r="BM476" s="854"/>
      <c r="BN476" s="854"/>
      <c r="BO476" s="854"/>
      <c r="BP476" s="854"/>
      <c r="BQ476" s="854"/>
      <c r="BR476" s="854"/>
      <c r="BS476" s="854"/>
      <c r="BT476" s="854"/>
      <c r="BU476" s="854"/>
      <c r="BV476" s="854"/>
      <c r="BW476" s="854"/>
      <c r="BX476" s="854"/>
      <c r="BY476" s="854"/>
      <c r="BZ476" s="854"/>
      <c r="CA476" s="854"/>
      <c r="CB476" s="854"/>
      <c r="CC476" s="854"/>
      <c r="CD476" s="854"/>
      <c r="CE476" s="854"/>
      <c r="CF476" s="854"/>
      <c r="CG476" s="854" t="s">
        <v>45</v>
      </c>
    </row>
    <row r="477" spans="1:85" ht="15.75" customHeight="1">
      <c r="A477" s="847"/>
      <c r="B477" s="1126"/>
      <c r="C477" s="1126"/>
      <c r="D477" s="1126"/>
      <c r="E477" s="1126"/>
      <c r="F477" s="1126"/>
      <c r="G477" s="1126"/>
      <c r="H477" s="1126"/>
      <c r="I477" s="1126"/>
      <c r="J477" s="1126"/>
      <c r="K477" s="1126"/>
      <c r="L477" s="1126"/>
      <c r="M477" s="848"/>
      <c r="N477" s="849"/>
      <c r="O477" s="850"/>
      <c r="P477" s="850"/>
      <c r="Q477" s="850"/>
      <c r="R477" s="850"/>
      <c r="S477" s="850"/>
      <c r="T477" s="851"/>
      <c r="U477" s="851"/>
      <c r="V477" s="851"/>
      <c r="W477" s="851"/>
      <c r="X477" s="851"/>
      <c r="Y477" s="851"/>
      <c r="Z477" s="851"/>
      <c r="AA477" s="851"/>
      <c r="AB477" s="851"/>
      <c r="AC477" s="851"/>
      <c r="AD477" s="851"/>
      <c r="AE477" s="851"/>
      <c r="AF477" s="851"/>
      <c r="AG477" s="851"/>
      <c r="AH477" s="852"/>
      <c r="AI477" s="852"/>
      <c r="AJ477" s="852"/>
      <c r="AK477" s="852"/>
      <c r="AL477" s="852"/>
      <c r="AM477" s="852"/>
      <c r="AN477" s="852"/>
      <c r="AO477" s="852"/>
      <c r="AP477" s="852"/>
      <c r="AQ477" s="852"/>
      <c r="AR477" s="852"/>
      <c r="AS477" s="852"/>
      <c r="AT477" s="852"/>
      <c r="AU477" s="852"/>
      <c r="AV477" s="852"/>
      <c r="AW477" s="852"/>
      <c r="AX477" s="849"/>
      <c r="AY477" s="847"/>
      <c r="AZ477" s="847"/>
      <c r="BA477" s="847"/>
      <c r="BB477" s="847"/>
      <c r="BC477" s="853"/>
      <c r="BD477" s="854"/>
      <c r="BE477" s="854"/>
      <c r="BF477" s="854"/>
      <c r="BG477" s="854"/>
      <c r="BH477" s="854"/>
      <c r="BI477" s="854"/>
      <c r="BJ477" s="854"/>
      <c r="BK477" s="854"/>
      <c r="BL477" s="854"/>
      <c r="BM477" s="854"/>
      <c r="BN477" s="854"/>
      <c r="BO477" s="854"/>
      <c r="BP477" s="854"/>
      <c r="BQ477" s="854"/>
      <c r="BR477" s="854"/>
      <c r="BS477" s="854"/>
      <c r="BT477" s="854"/>
      <c r="BU477" s="854"/>
      <c r="BV477" s="854"/>
      <c r="BW477" s="854"/>
      <c r="BX477" s="854"/>
      <c r="BY477" s="854"/>
      <c r="BZ477" s="854"/>
      <c r="CA477" s="854"/>
      <c r="CB477" s="854"/>
      <c r="CC477" s="854"/>
      <c r="CD477" s="854"/>
      <c r="CE477" s="854"/>
      <c r="CF477" s="854"/>
      <c r="CG477" s="854" t="s">
        <v>45</v>
      </c>
    </row>
  </sheetData>
  <sortState xmlns:xlrd2="http://schemas.microsoft.com/office/spreadsheetml/2017/richdata2" ref="E128:N144">
    <sortCondition ref="G128:G144"/>
  </sortState>
  <mergeCells count="85">
    <mergeCell ref="B2:D2"/>
    <mergeCell ref="E2:G2"/>
    <mergeCell ref="H2:K2"/>
    <mergeCell ref="B3:D3"/>
    <mergeCell ref="E3:G3"/>
    <mergeCell ref="B4:D4"/>
    <mergeCell ref="E4:G4"/>
    <mergeCell ref="H4:K4"/>
    <mergeCell ref="B5:L5"/>
    <mergeCell ref="B6:D6"/>
    <mergeCell ref="E6:F6"/>
    <mergeCell ref="G6:H6"/>
    <mergeCell ref="I6:J6"/>
    <mergeCell ref="K6:L6"/>
    <mergeCell ref="BG15:BI15"/>
    <mergeCell ref="B10:D10"/>
    <mergeCell ref="B12:D12"/>
    <mergeCell ref="B13:D13"/>
    <mergeCell ref="B15:D15"/>
    <mergeCell ref="E12:L12"/>
    <mergeCell ref="B11:L11"/>
    <mergeCell ref="K10:L10"/>
    <mergeCell ref="BG11:BQ11"/>
    <mergeCell ref="BG12:BI12"/>
    <mergeCell ref="BJ12:BQ12"/>
    <mergeCell ref="BG13:BI13"/>
    <mergeCell ref="E10:F10"/>
    <mergeCell ref="G10:H10"/>
    <mergeCell ref="I10:J10"/>
    <mergeCell ref="B101:L101"/>
    <mergeCell ref="B102:D102"/>
    <mergeCell ref="E102:L102"/>
    <mergeCell ref="B103:D103"/>
    <mergeCell ref="I164:J164"/>
    <mergeCell ref="K164:L164"/>
    <mergeCell ref="B161:L161"/>
    <mergeCell ref="B162:D164"/>
    <mergeCell ref="E162:L162"/>
    <mergeCell ref="E163:F163"/>
    <mergeCell ref="G163:H163"/>
    <mergeCell ref="I163:J163"/>
    <mergeCell ref="K163:L163"/>
    <mergeCell ref="E149:F149"/>
    <mergeCell ref="G149:H149"/>
    <mergeCell ref="I149:J149"/>
    <mergeCell ref="BG322:BI322"/>
    <mergeCell ref="B172:L172"/>
    <mergeCell ref="B173:D175"/>
    <mergeCell ref="E173:L173"/>
    <mergeCell ref="E174:F174"/>
    <mergeCell ref="G174:H174"/>
    <mergeCell ref="I174:J174"/>
    <mergeCell ref="K174:L174"/>
    <mergeCell ref="I175:J175"/>
    <mergeCell ref="K175:L175"/>
    <mergeCell ref="BG320:BQ320"/>
    <mergeCell ref="BG321:BI321"/>
    <mergeCell ref="BJ321:BQ321"/>
    <mergeCell ref="B7:D7"/>
    <mergeCell ref="E7:F7"/>
    <mergeCell ref="G7:H7"/>
    <mergeCell ref="I7:J7"/>
    <mergeCell ref="K7:L7"/>
    <mergeCell ref="K8:L8"/>
    <mergeCell ref="B8:D8"/>
    <mergeCell ref="B9:D9"/>
    <mergeCell ref="E9:F9"/>
    <mergeCell ref="G9:H9"/>
    <mergeCell ref="I9:J9"/>
    <mergeCell ref="K9:L9"/>
    <mergeCell ref="G8:H8"/>
    <mergeCell ref="I8:J8"/>
    <mergeCell ref="E8:F8"/>
    <mergeCell ref="B146:L146"/>
    <mergeCell ref="B147:D149"/>
    <mergeCell ref="E147:L147"/>
    <mergeCell ref="E148:F148"/>
    <mergeCell ref="G148:H148"/>
    <mergeCell ref="I148:J148"/>
    <mergeCell ref="K148:L148"/>
    <mergeCell ref="E164:F164"/>
    <mergeCell ref="G164:H164"/>
    <mergeCell ref="E175:F175"/>
    <mergeCell ref="G175:H175"/>
    <mergeCell ref="K149:L149"/>
  </mergeCells>
  <dataValidations count="3">
    <dataValidation type="list" allowBlank="1" showInputMessage="1" showErrorMessage="1" prompt=" - " sqref="I7:I10" xr:uid="{00000000-0002-0000-0200-000000000000}">
      <formula1>$P$6:$P$11</formula1>
    </dataValidation>
    <dataValidation type="date" allowBlank="1" sqref="E3 E13 G13 I13 K13" xr:uid="{00000000-0002-0000-0200-000001000000}">
      <formula1>1</formula1>
      <formula2>402133</formula2>
    </dataValidation>
    <dataValidation type="date" allowBlank="1" showInputMessage="1" prompt=" - Agar diinput format tanggal : mm/dd/yyy" sqref="BJ13 BL13 BN13 BP13" xr:uid="{00000000-0002-0000-0200-000002000000}">
      <formula1>1</formula1>
      <formula2>402133</formula2>
    </dataValidation>
  </dataValidations>
  <pageMargins left="0.7" right="0.7" top="0.75" bottom="0.75" header="0" footer="0"/>
  <pageSetup orientation="landscape"/>
  <headerFooter>
    <oddFooter>&amp;RSABAK - GENERIK NON STANDARD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C0C0C0"/>
  </sheetPr>
  <dimension ref="A1:AN1010"/>
  <sheetViews>
    <sheetView showGridLines="0" workbookViewId="0">
      <pane xSplit="3" ySplit="6" topLeftCell="E7" activePane="bottomRight" state="frozen"/>
      <selection pane="bottomRight" activeCell="G19" sqref="G19"/>
      <selection pane="bottomLeft" activeCell="A7" sqref="A7"/>
      <selection pane="topRight" activeCell="D1" sqref="D1"/>
    </sheetView>
  </sheetViews>
  <sheetFormatPr defaultColWidth="12.42578125" defaultRowHeight="15" customHeight="1"/>
  <cols>
    <col min="1" max="1" width="3.42578125" customWidth="1"/>
    <col min="2" max="2" width="1" customWidth="1"/>
    <col min="3" max="3" width="3.42578125" customWidth="1"/>
    <col min="4" max="4" width="5" customWidth="1"/>
    <col min="5" max="5" width="8" customWidth="1"/>
    <col min="6" max="6" width="31.140625" customWidth="1"/>
    <col min="7" max="7" width="27.140625" customWidth="1"/>
    <col min="8" max="9" width="15.42578125" customWidth="1"/>
    <col min="10" max="10" width="24.140625" customWidth="1"/>
    <col min="11" max="11" width="15.7109375" customWidth="1"/>
    <col min="12" max="12" width="13.140625" customWidth="1"/>
    <col min="13" max="13" width="16.7109375" customWidth="1"/>
    <col min="14" max="14" width="10.42578125" customWidth="1"/>
    <col min="15" max="15" width="1.42578125" customWidth="1"/>
    <col min="16" max="16" width="12.28515625" customWidth="1"/>
    <col min="17" max="17" width="9.140625" hidden="1" customWidth="1"/>
    <col min="18" max="19" width="10.140625" hidden="1" customWidth="1"/>
    <col min="20" max="26" width="9.140625" hidden="1" customWidth="1"/>
    <col min="27" max="27" width="12.42578125" customWidth="1"/>
    <col min="28" max="28" width="16.7109375" customWidth="1"/>
    <col min="29" max="38" width="9.140625" customWidth="1"/>
    <col min="39" max="40" width="8" hidden="1" customWidth="1"/>
  </cols>
  <sheetData>
    <row r="1" spans="1:40" ht="13.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2" spans="1:40" ht="7.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</row>
    <row r="3" spans="1:40" ht="7.5" customHeight="1">
      <c r="A3" s="21"/>
      <c r="B3" s="21"/>
      <c r="C3" s="1547" t="s">
        <v>417</v>
      </c>
      <c r="D3" s="1613"/>
      <c r="E3" s="1613"/>
      <c r="F3" s="1613"/>
      <c r="G3" s="1613"/>
      <c r="H3" s="1613"/>
      <c r="I3" s="1613"/>
      <c r="J3" s="1613"/>
      <c r="K3" s="1613"/>
      <c r="L3" s="1613"/>
      <c r="M3" s="1613"/>
      <c r="N3" s="1614"/>
      <c r="O3" s="21"/>
      <c r="P3" s="21"/>
      <c r="Q3" s="21"/>
      <c r="R3" s="22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ht="24.75" customHeight="1">
      <c r="A4" s="21"/>
      <c r="B4" s="21"/>
      <c r="C4" s="1615"/>
      <c r="D4" s="1616"/>
      <c r="E4" s="1616"/>
      <c r="F4" s="1616"/>
      <c r="G4" s="1616"/>
      <c r="H4" s="1616"/>
      <c r="I4" s="1616"/>
      <c r="J4" s="1616"/>
      <c r="K4" s="1616"/>
      <c r="L4" s="1616"/>
      <c r="M4" s="1616"/>
      <c r="N4" s="1617"/>
      <c r="O4" s="21"/>
      <c r="P4" s="21"/>
      <c r="Q4" s="21"/>
      <c r="R4" s="22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spans="1:40" ht="6.75" customHeight="1">
      <c r="A5" s="21"/>
      <c r="B5" s="21"/>
      <c r="C5" s="1618"/>
      <c r="D5" s="1619"/>
      <c r="E5" s="1619"/>
      <c r="F5" s="1619"/>
      <c r="G5" s="1619"/>
      <c r="H5" s="1619"/>
      <c r="I5" s="1619"/>
      <c r="J5" s="1619"/>
      <c r="K5" s="1619"/>
      <c r="L5" s="1619"/>
      <c r="M5" s="1619"/>
      <c r="N5" s="1620"/>
      <c r="O5" s="21"/>
      <c r="P5" s="21"/>
      <c r="Q5" s="21"/>
      <c r="R5" s="22" t="s">
        <v>57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0" ht="14.25" customHeight="1">
      <c r="A6" s="21"/>
      <c r="B6" s="21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1"/>
      <c r="P6" s="21"/>
      <c r="Q6" s="21"/>
      <c r="R6" s="24">
        <f>DATE(YEAR(Historical!K13),MONTH(Historical!K13)+1,VLOOKUP(MONTH(Historical!K13)+1,$T$6:$U$20,2))</f>
        <v>45504</v>
      </c>
      <c r="S6" s="21"/>
      <c r="T6" s="554">
        <v>1</v>
      </c>
      <c r="U6" s="554">
        <v>31</v>
      </c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</row>
    <row r="7" spans="1:40" ht="13.5" customHeight="1">
      <c r="A7" s="21"/>
      <c r="B7" s="21"/>
      <c r="C7" s="21"/>
      <c r="D7" s="25">
        <v>1</v>
      </c>
      <c r="E7" s="25" t="s">
        <v>418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4">
        <f t="shared" ref="R7:R15" si="0">DATE(YEAR(R6),MONTH(R6)+1,VLOOKUP(MONTH(R6)+1,$T$6:$U$19,2))</f>
        <v>45535</v>
      </c>
      <c r="S7" s="21"/>
      <c r="T7" s="554">
        <v>2</v>
      </c>
      <c r="U7" s="554">
        <v>28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</row>
    <row r="8" spans="1:40" ht="13.5" customHeight="1">
      <c r="A8" s="21"/>
      <c r="B8" s="21"/>
      <c r="C8" s="21"/>
      <c r="D8" s="21"/>
      <c r="E8" s="21"/>
      <c r="F8" s="26" t="s">
        <v>419</v>
      </c>
      <c r="G8" s="27" t="str">
        <f>+Historical!B13</f>
        <v>IDR Million</v>
      </c>
      <c r="H8" s="26" t="s">
        <v>420</v>
      </c>
      <c r="I8" s="21"/>
      <c r="J8" s="21"/>
      <c r="K8" s="21"/>
      <c r="L8" s="21"/>
      <c r="M8" s="21"/>
      <c r="N8" s="21"/>
      <c r="O8" s="21"/>
      <c r="P8" s="21"/>
      <c r="Q8" s="21"/>
      <c r="R8" s="24">
        <f t="shared" si="0"/>
        <v>45565</v>
      </c>
      <c r="S8" s="21"/>
      <c r="T8" s="554">
        <v>3</v>
      </c>
      <c r="U8" s="554">
        <v>31</v>
      </c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 spans="1:40" ht="13.5" customHeight="1">
      <c r="A9" s="21"/>
      <c r="B9" s="21"/>
      <c r="C9" s="21"/>
      <c r="D9" s="21"/>
      <c r="E9" s="21"/>
      <c r="F9" s="28">
        <f>+Historical!E13</f>
        <v>44561</v>
      </c>
      <c r="G9" s="29">
        <f>+Historical!E105</f>
        <v>100000</v>
      </c>
      <c r="H9" s="30" t="s">
        <v>74</v>
      </c>
      <c r="I9" s="21"/>
      <c r="J9" s="21"/>
      <c r="K9" s="21"/>
      <c r="L9" s="21"/>
      <c r="M9" s="21"/>
      <c r="N9" s="21"/>
      <c r="O9" s="21"/>
      <c r="P9" s="21"/>
      <c r="Q9" s="21"/>
      <c r="R9" s="24">
        <f t="shared" si="0"/>
        <v>45596</v>
      </c>
      <c r="S9" s="21"/>
      <c r="T9" s="554">
        <v>4</v>
      </c>
      <c r="U9" s="554">
        <v>30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spans="1:40" ht="13.5" customHeight="1">
      <c r="A10" s="21"/>
      <c r="B10" s="21"/>
      <c r="C10" s="21"/>
      <c r="D10" s="21"/>
      <c r="E10" s="21"/>
      <c r="F10" s="28">
        <f>+Historical!G13</f>
        <v>44926</v>
      </c>
      <c r="G10" s="29">
        <f>+Historical!G105</f>
        <v>110000</v>
      </c>
      <c r="H10" s="745">
        <f>Historical!G129</f>
        <v>10.000000000000009</v>
      </c>
      <c r="I10" s="21"/>
      <c r="J10" s="21"/>
      <c r="K10" s="21"/>
      <c r="L10" s="21"/>
      <c r="M10" s="21"/>
      <c r="N10" s="21"/>
      <c r="O10" s="21"/>
      <c r="P10" s="21"/>
      <c r="Q10" s="21"/>
      <c r="R10" s="24">
        <f t="shared" si="0"/>
        <v>45626</v>
      </c>
      <c r="S10" s="21"/>
      <c r="T10" s="554">
        <v>5</v>
      </c>
      <c r="U10" s="554">
        <v>31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 spans="1:40" ht="13.5" customHeight="1">
      <c r="A11" s="21"/>
      <c r="B11" s="21"/>
      <c r="C11" s="21"/>
      <c r="D11" s="21"/>
      <c r="E11" s="21"/>
      <c r="F11" s="28">
        <f>+Historical!I13</f>
        <v>45291</v>
      </c>
      <c r="G11" s="29">
        <f>+Historical!I105</f>
        <v>120000</v>
      </c>
      <c r="H11" s="745">
        <f>Historical!I129</f>
        <v>9.0909090909090828</v>
      </c>
      <c r="I11" s="21"/>
      <c r="J11" s="21"/>
      <c r="K11" s="21"/>
      <c r="L11" s="21"/>
      <c r="M11" s="21"/>
      <c r="N11" s="21"/>
      <c r="O11" s="21"/>
      <c r="P11" s="21"/>
      <c r="Q11" s="21"/>
      <c r="R11" s="24">
        <f t="shared" si="0"/>
        <v>45656</v>
      </c>
      <c r="S11" s="21"/>
      <c r="T11" s="554">
        <v>6</v>
      </c>
      <c r="U11" s="554">
        <v>30</v>
      </c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spans="1:40" ht="13.5" customHeight="1">
      <c r="A12" s="21"/>
      <c r="B12" s="21"/>
      <c r="C12" s="21"/>
      <c r="D12" s="21"/>
      <c r="E12" s="21"/>
      <c r="F12" s="28">
        <f>+Historical!K13</f>
        <v>45473</v>
      </c>
      <c r="G12" s="29">
        <f>Historical!K105</f>
        <v>130000</v>
      </c>
      <c r="H12" s="745">
        <f>Historical!K129</f>
        <v>116.66666666666666</v>
      </c>
      <c r="I12" s="21"/>
      <c r="J12" s="21"/>
      <c r="K12" s="21"/>
      <c r="L12" s="21"/>
      <c r="M12" s="21"/>
      <c r="N12" s="21"/>
      <c r="O12" s="21"/>
      <c r="P12" s="21"/>
      <c r="Q12" s="21"/>
      <c r="R12" s="24">
        <f t="shared" si="0"/>
        <v>45687</v>
      </c>
      <c r="S12" s="21"/>
      <c r="T12" s="554">
        <v>7</v>
      </c>
      <c r="U12" s="554">
        <v>31</v>
      </c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spans="1:40" ht="13.5" customHeight="1">
      <c r="A13" s="21"/>
      <c r="B13" s="21"/>
      <c r="C13" s="21"/>
      <c r="D13" s="21"/>
      <c r="E13" s="21"/>
      <c r="F13" s="32"/>
      <c r="G13" s="33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4">
        <f t="shared" si="0"/>
        <v>45716</v>
      </c>
      <c r="S13" s="21"/>
      <c r="T13" s="554">
        <v>8</v>
      </c>
      <c r="U13" s="554">
        <v>31</v>
      </c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spans="1:40" ht="14.25" customHeight="1">
      <c r="A14" s="21"/>
      <c r="B14" s="21"/>
      <c r="C14" s="21"/>
      <c r="D14" s="21"/>
      <c r="E14" s="21"/>
      <c r="F14" s="34" t="s">
        <v>421</v>
      </c>
      <c r="G14" s="33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4">
        <f t="shared" si="0"/>
        <v>45747</v>
      </c>
      <c r="S14" s="21"/>
      <c r="T14" s="554">
        <v>9</v>
      </c>
      <c r="U14" s="554">
        <v>30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spans="1:40" ht="14.25" customHeight="1">
      <c r="A15" s="21"/>
      <c r="B15" s="21"/>
      <c r="C15" s="21"/>
      <c r="D15" s="21"/>
      <c r="E15" s="21"/>
      <c r="F15" s="748">
        <f>+IF(MONTH(F12)=12,DATE(YEAR(F12)+1,12,31),DATE(YEAR(F11)+1,12,31))</f>
        <v>45657</v>
      </c>
      <c r="G15" s="33">
        <f>IF(K15=F12,G12*(1+I15),G11*(1+I15))</f>
        <v>132000</v>
      </c>
      <c r="H15" s="22" t="s">
        <v>420</v>
      </c>
      <c r="I15" s="35">
        <f>+(SUM(J23:J26)-G12)/G12</f>
        <v>0.1</v>
      </c>
      <c r="J15" s="22" t="s">
        <v>422</v>
      </c>
      <c r="K15" s="32">
        <f>+IF(MONTH(F12)=12,F12,F11)</f>
        <v>45291</v>
      </c>
      <c r="L15" s="21"/>
      <c r="M15" s="21"/>
      <c r="N15" s="21"/>
      <c r="O15" s="21"/>
      <c r="P15" s="21"/>
      <c r="Q15" s="21"/>
      <c r="R15" s="24">
        <f t="shared" si="0"/>
        <v>45777</v>
      </c>
      <c r="S15" s="21"/>
      <c r="T15" s="554">
        <v>10</v>
      </c>
      <c r="U15" s="554">
        <v>31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spans="1:40" ht="13.5" hidden="1" customHeight="1">
      <c r="A16" s="21"/>
      <c r="B16" s="21"/>
      <c r="C16" s="21"/>
      <c r="D16" s="21"/>
      <c r="E16" s="21"/>
      <c r="F16" s="32"/>
      <c r="G16" s="33"/>
      <c r="H16" s="22"/>
      <c r="I16" s="36"/>
      <c r="J16" s="22"/>
      <c r="K16" s="32"/>
      <c r="L16" s="21"/>
      <c r="M16" s="21"/>
      <c r="N16" s="21"/>
      <c r="O16" s="21"/>
      <c r="P16" s="21"/>
      <c r="Q16" s="21"/>
      <c r="R16" s="24"/>
      <c r="S16" s="21"/>
      <c r="T16" s="554"/>
      <c r="U16" s="554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spans="1:40" ht="13.5" hidden="1" customHeight="1">
      <c r="A17" s="21"/>
      <c r="B17" s="21"/>
      <c r="C17" s="21"/>
      <c r="D17" s="21"/>
      <c r="E17" s="21"/>
      <c r="F17" s="1548" t="str">
        <f>+IF(MONTH(F12)=12,"",IF(G15&lt;G12,"Agar input asumsi Growth lainnya, karena posisi Sales di bulan Desember harus lebih besar dari posisi terakhir !!",""))</f>
        <v/>
      </c>
      <c r="G17" s="1616"/>
      <c r="H17" s="1616"/>
      <c r="I17" s="1616"/>
      <c r="J17" s="1616"/>
      <c r="K17" s="1616"/>
      <c r="L17" s="1616"/>
      <c r="M17" s="1616"/>
      <c r="N17" s="21"/>
      <c r="O17" s="21"/>
      <c r="P17" s="21"/>
      <c r="Q17" s="21"/>
      <c r="R17" s="24"/>
      <c r="S17" s="21"/>
      <c r="T17" s="554"/>
      <c r="U17" s="554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</row>
    <row r="18" spans="1:40" ht="13.5" hidden="1" customHeight="1">
      <c r="A18" s="21"/>
      <c r="B18" s="21"/>
      <c r="C18" s="21"/>
      <c r="D18" s="21"/>
      <c r="E18" s="21"/>
      <c r="F18" s="37"/>
      <c r="G18" s="37"/>
      <c r="H18" s="37"/>
      <c r="I18" s="37"/>
      <c r="J18" s="37"/>
      <c r="K18" s="37"/>
      <c r="L18" s="37"/>
      <c r="M18" s="37"/>
      <c r="N18" s="21"/>
      <c r="O18" s="21"/>
      <c r="P18" s="21"/>
      <c r="Q18" s="21"/>
      <c r="R18" s="24"/>
      <c r="S18" s="21"/>
      <c r="T18" s="554"/>
      <c r="U18" s="554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</row>
    <row r="19" spans="1:40" ht="14.25" customHeight="1">
      <c r="A19" s="21"/>
      <c r="B19" s="21"/>
      <c r="C19" s="21"/>
      <c r="D19" s="21"/>
      <c r="E19" s="21"/>
      <c r="F19" s="34" t="s">
        <v>423</v>
      </c>
      <c r="G19" s="33"/>
      <c r="H19" s="22"/>
      <c r="I19" s="22"/>
      <c r="J19" s="22"/>
      <c r="K19" s="32"/>
      <c r="L19" s="21"/>
      <c r="M19" s="21"/>
      <c r="N19" s="21"/>
      <c r="O19" s="21"/>
      <c r="P19" s="21"/>
      <c r="Q19" s="21"/>
      <c r="R19" s="24">
        <f>DATE(YEAR(R15),MONTH(R15)+1,VLOOKUP(MONTH(R15)+1,$T$6:$U$19,2))</f>
        <v>45808</v>
      </c>
      <c r="S19" s="21"/>
      <c r="T19" s="554">
        <v>11</v>
      </c>
      <c r="U19" s="554">
        <v>30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</row>
    <row r="20" spans="1:40" ht="14.25" customHeight="1">
      <c r="A20" s="21"/>
      <c r="B20" s="21"/>
      <c r="C20" s="21"/>
      <c r="D20" s="21"/>
      <c r="E20" s="21"/>
      <c r="F20" s="1540"/>
      <c r="G20" s="1621"/>
      <c r="H20" s="1621"/>
      <c r="I20" s="1621"/>
      <c r="J20" s="1621"/>
      <c r="K20" s="1621"/>
      <c r="L20" s="1621"/>
      <c r="M20" s="1622"/>
      <c r="N20" s="21"/>
      <c r="O20" s="21"/>
      <c r="P20" s="21"/>
      <c r="Q20" s="21"/>
      <c r="R20" s="24">
        <f>DATE(YEAR(R19),MONTH(R19)+1,VLOOKUP(MONTH(R19)+1,$T$6:$U$19,2))</f>
        <v>45838</v>
      </c>
      <c r="S20" s="21"/>
      <c r="T20" s="554">
        <v>12</v>
      </c>
      <c r="U20" s="554">
        <v>31</v>
      </c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</row>
    <row r="21" spans="1:40" ht="14.1">
      <c r="A21" s="25"/>
      <c r="B21" s="25"/>
      <c r="C21" s="25"/>
      <c r="D21" s="25"/>
      <c r="E21" s="25"/>
      <c r="F21" s="555" t="s">
        <v>424</v>
      </c>
      <c r="G21" s="746" t="s">
        <v>425</v>
      </c>
      <c r="H21" s="746" t="s">
        <v>426</v>
      </c>
      <c r="I21" s="746"/>
      <c r="J21" s="746" t="s">
        <v>206</v>
      </c>
      <c r="K21" s="555"/>
      <c r="L21" s="555"/>
      <c r="M21" s="555"/>
      <c r="N21" s="25"/>
      <c r="O21" s="25"/>
      <c r="P21" s="25"/>
      <c r="Q21" s="25"/>
      <c r="R21" s="38"/>
      <c r="S21" s="25"/>
      <c r="T21" s="556"/>
      <c r="U21" s="556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14.1">
      <c r="A22" s="25"/>
      <c r="B22" s="25"/>
      <c r="C22" s="25"/>
      <c r="D22" s="25"/>
      <c r="E22" s="25"/>
      <c r="F22" s="555"/>
      <c r="G22" s="746"/>
      <c r="H22" s="747" t="str">
        <f>"("&amp;Historical!$B$13&amp;")"</f>
        <v>(IDR Million)</v>
      </c>
      <c r="I22" s="746"/>
      <c r="J22" s="747" t="str">
        <f>"("&amp;Historical!$B$13&amp;")"</f>
        <v>(IDR Million)</v>
      </c>
      <c r="K22" s="555"/>
      <c r="L22" s="555"/>
      <c r="M22" s="555"/>
      <c r="N22" s="25"/>
      <c r="O22" s="25"/>
      <c r="P22" s="25"/>
      <c r="Q22" s="25"/>
      <c r="R22" s="38"/>
      <c r="S22" s="25"/>
      <c r="T22" s="556"/>
      <c r="U22" s="556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13.5" customHeight="1">
      <c r="A23" s="21"/>
      <c r="B23" s="21"/>
      <c r="C23" s="21"/>
      <c r="D23" s="21"/>
      <c r="E23" s="21"/>
      <c r="F23" s="39" t="s">
        <v>427</v>
      </c>
      <c r="G23" s="40">
        <v>10000</v>
      </c>
      <c r="H23" s="750">
        <v>14.3</v>
      </c>
      <c r="I23" s="40"/>
      <c r="J23" s="40">
        <f>+G23*H23</f>
        <v>143000</v>
      </c>
      <c r="K23" s="40"/>
      <c r="L23" s="40"/>
      <c r="M23" s="39"/>
      <c r="N23" s="21"/>
      <c r="O23" s="21"/>
      <c r="P23" s="21"/>
      <c r="Q23" s="21"/>
      <c r="R23" s="24"/>
      <c r="S23" s="21"/>
      <c r="T23" s="554"/>
      <c r="U23" s="554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spans="1:40" ht="13.5" customHeight="1">
      <c r="A24" s="21"/>
      <c r="B24" s="21"/>
      <c r="C24" s="21"/>
      <c r="D24" s="21"/>
      <c r="E24" s="21"/>
      <c r="F24" s="39" t="s">
        <v>428</v>
      </c>
      <c r="G24" s="40">
        <v>0</v>
      </c>
      <c r="H24" s="750">
        <v>0</v>
      </c>
      <c r="I24" s="40"/>
      <c r="J24" s="40">
        <f>+G24*H24</f>
        <v>0</v>
      </c>
      <c r="K24" s="40"/>
      <c r="L24" s="40"/>
      <c r="M24" s="39"/>
      <c r="N24" s="21"/>
      <c r="O24" s="21"/>
      <c r="P24" s="21"/>
      <c r="Q24" s="21"/>
      <c r="R24" s="24"/>
      <c r="S24" s="21"/>
      <c r="T24" s="554"/>
      <c r="U24" s="554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spans="1:40" ht="13.5" customHeight="1">
      <c r="A25" s="21"/>
      <c r="B25" s="21"/>
      <c r="C25" s="21"/>
      <c r="D25" s="21"/>
      <c r="E25" s="21"/>
      <c r="F25" s="39" t="s">
        <v>429</v>
      </c>
      <c r="G25" s="40">
        <v>0</v>
      </c>
      <c r="H25" s="750">
        <v>0</v>
      </c>
      <c r="I25" s="40"/>
      <c r="J25" s="40">
        <f>+G25*H25</f>
        <v>0</v>
      </c>
      <c r="K25" s="40"/>
      <c r="L25" s="40"/>
      <c r="M25" s="39"/>
      <c r="N25" s="21"/>
      <c r="O25" s="21"/>
      <c r="P25" s="21"/>
      <c r="Q25" s="21"/>
      <c r="R25" s="24"/>
      <c r="S25" s="21"/>
      <c r="T25" s="554"/>
      <c r="U25" s="554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spans="1:40" ht="13.5" customHeight="1">
      <c r="A26" s="21"/>
      <c r="B26" s="21"/>
      <c r="C26" s="21"/>
      <c r="D26" s="21"/>
      <c r="E26" s="21"/>
      <c r="F26" s="39" t="s">
        <v>430</v>
      </c>
      <c r="G26" s="40">
        <v>0</v>
      </c>
      <c r="H26" s="750">
        <v>0</v>
      </c>
      <c r="I26" s="40"/>
      <c r="J26" s="40">
        <f>+G26*H26</f>
        <v>0</v>
      </c>
      <c r="K26" s="40"/>
      <c r="L26" s="40"/>
      <c r="M26" s="39"/>
      <c r="N26" s="21"/>
      <c r="O26" s="21"/>
      <c r="P26" s="21"/>
      <c r="Q26" s="21"/>
      <c r="R26" s="24"/>
      <c r="S26" s="21"/>
      <c r="T26" s="554"/>
      <c r="U26" s="554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27" spans="1:40" ht="14.25" customHeight="1">
      <c r="A27" s="21"/>
      <c r="B27" s="21"/>
      <c r="C27" s="21"/>
      <c r="D27" s="21"/>
      <c r="E27" s="21"/>
      <c r="F27" s="41"/>
      <c r="G27" s="41"/>
      <c r="H27" s="41"/>
      <c r="I27" s="41"/>
      <c r="J27" s="41"/>
      <c r="K27" s="41"/>
      <c r="L27" s="41"/>
      <c r="M27" s="41"/>
      <c r="N27" s="21"/>
      <c r="O27" s="21"/>
      <c r="P27" s="21"/>
      <c r="Q27" s="21"/>
      <c r="R27" s="24">
        <f>DATE(YEAR(R20),MONTH(R20)+1,VLOOKUP(MONTH(R20)+1,$T$6:$U$19,2))</f>
        <v>45869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spans="1:40" ht="14.25" customHeight="1">
      <c r="A28" s="21"/>
      <c r="B28" s="21"/>
      <c r="C28" s="21"/>
      <c r="D28" s="21"/>
      <c r="E28" s="21"/>
      <c r="F28" s="748">
        <f>DATE(YEAR(F15)+1,12,31)</f>
        <v>46022</v>
      </c>
      <c r="G28" s="33">
        <f>+G15*(1+I28)</f>
        <v>157300</v>
      </c>
      <c r="H28" s="22" t="s">
        <v>420</v>
      </c>
      <c r="I28" s="35">
        <f>+(SUM(J33:J36)-G15)/G15</f>
        <v>0.19166666666666668</v>
      </c>
      <c r="J28" s="22" t="s">
        <v>431</v>
      </c>
      <c r="K28" s="32">
        <f>+F15</f>
        <v>45657</v>
      </c>
      <c r="L28" s="21"/>
      <c r="M28" s="21"/>
      <c r="N28" s="21"/>
      <c r="O28" s="21"/>
      <c r="P28" s="21"/>
      <c r="Q28" s="21"/>
      <c r="R28" s="24">
        <f t="shared" ref="R28:R30" si="1">DATE(YEAR(R27),MONTH(R27)+1,VLOOKUP(MONTH(R27)+1,$T$6:$U$19,2))</f>
        <v>45900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spans="1:40" ht="14.25" customHeight="1">
      <c r="A29" s="21"/>
      <c r="B29" s="21"/>
      <c r="C29" s="21"/>
      <c r="D29" s="21"/>
      <c r="E29" s="21"/>
      <c r="F29" s="34" t="s">
        <v>423</v>
      </c>
      <c r="G29" s="33"/>
      <c r="H29" s="22"/>
      <c r="I29" s="22"/>
      <c r="J29" s="22"/>
      <c r="K29" s="32"/>
      <c r="L29" s="21"/>
      <c r="M29" s="21"/>
      <c r="N29" s="21"/>
      <c r="O29" s="21"/>
      <c r="P29" s="21"/>
      <c r="Q29" s="21"/>
      <c r="R29" s="24">
        <f t="shared" si="1"/>
        <v>45930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spans="1:40" ht="14.25" customHeight="1">
      <c r="A30" s="21"/>
      <c r="B30" s="21"/>
      <c r="C30" s="21"/>
      <c r="D30" s="21"/>
      <c r="E30" s="21"/>
      <c r="F30" s="1540"/>
      <c r="G30" s="1621"/>
      <c r="H30" s="1621"/>
      <c r="I30" s="1621"/>
      <c r="J30" s="1621"/>
      <c r="K30" s="1621"/>
      <c r="L30" s="1621"/>
      <c r="M30" s="1622"/>
      <c r="N30" s="21"/>
      <c r="O30" s="21"/>
      <c r="P30" s="21"/>
      <c r="Q30" s="21"/>
      <c r="R30" s="24">
        <f t="shared" si="1"/>
        <v>45961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spans="1:40" ht="14.1">
      <c r="A31" s="25"/>
      <c r="B31" s="25"/>
      <c r="C31" s="25"/>
      <c r="D31" s="25"/>
      <c r="E31" s="25"/>
      <c r="F31" s="555" t="s">
        <v>424</v>
      </c>
      <c r="G31" s="746" t="s">
        <v>425</v>
      </c>
      <c r="H31" s="746" t="s">
        <v>426</v>
      </c>
      <c r="I31" s="746"/>
      <c r="J31" s="746" t="s">
        <v>206</v>
      </c>
      <c r="K31" s="555"/>
      <c r="L31" s="555"/>
      <c r="M31" s="555"/>
      <c r="N31" s="25"/>
      <c r="O31" s="25"/>
      <c r="P31" s="25"/>
      <c r="Q31" s="25"/>
      <c r="R31" s="38"/>
      <c r="S31" s="25"/>
      <c r="T31" s="556"/>
      <c r="U31" s="556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</row>
    <row r="32" spans="1:40" ht="14.1">
      <c r="A32" s="25"/>
      <c r="B32" s="25"/>
      <c r="C32" s="25"/>
      <c r="D32" s="25"/>
      <c r="E32" s="25"/>
      <c r="F32" s="555"/>
      <c r="G32" s="746"/>
      <c r="H32" s="747" t="str">
        <f>"("&amp;Historical!$B$13&amp;")"</f>
        <v>(IDR Million)</v>
      </c>
      <c r="I32" s="746"/>
      <c r="J32" s="747" t="str">
        <f>"("&amp;Historical!$B$13&amp;")"</f>
        <v>(IDR Million)</v>
      </c>
      <c r="K32" s="555"/>
      <c r="L32" s="555"/>
      <c r="M32" s="555"/>
      <c r="N32" s="25"/>
      <c r="O32" s="25"/>
      <c r="P32" s="25"/>
      <c r="Q32" s="25"/>
      <c r="R32" s="38"/>
      <c r="S32" s="25"/>
      <c r="T32" s="556"/>
      <c r="U32" s="556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</row>
    <row r="33" spans="1:40" ht="13.5" customHeight="1">
      <c r="A33" s="21"/>
      <c r="B33" s="21"/>
      <c r="C33" s="21"/>
      <c r="D33" s="21"/>
      <c r="E33" s="21"/>
      <c r="F33" s="39" t="s">
        <v>427</v>
      </c>
      <c r="G33" s="40">
        <v>11000</v>
      </c>
      <c r="H33" s="750">
        <v>14.3</v>
      </c>
      <c r="I33" s="40"/>
      <c r="J33" s="40">
        <f>+G33*H33</f>
        <v>157300</v>
      </c>
      <c r="K33" s="40"/>
      <c r="L33" s="40"/>
      <c r="M33" s="39"/>
      <c r="N33" s="21"/>
      <c r="O33" s="21"/>
      <c r="P33" s="21"/>
      <c r="Q33" s="21"/>
      <c r="R33" s="24"/>
      <c r="S33" s="21"/>
      <c r="T33" s="554"/>
      <c r="U33" s="554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</row>
    <row r="34" spans="1:40" ht="13.5" customHeight="1">
      <c r="A34" s="21"/>
      <c r="B34" s="21"/>
      <c r="C34" s="21"/>
      <c r="D34" s="21"/>
      <c r="E34" s="21"/>
      <c r="F34" s="39" t="s">
        <v>428</v>
      </c>
      <c r="G34" s="40">
        <v>0</v>
      </c>
      <c r="H34" s="750">
        <v>0</v>
      </c>
      <c r="I34" s="40"/>
      <c r="J34" s="40">
        <f>+G34*H34</f>
        <v>0</v>
      </c>
      <c r="K34" s="40"/>
      <c r="L34" s="40"/>
      <c r="M34" s="39"/>
      <c r="N34" s="21"/>
      <c r="O34" s="21"/>
      <c r="P34" s="21"/>
      <c r="Q34" s="21"/>
      <c r="R34" s="24"/>
      <c r="S34" s="21"/>
      <c r="T34" s="554"/>
      <c r="U34" s="554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</row>
    <row r="35" spans="1:40" ht="13.5" customHeight="1">
      <c r="A35" s="21"/>
      <c r="B35" s="21"/>
      <c r="C35" s="21"/>
      <c r="D35" s="21"/>
      <c r="E35" s="21"/>
      <c r="F35" s="39" t="s">
        <v>429</v>
      </c>
      <c r="G35" s="40">
        <v>0</v>
      </c>
      <c r="H35" s="750">
        <v>0</v>
      </c>
      <c r="I35" s="40"/>
      <c r="J35" s="40">
        <f>+G35*H35</f>
        <v>0</v>
      </c>
      <c r="K35" s="40"/>
      <c r="L35" s="40"/>
      <c r="M35" s="39"/>
      <c r="N35" s="21"/>
      <c r="O35" s="21"/>
      <c r="P35" s="21"/>
      <c r="Q35" s="21"/>
      <c r="R35" s="24"/>
      <c r="S35" s="21"/>
      <c r="T35" s="554"/>
      <c r="U35" s="554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</row>
    <row r="36" spans="1:40" ht="13.5" customHeight="1">
      <c r="A36" s="21"/>
      <c r="B36" s="21"/>
      <c r="C36" s="21"/>
      <c r="D36" s="21"/>
      <c r="E36" s="21"/>
      <c r="F36" s="39" t="s">
        <v>430</v>
      </c>
      <c r="G36" s="40">
        <v>0</v>
      </c>
      <c r="H36" s="750">
        <v>0</v>
      </c>
      <c r="I36" s="40"/>
      <c r="J36" s="40">
        <f>+G36*H36</f>
        <v>0</v>
      </c>
      <c r="K36" s="40"/>
      <c r="L36" s="40"/>
      <c r="M36" s="39"/>
      <c r="N36" s="21"/>
      <c r="O36" s="21"/>
      <c r="P36" s="21"/>
      <c r="Q36" s="21"/>
      <c r="R36" s="24"/>
      <c r="S36" s="21"/>
      <c r="T36" s="554"/>
      <c r="U36" s="554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spans="1:40" ht="14.25" customHeight="1">
      <c r="A37" s="21"/>
      <c r="B37" s="21"/>
      <c r="C37" s="21"/>
      <c r="D37" s="21"/>
      <c r="E37" s="21"/>
      <c r="F37" s="32"/>
      <c r="G37" s="33"/>
      <c r="H37" s="22"/>
      <c r="I37" s="36"/>
      <c r="J37" s="22"/>
      <c r="K37" s="32"/>
      <c r="L37" s="21"/>
      <c r="M37" s="21"/>
      <c r="N37" s="21"/>
      <c r="O37" s="21"/>
      <c r="P37" s="21"/>
      <c r="Q37" s="21"/>
      <c r="R37" s="24">
        <f>DATE(YEAR(R30),MONTH(R30)+1,VLOOKUP(MONTH(R30)+1,$T$6:$U$19,2))</f>
        <v>45991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</row>
    <row r="38" spans="1:40" ht="14.25" customHeight="1">
      <c r="A38" s="21"/>
      <c r="B38" s="21"/>
      <c r="C38" s="21"/>
      <c r="D38" s="21"/>
      <c r="E38" s="21"/>
      <c r="F38" s="748">
        <f>DATE(YEAR(F28)+1,12,31)</f>
        <v>46387</v>
      </c>
      <c r="G38" s="33">
        <f>+G28*(1+I38)</f>
        <v>173030</v>
      </c>
      <c r="H38" s="22" t="s">
        <v>420</v>
      </c>
      <c r="I38" s="35">
        <f>+(SUM(J43:J46)-G28)/G28</f>
        <v>0.1</v>
      </c>
      <c r="J38" s="22" t="s">
        <v>431</v>
      </c>
      <c r="K38" s="32">
        <f>+F28</f>
        <v>46022</v>
      </c>
      <c r="L38" s="21"/>
      <c r="M38" s="21"/>
      <c r="N38" s="21"/>
      <c r="O38" s="21"/>
      <c r="P38" s="21"/>
      <c r="Q38" s="21"/>
      <c r="R38" s="24">
        <f t="shared" ref="R38:R40" si="2">DATE(YEAR(R37),MONTH(R37)+1,VLOOKUP(MONTH(R37)+1,$T$6:$U$19,2))</f>
        <v>46021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</row>
    <row r="39" spans="1:40" ht="14.25" customHeight="1">
      <c r="A39" s="21"/>
      <c r="B39" s="21"/>
      <c r="C39" s="21"/>
      <c r="D39" s="21"/>
      <c r="E39" s="21"/>
      <c r="F39" s="34" t="s">
        <v>423</v>
      </c>
      <c r="G39" s="33"/>
      <c r="H39" s="22"/>
      <c r="I39" s="22"/>
      <c r="J39" s="22"/>
      <c r="K39" s="32"/>
      <c r="L39" s="21"/>
      <c r="M39" s="21"/>
      <c r="N39" s="21"/>
      <c r="O39" s="21"/>
      <c r="P39" s="21"/>
      <c r="Q39" s="21"/>
      <c r="R39" s="24">
        <f t="shared" si="2"/>
        <v>46052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</row>
    <row r="40" spans="1:40" ht="14.25" customHeight="1">
      <c r="A40" s="21"/>
      <c r="B40" s="21"/>
      <c r="C40" s="21"/>
      <c r="D40" s="21"/>
      <c r="E40" s="21"/>
      <c r="F40" s="1540"/>
      <c r="G40" s="1621"/>
      <c r="H40" s="1621"/>
      <c r="I40" s="1621"/>
      <c r="J40" s="1621"/>
      <c r="K40" s="1621"/>
      <c r="L40" s="1621"/>
      <c r="M40" s="1622"/>
      <c r="N40" s="21"/>
      <c r="O40" s="21"/>
      <c r="P40" s="21"/>
      <c r="Q40" s="21"/>
      <c r="R40" s="24">
        <f t="shared" si="2"/>
        <v>46081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</row>
    <row r="41" spans="1:40" ht="14.1">
      <c r="A41" s="25"/>
      <c r="B41" s="25"/>
      <c r="C41" s="25"/>
      <c r="D41" s="25"/>
      <c r="E41" s="25"/>
      <c r="F41" s="555" t="s">
        <v>424</v>
      </c>
      <c r="G41" s="746" t="s">
        <v>425</v>
      </c>
      <c r="H41" s="746" t="s">
        <v>426</v>
      </c>
      <c r="I41" s="746"/>
      <c r="J41" s="746" t="s">
        <v>206</v>
      </c>
      <c r="K41" s="555"/>
      <c r="L41" s="555"/>
      <c r="M41" s="555"/>
      <c r="N41" s="25"/>
      <c r="O41" s="25"/>
      <c r="P41" s="25"/>
      <c r="Q41" s="25"/>
      <c r="R41" s="38"/>
      <c r="S41" s="25"/>
      <c r="T41" s="556"/>
      <c r="U41" s="556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</row>
    <row r="42" spans="1:40" ht="14.1">
      <c r="A42" s="25"/>
      <c r="B42" s="25"/>
      <c r="C42" s="25"/>
      <c r="D42" s="25"/>
      <c r="E42" s="25"/>
      <c r="F42" s="555"/>
      <c r="G42" s="746"/>
      <c r="H42" s="747" t="str">
        <f>"("&amp;Historical!$B$13&amp;")"</f>
        <v>(IDR Million)</v>
      </c>
      <c r="I42" s="746"/>
      <c r="J42" s="747" t="str">
        <f>"("&amp;Historical!$B$13&amp;")"</f>
        <v>(IDR Million)</v>
      </c>
      <c r="K42" s="555"/>
      <c r="L42" s="555"/>
      <c r="M42" s="555"/>
      <c r="N42" s="25"/>
      <c r="O42" s="25"/>
      <c r="P42" s="25"/>
      <c r="Q42" s="25"/>
      <c r="R42" s="38"/>
      <c r="S42" s="25"/>
      <c r="T42" s="556"/>
      <c r="U42" s="556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13.5" customHeight="1">
      <c r="A43" s="21"/>
      <c r="B43" s="21"/>
      <c r="C43" s="21"/>
      <c r="D43" s="21"/>
      <c r="E43" s="21"/>
      <c r="F43" s="39" t="s">
        <v>427</v>
      </c>
      <c r="G43" s="40">
        <v>11000</v>
      </c>
      <c r="H43" s="750">
        <v>15.73</v>
      </c>
      <c r="I43" s="40"/>
      <c r="J43" s="40">
        <f>+G43*H43</f>
        <v>173030</v>
      </c>
      <c r="K43" s="40"/>
      <c r="L43" s="40"/>
      <c r="M43" s="39"/>
      <c r="N43" s="21"/>
      <c r="O43" s="21"/>
      <c r="P43" s="21"/>
      <c r="Q43" s="21"/>
      <c r="R43" s="24"/>
      <c r="S43" s="21"/>
      <c r="T43" s="554"/>
      <c r="U43" s="554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</row>
    <row r="44" spans="1:40" ht="13.5" customHeight="1">
      <c r="A44" s="21"/>
      <c r="B44" s="21"/>
      <c r="C44" s="21"/>
      <c r="D44" s="21"/>
      <c r="E44" s="21"/>
      <c r="F44" s="39" t="s">
        <v>428</v>
      </c>
      <c r="G44" s="40">
        <v>0</v>
      </c>
      <c r="H44" s="750">
        <v>0</v>
      </c>
      <c r="I44" s="40"/>
      <c r="J44" s="40">
        <f>+G44*H44</f>
        <v>0</v>
      </c>
      <c r="K44" s="40"/>
      <c r="L44" s="40"/>
      <c r="M44" s="39"/>
      <c r="N44" s="21"/>
      <c r="O44" s="21"/>
      <c r="P44" s="21"/>
      <c r="Q44" s="21"/>
      <c r="R44" s="24"/>
      <c r="S44" s="21"/>
      <c r="T44" s="554"/>
      <c r="U44" s="554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</row>
    <row r="45" spans="1:40" ht="13.5" customHeight="1">
      <c r="A45" s="21"/>
      <c r="B45" s="21"/>
      <c r="C45" s="21"/>
      <c r="D45" s="21"/>
      <c r="E45" s="21"/>
      <c r="F45" s="39" t="s">
        <v>429</v>
      </c>
      <c r="G45" s="40">
        <v>0</v>
      </c>
      <c r="H45" s="750">
        <v>0</v>
      </c>
      <c r="I45" s="40"/>
      <c r="J45" s="40">
        <f>+G45*H45</f>
        <v>0</v>
      </c>
      <c r="K45" s="40"/>
      <c r="L45" s="40"/>
      <c r="M45" s="39"/>
      <c r="N45" s="21"/>
      <c r="O45" s="21"/>
      <c r="P45" s="21"/>
      <c r="Q45" s="21"/>
      <c r="R45" s="24"/>
      <c r="S45" s="21"/>
      <c r="T45" s="554"/>
      <c r="U45" s="554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</row>
    <row r="46" spans="1:40" ht="13.5" customHeight="1">
      <c r="A46" s="21"/>
      <c r="B46" s="21"/>
      <c r="C46" s="21"/>
      <c r="D46" s="21"/>
      <c r="E46" s="21"/>
      <c r="F46" s="39" t="s">
        <v>430</v>
      </c>
      <c r="G46" s="40">
        <v>0</v>
      </c>
      <c r="H46" s="750">
        <v>0</v>
      </c>
      <c r="I46" s="40"/>
      <c r="J46" s="40">
        <f>+G46*H46</f>
        <v>0</v>
      </c>
      <c r="K46" s="40"/>
      <c r="L46" s="40"/>
      <c r="M46" s="39"/>
      <c r="N46" s="21"/>
      <c r="O46" s="21"/>
      <c r="P46" s="21"/>
      <c r="Q46" s="21"/>
      <c r="R46" s="24"/>
      <c r="S46" s="21"/>
      <c r="T46" s="554"/>
      <c r="U46" s="554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</row>
    <row r="47" spans="1:40" ht="14.25" customHeight="1">
      <c r="A47" s="21"/>
      <c r="B47" s="21"/>
      <c r="C47" s="21"/>
      <c r="D47" s="21"/>
      <c r="E47" s="21"/>
      <c r="F47" s="32"/>
      <c r="G47" s="33"/>
      <c r="H47" s="22"/>
      <c r="I47" s="36"/>
      <c r="J47" s="22"/>
      <c r="K47" s="32"/>
      <c r="L47" s="21"/>
      <c r="M47" s="21"/>
      <c r="N47" s="21"/>
      <c r="O47" s="21"/>
      <c r="P47" s="21"/>
      <c r="Q47" s="21"/>
      <c r="R47" s="24">
        <f>DATE(YEAR(R40),MONTH(R40)+1,VLOOKUP(MONTH(R40)+1,$T$6:$U$19,2))</f>
        <v>46112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</row>
    <row r="48" spans="1:40" ht="14.25" customHeight="1">
      <c r="A48" s="21"/>
      <c r="B48" s="21"/>
      <c r="C48" s="21"/>
      <c r="D48" s="21"/>
      <c r="E48" s="21"/>
      <c r="F48" s="748">
        <f>DATE(YEAR(F38)+1,12,31)</f>
        <v>46752</v>
      </c>
      <c r="G48" s="33">
        <f>+G38*(1+I48)</f>
        <v>190333.00000000003</v>
      </c>
      <c r="H48" s="22" t="s">
        <v>420</v>
      </c>
      <c r="I48" s="35">
        <f>+(SUM(J53:J56)-G38)/G38</f>
        <v>0.1</v>
      </c>
      <c r="J48" s="22" t="s">
        <v>431</v>
      </c>
      <c r="K48" s="32">
        <f>+F38</f>
        <v>46387</v>
      </c>
      <c r="L48" s="21"/>
      <c r="M48" s="21"/>
      <c r="N48" s="21"/>
      <c r="O48" s="21"/>
      <c r="P48" s="21"/>
      <c r="Q48" s="21"/>
      <c r="R48" s="24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</row>
    <row r="49" spans="1:40" ht="14.25" customHeight="1">
      <c r="A49" s="21"/>
      <c r="B49" s="21"/>
      <c r="C49" s="21"/>
      <c r="D49" s="21"/>
      <c r="E49" s="21"/>
      <c r="F49" s="34" t="s">
        <v>423</v>
      </c>
      <c r="G49" s="33"/>
      <c r="H49" s="22"/>
      <c r="I49" s="22"/>
      <c r="J49" s="22"/>
      <c r="K49" s="32"/>
      <c r="L49" s="21"/>
      <c r="M49" s="21"/>
      <c r="N49" s="21"/>
      <c r="O49" s="21"/>
      <c r="P49" s="21"/>
      <c r="Q49" s="21"/>
      <c r="R49" s="22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</row>
    <row r="50" spans="1:40" ht="14.25" customHeight="1">
      <c r="A50" s="21"/>
      <c r="B50" s="21"/>
      <c r="C50" s="21"/>
      <c r="D50" s="21"/>
      <c r="E50" s="21"/>
      <c r="F50" s="1540"/>
      <c r="G50" s="1621"/>
      <c r="H50" s="1621"/>
      <c r="I50" s="1621"/>
      <c r="J50" s="1621"/>
      <c r="K50" s="1621"/>
      <c r="L50" s="1621"/>
      <c r="M50" s="1622"/>
      <c r="N50" s="21"/>
      <c r="O50" s="21"/>
      <c r="P50" s="21"/>
      <c r="Q50" s="21"/>
      <c r="R50" s="22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</row>
    <row r="51" spans="1:40" ht="14.1">
      <c r="A51" s="25"/>
      <c r="B51" s="25"/>
      <c r="C51" s="25"/>
      <c r="D51" s="25"/>
      <c r="E51" s="25"/>
      <c r="F51" s="555" t="s">
        <v>424</v>
      </c>
      <c r="G51" s="746" t="s">
        <v>425</v>
      </c>
      <c r="H51" s="746" t="s">
        <v>426</v>
      </c>
      <c r="I51" s="746"/>
      <c r="J51" s="746" t="s">
        <v>206</v>
      </c>
      <c r="K51" s="555"/>
      <c r="L51" s="555"/>
      <c r="M51" s="555"/>
      <c r="N51" s="25"/>
      <c r="O51" s="25"/>
      <c r="P51" s="25"/>
      <c r="Q51" s="25"/>
      <c r="R51" s="38"/>
      <c r="S51" s="25"/>
      <c r="T51" s="556"/>
      <c r="U51" s="556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14.1">
      <c r="A52" s="25"/>
      <c r="B52" s="25"/>
      <c r="C52" s="25"/>
      <c r="D52" s="25"/>
      <c r="E52" s="25"/>
      <c r="F52" s="555"/>
      <c r="G52" s="746"/>
      <c r="H52" s="747" t="str">
        <f>"("&amp;Historical!$B$13&amp;")"</f>
        <v>(IDR Million)</v>
      </c>
      <c r="I52" s="746"/>
      <c r="J52" s="747" t="str">
        <f>"("&amp;Historical!$B$13&amp;")"</f>
        <v>(IDR Million)</v>
      </c>
      <c r="K52" s="555"/>
      <c r="L52" s="555"/>
      <c r="M52" s="555"/>
      <c r="N52" s="25"/>
      <c r="O52" s="25"/>
      <c r="P52" s="25"/>
      <c r="Q52" s="25"/>
      <c r="R52" s="38"/>
      <c r="S52" s="25"/>
      <c r="T52" s="556"/>
      <c r="U52" s="556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13.5" customHeight="1">
      <c r="A53" s="21"/>
      <c r="B53" s="21"/>
      <c r="C53" s="21"/>
      <c r="D53" s="21"/>
      <c r="E53" s="21"/>
      <c r="F53" s="39" t="s">
        <v>427</v>
      </c>
      <c r="G53" s="40">
        <v>12100</v>
      </c>
      <c r="H53" s="750">
        <v>15.73</v>
      </c>
      <c r="I53" s="40"/>
      <c r="J53" s="40">
        <f>+G53*H53</f>
        <v>190333</v>
      </c>
      <c r="K53" s="40"/>
      <c r="L53" s="40"/>
      <c r="M53" s="39"/>
      <c r="N53" s="21"/>
      <c r="O53" s="21"/>
      <c r="P53" s="21"/>
      <c r="Q53" s="21"/>
      <c r="R53" s="24"/>
      <c r="S53" s="21"/>
      <c r="T53" s="554"/>
      <c r="U53" s="554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</row>
    <row r="54" spans="1:40" ht="13.5" customHeight="1">
      <c r="A54" s="21"/>
      <c r="B54" s="21"/>
      <c r="C54" s="21"/>
      <c r="D54" s="21"/>
      <c r="E54" s="21"/>
      <c r="F54" s="39" t="s">
        <v>428</v>
      </c>
      <c r="G54" s="40">
        <v>0</v>
      </c>
      <c r="H54" s="750">
        <v>0</v>
      </c>
      <c r="I54" s="40"/>
      <c r="J54" s="40">
        <f>+G54*H54</f>
        <v>0</v>
      </c>
      <c r="K54" s="40"/>
      <c r="L54" s="40"/>
      <c r="M54" s="39"/>
      <c r="N54" s="21"/>
      <c r="O54" s="21"/>
      <c r="P54" s="21"/>
      <c r="Q54" s="21"/>
      <c r="R54" s="24"/>
      <c r="S54" s="21"/>
      <c r="T54" s="554"/>
      <c r="U54" s="554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</row>
    <row r="55" spans="1:40" ht="13.5" customHeight="1">
      <c r="A55" s="21"/>
      <c r="B55" s="21"/>
      <c r="C55" s="21"/>
      <c r="D55" s="21"/>
      <c r="E55" s="21"/>
      <c r="F55" s="39" t="s">
        <v>429</v>
      </c>
      <c r="G55" s="40">
        <v>0</v>
      </c>
      <c r="H55" s="750">
        <v>0</v>
      </c>
      <c r="I55" s="40"/>
      <c r="J55" s="40">
        <f>+G55*H55</f>
        <v>0</v>
      </c>
      <c r="K55" s="40"/>
      <c r="L55" s="40"/>
      <c r="M55" s="39"/>
      <c r="N55" s="21"/>
      <c r="O55" s="21"/>
      <c r="P55" s="21"/>
      <c r="Q55" s="21"/>
      <c r="R55" s="24"/>
      <c r="S55" s="21"/>
      <c r="T55" s="554"/>
      <c r="U55" s="554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</row>
    <row r="56" spans="1:40" ht="13.5" customHeight="1">
      <c r="A56" s="21"/>
      <c r="B56" s="21"/>
      <c r="C56" s="21"/>
      <c r="D56" s="21"/>
      <c r="E56" s="21"/>
      <c r="F56" s="39" t="s">
        <v>430</v>
      </c>
      <c r="G56" s="40">
        <v>0</v>
      </c>
      <c r="H56" s="750">
        <v>0</v>
      </c>
      <c r="I56" s="40"/>
      <c r="J56" s="40">
        <f>+G56*H56</f>
        <v>0</v>
      </c>
      <c r="K56" s="40"/>
      <c r="L56" s="40"/>
      <c r="M56" s="39"/>
      <c r="N56" s="21"/>
      <c r="O56" s="21"/>
      <c r="P56" s="21"/>
      <c r="Q56" s="21"/>
      <c r="R56" s="24"/>
      <c r="S56" s="21"/>
      <c r="T56" s="554"/>
      <c r="U56" s="554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  <row r="57" spans="1:40" ht="14.25" customHeight="1">
      <c r="A57" s="21"/>
      <c r="B57" s="21"/>
      <c r="C57" s="21"/>
      <c r="D57" s="21"/>
      <c r="E57" s="25"/>
      <c r="F57" s="42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2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</row>
    <row r="58" spans="1:40" ht="14.25" customHeight="1">
      <c r="A58" s="21"/>
      <c r="B58" s="21"/>
      <c r="C58" s="21"/>
      <c r="D58" s="21"/>
      <c r="E58" s="25"/>
      <c r="F58" s="748">
        <f>DATE(YEAR(F48)+1,12,31)</f>
        <v>47118</v>
      </c>
      <c r="G58" s="33">
        <f>+G48*(1+I58)</f>
        <v>209366.30000000002</v>
      </c>
      <c r="H58" s="22" t="s">
        <v>420</v>
      </c>
      <c r="I58" s="35">
        <f>+(SUM(J63:J66)-G48)/G48</f>
        <v>9.9999999999999922E-2</v>
      </c>
      <c r="J58" s="22" t="s">
        <v>431</v>
      </c>
      <c r="K58" s="32">
        <f>+F48</f>
        <v>46752</v>
      </c>
      <c r="L58" s="21"/>
      <c r="M58" s="21"/>
      <c r="N58" s="21"/>
      <c r="O58" s="21"/>
      <c r="P58" s="21"/>
      <c r="Q58" s="21"/>
      <c r="R58" s="22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</row>
    <row r="59" spans="1:40" ht="14.25" customHeight="1">
      <c r="A59" s="21"/>
      <c r="B59" s="21"/>
      <c r="C59" s="21"/>
      <c r="D59" s="21"/>
      <c r="E59" s="25"/>
      <c r="F59" s="34" t="s">
        <v>423</v>
      </c>
      <c r="G59" s="33"/>
      <c r="H59" s="22"/>
      <c r="I59" s="22"/>
      <c r="J59" s="22"/>
      <c r="K59" s="32"/>
      <c r="L59" s="21"/>
      <c r="M59" s="21"/>
      <c r="N59" s="21"/>
      <c r="O59" s="21"/>
      <c r="P59" s="21"/>
      <c r="Q59" s="21"/>
      <c r="R59" s="22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</row>
    <row r="60" spans="1:40" ht="14.25" customHeight="1">
      <c r="A60" s="21"/>
      <c r="B60" s="21"/>
      <c r="C60" s="21"/>
      <c r="D60" s="21"/>
      <c r="E60" s="25"/>
      <c r="F60" s="1540"/>
      <c r="G60" s="1621"/>
      <c r="H60" s="1621"/>
      <c r="I60" s="1621"/>
      <c r="J60" s="1621"/>
      <c r="K60" s="1621"/>
      <c r="L60" s="1621"/>
      <c r="M60" s="1622"/>
      <c r="N60" s="21"/>
      <c r="O60" s="21"/>
      <c r="P60" s="21"/>
      <c r="Q60" s="21"/>
      <c r="R60" s="22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</row>
    <row r="61" spans="1:40" ht="14.1">
      <c r="A61" s="25"/>
      <c r="B61" s="25"/>
      <c r="C61" s="25"/>
      <c r="D61" s="25"/>
      <c r="E61" s="25"/>
      <c r="F61" s="555" t="s">
        <v>424</v>
      </c>
      <c r="G61" s="746" t="s">
        <v>425</v>
      </c>
      <c r="H61" s="746" t="s">
        <v>426</v>
      </c>
      <c r="I61" s="746"/>
      <c r="J61" s="746" t="s">
        <v>206</v>
      </c>
      <c r="K61" s="555"/>
      <c r="L61" s="555"/>
      <c r="M61" s="555"/>
      <c r="N61" s="25"/>
      <c r="O61" s="25"/>
      <c r="P61" s="25"/>
      <c r="Q61" s="25"/>
      <c r="R61" s="38"/>
      <c r="S61" s="25"/>
      <c r="T61" s="556"/>
      <c r="U61" s="556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14.1">
      <c r="A62" s="25"/>
      <c r="B62" s="25"/>
      <c r="C62" s="25"/>
      <c r="D62" s="25"/>
      <c r="E62" s="25"/>
      <c r="F62" s="555"/>
      <c r="G62" s="746"/>
      <c r="H62" s="747" t="str">
        <f>"("&amp;Historical!$B$13&amp;")"</f>
        <v>(IDR Million)</v>
      </c>
      <c r="I62" s="746"/>
      <c r="J62" s="747" t="str">
        <f>"("&amp;Historical!$B$13&amp;")"</f>
        <v>(IDR Million)</v>
      </c>
      <c r="K62" s="555"/>
      <c r="L62" s="555"/>
      <c r="M62" s="555"/>
      <c r="N62" s="25"/>
      <c r="O62" s="25"/>
      <c r="P62" s="25"/>
      <c r="Q62" s="25"/>
      <c r="R62" s="38"/>
      <c r="S62" s="25"/>
      <c r="T62" s="556"/>
      <c r="U62" s="556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13.5" customHeight="1">
      <c r="A63" s="21"/>
      <c r="B63" s="21"/>
      <c r="C63" s="21"/>
      <c r="D63" s="21"/>
      <c r="E63" s="21"/>
      <c r="F63" s="39" t="s">
        <v>427</v>
      </c>
      <c r="G63" s="40">
        <v>13310</v>
      </c>
      <c r="H63" s="750">
        <v>15.73</v>
      </c>
      <c r="I63" s="40"/>
      <c r="J63" s="40">
        <f>+G63*H63</f>
        <v>209366.30000000002</v>
      </c>
      <c r="K63" s="40"/>
      <c r="L63" s="40"/>
      <c r="M63" s="39"/>
      <c r="N63" s="21"/>
      <c r="O63" s="21"/>
      <c r="P63" s="21"/>
      <c r="Q63" s="21"/>
      <c r="R63" s="24"/>
      <c r="S63" s="21"/>
      <c r="T63" s="554"/>
      <c r="U63" s="554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</row>
    <row r="64" spans="1:40" ht="13.5" customHeight="1">
      <c r="A64" s="21"/>
      <c r="B64" s="21"/>
      <c r="C64" s="21"/>
      <c r="D64" s="21"/>
      <c r="E64" s="21"/>
      <c r="F64" s="39" t="s">
        <v>428</v>
      </c>
      <c r="G64" s="40">
        <v>0</v>
      </c>
      <c r="H64" s="750">
        <v>0</v>
      </c>
      <c r="I64" s="40"/>
      <c r="J64" s="40">
        <f>+G64*H64</f>
        <v>0</v>
      </c>
      <c r="K64" s="40"/>
      <c r="L64" s="40"/>
      <c r="M64" s="39"/>
      <c r="N64" s="21"/>
      <c r="O64" s="21"/>
      <c r="P64" s="21"/>
      <c r="Q64" s="21"/>
      <c r="R64" s="24"/>
      <c r="S64" s="21"/>
      <c r="T64" s="554"/>
      <c r="U64" s="554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  <row r="65" spans="1:40" ht="13.5" customHeight="1">
      <c r="A65" s="21"/>
      <c r="B65" s="21"/>
      <c r="C65" s="21"/>
      <c r="D65" s="21"/>
      <c r="E65" s="21"/>
      <c r="F65" s="39" t="s">
        <v>429</v>
      </c>
      <c r="G65" s="40">
        <v>0</v>
      </c>
      <c r="H65" s="750">
        <v>0</v>
      </c>
      <c r="I65" s="40"/>
      <c r="J65" s="40">
        <f>+G65*H65</f>
        <v>0</v>
      </c>
      <c r="K65" s="40"/>
      <c r="L65" s="40"/>
      <c r="M65" s="39"/>
      <c r="N65" s="21"/>
      <c r="O65" s="21"/>
      <c r="P65" s="21"/>
      <c r="Q65" s="21"/>
      <c r="R65" s="24"/>
      <c r="S65" s="21"/>
      <c r="T65" s="554"/>
      <c r="U65" s="554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</row>
    <row r="66" spans="1:40" ht="13.5" customHeight="1">
      <c r="A66" s="21"/>
      <c r="B66" s="21"/>
      <c r="C66" s="21"/>
      <c r="D66" s="21"/>
      <c r="E66" s="21"/>
      <c r="F66" s="39" t="s">
        <v>430</v>
      </c>
      <c r="G66" s="40">
        <v>0</v>
      </c>
      <c r="H66" s="750">
        <v>0</v>
      </c>
      <c r="I66" s="40"/>
      <c r="J66" s="40">
        <f>+G66*H66</f>
        <v>0</v>
      </c>
      <c r="K66" s="40"/>
      <c r="L66" s="40"/>
      <c r="M66" s="39"/>
      <c r="N66" s="21"/>
      <c r="O66" s="21"/>
      <c r="P66" s="21"/>
      <c r="Q66" s="21"/>
      <c r="R66" s="24"/>
      <c r="S66" s="21"/>
      <c r="T66" s="554"/>
      <c r="U66" s="554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spans="1:40" ht="13.5" customHeight="1">
      <c r="A67" s="21"/>
      <c r="B67" s="21"/>
      <c r="C67" s="21"/>
      <c r="D67" s="21"/>
      <c r="E67" s="25"/>
      <c r="F67" s="42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2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spans="1:40" ht="14.25" hidden="1" customHeight="1">
      <c r="A68" s="21"/>
      <c r="B68" s="21"/>
      <c r="C68" s="21"/>
      <c r="D68" s="21"/>
      <c r="E68" s="25"/>
      <c r="F68" s="32">
        <f>DATE(YEAR(F58)+1,12,31)</f>
        <v>47483</v>
      </c>
      <c r="G68" s="33">
        <f>+G58*(1+I68)</f>
        <v>209366.30000000002</v>
      </c>
      <c r="H68" s="22" t="s">
        <v>420</v>
      </c>
      <c r="I68" s="35">
        <v>0</v>
      </c>
      <c r="J68" s="22" t="s">
        <v>431</v>
      </c>
      <c r="K68" s="32">
        <f>+F58</f>
        <v>47118</v>
      </c>
      <c r="L68" s="21"/>
      <c r="M68" s="21"/>
      <c r="N68" s="21"/>
      <c r="O68" s="21"/>
      <c r="P68" s="21"/>
      <c r="Q68" s="21"/>
      <c r="R68" s="22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spans="1:40" ht="14.25" hidden="1" customHeight="1">
      <c r="A69" s="21"/>
      <c r="B69" s="21"/>
      <c r="C69" s="21"/>
      <c r="D69" s="21"/>
      <c r="E69" s="25"/>
      <c r="F69" s="34" t="s">
        <v>432</v>
      </c>
      <c r="G69" s="33"/>
      <c r="H69" s="22"/>
      <c r="I69" s="22"/>
      <c r="J69" s="22"/>
      <c r="K69" s="32"/>
      <c r="L69" s="21"/>
      <c r="M69" s="21"/>
      <c r="N69" s="21"/>
      <c r="O69" s="21"/>
      <c r="P69" s="21"/>
      <c r="Q69" s="21"/>
      <c r="R69" s="22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spans="1:40" ht="14.25" hidden="1" customHeight="1">
      <c r="A70" s="21"/>
      <c r="B70" s="21"/>
      <c r="C70" s="21"/>
      <c r="D70" s="21"/>
      <c r="E70" s="25"/>
      <c r="F70" s="1540"/>
      <c r="G70" s="1621"/>
      <c r="H70" s="1621"/>
      <c r="I70" s="1621"/>
      <c r="J70" s="1621"/>
      <c r="K70" s="1621"/>
      <c r="L70" s="1621"/>
      <c r="M70" s="1622"/>
      <c r="N70" s="21"/>
      <c r="O70" s="21"/>
      <c r="P70" s="21"/>
      <c r="Q70" s="21"/>
      <c r="R70" s="22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spans="1:40" ht="13.5" hidden="1" customHeight="1">
      <c r="A71" s="21"/>
      <c r="B71" s="21"/>
      <c r="C71" s="21"/>
      <c r="D71" s="21"/>
      <c r="E71" s="25"/>
      <c r="F71" s="43"/>
      <c r="G71" s="43"/>
      <c r="H71" s="43"/>
      <c r="I71" s="43"/>
      <c r="J71" s="43"/>
      <c r="K71" s="43"/>
      <c r="L71" s="43"/>
      <c r="M71" s="43"/>
      <c r="N71" s="21"/>
      <c r="O71" s="21"/>
      <c r="P71" s="21"/>
      <c r="Q71" s="21"/>
      <c r="R71" s="22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 spans="1:40" ht="13.5" hidden="1" customHeight="1">
      <c r="A72" s="21"/>
      <c r="B72" s="21"/>
      <c r="C72" s="21"/>
      <c r="D72" s="21"/>
      <c r="E72" s="25"/>
      <c r="F72" s="43"/>
      <c r="G72" s="43"/>
      <c r="H72" s="43"/>
      <c r="I72" s="43"/>
      <c r="J72" s="43"/>
      <c r="K72" s="43"/>
      <c r="L72" s="43"/>
      <c r="M72" s="43"/>
      <c r="N72" s="21"/>
      <c r="O72" s="21"/>
      <c r="P72" s="21"/>
      <c r="Q72" s="21"/>
      <c r="R72" s="22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</row>
    <row r="73" spans="1:40" ht="14.25" hidden="1" customHeight="1">
      <c r="A73" s="21"/>
      <c r="B73" s="21"/>
      <c r="C73" s="21"/>
      <c r="D73" s="21"/>
      <c r="E73" s="25"/>
      <c r="F73" s="26" t="s">
        <v>433</v>
      </c>
      <c r="G73" s="27" t="str">
        <f>+G8</f>
        <v>IDR Million</v>
      </c>
      <c r="H73" s="44" t="s">
        <v>420</v>
      </c>
      <c r="I73" s="43"/>
      <c r="J73" s="43"/>
      <c r="K73" s="43"/>
      <c r="L73" s="43"/>
      <c r="M73" s="43"/>
      <c r="N73" s="21"/>
      <c r="O73" s="21"/>
      <c r="P73" s="21"/>
      <c r="Q73" s="21"/>
      <c r="R73" s="22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spans="1:40" ht="14.25" hidden="1" customHeight="1">
      <c r="A74" s="21"/>
      <c r="B74" s="21"/>
      <c r="C74" s="21"/>
      <c r="D74" s="21"/>
      <c r="E74" s="25"/>
      <c r="F74" s="45">
        <f>DATE(YEAR(F68)+1,12,31)</f>
        <v>47848</v>
      </c>
      <c r="G74" s="557">
        <f>+G68*(1+H74)</f>
        <v>209366.30000000002</v>
      </c>
      <c r="H74" s="46">
        <v>0</v>
      </c>
      <c r="I74" s="43"/>
      <c r="J74" s="43"/>
      <c r="K74" s="43"/>
      <c r="L74" s="43"/>
      <c r="M74" s="43"/>
      <c r="N74" s="21"/>
      <c r="O74" s="21"/>
      <c r="P74" s="21"/>
      <c r="Q74" s="21"/>
      <c r="R74" s="22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</row>
    <row r="75" spans="1:40" ht="14.25" hidden="1" customHeight="1">
      <c r="A75" s="21"/>
      <c r="B75" s="21"/>
      <c r="C75" s="21"/>
      <c r="D75" s="21"/>
      <c r="E75" s="25"/>
      <c r="F75" s="45">
        <f t="shared" ref="F75:F77" si="3">DATE(YEAR(F74)+1,12,31)</f>
        <v>48213</v>
      </c>
      <c r="G75" s="557">
        <f t="shared" ref="G75:G77" si="4">+G74*(1+H75)</f>
        <v>209366.30000000002</v>
      </c>
      <c r="H75" s="46">
        <v>0</v>
      </c>
      <c r="I75" s="43"/>
      <c r="J75" s="43"/>
      <c r="K75" s="43"/>
      <c r="L75" s="43"/>
      <c r="M75" s="43"/>
      <c r="N75" s="21"/>
      <c r="O75" s="21"/>
      <c r="P75" s="21"/>
      <c r="Q75" s="21"/>
      <c r="R75" s="22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spans="1:40" ht="14.25" hidden="1" customHeight="1">
      <c r="A76" s="21"/>
      <c r="B76" s="21"/>
      <c r="C76" s="21"/>
      <c r="D76" s="21"/>
      <c r="E76" s="25"/>
      <c r="F76" s="45">
        <f t="shared" si="3"/>
        <v>48579</v>
      </c>
      <c r="G76" s="557">
        <f t="shared" si="4"/>
        <v>209366.30000000002</v>
      </c>
      <c r="H76" s="46">
        <v>0</v>
      </c>
      <c r="I76" s="43"/>
      <c r="J76" s="43"/>
      <c r="K76" s="43"/>
      <c r="L76" s="43"/>
      <c r="M76" s="43"/>
      <c r="N76" s="21"/>
      <c r="O76" s="21"/>
      <c r="P76" s="21"/>
      <c r="Q76" s="21"/>
      <c r="R76" s="22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</row>
    <row r="77" spans="1:40" ht="14.25" hidden="1" customHeight="1">
      <c r="A77" s="21"/>
      <c r="B77" s="21"/>
      <c r="C77" s="21"/>
      <c r="D77" s="21"/>
      <c r="E77" s="25"/>
      <c r="F77" s="45">
        <f t="shared" si="3"/>
        <v>48944</v>
      </c>
      <c r="G77" s="557">
        <f t="shared" si="4"/>
        <v>209366.30000000002</v>
      </c>
      <c r="H77" s="46">
        <v>0</v>
      </c>
      <c r="I77" s="43"/>
      <c r="J77" s="43"/>
      <c r="K77" s="43"/>
      <c r="L77" s="43"/>
      <c r="M77" s="43"/>
      <c r="N77" s="21"/>
      <c r="O77" s="21"/>
      <c r="P77" s="21"/>
      <c r="Q77" s="21"/>
      <c r="R77" s="22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spans="1:40" ht="13.5" hidden="1" customHeight="1">
      <c r="A78" s="21"/>
      <c r="B78" s="21"/>
      <c r="C78" s="21"/>
      <c r="D78" s="21"/>
      <c r="E78" s="25"/>
      <c r="F78" s="43"/>
      <c r="G78" s="43"/>
      <c r="H78" s="43"/>
      <c r="I78" s="43"/>
      <c r="J78" s="43"/>
      <c r="K78" s="43"/>
      <c r="L78" s="43"/>
      <c r="M78" s="43"/>
      <c r="N78" s="21"/>
      <c r="O78" s="21"/>
      <c r="P78" s="21"/>
      <c r="Q78" s="21"/>
      <c r="R78" s="22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spans="1:40" ht="14.25" hidden="1" customHeight="1">
      <c r="A79" s="21"/>
      <c r="B79" s="21"/>
      <c r="C79" s="21"/>
      <c r="D79" s="21"/>
      <c r="E79" s="25"/>
      <c r="F79" s="47" t="s">
        <v>434</v>
      </c>
      <c r="G79" s="37"/>
      <c r="H79" s="47">
        <f>+F74</f>
        <v>47848</v>
      </c>
      <c r="I79" s="48" t="s">
        <v>435</v>
      </c>
      <c r="J79" s="47">
        <f>+F77</f>
        <v>48944</v>
      </c>
      <c r="K79" s="47" t="s">
        <v>436</v>
      </c>
      <c r="L79" s="21"/>
      <c r="M79" s="21"/>
      <c r="N79" s="21"/>
      <c r="O79" s="21"/>
      <c r="P79" s="21"/>
      <c r="Q79" s="21"/>
      <c r="R79" s="22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spans="1:40" ht="14.25" hidden="1" customHeight="1">
      <c r="A80" s="21"/>
      <c r="B80" s="21"/>
      <c r="C80" s="21"/>
      <c r="D80" s="21"/>
      <c r="E80" s="25"/>
      <c r="F80" s="1540"/>
      <c r="G80" s="1621"/>
      <c r="H80" s="1621"/>
      <c r="I80" s="1621"/>
      <c r="J80" s="1621"/>
      <c r="K80" s="1621"/>
      <c r="L80" s="1621"/>
      <c r="M80" s="1622"/>
      <c r="N80" s="21"/>
      <c r="O80" s="21"/>
      <c r="P80" s="21"/>
      <c r="Q80" s="21"/>
      <c r="R80" s="22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</row>
    <row r="81" spans="1:40" ht="13.5" customHeight="1">
      <c r="A81" s="21"/>
      <c r="B81" s="21"/>
      <c r="C81" s="21"/>
      <c r="D81" s="21"/>
      <c r="E81" s="25"/>
      <c r="F81" s="43"/>
      <c r="G81" s="43"/>
      <c r="H81" s="43"/>
      <c r="I81" s="43"/>
      <c r="J81" s="43"/>
      <c r="K81" s="43"/>
      <c r="L81" s="43"/>
      <c r="M81" s="43"/>
      <c r="N81" s="21"/>
      <c r="O81" s="21"/>
      <c r="P81" s="21"/>
      <c r="Q81" s="21"/>
      <c r="R81" s="22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spans="1:40" ht="13.5" customHeight="1">
      <c r="A82" s="21"/>
      <c r="B82" s="21"/>
      <c r="C82" s="21"/>
      <c r="D82" s="21"/>
      <c r="E82" s="25"/>
      <c r="F82" s="49" t="s">
        <v>437</v>
      </c>
      <c r="G82" s="43"/>
      <c r="H82" s="43"/>
      <c r="I82" s="43"/>
      <c r="J82" s="43"/>
      <c r="K82" s="43"/>
      <c r="L82" s="43"/>
      <c r="M82" s="43"/>
      <c r="N82" s="21"/>
      <c r="O82" s="21"/>
      <c r="P82" s="21"/>
      <c r="Q82" s="21"/>
      <c r="R82" s="22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spans="1:40" ht="14.25" customHeight="1">
      <c r="A83" s="21"/>
      <c r="B83" s="21"/>
      <c r="C83" s="21"/>
      <c r="D83" s="21"/>
      <c r="E83" s="25"/>
      <c r="F83" s="26" t="s">
        <v>419</v>
      </c>
      <c r="G83" s="50" t="s">
        <v>86</v>
      </c>
      <c r="H83" s="43"/>
      <c r="I83" s="51"/>
      <c r="J83" s="51"/>
      <c r="K83" s="52" t="s">
        <v>438</v>
      </c>
      <c r="L83" s="53" t="s">
        <v>439</v>
      </c>
      <c r="M83" s="54" t="s">
        <v>85</v>
      </c>
      <c r="N83" s="21"/>
      <c r="O83" s="21"/>
      <c r="P83" s="21"/>
      <c r="Q83" s="21"/>
      <c r="R83" s="22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spans="1:40" ht="14.25" customHeight="1">
      <c r="A84" s="21"/>
      <c r="B84" s="21"/>
      <c r="C84" s="21"/>
      <c r="D84" s="21"/>
      <c r="E84" s="25"/>
      <c r="F84" s="45">
        <f t="shared" ref="F84:F87" si="5">+F9</f>
        <v>44561</v>
      </c>
      <c r="G84" s="914">
        <f>+IF(Historical!E13=0,"",Historical!F115/100)</f>
        <v>1E-4</v>
      </c>
      <c r="H84" s="43"/>
      <c r="I84" s="55" t="s">
        <v>440</v>
      </c>
      <c r="J84" s="51"/>
      <c r="K84" s="56">
        <f t="shared" ref="K84:K89" si="6">+K127</f>
        <v>2024</v>
      </c>
      <c r="L84" s="558" t="s">
        <v>441</v>
      </c>
      <c r="M84" s="57">
        <v>-5.0000000000000001E-3</v>
      </c>
      <c r="N84" s="21"/>
      <c r="O84" s="21"/>
      <c r="P84" s="21"/>
      <c r="Q84" s="21"/>
      <c r="R84" s="22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spans="1:40" ht="14.25" customHeight="1">
      <c r="A85" s="21"/>
      <c r="B85" s="21"/>
      <c r="C85" s="21"/>
      <c r="D85" s="21"/>
      <c r="E85" s="25"/>
      <c r="F85" s="45">
        <f t="shared" si="5"/>
        <v>44926</v>
      </c>
      <c r="G85" s="914">
        <f>+IF(Historical!G13=0,"",Historical!H115/100)</f>
        <v>-1E-4</v>
      </c>
      <c r="H85" s="43"/>
      <c r="I85" s="51"/>
      <c r="J85" s="51"/>
      <c r="K85" s="56">
        <f t="shared" si="6"/>
        <v>2025</v>
      </c>
      <c r="L85" s="558" t="s">
        <v>441</v>
      </c>
      <c r="M85" s="57">
        <v>-5.0000000000000001E-3</v>
      </c>
      <c r="N85" s="21"/>
      <c r="O85" s="21"/>
      <c r="P85" s="21"/>
      <c r="Q85" s="21"/>
      <c r="R85" s="22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spans="1:40" ht="14.25" customHeight="1">
      <c r="A86" s="21"/>
      <c r="B86" s="21"/>
      <c r="C86" s="21"/>
      <c r="D86" s="21"/>
      <c r="E86" s="25"/>
      <c r="F86" s="45">
        <f t="shared" si="5"/>
        <v>45291</v>
      </c>
      <c r="G86" s="914">
        <f>+IF(Historical!I13=0,"",Historical!J115/100)</f>
        <v>1E-4</v>
      </c>
      <c r="H86" s="43"/>
      <c r="I86" s="51"/>
      <c r="J86" s="51"/>
      <c r="K86" s="56">
        <f t="shared" si="6"/>
        <v>2026</v>
      </c>
      <c r="L86" s="558" t="s">
        <v>441</v>
      </c>
      <c r="M86" s="57">
        <v>-5.0000000000000001E-3</v>
      </c>
      <c r="N86" s="21"/>
      <c r="O86" s="21"/>
      <c r="P86" s="21"/>
      <c r="Q86" s="21"/>
      <c r="R86" s="22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spans="1:40" ht="14.25" customHeight="1">
      <c r="A87" s="21"/>
      <c r="B87" s="21"/>
      <c r="C87" s="21"/>
      <c r="D87" s="21"/>
      <c r="E87" s="25"/>
      <c r="F87" s="45">
        <f t="shared" si="5"/>
        <v>45473</v>
      </c>
      <c r="G87" s="914">
        <f>+Historical!L115/100</f>
        <v>-1E-4</v>
      </c>
      <c r="H87" s="43"/>
      <c r="I87" s="51"/>
      <c r="J87" s="51"/>
      <c r="K87" s="56">
        <f t="shared" si="6"/>
        <v>2027</v>
      </c>
      <c r="L87" s="558" t="s">
        <v>441</v>
      </c>
      <c r="M87" s="57">
        <v>-5.0000000000000001E-3</v>
      </c>
      <c r="N87" s="21"/>
      <c r="O87" s="21"/>
      <c r="P87" s="21"/>
      <c r="Q87" s="21"/>
      <c r="R87" s="22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spans="1:40" ht="14.25" customHeight="1">
      <c r="A88" s="21"/>
      <c r="B88" s="21"/>
      <c r="C88" s="21"/>
      <c r="D88" s="21"/>
      <c r="E88" s="25"/>
      <c r="F88" s="53" t="s">
        <v>442</v>
      </c>
      <c r="G88" s="914">
        <f>+AVERAGE(G84:G87)</f>
        <v>0</v>
      </c>
      <c r="H88" s="43"/>
      <c r="I88" s="21"/>
      <c r="J88" s="51"/>
      <c r="K88" s="56">
        <f t="shared" si="6"/>
        <v>2028</v>
      </c>
      <c r="L88" s="58" t="s">
        <v>441</v>
      </c>
      <c r="M88" s="57">
        <v>-5.0000000000000001E-3</v>
      </c>
      <c r="N88" s="21"/>
      <c r="O88" s="21"/>
      <c r="P88" s="21"/>
      <c r="Q88" s="21"/>
      <c r="R88" s="22"/>
      <c r="S88" s="21"/>
      <c r="T88" s="21"/>
      <c r="U88" s="21"/>
      <c r="V88" s="21"/>
      <c r="W88" s="21"/>
      <c r="X88" s="21"/>
      <c r="Y88" s="21"/>
      <c r="Z88" s="21"/>
      <c r="AA88" s="21" t="s">
        <v>443</v>
      </c>
      <c r="AB88" s="21"/>
      <c r="AC88" s="21"/>
      <c r="AD88" s="21"/>
      <c r="AE88" s="21"/>
      <c r="AF88" s="21" t="s">
        <v>444</v>
      </c>
      <c r="AG88" s="21"/>
      <c r="AH88" s="21"/>
      <c r="AI88" s="21"/>
      <c r="AJ88" s="21"/>
      <c r="AK88" s="21"/>
      <c r="AL88" s="21"/>
      <c r="AM88" s="21"/>
      <c r="AN88" s="21"/>
    </row>
    <row r="89" spans="1:40" ht="14.25" hidden="1" customHeight="1">
      <c r="A89" s="21"/>
      <c r="B89" s="21"/>
      <c r="C89" s="21"/>
      <c r="D89" s="21"/>
      <c r="E89" s="25"/>
      <c r="F89" s="43"/>
      <c r="G89" s="43"/>
      <c r="H89" s="43"/>
      <c r="I89" s="21"/>
      <c r="J89" s="51"/>
      <c r="K89" s="56">
        <f t="shared" si="6"/>
        <v>2029</v>
      </c>
      <c r="L89" s="58" t="s">
        <v>441</v>
      </c>
      <c r="M89" s="57">
        <v>-4.2466174477864133E-3</v>
      </c>
      <c r="N89" s="21"/>
      <c r="O89" s="21"/>
      <c r="P89" s="21"/>
      <c r="Q89" s="21"/>
      <c r="R89" s="22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 spans="1:40" ht="14.25" hidden="1" customHeight="1">
      <c r="A90" s="21"/>
      <c r="B90" s="21"/>
      <c r="C90" s="21"/>
      <c r="D90" s="21"/>
      <c r="E90" s="25"/>
      <c r="F90" s="43"/>
      <c r="G90" s="43"/>
      <c r="H90" s="43"/>
      <c r="I90" s="21"/>
      <c r="J90" s="51"/>
      <c r="K90" s="56">
        <f t="shared" ref="K90:K93" si="7">+K89+1</f>
        <v>2030</v>
      </c>
      <c r="L90" s="58" t="s">
        <v>441</v>
      </c>
      <c r="M90" s="57">
        <v>-4.2466174477864133E-3</v>
      </c>
      <c r="N90" s="21"/>
      <c r="O90" s="21"/>
      <c r="P90" s="21"/>
      <c r="Q90" s="21"/>
      <c r="R90" s="22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 spans="1:40" ht="14.25" hidden="1" customHeight="1">
      <c r="A91" s="21"/>
      <c r="B91" s="21"/>
      <c r="C91" s="21"/>
      <c r="D91" s="21"/>
      <c r="E91" s="25"/>
      <c r="F91" s="43"/>
      <c r="G91" s="43"/>
      <c r="H91" s="43"/>
      <c r="I91" s="21"/>
      <c r="J91" s="51"/>
      <c r="K91" s="56">
        <f t="shared" si="7"/>
        <v>2031</v>
      </c>
      <c r="L91" s="58" t="s">
        <v>441</v>
      </c>
      <c r="M91" s="57">
        <v>-4.2466174477864133E-3</v>
      </c>
      <c r="N91" s="21"/>
      <c r="O91" s="21"/>
      <c r="P91" s="21"/>
      <c r="Q91" s="21"/>
      <c r="R91" s="22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 spans="1:40" ht="14.25" hidden="1" customHeight="1">
      <c r="A92" s="21"/>
      <c r="B92" s="21"/>
      <c r="C92" s="21"/>
      <c r="D92" s="21"/>
      <c r="E92" s="25"/>
      <c r="F92" s="43"/>
      <c r="G92" s="43"/>
      <c r="H92" s="43"/>
      <c r="I92" s="21"/>
      <c r="J92" s="51"/>
      <c r="K92" s="56">
        <f t="shared" si="7"/>
        <v>2032</v>
      </c>
      <c r="L92" s="58" t="s">
        <v>441</v>
      </c>
      <c r="M92" s="57">
        <v>-4.2466174477864133E-3</v>
      </c>
      <c r="N92" s="21"/>
      <c r="O92" s="21"/>
      <c r="P92" s="21"/>
      <c r="Q92" s="21"/>
      <c r="R92" s="22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  <row r="93" spans="1:40" ht="14.25" hidden="1" customHeight="1">
      <c r="A93" s="21"/>
      <c r="B93" s="21"/>
      <c r="C93" s="21"/>
      <c r="D93" s="21"/>
      <c r="E93" s="25"/>
      <c r="F93" s="43"/>
      <c r="G93" s="43"/>
      <c r="H93" s="43"/>
      <c r="I93" s="21"/>
      <c r="J93" s="51"/>
      <c r="K93" s="56">
        <f t="shared" si="7"/>
        <v>2033</v>
      </c>
      <c r="L93" s="58" t="s">
        <v>441</v>
      </c>
      <c r="M93" s="57">
        <v>-4.2466174477864133E-3</v>
      </c>
      <c r="N93" s="21"/>
      <c r="O93" s="21"/>
      <c r="P93" s="21"/>
      <c r="Q93" s="21"/>
      <c r="R93" s="22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spans="1:40" ht="13.5" customHeight="1">
      <c r="A94" s="21"/>
      <c r="B94" s="21"/>
      <c r="C94" s="21"/>
      <c r="D94" s="21"/>
      <c r="E94" s="25"/>
      <c r="F94" s="43"/>
      <c r="G94" s="43"/>
      <c r="H94" s="43"/>
      <c r="I94" s="43"/>
      <c r="J94" s="43"/>
      <c r="K94" s="43"/>
      <c r="L94" s="43"/>
      <c r="M94" s="43"/>
      <c r="N94" s="21"/>
      <c r="O94" s="21"/>
      <c r="P94" s="21"/>
      <c r="Q94" s="21"/>
      <c r="R94" s="22"/>
      <c r="S94" s="21"/>
      <c r="T94" s="21"/>
      <c r="U94" s="21"/>
      <c r="V94" s="21"/>
      <c r="W94" s="21"/>
      <c r="X94" s="21"/>
      <c r="Y94" s="21"/>
      <c r="Z94" s="21"/>
      <c r="AA94" s="21">
        <v>2018</v>
      </c>
      <c r="AB94" s="21"/>
      <c r="AC94" s="21"/>
      <c r="AD94" s="21"/>
      <c r="AE94" s="21"/>
      <c r="AF94" s="21">
        <v>2018</v>
      </c>
      <c r="AG94" s="21"/>
      <c r="AH94" s="21"/>
      <c r="AI94" s="21"/>
      <c r="AJ94" s="21"/>
      <c r="AK94" s="21"/>
      <c r="AL94" s="21"/>
      <c r="AM94" s="21"/>
      <c r="AN94" s="21"/>
    </row>
    <row r="95" spans="1:40" ht="14.25" customHeight="1">
      <c r="A95" s="21"/>
      <c r="B95" s="21"/>
      <c r="C95" s="59"/>
      <c r="D95" s="60">
        <v>2</v>
      </c>
      <c r="E95" s="60" t="s">
        <v>445</v>
      </c>
      <c r="F95" s="61"/>
      <c r="G95" s="21"/>
      <c r="H95" s="60"/>
      <c r="I95" s="21"/>
      <c r="J95" s="21"/>
      <c r="K95" s="21"/>
      <c r="L95" s="51"/>
      <c r="M95" s="51"/>
      <c r="N95" s="21"/>
      <c r="O95" s="21"/>
      <c r="P95" s="21"/>
      <c r="Q95" s="21"/>
      <c r="R95" s="22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spans="1:40" ht="14.25" customHeight="1">
      <c r="A96" s="21"/>
      <c r="B96" s="21"/>
      <c r="C96" s="59"/>
      <c r="D96" s="51"/>
      <c r="E96" s="51"/>
      <c r="F96" s="559" t="s">
        <v>446</v>
      </c>
      <c r="G96" s="35">
        <v>0.1</v>
      </c>
      <c r="H96" s="60"/>
      <c r="I96" s="21"/>
      <c r="J96" s="21"/>
      <c r="K96" s="21"/>
      <c r="L96" s="51"/>
      <c r="M96" s="51"/>
      <c r="N96" s="21"/>
      <c r="O96" s="21"/>
      <c r="P96" s="21"/>
      <c r="Q96" s="21"/>
      <c r="R96" s="22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spans="1:40" ht="14.25" customHeight="1">
      <c r="A97" s="21"/>
      <c r="B97" s="21"/>
      <c r="C97" s="59"/>
      <c r="D97" s="51"/>
      <c r="E97" s="51"/>
      <c r="F97" s="559" t="s">
        <v>447</v>
      </c>
      <c r="G97" s="35">
        <v>0.08</v>
      </c>
      <c r="H97" s="60"/>
      <c r="I97" s="21"/>
      <c r="J97" s="21"/>
      <c r="K97" s="21"/>
      <c r="L97" s="51"/>
      <c r="M97" s="51"/>
      <c r="N97" s="21"/>
      <c r="O97" s="21"/>
      <c r="P97" s="21"/>
      <c r="Q97" s="21"/>
      <c r="R97" s="22"/>
      <c r="S97" s="21"/>
      <c r="T97" s="21"/>
      <c r="U97" s="21"/>
      <c r="V97" s="21"/>
      <c r="W97" s="21"/>
      <c r="X97" s="21"/>
      <c r="Y97" s="21"/>
      <c r="Z97" s="21"/>
      <c r="AA97" s="62">
        <f>DATE(2018,1,31)</f>
        <v>43131</v>
      </c>
      <c r="AB97" s="21">
        <f>+CF!I96</f>
        <v>2003</v>
      </c>
      <c r="AC97" s="21">
        <f t="shared" ref="AC97:AC108" si="8">+AB97/13600</f>
        <v>0.14727941176470588</v>
      </c>
      <c r="AD97" s="21"/>
      <c r="AE97" s="62">
        <f>DATE(2018,1,31)</f>
        <v>43131</v>
      </c>
      <c r="AF97" s="21">
        <f>+CF!I99</f>
        <v>2203</v>
      </c>
      <c r="AG97" s="21">
        <f t="shared" ref="AG97:AG108" si="9">+AF97/13600</f>
        <v>0.16198529411764706</v>
      </c>
      <c r="AH97" s="21"/>
      <c r="AI97" s="21"/>
      <c r="AJ97" s="21"/>
      <c r="AK97" s="21"/>
      <c r="AL97" s="21"/>
      <c r="AM97" s="21"/>
      <c r="AN97" s="21"/>
    </row>
    <row r="98" spans="1:40" ht="14.25" customHeight="1">
      <c r="A98" s="21"/>
      <c r="B98" s="21"/>
      <c r="C98" s="59"/>
      <c r="D98" s="51"/>
      <c r="E98" s="51"/>
      <c r="F98" s="559" t="s">
        <v>448</v>
      </c>
      <c r="G98" s="35">
        <v>0.06</v>
      </c>
      <c r="H98" s="60"/>
      <c r="I98" s="21"/>
      <c r="J98" s="21"/>
      <c r="K98" s="21"/>
      <c r="L98" s="51"/>
      <c r="M98" s="51"/>
      <c r="N98" s="21"/>
      <c r="O98" s="21"/>
      <c r="P98" s="21"/>
      <c r="Q98" s="21"/>
      <c r="R98" s="22"/>
      <c r="S98" s="21"/>
      <c r="T98" s="21"/>
      <c r="U98" s="21"/>
      <c r="V98" s="21"/>
      <c r="W98" s="21"/>
      <c r="X98" s="21"/>
      <c r="Y98" s="21"/>
      <c r="Z98" s="21"/>
      <c r="AA98" s="62">
        <f>+AA97+28</f>
        <v>43159</v>
      </c>
      <c r="AB98" s="21">
        <f>+CF!J$96</f>
        <v>2003</v>
      </c>
      <c r="AC98" s="21">
        <f t="shared" si="8"/>
        <v>0.14727941176470588</v>
      </c>
      <c r="AD98" s="21"/>
      <c r="AE98" s="62">
        <f>+AE97+28</f>
        <v>43159</v>
      </c>
      <c r="AF98" s="21">
        <f>+CF!J$99</f>
        <v>2203</v>
      </c>
      <c r="AG98" s="21">
        <f t="shared" si="9"/>
        <v>0.16198529411764706</v>
      </c>
      <c r="AH98" s="21"/>
      <c r="AI98" s="21"/>
      <c r="AJ98" s="21"/>
      <c r="AK98" s="21"/>
      <c r="AL98" s="21"/>
      <c r="AM98" s="21"/>
      <c r="AN98" s="21"/>
    </row>
    <row r="99" spans="1:40" ht="14.25" customHeight="1">
      <c r="A99" s="21"/>
      <c r="B99" s="21"/>
      <c r="C99" s="59"/>
      <c r="D99" s="51"/>
      <c r="E99" s="51"/>
      <c r="F99" s="559" t="s">
        <v>449</v>
      </c>
      <c r="G99" s="35">
        <v>0.08</v>
      </c>
      <c r="H99" s="60"/>
      <c r="I99" s="21"/>
      <c r="J99" s="21"/>
      <c r="K99" s="21"/>
      <c r="L99" s="51"/>
      <c r="M99" s="51"/>
      <c r="N99" s="21"/>
      <c r="O99" s="21"/>
      <c r="P99" s="21"/>
      <c r="Q99" s="21"/>
      <c r="R99" s="22"/>
      <c r="S99" s="21"/>
      <c r="T99" s="21"/>
      <c r="U99" s="21"/>
      <c r="V99" s="21"/>
      <c r="W99" s="21"/>
      <c r="X99" s="21"/>
      <c r="Y99" s="21"/>
      <c r="Z99" s="21"/>
      <c r="AA99" s="62">
        <f>+AA98+31</f>
        <v>43190</v>
      </c>
      <c r="AB99" s="21">
        <f>+CF!K$96</f>
        <v>2003</v>
      </c>
      <c r="AC99" s="21">
        <f t="shared" si="8"/>
        <v>0.14727941176470588</v>
      </c>
      <c r="AD99" s="21"/>
      <c r="AE99" s="62">
        <f>+AE98+31</f>
        <v>43190</v>
      </c>
      <c r="AF99" s="21">
        <f>+CF!K$99</f>
        <v>2203</v>
      </c>
      <c r="AG99" s="21">
        <f t="shared" si="9"/>
        <v>0.16198529411764706</v>
      </c>
      <c r="AH99" s="21"/>
      <c r="AI99" s="21"/>
      <c r="AJ99" s="21"/>
      <c r="AK99" s="21"/>
      <c r="AL99" s="21"/>
      <c r="AM99" s="21"/>
      <c r="AN99" s="21"/>
    </row>
    <row r="100" spans="1:40" ht="14.25" customHeight="1">
      <c r="A100" s="21"/>
      <c r="B100" s="21"/>
      <c r="C100" s="59"/>
      <c r="D100" s="51"/>
      <c r="E100" s="51"/>
      <c r="F100" s="559" t="s">
        <v>450</v>
      </c>
      <c r="G100" s="35">
        <v>0.1</v>
      </c>
      <c r="H100" s="60"/>
      <c r="I100" s="21"/>
      <c r="J100" s="21"/>
      <c r="K100" s="21"/>
      <c r="L100" s="51"/>
      <c r="M100" s="51"/>
      <c r="N100" s="21"/>
      <c r="O100" s="21"/>
      <c r="P100" s="21"/>
      <c r="Q100" s="21"/>
      <c r="R100" s="22"/>
      <c r="S100" s="21"/>
      <c r="T100" s="21"/>
      <c r="U100" s="21"/>
      <c r="V100" s="21"/>
      <c r="W100" s="21"/>
      <c r="X100" s="21"/>
      <c r="Y100" s="21"/>
      <c r="Z100" s="21"/>
      <c r="AA100" s="62">
        <f>+AA99+30</f>
        <v>43220</v>
      </c>
      <c r="AB100" s="21">
        <f>+CF!L$96</f>
        <v>2003</v>
      </c>
      <c r="AC100" s="21">
        <f t="shared" si="8"/>
        <v>0.14727941176470588</v>
      </c>
      <c r="AD100" s="21"/>
      <c r="AE100" s="62">
        <f>+AE99+30</f>
        <v>43220</v>
      </c>
      <c r="AF100" s="21">
        <f>+CF!L$99</f>
        <v>2203</v>
      </c>
      <c r="AG100" s="21">
        <f t="shared" si="9"/>
        <v>0.16198529411764706</v>
      </c>
      <c r="AH100" s="21"/>
      <c r="AI100" s="21"/>
      <c r="AJ100" s="21"/>
      <c r="AK100" s="21"/>
      <c r="AL100" s="21"/>
      <c r="AM100" s="21"/>
      <c r="AN100" s="21"/>
    </row>
    <row r="101" spans="1:40" ht="14.25" customHeight="1">
      <c r="A101" s="21"/>
      <c r="B101" s="21"/>
      <c r="C101" s="59"/>
      <c r="D101" s="51"/>
      <c r="E101" s="51"/>
      <c r="F101" s="559" t="s">
        <v>451</v>
      </c>
      <c r="G101" s="35">
        <v>0.08</v>
      </c>
      <c r="H101" s="60"/>
      <c r="I101" s="21"/>
      <c r="J101" s="21"/>
      <c r="K101" s="21"/>
      <c r="L101" s="51"/>
      <c r="M101" s="51"/>
      <c r="N101" s="21"/>
      <c r="O101" s="21"/>
      <c r="P101" s="21"/>
      <c r="Q101" s="21"/>
      <c r="R101" s="22"/>
      <c r="S101" s="21"/>
      <c r="T101" s="21"/>
      <c r="U101" s="21"/>
      <c r="V101" s="21"/>
      <c r="W101" s="21"/>
      <c r="X101" s="21"/>
      <c r="Y101" s="21"/>
      <c r="Z101" s="21"/>
      <c r="AA101" s="62">
        <f>+AA100+31</f>
        <v>43251</v>
      </c>
      <c r="AB101" s="21">
        <f>+CF!M$96</f>
        <v>2003</v>
      </c>
      <c r="AC101" s="21">
        <f t="shared" si="8"/>
        <v>0.14727941176470588</v>
      </c>
      <c r="AD101" s="21"/>
      <c r="AE101" s="62">
        <f>+AE100+31</f>
        <v>43251</v>
      </c>
      <c r="AF101" s="21">
        <f>+CF!M$99</f>
        <v>2203</v>
      </c>
      <c r="AG101" s="21">
        <f t="shared" si="9"/>
        <v>0.16198529411764706</v>
      </c>
      <c r="AH101" s="21"/>
      <c r="AI101" s="21"/>
      <c r="AJ101" s="21"/>
      <c r="AK101" s="21"/>
      <c r="AL101" s="21"/>
      <c r="AM101" s="21"/>
      <c r="AN101" s="21"/>
    </row>
    <row r="102" spans="1:40" ht="14.25" customHeight="1">
      <c r="A102" s="21"/>
      <c r="B102" s="21"/>
      <c r="C102" s="59"/>
      <c r="D102" s="51"/>
      <c r="E102" s="51"/>
      <c r="F102" s="559" t="s">
        <v>452</v>
      </c>
      <c r="G102" s="35">
        <v>0.08</v>
      </c>
      <c r="H102" s="60"/>
      <c r="I102" s="21"/>
      <c r="J102" s="21"/>
      <c r="K102" s="21"/>
      <c r="L102" s="51"/>
      <c r="M102" s="51"/>
      <c r="N102" s="21"/>
      <c r="O102" s="21"/>
      <c r="P102" s="21"/>
      <c r="Q102" s="21"/>
      <c r="R102" s="22"/>
      <c r="S102" s="21"/>
      <c r="T102" s="21"/>
      <c r="U102" s="21"/>
      <c r="V102" s="21"/>
      <c r="W102" s="21"/>
      <c r="X102" s="21"/>
      <c r="Y102" s="21"/>
      <c r="Z102" s="21"/>
      <c r="AA102" s="62">
        <f>+AA101+30</f>
        <v>43281</v>
      </c>
      <c r="AB102" s="21">
        <f>+CF!N$96</f>
        <v>2003</v>
      </c>
      <c r="AC102" s="21">
        <f t="shared" si="8"/>
        <v>0.14727941176470588</v>
      </c>
      <c r="AD102" s="21"/>
      <c r="AE102" s="62">
        <f>+AE101+30</f>
        <v>43281</v>
      </c>
      <c r="AF102" s="21">
        <f>+CF!N$99</f>
        <v>2203</v>
      </c>
      <c r="AG102" s="21">
        <f t="shared" si="9"/>
        <v>0.16198529411764706</v>
      </c>
      <c r="AH102" s="21"/>
      <c r="AI102" s="21"/>
      <c r="AJ102" s="21"/>
      <c r="AK102" s="21"/>
      <c r="AL102" s="21"/>
      <c r="AM102" s="21"/>
      <c r="AN102" s="21"/>
    </row>
    <row r="103" spans="1:40" ht="14.25" customHeight="1">
      <c r="A103" s="21"/>
      <c r="B103" s="21"/>
      <c r="C103" s="59"/>
      <c r="D103" s="51"/>
      <c r="E103" s="51"/>
      <c r="F103" s="559" t="s">
        <v>453</v>
      </c>
      <c r="G103" s="35">
        <v>0.1</v>
      </c>
      <c r="H103" s="60"/>
      <c r="I103" s="21"/>
      <c r="J103" s="21"/>
      <c r="K103" s="21"/>
      <c r="L103" s="51"/>
      <c r="M103" s="51"/>
      <c r="N103" s="21"/>
      <c r="O103" s="21"/>
      <c r="P103" s="21"/>
      <c r="Q103" s="21"/>
      <c r="R103" s="22"/>
      <c r="S103" s="21"/>
      <c r="T103" s="21"/>
      <c r="U103" s="21"/>
      <c r="V103" s="21"/>
      <c r="W103" s="21"/>
      <c r="X103" s="21"/>
      <c r="Y103" s="21"/>
      <c r="Z103" s="21"/>
      <c r="AA103" s="62">
        <f t="shared" ref="AA103:AA104" si="10">+AA102+31</f>
        <v>43312</v>
      </c>
      <c r="AB103" s="21">
        <f>+CF!O$96</f>
        <v>49503.236250000002</v>
      </c>
      <c r="AC103" s="21">
        <f t="shared" si="8"/>
        <v>3.6399438419117649</v>
      </c>
      <c r="AD103" s="21"/>
      <c r="AE103" s="62">
        <f t="shared" ref="AE103:AE104" si="11">+AE102+31</f>
        <v>43312</v>
      </c>
      <c r="AF103" s="21">
        <f>+CF!O$99</f>
        <v>1652.25</v>
      </c>
      <c r="AG103" s="21">
        <f t="shared" si="9"/>
        <v>0.1214889705882353</v>
      </c>
      <c r="AH103" s="21"/>
      <c r="AI103" s="21"/>
      <c r="AJ103" s="21"/>
      <c r="AK103" s="21"/>
      <c r="AL103" s="21"/>
      <c r="AM103" s="21"/>
      <c r="AN103" s="21"/>
    </row>
    <row r="104" spans="1:40" ht="14.25" customHeight="1">
      <c r="A104" s="21"/>
      <c r="B104" s="21"/>
      <c r="C104" s="59"/>
      <c r="D104" s="51"/>
      <c r="E104" s="51"/>
      <c r="F104" s="559" t="s">
        <v>454</v>
      </c>
      <c r="G104" s="35">
        <v>0.08</v>
      </c>
      <c r="H104" s="60"/>
      <c r="I104" s="21"/>
      <c r="J104" s="21"/>
      <c r="K104" s="21"/>
      <c r="L104" s="51"/>
      <c r="M104" s="51"/>
      <c r="N104" s="21"/>
      <c r="O104" s="21"/>
      <c r="P104" s="21"/>
      <c r="Q104" s="21"/>
      <c r="R104" s="22"/>
      <c r="S104" s="21"/>
      <c r="T104" s="21"/>
      <c r="U104" s="21"/>
      <c r="V104" s="21"/>
      <c r="W104" s="21"/>
      <c r="X104" s="21"/>
      <c r="Y104" s="21"/>
      <c r="Z104" s="21"/>
      <c r="AA104" s="62">
        <f t="shared" si="10"/>
        <v>43343</v>
      </c>
      <c r="AB104" s="21">
        <f>+CF!P$96</f>
        <v>52722.671447916669</v>
      </c>
      <c r="AC104" s="21">
        <f t="shared" si="8"/>
        <v>3.8766670182291669</v>
      </c>
      <c r="AD104" s="21"/>
      <c r="AE104" s="62">
        <f t="shared" si="11"/>
        <v>43343</v>
      </c>
      <c r="AF104" s="21">
        <f>+CF!P$99</f>
        <v>1101.5</v>
      </c>
      <c r="AG104" s="21">
        <f t="shared" si="9"/>
        <v>8.099264705882353E-2</v>
      </c>
      <c r="AH104" s="21"/>
      <c r="AI104" s="21"/>
      <c r="AJ104" s="21"/>
      <c r="AK104" s="21"/>
      <c r="AL104" s="21"/>
      <c r="AM104" s="21"/>
      <c r="AN104" s="21"/>
    </row>
    <row r="105" spans="1:40" ht="14.25" customHeight="1">
      <c r="A105" s="21"/>
      <c r="B105" s="21"/>
      <c r="C105" s="59"/>
      <c r="D105" s="51"/>
      <c r="E105" s="51"/>
      <c r="F105" s="559" t="s">
        <v>455</v>
      </c>
      <c r="G105" s="35">
        <v>0.06</v>
      </c>
      <c r="H105" s="60"/>
      <c r="I105" s="21"/>
      <c r="J105" s="21"/>
      <c r="K105" s="21"/>
      <c r="L105" s="51"/>
      <c r="M105" s="51"/>
      <c r="N105" s="21"/>
      <c r="O105" s="21"/>
      <c r="P105" s="21"/>
      <c r="Q105" s="21"/>
      <c r="R105" s="22"/>
      <c r="S105" s="21"/>
      <c r="T105" s="21"/>
      <c r="U105" s="21"/>
      <c r="V105" s="21"/>
      <c r="W105" s="21"/>
      <c r="X105" s="21"/>
      <c r="Y105" s="21"/>
      <c r="Z105" s="21"/>
      <c r="AA105" s="62">
        <f>+AA104+30</f>
        <v>43373</v>
      </c>
      <c r="AB105" s="21">
        <f>+CF!Q$96</f>
        <v>56748.794196093753</v>
      </c>
      <c r="AC105" s="21">
        <f t="shared" si="8"/>
        <v>4.1727054555951293</v>
      </c>
      <c r="AD105" s="21"/>
      <c r="AE105" s="62">
        <f>+AE104+30</f>
        <v>43373</v>
      </c>
      <c r="AF105" s="21">
        <f>+CF!Q$99</f>
        <v>550.75</v>
      </c>
      <c r="AG105" s="21">
        <f t="shared" si="9"/>
        <v>4.0496323529411765E-2</v>
      </c>
      <c r="AH105" s="21"/>
      <c r="AI105" s="21"/>
      <c r="AJ105" s="21"/>
      <c r="AK105" s="21"/>
      <c r="AL105" s="21"/>
      <c r="AM105" s="21"/>
      <c r="AN105" s="21"/>
    </row>
    <row r="106" spans="1:40" ht="14.25" customHeight="1">
      <c r="A106" s="21"/>
      <c r="B106" s="21"/>
      <c r="C106" s="59"/>
      <c r="D106" s="51"/>
      <c r="E106" s="51"/>
      <c r="F106" s="559" t="s">
        <v>456</v>
      </c>
      <c r="G106" s="35">
        <v>0.08</v>
      </c>
      <c r="H106" s="60"/>
      <c r="I106" s="21"/>
      <c r="J106" s="21"/>
      <c r="K106" s="21"/>
      <c r="L106" s="51"/>
      <c r="M106" s="51"/>
      <c r="N106" s="21"/>
      <c r="O106" s="21"/>
      <c r="P106" s="21"/>
      <c r="Q106" s="21"/>
      <c r="R106" s="22"/>
      <c r="S106" s="21"/>
      <c r="T106" s="21"/>
      <c r="U106" s="21"/>
      <c r="V106" s="21"/>
      <c r="W106" s="21"/>
      <c r="X106" s="21"/>
      <c r="Y106" s="21"/>
      <c r="Z106" s="21"/>
      <c r="AA106" s="62">
        <f>+AA105+31</f>
        <v>43404</v>
      </c>
      <c r="AB106" s="21">
        <f>+CF!R$96</f>
        <v>60575.961224116756</v>
      </c>
      <c r="AC106" s="21">
        <f t="shared" si="8"/>
        <v>4.4541147958909377</v>
      </c>
      <c r="AD106" s="21"/>
      <c r="AE106" s="62">
        <f>+AE105+31</f>
        <v>43404</v>
      </c>
      <c r="AF106" s="21">
        <f>+CF!R$99</f>
        <v>0</v>
      </c>
      <c r="AG106" s="21">
        <f t="shared" si="9"/>
        <v>0</v>
      </c>
      <c r="AH106" s="21"/>
      <c r="AI106" s="21"/>
      <c r="AJ106" s="21"/>
      <c r="AK106" s="21"/>
      <c r="AL106" s="21"/>
      <c r="AM106" s="21"/>
      <c r="AN106" s="21"/>
    </row>
    <row r="107" spans="1:40" ht="13.5" customHeight="1">
      <c r="A107" s="21"/>
      <c r="B107" s="21"/>
      <c r="C107" s="59"/>
      <c r="D107" s="51"/>
      <c r="E107" s="51"/>
      <c r="F107" s="53" t="s">
        <v>457</v>
      </c>
      <c r="G107" s="63">
        <v>0.1</v>
      </c>
      <c r="H107" s="60"/>
      <c r="I107" s="64" t="str">
        <f>+IF(G107&lt;0,"Input kembali proporsi penjualan per-bulan, posisi Des min 0,00%","")</f>
        <v/>
      </c>
      <c r="J107" s="21"/>
      <c r="K107" s="21"/>
      <c r="L107" s="51"/>
      <c r="M107" s="51"/>
      <c r="N107" s="21"/>
      <c r="O107" s="21"/>
      <c r="P107" s="21"/>
      <c r="Q107" s="21"/>
      <c r="R107" s="22"/>
      <c r="S107" s="21"/>
      <c r="T107" s="21"/>
      <c r="U107" s="21"/>
      <c r="V107" s="21"/>
      <c r="W107" s="21"/>
      <c r="X107" s="21"/>
      <c r="Y107" s="21"/>
      <c r="Z107" s="21"/>
      <c r="AA107" s="62">
        <f>+AA106+30</f>
        <v>43434</v>
      </c>
      <c r="AB107" s="21">
        <f>+CF!S$96</f>
        <v>63374.887628257122</v>
      </c>
      <c r="AC107" s="21">
        <f t="shared" si="8"/>
        <v>4.6599182079600823</v>
      </c>
      <c r="AD107" s="21"/>
      <c r="AE107" s="62">
        <f>+AE106+30</f>
        <v>43434</v>
      </c>
      <c r="AF107" s="21">
        <f>+CF!R$99</f>
        <v>0</v>
      </c>
      <c r="AG107" s="21">
        <f t="shared" si="9"/>
        <v>0</v>
      </c>
      <c r="AH107" s="21"/>
      <c r="AI107" s="21"/>
      <c r="AJ107" s="21"/>
      <c r="AK107" s="21"/>
      <c r="AL107" s="21"/>
      <c r="AM107" s="21"/>
      <c r="AN107" s="21"/>
    </row>
    <row r="108" spans="1:40" ht="13.5" customHeight="1">
      <c r="A108" s="21"/>
      <c r="B108" s="21"/>
      <c r="C108" s="59"/>
      <c r="D108" s="51"/>
      <c r="E108" s="51"/>
      <c r="F108" s="53" t="s">
        <v>458</v>
      </c>
      <c r="G108" s="31">
        <f>+SUM(G96:G107)</f>
        <v>0.99999999999999978</v>
      </c>
      <c r="H108" s="60"/>
      <c r="I108" s="21"/>
      <c r="J108" s="21"/>
      <c r="K108" s="21"/>
      <c r="L108" s="51"/>
      <c r="M108" s="51"/>
      <c r="N108" s="21"/>
      <c r="O108" s="21"/>
      <c r="P108" s="21"/>
      <c r="Q108" s="21"/>
      <c r="R108" s="22"/>
      <c r="S108" s="21"/>
      <c r="T108" s="21"/>
      <c r="U108" s="21"/>
      <c r="V108" s="21"/>
      <c r="W108" s="21"/>
      <c r="X108" s="21"/>
      <c r="Y108" s="21"/>
      <c r="Z108" s="21"/>
      <c r="AA108" s="62">
        <f>+AA107+31</f>
        <v>43465</v>
      </c>
      <c r="AB108" s="21">
        <f>+CF!T$96</f>
        <v>67798.131186775427</v>
      </c>
      <c r="AC108" s="21">
        <f t="shared" si="8"/>
        <v>4.9851567049099579</v>
      </c>
      <c r="AD108" s="21"/>
      <c r="AE108" s="62">
        <f>+AE107+31</f>
        <v>43465</v>
      </c>
      <c r="AF108" s="21">
        <f>+CF!S$99</f>
        <v>0</v>
      </c>
      <c r="AG108" s="21">
        <f t="shared" si="9"/>
        <v>0</v>
      </c>
      <c r="AH108" s="21"/>
      <c r="AI108" s="21"/>
      <c r="AJ108" s="21"/>
      <c r="AK108" s="21"/>
      <c r="AL108" s="21"/>
      <c r="AM108" s="21"/>
      <c r="AN108" s="21"/>
    </row>
    <row r="109" spans="1:40" ht="13.5" customHeight="1">
      <c r="A109" s="21"/>
      <c r="B109" s="21"/>
      <c r="C109" s="59"/>
      <c r="D109" s="51"/>
      <c r="E109" s="51"/>
      <c r="F109" s="65"/>
      <c r="G109" s="66"/>
      <c r="H109" s="60"/>
      <c r="I109" s="51"/>
      <c r="J109" s="65"/>
      <c r="K109" s="66"/>
      <c r="L109" s="51"/>
      <c r="M109" s="51"/>
      <c r="N109" s="21"/>
      <c r="O109" s="21"/>
      <c r="P109" s="21"/>
      <c r="Q109" s="21"/>
      <c r="R109" s="22"/>
      <c r="S109" s="21"/>
      <c r="T109" s="21"/>
      <c r="U109" s="21"/>
      <c r="V109" s="21"/>
      <c r="W109" s="21"/>
      <c r="X109" s="21"/>
      <c r="Y109" s="21"/>
      <c r="Z109" s="21"/>
      <c r="AA109" s="62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</row>
    <row r="110" spans="1:40" ht="14.25" customHeight="1">
      <c r="A110" s="21"/>
      <c r="B110" s="21"/>
      <c r="C110" s="59"/>
      <c r="D110" s="51"/>
      <c r="E110" s="60" t="s">
        <v>459</v>
      </c>
      <c r="F110" s="60"/>
      <c r="G110" s="21"/>
      <c r="H110" s="60"/>
      <c r="I110" s="51"/>
      <c r="J110" s="65"/>
      <c r="K110" s="66"/>
      <c r="L110" s="51"/>
      <c r="M110" s="51"/>
      <c r="N110" s="21"/>
      <c r="O110" s="21"/>
      <c r="P110" s="21"/>
      <c r="Q110" s="21"/>
      <c r="R110" s="22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spans="1:40" ht="14.25" customHeight="1">
      <c r="A111" s="21"/>
      <c r="B111" s="21"/>
      <c r="C111" s="59"/>
      <c r="D111" s="51"/>
      <c r="E111" s="51"/>
      <c r="F111" s="559" t="s">
        <v>446</v>
      </c>
      <c r="G111" s="35">
        <v>0.08</v>
      </c>
      <c r="H111" s="60"/>
      <c r="I111" s="51"/>
      <c r="J111" s="65"/>
      <c r="K111" s="66"/>
      <c r="L111" s="51"/>
      <c r="M111" s="51"/>
      <c r="N111" s="21"/>
      <c r="O111" s="21"/>
      <c r="P111" s="21"/>
      <c r="Q111" s="21"/>
      <c r="R111" s="22"/>
      <c r="S111" s="21"/>
      <c r="T111" s="21"/>
      <c r="U111" s="21"/>
      <c r="V111" s="21"/>
      <c r="W111" s="21"/>
      <c r="X111" s="21"/>
      <c r="Y111" s="21"/>
      <c r="Z111" s="21"/>
      <c r="AA111" s="21"/>
      <c r="AB111" s="21">
        <v>2018</v>
      </c>
      <c r="AC111" s="21">
        <f t="shared" ref="AC111:AF111" si="12">+AB111+1</f>
        <v>2019</v>
      </c>
      <c r="AD111" s="21">
        <f t="shared" si="12"/>
        <v>2020</v>
      </c>
      <c r="AE111" s="21">
        <f t="shared" si="12"/>
        <v>2021</v>
      </c>
      <c r="AF111" s="21">
        <f t="shared" si="12"/>
        <v>2022</v>
      </c>
      <c r="AG111" s="21"/>
      <c r="AH111" s="21"/>
      <c r="AI111" s="21"/>
      <c r="AJ111" s="21"/>
      <c r="AK111" s="21"/>
      <c r="AL111" s="21"/>
      <c r="AM111" s="21"/>
      <c r="AN111" s="21"/>
    </row>
    <row r="112" spans="1:40" ht="14.25" customHeight="1">
      <c r="A112" s="21"/>
      <c r="B112" s="21"/>
      <c r="C112" s="59"/>
      <c r="D112" s="51"/>
      <c r="E112" s="51"/>
      <c r="F112" s="559" t="s">
        <v>447</v>
      </c>
      <c r="G112" s="35">
        <v>0.06</v>
      </c>
      <c r="H112" s="60"/>
      <c r="I112" s="51"/>
      <c r="J112" s="65"/>
      <c r="K112" s="66"/>
      <c r="L112" s="51"/>
      <c r="M112" s="51"/>
      <c r="N112" s="21"/>
      <c r="O112" s="21"/>
      <c r="P112" s="21"/>
      <c r="Q112" s="21"/>
      <c r="R112" s="22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</row>
    <row r="113" spans="1:40" ht="14.25" customHeight="1">
      <c r="A113" s="21"/>
      <c r="B113" s="21"/>
      <c r="C113" s="59"/>
      <c r="D113" s="51"/>
      <c r="E113" s="51"/>
      <c r="F113" s="559" t="s">
        <v>448</v>
      </c>
      <c r="G113" s="35">
        <v>0.08</v>
      </c>
      <c r="H113" s="60"/>
      <c r="I113" s="51"/>
      <c r="J113" s="65"/>
      <c r="K113" s="66"/>
      <c r="L113" s="51"/>
      <c r="M113" s="51"/>
      <c r="N113" s="21"/>
      <c r="O113" s="21"/>
      <c r="P113" s="21"/>
      <c r="Q113" s="21"/>
      <c r="R113" s="22"/>
      <c r="S113" s="21"/>
      <c r="T113" s="21"/>
      <c r="U113" s="21"/>
      <c r="V113" s="21"/>
      <c r="W113" s="21"/>
      <c r="X113" s="21"/>
      <c r="Y113" s="21"/>
      <c r="Z113" s="21"/>
      <c r="AA113" s="21" t="s">
        <v>460</v>
      </c>
      <c r="AB113" s="67">
        <f>+Projection!L100</f>
        <v>0.49057440514888834</v>
      </c>
      <c r="AC113" s="67">
        <f>+Projection!N100</f>
        <v>0.6722333424866076</v>
      </c>
      <c r="AD113" s="67">
        <f>+Projection!P100</f>
        <v>0.96644035323987409</v>
      </c>
      <c r="AE113" s="67">
        <f>+Projection!R100</f>
        <v>1.7315876394168581</v>
      </c>
      <c r="AF113" s="67">
        <f>+Projection!T100</f>
        <v>3.1083879384671329</v>
      </c>
      <c r="AG113" s="21"/>
      <c r="AH113" s="21"/>
      <c r="AI113" s="21"/>
      <c r="AJ113" s="21"/>
      <c r="AK113" s="21"/>
      <c r="AL113" s="21"/>
      <c r="AM113" s="21"/>
      <c r="AN113" s="21"/>
    </row>
    <row r="114" spans="1:40" ht="14.25" customHeight="1">
      <c r="A114" s="21"/>
      <c r="B114" s="21"/>
      <c r="C114" s="59"/>
      <c r="D114" s="51"/>
      <c r="E114" s="51"/>
      <c r="F114" s="559" t="s">
        <v>449</v>
      </c>
      <c r="G114" s="35">
        <v>0.1</v>
      </c>
      <c r="H114" s="60"/>
      <c r="I114" s="51"/>
      <c r="J114" s="65"/>
      <c r="K114" s="66"/>
      <c r="L114" s="51"/>
      <c r="M114" s="51"/>
      <c r="N114" s="21"/>
      <c r="O114" s="21"/>
      <c r="P114" s="21"/>
      <c r="Q114" s="21"/>
      <c r="R114" s="22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spans="1:40" ht="14.25" customHeight="1">
      <c r="A115" s="21"/>
      <c r="B115" s="21"/>
      <c r="C115" s="59"/>
      <c r="D115" s="51"/>
      <c r="E115" s="51"/>
      <c r="F115" s="559" t="s">
        <v>450</v>
      </c>
      <c r="G115" s="35">
        <v>0.1</v>
      </c>
      <c r="H115" s="60"/>
      <c r="I115" s="51"/>
      <c r="J115" s="65"/>
      <c r="K115" s="66"/>
      <c r="L115" s="51"/>
      <c r="M115" s="51"/>
      <c r="N115" s="21"/>
      <c r="O115" s="21"/>
      <c r="P115" s="21"/>
      <c r="Q115" s="21"/>
      <c r="R115" s="22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</row>
    <row r="116" spans="1:40" ht="14.25" customHeight="1">
      <c r="A116" s="21"/>
      <c r="B116" s="21"/>
      <c r="C116" s="59"/>
      <c r="D116" s="51"/>
      <c r="E116" s="51"/>
      <c r="F116" s="559" t="s">
        <v>451</v>
      </c>
      <c r="G116" s="35">
        <v>0.08</v>
      </c>
      <c r="H116" s="60"/>
      <c r="I116" s="51"/>
      <c r="J116" s="65"/>
      <c r="K116" s="66"/>
      <c r="L116" s="51"/>
      <c r="M116" s="51"/>
      <c r="N116" s="21"/>
      <c r="O116" s="21"/>
      <c r="P116" s="21"/>
      <c r="Q116" s="21"/>
      <c r="R116" s="22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</row>
    <row r="117" spans="1:40" ht="14.25" customHeight="1">
      <c r="A117" s="21"/>
      <c r="B117" s="21"/>
      <c r="C117" s="59"/>
      <c r="D117" s="51"/>
      <c r="E117" s="51"/>
      <c r="F117" s="559" t="s">
        <v>452</v>
      </c>
      <c r="G117" s="35">
        <v>0.08</v>
      </c>
      <c r="H117" s="60"/>
      <c r="I117" s="51"/>
      <c r="J117" s="65"/>
      <c r="K117" s="66"/>
      <c r="L117" s="51"/>
      <c r="M117" s="51"/>
      <c r="N117" s="21"/>
      <c r="O117" s="21"/>
      <c r="P117" s="21"/>
      <c r="Q117" s="21"/>
      <c r="R117" s="22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spans="1:40" ht="14.25" customHeight="1">
      <c r="A118" s="21"/>
      <c r="B118" s="21"/>
      <c r="C118" s="59"/>
      <c r="D118" s="51"/>
      <c r="E118" s="51"/>
      <c r="F118" s="559" t="s">
        <v>453</v>
      </c>
      <c r="G118" s="35">
        <v>0.1</v>
      </c>
      <c r="H118" s="60"/>
      <c r="I118" s="51"/>
      <c r="J118" s="65"/>
      <c r="K118" s="66"/>
      <c r="L118" s="51"/>
      <c r="M118" s="51"/>
      <c r="N118" s="21"/>
      <c r="O118" s="21"/>
      <c r="P118" s="21"/>
      <c r="Q118" s="21"/>
      <c r="R118" s="22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spans="1:40" ht="14.25" customHeight="1">
      <c r="A119" s="21"/>
      <c r="B119" s="21"/>
      <c r="C119" s="59"/>
      <c r="D119" s="51"/>
      <c r="E119" s="51"/>
      <c r="F119" s="559" t="s">
        <v>454</v>
      </c>
      <c r="G119" s="35">
        <v>0.1</v>
      </c>
      <c r="H119" s="60"/>
      <c r="I119" s="51"/>
      <c r="J119" s="65"/>
      <c r="K119" s="66"/>
      <c r="L119" s="51"/>
      <c r="M119" s="51"/>
      <c r="N119" s="21"/>
      <c r="O119" s="21"/>
      <c r="P119" s="21"/>
      <c r="Q119" s="21"/>
      <c r="R119" s="22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</row>
    <row r="120" spans="1:40" ht="14.25" customHeight="1">
      <c r="A120" s="21"/>
      <c r="B120" s="21"/>
      <c r="C120" s="59"/>
      <c r="D120" s="51"/>
      <c r="E120" s="51"/>
      <c r="F120" s="559" t="s">
        <v>455</v>
      </c>
      <c r="G120" s="35">
        <v>0.08</v>
      </c>
      <c r="H120" s="60"/>
      <c r="I120" s="51"/>
      <c r="J120" s="65"/>
      <c r="K120" s="66"/>
      <c r="L120" s="51"/>
      <c r="M120" s="51"/>
      <c r="N120" s="21"/>
      <c r="O120" s="21"/>
      <c r="P120" s="21"/>
      <c r="Q120" s="21"/>
      <c r="R120" s="22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</row>
    <row r="121" spans="1:40" ht="14.25" customHeight="1">
      <c r="A121" s="21"/>
      <c r="B121" s="21"/>
      <c r="C121" s="59"/>
      <c r="D121" s="51"/>
      <c r="E121" s="51"/>
      <c r="F121" s="559" t="s">
        <v>456</v>
      </c>
      <c r="G121" s="35">
        <v>0.06</v>
      </c>
      <c r="H121" s="60"/>
      <c r="I121" s="51"/>
      <c r="J121" s="65"/>
      <c r="K121" s="66"/>
      <c r="L121" s="51"/>
      <c r="M121" s="51"/>
      <c r="N121" s="21"/>
      <c r="O121" s="21"/>
      <c r="P121" s="21"/>
      <c r="Q121" s="21"/>
      <c r="R121" s="22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</row>
    <row r="122" spans="1:40" ht="13.5" customHeight="1">
      <c r="A122" s="21"/>
      <c r="B122" s="21"/>
      <c r="C122" s="59"/>
      <c r="D122" s="51"/>
      <c r="E122" s="51"/>
      <c r="F122" s="53" t="s">
        <v>457</v>
      </c>
      <c r="G122" s="63">
        <v>0.08</v>
      </c>
      <c r="H122" s="60"/>
      <c r="I122" s="64" t="str">
        <f>+IF(G122&lt;0,"Input kembali proporsi pembelian per-bulan, posisi Des min 0,00%","")</f>
        <v/>
      </c>
      <c r="J122" s="65"/>
      <c r="K122" s="66"/>
      <c r="L122" s="51"/>
      <c r="M122" s="51"/>
      <c r="N122" s="21"/>
      <c r="O122" s="21"/>
      <c r="P122" s="21"/>
      <c r="Q122" s="21"/>
      <c r="R122" s="22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spans="1:40" ht="13.5" customHeight="1">
      <c r="A123" s="21"/>
      <c r="B123" s="21"/>
      <c r="C123" s="59"/>
      <c r="D123" s="51"/>
      <c r="E123" s="51"/>
      <c r="F123" s="53" t="s">
        <v>458</v>
      </c>
      <c r="G123" s="31">
        <f>+SUM(G111:G122)</f>
        <v>0.99999999999999989</v>
      </c>
      <c r="H123" s="60"/>
      <c r="I123" s="51"/>
      <c r="J123" s="65"/>
      <c r="K123" s="66"/>
      <c r="L123" s="51"/>
      <c r="M123" s="51"/>
      <c r="N123" s="21"/>
      <c r="O123" s="21"/>
      <c r="P123" s="21"/>
      <c r="Q123" s="21"/>
      <c r="R123" s="22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</row>
    <row r="124" spans="1:40" ht="10.5" customHeight="1">
      <c r="A124" s="21"/>
      <c r="B124" s="21"/>
      <c r="C124" s="59"/>
      <c r="D124" s="59"/>
      <c r="E124" s="59"/>
      <c r="F124" s="59"/>
      <c r="G124" s="51"/>
      <c r="H124" s="51"/>
      <c r="I124" s="51"/>
      <c r="J124" s="51"/>
      <c r="K124" s="51"/>
      <c r="L124" s="51"/>
      <c r="M124" s="51"/>
      <c r="N124" s="21"/>
      <c r="O124" s="21"/>
      <c r="P124" s="21"/>
      <c r="Q124" s="21"/>
      <c r="R124" s="22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</row>
    <row r="125" spans="1:40" ht="13.5" customHeight="1">
      <c r="A125" s="21"/>
      <c r="B125" s="21"/>
      <c r="C125" s="59"/>
      <c r="D125" s="60">
        <v>3</v>
      </c>
      <c r="E125" s="60" t="s">
        <v>461</v>
      </c>
      <c r="F125" s="51"/>
      <c r="G125" s="21"/>
      <c r="H125" s="51"/>
      <c r="I125" s="55" t="s">
        <v>440</v>
      </c>
      <c r="J125" s="51"/>
      <c r="K125" s="51"/>
      <c r="L125" s="51"/>
      <c r="M125" s="68"/>
      <c r="N125" s="21"/>
      <c r="O125" s="21"/>
      <c r="P125" s="21"/>
      <c r="Q125" s="21"/>
      <c r="R125" s="22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</row>
    <row r="126" spans="1:40" ht="28.5" customHeight="1">
      <c r="A126" s="21"/>
      <c r="B126" s="21"/>
      <c r="C126" s="59"/>
      <c r="D126" s="51"/>
      <c r="E126" s="51"/>
      <c r="F126" s="53" t="s">
        <v>462</v>
      </c>
      <c r="G126" s="27" t="s">
        <v>463</v>
      </c>
      <c r="H126" s="51"/>
      <c r="I126" s="51"/>
      <c r="J126" s="51"/>
      <c r="K126" s="52" t="s">
        <v>438</v>
      </c>
      <c r="L126" s="53" t="s">
        <v>439</v>
      </c>
      <c r="M126" s="54" t="s">
        <v>85</v>
      </c>
      <c r="N126" s="21"/>
      <c r="O126" s="21"/>
      <c r="P126" s="21"/>
      <c r="Q126" s="21"/>
      <c r="R126" s="22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</row>
    <row r="127" spans="1:40" ht="14.25" customHeight="1">
      <c r="A127" s="21"/>
      <c r="B127" s="21"/>
      <c r="C127" s="59"/>
      <c r="D127" s="51"/>
      <c r="E127" s="51"/>
      <c r="F127" s="45">
        <f t="shared" ref="F127:F130" si="13">+F9</f>
        <v>44561</v>
      </c>
      <c r="G127" s="31">
        <f>IF(Historical!E13=0,"",IF(ISNUMBER(Historical!F106),Historical!F106,0)/100)</f>
        <v>0.8</v>
      </c>
      <c r="H127" s="51"/>
      <c r="I127" s="21"/>
      <c r="J127" s="51"/>
      <c r="K127" s="56">
        <f>+YEAR(F15)</f>
        <v>2024</v>
      </c>
      <c r="L127" s="558" t="s">
        <v>441</v>
      </c>
      <c r="M127" s="57">
        <v>0.72</v>
      </c>
      <c r="N127" s="21"/>
      <c r="O127" s="21"/>
      <c r="P127" s="21"/>
      <c r="Q127" s="21"/>
      <c r="R127" s="22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</row>
    <row r="128" spans="1:40" ht="14.25" customHeight="1">
      <c r="A128" s="21"/>
      <c r="B128" s="21"/>
      <c r="C128" s="59"/>
      <c r="D128" s="51"/>
      <c r="E128" s="51"/>
      <c r="F128" s="45">
        <f t="shared" si="13"/>
        <v>44926</v>
      </c>
      <c r="G128" s="31">
        <f>IF(Historical!G13=0,"",IF(ISNUMBER(Historical!H106),Historical!H106,0)/100)</f>
        <v>0.73636363636363622</v>
      </c>
      <c r="H128" s="51"/>
      <c r="I128" s="51"/>
      <c r="J128" s="51"/>
      <c r="K128" s="56">
        <f>+YEAR(F28)</f>
        <v>2025</v>
      </c>
      <c r="L128" s="558" t="s">
        <v>441</v>
      </c>
      <c r="M128" s="57">
        <v>0.72</v>
      </c>
      <c r="N128" s="21"/>
      <c r="O128" s="21"/>
      <c r="P128" s="21"/>
      <c r="Q128" s="21"/>
      <c r="R128" s="22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</row>
    <row r="129" spans="1:40" ht="14.25" customHeight="1">
      <c r="A129" s="21"/>
      <c r="B129" s="21"/>
      <c r="C129" s="59"/>
      <c r="D129" s="51"/>
      <c r="E129" s="51"/>
      <c r="F129" s="45">
        <f t="shared" si="13"/>
        <v>45291</v>
      </c>
      <c r="G129" s="31">
        <f>IF(Historical!I13=0,"",IF(ISNUMBER(Historical!J106),Historical!J106,0)/100)</f>
        <v>0.68333333333333324</v>
      </c>
      <c r="H129" s="51"/>
      <c r="I129" s="51"/>
      <c r="J129" s="51"/>
      <c r="K129" s="56">
        <f>+YEAR(F38)</f>
        <v>2026</v>
      </c>
      <c r="L129" s="558" t="s">
        <v>441</v>
      </c>
      <c r="M129" s="57">
        <v>0.72</v>
      </c>
      <c r="N129" s="21"/>
      <c r="O129" s="21"/>
      <c r="P129" s="21"/>
      <c r="Q129" s="21"/>
      <c r="R129" s="22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</row>
    <row r="130" spans="1:40" ht="14.25" customHeight="1">
      <c r="A130" s="21"/>
      <c r="B130" s="21"/>
      <c r="C130" s="59"/>
      <c r="D130" s="51"/>
      <c r="E130" s="51"/>
      <c r="F130" s="45">
        <f t="shared" si="13"/>
        <v>45473</v>
      </c>
      <c r="G130" s="31">
        <f>+Historical!L106/100</f>
        <v>0.69230769230769229</v>
      </c>
      <c r="H130" s="51"/>
      <c r="I130" s="51"/>
      <c r="J130" s="51"/>
      <c r="K130" s="56">
        <f>+YEAR(F48)</f>
        <v>2027</v>
      </c>
      <c r="L130" s="558" t="s">
        <v>441</v>
      </c>
      <c r="M130" s="57">
        <v>0.72</v>
      </c>
      <c r="N130" s="21"/>
      <c r="O130" s="21"/>
      <c r="P130" s="21"/>
      <c r="Q130" s="21"/>
      <c r="R130" s="22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</row>
    <row r="131" spans="1:40" ht="14.25" customHeight="1">
      <c r="A131" s="21"/>
      <c r="B131" s="21"/>
      <c r="C131" s="59"/>
      <c r="D131" s="51"/>
      <c r="E131" s="51"/>
      <c r="F131" s="53" t="s">
        <v>464</v>
      </c>
      <c r="G131" s="31">
        <f>+AVERAGE(G127:G130)</f>
        <v>0.72800116550116534</v>
      </c>
      <c r="H131" s="51"/>
      <c r="I131" s="21"/>
      <c r="J131" s="51"/>
      <c r="K131" s="56">
        <f>+YEAR(F58)</f>
        <v>2028</v>
      </c>
      <c r="L131" s="58" t="s">
        <v>441</v>
      </c>
      <c r="M131" s="57">
        <v>0.72</v>
      </c>
      <c r="N131" s="21"/>
      <c r="O131" s="21"/>
      <c r="P131" s="21"/>
      <c r="Q131" s="21"/>
      <c r="R131" s="22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</row>
    <row r="132" spans="1:40" ht="14.25" hidden="1" customHeight="1">
      <c r="A132" s="21"/>
      <c r="B132" s="21"/>
      <c r="C132" s="59"/>
      <c r="D132" s="51"/>
      <c r="E132" s="51"/>
      <c r="F132" s="65"/>
      <c r="G132" s="69"/>
      <c r="H132" s="51"/>
      <c r="I132" s="21"/>
      <c r="J132" s="51"/>
      <c r="K132" s="56">
        <f>+YEAR(F68)</f>
        <v>2029</v>
      </c>
      <c r="L132" s="58" t="s">
        <v>441</v>
      </c>
      <c r="M132" s="57">
        <v>0.90720000000000001</v>
      </c>
      <c r="N132" s="21"/>
      <c r="O132" s="21"/>
      <c r="P132" s="21"/>
      <c r="Q132" s="21"/>
      <c r="R132" s="22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</row>
    <row r="133" spans="1:40" ht="14.25" hidden="1" customHeight="1">
      <c r="A133" s="21"/>
      <c r="B133" s="21"/>
      <c r="C133" s="59"/>
      <c r="D133" s="51"/>
      <c r="E133" s="51"/>
      <c r="F133" s="65"/>
      <c r="G133" s="69"/>
      <c r="H133" s="51"/>
      <c r="I133" s="21"/>
      <c r="J133" s="51"/>
      <c r="K133" s="56">
        <f t="shared" ref="K133:K136" si="14">+K132+1</f>
        <v>2030</v>
      </c>
      <c r="L133" s="58" t="s">
        <v>441</v>
      </c>
      <c r="M133" s="57">
        <v>0.90720000000000001</v>
      </c>
      <c r="N133" s="21"/>
      <c r="O133" s="21"/>
      <c r="P133" s="21"/>
      <c r="Q133" s="21"/>
      <c r="R133" s="22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</row>
    <row r="134" spans="1:40" ht="14.25" hidden="1" customHeight="1">
      <c r="A134" s="21"/>
      <c r="B134" s="21"/>
      <c r="C134" s="59"/>
      <c r="D134" s="51"/>
      <c r="E134" s="51"/>
      <c r="F134" s="65"/>
      <c r="G134" s="69"/>
      <c r="H134" s="51"/>
      <c r="I134" s="21"/>
      <c r="J134" s="51"/>
      <c r="K134" s="56">
        <f t="shared" si="14"/>
        <v>2031</v>
      </c>
      <c r="L134" s="58" t="s">
        <v>441</v>
      </c>
      <c r="M134" s="57">
        <v>0.90720000000000001</v>
      </c>
      <c r="N134" s="21"/>
      <c r="O134" s="21"/>
      <c r="P134" s="21"/>
      <c r="Q134" s="21"/>
      <c r="R134" s="22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</row>
    <row r="135" spans="1:40" ht="14.25" hidden="1" customHeight="1">
      <c r="A135" s="21"/>
      <c r="B135" s="21"/>
      <c r="C135" s="59"/>
      <c r="D135" s="51"/>
      <c r="E135" s="51"/>
      <c r="F135" s="65"/>
      <c r="G135" s="69"/>
      <c r="H135" s="51"/>
      <c r="I135" s="21"/>
      <c r="J135" s="51"/>
      <c r="K135" s="56">
        <f t="shared" si="14"/>
        <v>2032</v>
      </c>
      <c r="L135" s="58" t="s">
        <v>441</v>
      </c>
      <c r="M135" s="57">
        <v>0.90720000000000001</v>
      </c>
      <c r="N135" s="21"/>
      <c r="O135" s="21"/>
      <c r="P135" s="21"/>
      <c r="Q135" s="21"/>
      <c r="R135" s="22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</row>
    <row r="136" spans="1:40" ht="14.25" hidden="1" customHeight="1">
      <c r="A136" s="21"/>
      <c r="B136" s="21"/>
      <c r="C136" s="59"/>
      <c r="D136" s="51"/>
      <c r="E136" s="51"/>
      <c r="F136" s="65"/>
      <c r="G136" s="69"/>
      <c r="H136" s="51"/>
      <c r="I136" s="21"/>
      <c r="J136" s="51"/>
      <c r="K136" s="56">
        <f t="shared" si="14"/>
        <v>2033</v>
      </c>
      <c r="L136" s="58" t="s">
        <v>441</v>
      </c>
      <c r="M136" s="57">
        <v>0.90720000000000001</v>
      </c>
      <c r="N136" s="21"/>
      <c r="O136" s="21"/>
      <c r="P136" s="21"/>
      <c r="Q136" s="21"/>
      <c r="R136" s="22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</row>
    <row r="137" spans="1:40" ht="13.5" customHeight="1">
      <c r="A137" s="21"/>
      <c r="B137" s="21"/>
      <c r="C137" s="59"/>
      <c r="D137" s="51"/>
      <c r="E137" s="51"/>
      <c r="F137" s="65"/>
      <c r="G137" s="69"/>
      <c r="H137" s="51"/>
      <c r="I137" s="21"/>
      <c r="J137" s="51"/>
      <c r="K137" s="70"/>
      <c r="L137" s="51"/>
      <c r="M137" s="71"/>
      <c r="N137" s="21"/>
      <c r="O137" s="21"/>
      <c r="P137" s="21"/>
      <c r="Q137" s="21"/>
      <c r="R137" s="22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</row>
    <row r="138" spans="1:40" ht="13.5" customHeight="1">
      <c r="A138" s="21"/>
      <c r="B138" s="21"/>
      <c r="C138" s="59"/>
      <c r="D138" s="51"/>
      <c r="E138" s="51"/>
      <c r="F138" s="555" t="s">
        <v>465</v>
      </c>
      <c r="G138" s="555">
        <v>2018</v>
      </c>
      <c r="H138" s="555"/>
      <c r="I138" s="555"/>
      <c r="J138" s="555"/>
      <c r="K138" s="555"/>
      <c r="L138" s="555"/>
      <c r="M138" s="555"/>
      <c r="N138" s="21"/>
      <c r="O138" s="21"/>
      <c r="P138" s="21"/>
      <c r="Q138" s="21"/>
      <c r="R138" s="22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</row>
    <row r="139" spans="1:40" ht="14.1">
      <c r="A139" s="21"/>
      <c r="B139" s="21"/>
      <c r="C139" s="59"/>
      <c r="D139" s="51"/>
      <c r="E139" s="51"/>
      <c r="F139" s="555"/>
      <c r="G139" s="746" t="s">
        <v>425</v>
      </c>
      <c r="H139" s="746" t="s">
        <v>466</v>
      </c>
      <c r="I139" s="746"/>
      <c r="J139" s="746" t="s">
        <v>465</v>
      </c>
      <c r="K139" s="555"/>
      <c r="L139" s="555"/>
      <c r="M139" s="555"/>
      <c r="N139" s="21"/>
      <c r="O139" s="21"/>
      <c r="P139" s="21"/>
      <c r="Q139" s="21"/>
      <c r="R139" s="22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</row>
    <row r="140" spans="1:40" ht="14.1">
      <c r="A140" s="21"/>
      <c r="B140" s="21"/>
      <c r="C140" s="59"/>
      <c r="D140" s="51"/>
      <c r="E140" s="51"/>
      <c r="F140" s="555"/>
      <c r="G140" s="746"/>
      <c r="H140" s="747" t="str">
        <f>"("&amp;Historical!$B$13&amp;")"</f>
        <v>(IDR Million)</v>
      </c>
      <c r="I140" s="746"/>
      <c r="J140" s="747" t="str">
        <f>"("&amp;Historical!$B$13&amp;")"</f>
        <v>(IDR Million)</v>
      </c>
      <c r="K140" s="555"/>
      <c r="L140" s="555"/>
      <c r="M140" s="555"/>
      <c r="N140" s="21"/>
      <c r="O140" s="21"/>
      <c r="P140" s="21"/>
      <c r="Q140" s="21"/>
      <c r="R140" s="22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</row>
    <row r="141" spans="1:40" ht="13.5" customHeight="1">
      <c r="A141" s="21"/>
      <c r="B141" s="21"/>
      <c r="C141" s="59"/>
      <c r="D141" s="51"/>
      <c r="E141" s="51"/>
      <c r="F141" s="72" t="s">
        <v>427</v>
      </c>
      <c r="G141" s="97">
        <v>103941.45600000001</v>
      </c>
      <c r="H141" s="73">
        <v>5.7900930817610075</v>
      </c>
      <c r="I141" s="21"/>
      <c r="J141" s="51">
        <f>+G141*H141</f>
        <v>601830.70529376622</v>
      </c>
      <c r="K141" s="70"/>
      <c r="L141" s="51"/>
      <c r="M141" s="71"/>
      <c r="N141" s="21"/>
      <c r="O141" s="21"/>
      <c r="P141" s="21"/>
      <c r="Q141" s="21"/>
      <c r="R141" s="22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</row>
    <row r="142" spans="1:40" ht="13.5" customHeight="1">
      <c r="A142" s="21"/>
      <c r="B142" s="21"/>
      <c r="C142" s="59"/>
      <c r="D142" s="51"/>
      <c r="E142" s="51"/>
      <c r="F142" s="72" t="s">
        <v>428</v>
      </c>
      <c r="G142" s="97">
        <v>15454.8</v>
      </c>
      <c r="H142" s="73">
        <v>6.28592</v>
      </c>
      <c r="I142" s="21"/>
      <c r="J142" s="51">
        <f>+G142*H142</f>
        <v>97147.636415999994</v>
      </c>
      <c r="K142" s="70"/>
      <c r="L142" s="51"/>
      <c r="M142" s="71"/>
      <c r="N142" s="21"/>
      <c r="O142" s="21"/>
      <c r="P142" s="21"/>
      <c r="Q142" s="21"/>
      <c r="R142" s="22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</row>
    <row r="143" spans="1:40" ht="13.5" customHeight="1">
      <c r="A143" s="21"/>
      <c r="B143" s="21"/>
      <c r="C143" s="59"/>
      <c r="D143" s="51"/>
      <c r="E143" s="51"/>
      <c r="F143" s="72" t="s">
        <v>429</v>
      </c>
      <c r="G143" s="97">
        <v>103941.45600000001</v>
      </c>
      <c r="H143" s="73">
        <v>4.7600000000000003E-2</v>
      </c>
      <c r="I143" s="21"/>
      <c r="J143" s="51">
        <f>+G143*H143</f>
        <v>4947.6133056000008</v>
      </c>
      <c r="K143" s="70"/>
      <c r="L143" s="51"/>
      <c r="M143" s="71"/>
      <c r="N143" s="21"/>
      <c r="O143" s="21"/>
      <c r="P143" s="21"/>
      <c r="Q143" s="21"/>
      <c r="R143" s="22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</row>
    <row r="144" spans="1:40" ht="13.5" customHeight="1">
      <c r="A144" s="21"/>
      <c r="B144" s="21"/>
      <c r="C144" s="59"/>
      <c r="D144" s="51"/>
      <c r="E144" s="51"/>
      <c r="F144" s="72" t="s">
        <v>430</v>
      </c>
      <c r="G144" s="97">
        <v>247941</v>
      </c>
      <c r="H144" s="73">
        <v>0.28999999999999998</v>
      </c>
      <c r="I144" s="21"/>
      <c r="J144" s="51">
        <f>+G144*H144</f>
        <v>71902.89</v>
      </c>
      <c r="K144" s="70"/>
      <c r="L144" s="51"/>
      <c r="M144" s="749"/>
      <c r="N144" s="21"/>
      <c r="O144" s="21"/>
      <c r="P144" s="21"/>
      <c r="Q144" s="21"/>
      <c r="R144" s="22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</row>
    <row r="145" spans="1:40" ht="13.5" customHeight="1">
      <c r="A145" s="21"/>
      <c r="B145" s="21"/>
      <c r="C145" s="59"/>
      <c r="D145" s="51"/>
      <c r="E145" s="51"/>
      <c r="F145" s="72"/>
      <c r="G145" s="97"/>
      <c r="H145" s="73"/>
      <c r="I145" s="21"/>
      <c r="J145" s="51"/>
      <c r="K145" s="70"/>
      <c r="L145" s="51"/>
      <c r="M145" s="71"/>
      <c r="N145" s="21"/>
      <c r="O145" s="21"/>
      <c r="P145" s="21"/>
      <c r="Q145" s="21"/>
      <c r="R145" s="22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</row>
    <row r="146" spans="1:40" ht="13.5" customHeight="1">
      <c r="A146" s="21"/>
      <c r="B146" s="21"/>
      <c r="C146" s="59"/>
      <c r="D146" s="51"/>
      <c r="E146" s="51"/>
      <c r="F146" s="72"/>
      <c r="G146" s="69"/>
      <c r="H146" s="51"/>
      <c r="I146" s="21"/>
      <c r="J146" s="51"/>
      <c r="K146" s="70"/>
      <c r="L146" s="51"/>
      <c r="M146" s="71"/>
      <c r="N146" s="21"/>
      <c r="O146" s="21"/>
      <c r="P146" s="21"/>
      <c r="Q146" s="21"/>
      <c r="R146" s="22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</row>
    <row r="147" spans="1:40" ht="13.5" customHeight="1">
      <c r="A147" s="21"/>
      <c r="B147" s="21"/>
      <c r="C147" s="59"/>
      <c r="D147" s="51"/>
      <c r="E147" s="51"/>
      <c r="F147" s="555" t="s">
        <v>465</v>
      </c>
      <c r="G147" s="555">
        <f>+G138+1</f>
        <v>2019</v>
      </c>
      <c r="H147" s="555"/>
      <c r="I147" s="555"/>
      <c r="J147" s="555"/>
      <c r="K147" s="555"/>
      <c r="L147" s="555"/>
      <c r="M147" s="555"/>
      <c r="N147" s="21"/>
      <c r="O147" s="21"/>
      <c r="P147" s="21"/>
      <c r="Q147" s="21"/>
      <c r="R147" s="22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</row>
    <row r="148" spans="1:40" ht="14.1">
      <c r="A148" s="21"/>
      <c r="B148" s="21"/>
      <c r="C148" s="59"/>
      <c r="D148" s="51"/>
      <c r="E148" s="51"/>
      <c r="F148" s="555"/>
      <c r="G148" s="746" t="s">
        <v>425</v>
      </c>
      <c r="H148" s="746" t="s">
        <v>466</v>
      </c>
      <c r="I148" s="746"/>
      <c r="J148" s="746" t="s">
        <v>465</v>
      </c>
      <c r="K148" s="555"/>
      <c r="L148" s="555"/>
      <c r="M148" s="555"/>
      <c r="N148" s="21"/>
      <c r="O148" s="21"/>
      <c r="P148" s="21"/>
      <c r="Q148" s="21"/>
      <c r="R148" s="22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</row>
    <row r="149" spans="1:40" ht="14.1">
      <c r="A149" s="21"/>
      <c r="B149" s="21"/>
      <c r="C149" s="59"/>
      <c r="D149" s="51"/>
      <c r="E149" s="51"/>
      <c r="F149" s="555"/>
      <c r="G149" s="746"/>
      <c r="H149" s="747" t="str">
        <f>"("&amp;Historical!$B$13&amp;")"</f>
        <v>(IDR Million)</v>
      </c>
      <c r="I149" s="746"/>
      <c r="J149" s="747" t="str">
        <f>"("&amp;Historical!$B$13&amp;")"</f>
        <v>(IDR Million)</v>
      </c>
      <c r="K149" s="555"/>
      <c r="L149" s="555"/>
      <c r="M149" s="555"/>
      <c r="N149" s="21"/>
      <c r="O149" s="21"/>
      <c r="P149" s="21"/>
      <c r="Q149" s="21"/>
      <c r="R149" s="22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</row>
    <row r="150" spans="1:40" ht="13.5" customHeight="1">
      <c r="A150" s="21"/>
      <c r="B150" s="21"/>
      <c r="C150" s="59"/>
      <c r="D150" s="51"/>
      <c r="E150" s="51"/>
      <c r="F150" s="72" t="s">
        <v>427</v>
      </c>
      <c r="G150" s="97">
        <v>109138.524</v>
      </c>
      <c r="H150" s="73">
        <v>5.7900930817610075</v>
      </c>
      <c r="I150" s="21"/>
      <c r="J150" s="51">
        <f>+G150*H150</f>
        <v>631922.21276600775</v>
      </c>
      <c r="K150" s="70"/>
      <c r="L150" s="51"/>
      <c r="M150" s="71"/>
      <c r="N150" s="21"/>
      <c r="O150" s="21"/>
      <c r="P150" s="21"/>
      <c r="Q150" s="21"/>
      <c r="R150" s="22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</row>
    <row r="151" spans="1:40" ht="13.5" customHeight="1">
      <c r="A151" s="21"/>
      <c r="B151" s="21"/>
      <c r="C151" s="59"/>
      <c r="D151" s="51"/>
      <c r="E151" s="51"/>
      <c r="F151" s="72" t="s">
        <v>428</v>
      </c>
      <c r="G151" s="97">
        <v>17773.02</v>
      </c>
      <c r="H151" s="73">
        <v>6.28592</v>
      </c>
      <c r="I151" s="21"/>
      <c r="J151" s="51">
        <f>+G151*H151</f>
        <v>111719.7818784</v>
      </c>
      <c r="K151" s="70"/>
      <c r="L151" s="51"/>
      <c r="M151" s="71"/>
      <c r="N151" s="21"/>
      <c r="O151" s="21"/>
      <c r="P151" s="21"/>
      <c r="Q151" s="21"/>
      <c r="R151" s="22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</row>
    <row r="152" spans="1:40" ht="13.5" customHeight="1">
      <c r="A152" s="21"/>
      <c r="B152" s="21"/>
      <c r="C152" s="59"/>
      <c r="D152" s="51"/>
      <c r="E152" s="51"/>
      <c r="F152" s="72" t="s">
        <v>429</v>
      </c>
      <c r="G152" s="97">
        <v>109138.524</v>
      </c>
      <c r="H152" s="73">
        <v>4.7600000000000003E-2</v>
      </c>
      <c r="I152" s="21"/>
      <c r="J152" s="51">
        <f>+G152*H152</f>
        <v>5194.9937424000009</v>
      </c>
      <c r="K152" s="70"/>
      <c r="L152" s="51"/>
      <c r="M152" s="71"/>
      <c r="N152" s="21"/>
      <c r="O152" s="21"/>
      <c r="P152" s="21"/>
      <c r="Q152" s="21"/>
      <c r="R152" s="22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</row>
    <row r="153" spans="1:40" ht="13.5" customHeight="1">
      <c r="A153" s="21"/>
      <c r="B153" s="21"/>
      <c r="C153" s="59"/>
      <c r="D153" s="51"/>
      <c r="E153" s="51"/>
      <c r="F153" s="72" t="s">
        <v>430</v>
      </c>
      <c r="G153" s="97">
        <v>1382.2120138178316</v>
      </c>
      <c r="H153" s="73">
        <v>0.68607000000000007</v>
      </c>
      <c r="I153" s="21"/>
      <c r="J153" s="51">
        <f>+G153*H153</f>
        <v>948.29419631999986</v>
      </c>
      <c r="K153" s="70"/>
      <c r="L153" s="51"/>
      <c r="M153" s="749"/>
      <c r="N153" s="21"/>
      <c r="O153" s="21"/>
      <c r="P153" s="21"/>
      <c r="Q153" s="21"/>
      <c r="R153" s="22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</row>
    <row r="154" spans="1:40" ht="13.5" customHeight="1">
      <c r="A154" s="21"/>
      <c r="B154" s="21"/>
      <c r="C154" s="59"/>
      <c r="D154" s="51"/>
      <c r="E154" s="51"/>
      <c r="F154" s="72"/>
      <c r="G154" s="97"/>
      <c r="H154" s="73"/>
      <c r="I154" s="21"/>
      <c r="J154" s="51"/>
      <c r="K154" s="70"/>
      <c r="L154" s="51"/>
      <c r="M154" s="71"/>
      <c r="N154" s="21"/>
      <c r="O154" s="21"/>
      <c r="P154" s="21"/>
      <c r="Q154" s="21"/>
      <c r="R154" s="22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</row>
    <row r="155" spans="1:40" ht="13.5" customHeight="1">
      <c r="A155" s="21"/>
      <c r="B155" s="21"/>
      <c r="C155" s="59"/>
      <c r="D155" s="51"/>
      <c r="E155" s="51"/>
      <c r="F155" s="65"/>
      <c r="G155" s="69"/>
      <c r="H155" s="51"/>
      <c r="I155" s="21"/>
      <c r="J155" s="51"/>
      <c r="K155" s="70"/>
      <c r="L155" s="51"/>
      <c r="M155" s="71"/>
      <c r="N155" s="21"/>
      <c r="O155" s="21"/>
      <c r="P155" s="21"/>
      <c r="Q155" s="21"/>
      <c r="R155" s="22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</row>
    <row r="156" spans="1:40" ht="13.5" customHeight="1">
      <c r="A156" s="21"/>
      <c r="B156" s="21"/>
      <c r="C156" s="59"/>
      <c r="D156" s="51"/>
      <c r="E156" s="51"/>
      <c r="F156" s="555" t="s">
        <v>465</v>
      </c>
      <c r="G156" s="555">
        <f>+G147+1</f>
        <v>2020</v>
      </c>
      <c r="H156" s="555"/>
      <c r="I156" s="555"/>
      <c r="J156" s="555"/>
      <c r="K156" s="555"/>
      <c r="L156" s="555"/>
      <c r="M156" s="555"/>
      <c r="N156" s="21"/>
      <c r="O156" s="21"/>
      <c r="P156" s="21"/>
      <c r="Q156" s="21"/>
      <c r="R156" s="22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</row>
    <row r="157" spans="1:40" ht="14.1">
      <c r="A157" s="21"/>
      <c r="B157" s="21"/>
      <c r="C157" s="59"/>
      <c r="D157" s="51"/>
      <c r="E157" s="51"/>
      <c r="F157" s="555"/>
      <c r="G157" s="746" t="s">
        <v>425</v>
      </c>
      <c r="H157" s="746" t="s">
        <v>466</v>
      </c>
      <c r="I157" s="746"/>
      <c r="J157" s="746" t="s">
        <v>465</v>
      </c>
      <c r="K157" s="555"/>
      <c r="L157" s="555"/>
      <c r="M157" s="555"/>
      <c r="N157" s="21"/>
      <c r="O157" s="21"/>
      <c r="P157" s="21"/>
      <c r="Q157" s="21"/>
      <c r="R157" s="22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</row>
    <row r="158" spans="1:40" ht="14.1">
      <c r="A158" s="21"/>
      <c r="B158" s="21"/>
      <c r="C158" s="59"/>
      <c r="D158" s="51"/>
      <c r="E158" s="51"/>
      <c r="F158" s="555"/>
      <c r="G158" s="746"/>
      <c r="H158" s="747" t="str">
        <f>"("&amp;Historical!$B$13&amp;")"</f>
        <v>(IDR Million)</v>
      </c>
      <c r="I158" s="746"/>
      <c r="J158" s="747" t="str">
        <f>"("&amp;Historical!$B$13&amp;")"</f>
        <v>(IDR Million)</v>
      </c>
      <c r="K158" s="555"/>
      <c r="L158" s="555"/>
      <c r="M158" s="555"/>
      <c r="N158" s="21"/>
      <c r="O158" s="21"/>
      <c r="P158" s="21"/>
      <c r="Q158" s="21"/>
      <c r="R158" s="22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</row>
    <row r="159" spans="1:40" ht="13.5" customHeight="1">
      <c r="A159" s="21"/>
      <c r="B159" s="21"/>
      <c r="C159" s="59"/>
      <c r="D159" s="51"/>
      <c r="E159" s="51"/>
      <c r="F159" s="72" t="s">
        <v>427</v>
      </c>
      <c r="G159" s="97">
        <v>114595.45199999999</v>
      </c>
      <c r="H159" s="73">
        <v>5.7900930817610075</v>
      </c>
      <c r="I159" s="21"/>
      <c r="J159" s="51">
        <f>+G159*H159</f>
        <v>663518.33382647554</v>
      </c>
      <c r="K159" s="70"/>
      <c r="L159" s="51"/>
      <c r="M159" s="71"/>
      <c r="N159" s="21"/>
      <c r="O159" s="21"/>
      <c r="P159" s="21"/>
      <c r="Q159" s="21"/>
      <c r="R159" s="22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</row>
    <row r="160" spans="1:40" ht="13.5" customHeight="1">
      <c r="A160" s="21"/>
      <c r="B160" s="21"/>
      <c r="C160" s="59"/>
      <c r="D160" s="51"/>
      <c r="E160" s="51"/>
      <c r="F160" s="72" t="s">
        <v>428</v>
      </c>
      <c r="G160" s="97">
        <v>19550.328000000001</v>
      </c>
      <c r="H160" s="73">
        <v>6.28592</v>
      </c>
      <c r="I160" s="21"/>
      <c r="J160" s="51">
        <f>+G160*H160</f>
        <v>122891.79778176</v>
      </c>
      <c r="K160" s="70"/>
      <c r="L160" s="51"/>
      <c r="M160" s="71"/>
      <c r="N160" s="21"/>
      <c r="O160" s="21"/>
      <c r="P160" s="21"/>
      <c r="Q160" s="21"/>
      <c r="R160" s="22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</row>
    <row r="161" spans="1:40" ht="13.5" customHeight="1">
      <c r="A161" s="21"/>
      <c r="B161" s="21"/>
      <c r="C161" s="59"/>
      <c r="D161" s="51"/>
      <c r="E161" s="51"/>
      <c r="F161" s="72" t="s">
        <v>429</v>
      </c>
      <c r="G161" s="97">
        <v>114595.45199999999</v>
      </c>
      <c r="H161" s="73">
        <v>4.7600000000000003E-2</v>
      </c>
      <c r="I161" s="21"/>
      <c r="J161" s="51">
        <f>+G161*H161</f>
        <v>5454.7435151999998</v>
      </c>
      <c r="K161" s="70"/>
      <c r="L161" s="51"/>
      <c r="M161" s="71"/>
      <c r="N161" s="21"/>
      <c r="O161" s="21"/>
      <c r="P161" s="21"/>
      <c r="Q161" s="21"/>
      <c r="R161" s="22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</row>
    <row r="162" spans="1:40" ht="13.5" customHeight="1">
      <c r="A162" s="21"/>
      <c r="B162" s="21"/>
      <c r="C162" s="59"/>
      <c r="D162" s="51"/>
      <c r="E162" s="51"/>
      <c r="F162" s="72" t="s">
        <v>430</v>
      </c>
      <c r="G162" s="97">
        <v>114855.60855306308</v>
      </c>
      <c r="H162" s="73">
        <v>0.68607000000000007</v>
      </c>
      <c r="I162" s="21"/>
      <c r="J162" s="51">
        <f>+G162*H162</f>
        <v>78798.987359999999</v>
      </c>
      <c r="K162" s="70"/>
      <c r="L162" s="51"/>
      <c r="M162" s="749"/>
      <c r="N162" s="21"/>
      <c r="O162" s="21"/>
      <c r="P162" s="21"/>
      <c r="Q162" s="21"/>
      <c r="R162" s="22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</row>
    <row r="163" spans="1:40" ht="13.5" customHeight="1">
      <c r="A163" s="21"/>
      <c r="B163" s="21"/>
      <c r="C163" s="59"/>
      <c r="D163" s="51"/>
      <c r="E163" s="51"/>
      <c r="F163" s="72"/>
      <c r="G163" s="97"/>
      <c r="H163" s="73"/>
      <c r="I163" s="21"/>
      <c r="J163" s="51"/>
      <c r="K163" s="70"/>
      <c r="L163" s="51"/>
      <c r="M163" s="71"/>
      <c r="N163" s="21"/>
      <c r="O163" s="21"/>
      <c r="P163" s="21"/>
      <c r="Q163" s="21"/>
      <c r="R163" s="22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</row>
    <row r="164" spans="1:40" ht="13.5" customHeight="1">
      <c r="A164" s="21"/>
      <c r="B164" s="21"/>
      <c r="C164" s="59"/>
      <c r="D164" s="51"/>
      <c r="E164" s="51"/>
      <c r="F164" s="51"/>
      <c r="G164" s="21"/>
      <c r="H164" s="51"/>
      <c r="I164" s="51"/>
      <c r="J164" s="51"/>
      <c r="K164" s="51"/>
      <c r="L164" s="51"/>
      <c r="M164" s="68"/>
      <c r="N164" s="21"/>
      <c r="O164" s="21"/>
      <c r="P164" s="21"/>
      <c r="Q164" s="21"/>
      <c r="R164" s="22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</row>
    <row r="165" spans="1:40" ht="13.5" customHeight="1">
      <c r="A165" s="21"/>
      <c r="B165" s="21"/>
      <c r="C165" s="59"/>
      <c r="D165" s="51"/>
      <c r="E165" s="51"/>
      <c r="F165" s="555" t="s">
        <v>465</v>
      </c>
      <c r="G165" s="555">
        <f>+G156+1</f>
        <v>2021</v>
      </c>
      <c r="H165" s="555"/>
      <c r="I165" s="555"/>
      <c r="J165" s="555"/>
      <c r="K165" s="555"/>
      <c r="L165" s="555"/>
      <c r="M165" s="555"/>
      <c r="N165" s="21"/>
      <c r="O165" s="21"/>
      <c r="P165" s="21"/>
      <c r="Q165" s="21"/>
      <c r="R165" s="22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</row>
    <row r="166" spans="1:40" ht="14.1">
      <c r="A166" s="21"/>
      <c r="B166" s="21"/>
      <c r="C166" s="59"/>
      <c r="D166" s="51"/>
      <c r="E166" s="51"/>
      <c r="F166" s="555"/>
      <c r="G166" s="746" t="s">
        <v>425</v>
      </c>
      <c r="H166" s="746" t="s">
        <v>466</v>
      </c>
      <c r="I166" s="746"/>
      <c r="J166" s="746" t="s">
        <v>465</v>
      </c>
      <c r="K166" s="555"/>
      <c r="L166" s="555"/>
      <c r="M166" s="555"/>
      <c r="N166" s="21"/>
      <c r="O166" s="21"/>
      <c r="P166" s="21"/>
      <c r="Q166" s="21"/>
      <c r="R166" s="22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</row>
    <row r="167" spans="1:40" ht="14.1">
      <c r="A167" s="21"/>
      <c r="B167" s="21"/>
      <c r="C167" s="59"/>
      <c r="D167" s="51"/>
      <c r="E167" s="51"/>
      <c r="F167" s="555"/>
      <c r="G167" s="746"/>
      <c r="H167" s="747" t="str">
        <f>"("&amp;Historical!$B$13&amp;")"</f>
        <v>(IDR Million)</v>
      </c>
      <c r="I167" s="746"/>
      <c r="J167" s="747" t="str">
        <f>"("&amp;Historical!$B$13&amp;")"</f>
        <v>(IDR Million)</v>
      </c>
      <c r="K167" s="555"/>
      <c r="L167" s="555"/>
      <c r="M167" s="555"/>
      <c r="N167" s="21"/>
      <c r="O167" s="21"/>
      <c r="P167" s="21"/>
      <c r="Q167" s="21"/>
      <c r="R167" s="22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</row>
    <row r="168" spans="1:40" ht="13.5" customHeight="1">
      <c r="A168" s="21"/>
      <c r="B168" s="21"/>
      <c r="C168" s="59"/>
      <c r="D168" s="51"/>
      <c r="E168" s="51"/>
      <c r="F168" s="72" t="s">
        <v>427</v>
      </c>
      <c r="G168" s="97">
        <v>120325.22400000002</v>
      </c>
      <c r="H168" s="73">
        <v>5.7900930817610075</v>
      </c>
      <c r="I168" s="21"/>
      <c r="J168" s="51">
        <f>+G168*H168</f>
        <v>696694.24704374361</v>
      </c>
      <c r="K168" s="70"/>
      <c r="L168" s="51"/>
      <c r="M168" s="71"/>
      <c r="N168" s="21"/>
      <c r="O168" s="21"/>
      <c r="P168" s="21"/>
      <c r="Q168" s="21"/>
      <c r="R168" s="22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</row>
    <row r="169" spans="1:40" ht="13.5" customHeight="1">
      <c r="A169" s="21"/>
      <c r="B169" s="21"/>
      <c r="C169" s="59"/>
      <c r="D169" s="51"/>
      <c r="E169" s="51"/>
      <c r="F169" s="72" t="s">
        <v>428</v>
      </c>
      <c r="G169" s="97">
        <v>20527.847999999998</v>
      </c>
      <c r="H169" s="73">
        <v>6.28592</v>
      </c>
      <c r="I169" s="21"/>
      <c r="J169" s="51">
        <f>+G169*H169</f>
        <v>129036.41030015999</v>
      </c>
      <c r="K169" s="70"/>
      <c r="L169" s="51"/>
      <c r="M169" s="71"/>
      <c r="N169" s="21"/>
      <c r="O169" s="21"/>
      <c r="P169" s="21"/>
      <c r="Q169" s="21"/>
      <c r="R169" s="22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13.5" customHeight="1">
      <c r="A170" s="21"/>
      <c r="B170" s="21"/>
      <c r="C170" s="59"/>
      <c r="D170" s="51"/>
      <c r="E170" s="51"/>
      <c r="F170" s="72" t="s">
        <v>429</v>
      </c>
      <c r="G170" s="97">
        <v>120325.22400000002</v>
      </c>
      <c r="H170" s="73">
        <v>4.7600000000000003E-2</v>
      </c>
      <c r="I170" s="21"/>
      <c r="J170" s="51">
        <f>+G170*H170</f>
        <v>5727.4806624000012</v>
      </c>
      <c r="K170" s="70"/>
      <c r="L170" s="51"/>
      <c r="M170" s="71"/>
      <c r="N170" s="21"/>
      <c r="O170" s="21"/>
      <c r="P170" s="21"/>
      <c r="Q170" s="21"/>
      <c r="R170" s="22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13.5" customHeight="1">
      <c r="A171" s="21"/>
      <c r="B171" s="21"/>
      <c r="C171" s="59"/>
      <c r="D171" s="51"/>
      <c r="E171" s="51"/>
      <c r="F171" s="72" t="s">
        <v>430</v>
      </c>
      <c r="G171" s="97">
        <v>120534.68643141373</v>
      </c>
      <c r="H171" s="73">
        <v>0.68607000000000007</v>
      </c>
      <c r="I171" s="21"/>
      <c r="J171" s="51">
        <f>+G171*H171</f>
        <v>82695.232320000025</v>
      </c>
      <c r="K171" s="70"/>
      <c r="L171" s="51"/>
      <c r="M171" s="749"/>
      <c r="N171" s="21"/>
      <c r="O171" s="21"/>
      <c r="P171" s="21"/>
      <c r="Q171" s="21"/>
      <c r="R171" s="22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</row>
    <row r="172" spans="1:40" ht="13.5" customHeight="1">
      <c r="A172" s="21"/>
      <c r="B172" s="21"/>
      <c r="C172" s="59"/>
      <c r="D172" s="51"/>
      <c r="E172" s="51"/>
      <c r="F172" s="72"/>
      <c r="G172" s="97"/>
      <c r="H172" s="73"/>
      <c r="I172" s="21"/>
      <c r="J172" s="51"/>
      <c r="K172" s="70"/>
      <c r="L172" s="51"/>
      <c r="M172" s="71"/>
      <c r="N172" s="21"/>
      <c r="O172" s="21"/>
      <c r="P172" s="21"/>
      <c r="Q172" s="21"/>
      <c r="R172" s="22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</row>
    <row r="173" spans="1:40" ht="13.5" customHeight="1">
      <c r="A173" s="21"/>
      <c r="B173" s="21"/>
      <c r="C173" s="59"/>
      <c r="D173" s="51"/>
      <c r="E173" s="51"/>
      <c r="F173" s="51"/>
      <c r="G173" s="21"/>
      <c r="H173" s="51"/>
      <c r="I173" s="51"/>
      <c r="J173" s="51"/>
      <c r="K173" s="51"/>
      <c r="L173" s="51"/>
      <c r="M173" s="68"/>
      <c r="N173" s="21"/>
      <c r="O173" s="21"/>
      <c r="P173" s="21"/>
      <c r="Q173" s="21"/>
      <c r="R173" s="22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</row>
    <row r="174" spans="1:40" ht="13.5" customHeight="1">
      <c r="A174" s="21"/>
      <c r="B174" s="21"/>
      <c r="C174" s="59"/>
      <c r="D174" s="51"/>
      <c r="E174" s="51"/>
      <c r="F174" s="555" t="s">
        <v>465</v>
      </c>
      <c r="G174" s="555">
        <f>+G165+1</f>
        <v>2022</v>
      </c>
      <c r="H174" s="555"/>
      <c r="I174" s="555"/>
      <c r="J174" s="555"/>
      <c r="K174" s="555"/>
      <c r="L174" s="555"/>
      <c r="M174" s="555"/>
      <c r="N174" s="21"/>
      <c r="O174" s="21"/>
      <c r="P174" s="21"/>
      <c r="Q174" s="21"/>
      <c r="R174" s="22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</row>
    <row r="175" spans="1:40" ht="14.1">
      <c r="A175" s="21"/>
      <c r="B175" s="21"/>
      <c r="C175" s="59"/>
      <c r="D175" s="51"/>
      <c r="E175" s="51"/>
      <c r="F175" s="555"/>
      <c r="G175" s="746" t="s">
        <v>425</v>
      </c>
      <c r="H175" s="746" t="s">
        <v>466</v>
      </c>
      <c r="I175" s="746"/>
      <c r="J175" s="746" t="s">
        <v>465</v>
      </c>
      <c r="K175" s="555"/>
      <c r="L175" s="555"/>
      <c r="M175" s="555"/>
      <c r="N175" s="21"/>
      <c r="O175" s="21"/>
      <c r="P175" s="21"/>
      <c r="Q175" s="21"/>
      <c r="R175" s="22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</row>
    <row r="176" spans="1:40" ht="14.1">
      <c r="A176" s="21"/>
      <c r="B176" s="21"/>
      <c r="C176" s="59"/>
      <c r="D176" s="51"/>
      <c r="E176" s="51"/>
      <c r="F176" s="555"/>
      <c r="G176" s="746"/>
      <c r="H176" s="747" t="str">
        <f>"("&amp;Historical!$B$13&amp;")"</f>
        <v>(IDR Million)</v>
      </c>
      <c r="I176" s="746"/>
      <c r="J176" s="747" t="str">
        <f>"("&amp;Historical!$B$13&amp;")"</f>
        <v>(IDR Million)</v>
      </c>
      <c r="K176" s="555"/>
      <c r="L176" s="555"/>
      <c r="M176" s="555"/>
      <c r="N176" s="21"/>
      <c r="O176" s="21"/>
      <c r="P176" s="21"/>
      <c r="Q176" s="21"/>
      <c r="R176" s="22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</row>
    <row r="177" spans="1:40" ht="13.5" customHeight="1">
      <c r="A177" s="21"/>
      <c r="B177" s="21"/>
      <c r="C177" s="59"/>
      <c r="D177" s="51"/>
      <c r="E177" s="51"/>
      <c r="F177" s="72" t="s">
        <v>427</v>
      </c>
      <c r="G177" s="97">
        <v>126341.484</v>
      </c>
      <c r="H177" s="73">
        <v>5.7900930817610075</v>
      </c>
      <c r="I177" s="21"/>
      <c r="J177" s="51">
        <f>+G177*H177</f>
        <v>731528.95244781894</v>
      </c>
      <c r="K177" s="70"/>
      <c r="L177" s="51"/>
      <c r="M177" s="71"/>
      <c r="N177" s="21"/>
      <c r="O177" s="21"/>
      <c r="P177" s="21"/>
      <c r="Q177" s="21"/>
      <c r="R177" s="22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</row>
    <row r="178" spans="1:40" ht="13.5" customHeight="1">
      <c r="A178" s="21"/>
      <c r="B178" s="21"/>
      <c r="C178" s="59"/>
      <c r="D178" s="51"/>
      <c r="E178" s="51"/>
      <c r="F178" s="72" t="s">
        <v>428</v>
      </c>
      <c r="G178" s="97">
        <v>21554.243999999999</v>
      </c>
      <c r="H178" s="73">
        <v>6.28592</v>
      </c>
      <c r="I178" s="21"/>
      <c r="J178" s="51">
        <f>+G178*H178</f>
        <v>135488.25344447998</v>
      </c>
      <c r="K178" s="70"/>
      <c r="L178" s="51"/>
      <c r="M178" s="71"/>
      <c r="N178" s="21"/>
      <c r="O178" s="21"/>
      <c r="P178" s="21"/>
      <c r="Q178" s="21"/>
      <c r="R178" s="22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</row>
    <row r="179" spans="1:40" ht="13.5" customHeight="1">
      <c r="A179" s="21"/>
      <c r="B179" s="21"/>
      <c r="C179" s="59"/>
      <c r="D179" s="51"/>
      <c r="E179" s="51"/>
      <c r="F179" s="72" t="s">
        <v>429</v>
      </c>
      <c r="G179" s="97">
        <v>126341.484</v>
      </c>
      <c r="H179" s="73">
        <v>4.7600000000000003E-2</v>
      </c>
      <c r="I179" s="21"/>
      <c r="J179" s="51">
        <f>+G179*H179</f>
        <v>6013.8546384000001</v>
      </c>
      <c r="K179" s="70"/>
      <c r="L179" s="51"/>
      <c r="M179" s="71"/>
      <c r="N179" s="21"/>
      <c r="O179" s="21"/>
      <c r="P179" s="21"/>
      <c r="Q179" s="21"/>
      <c r="R179" s="22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</row>
    <row r="180" spans="1:40" ht="13.5" customHeight="1">
      <c r="A180" s="21"/>
      <c r="B180" s="21"/>
      <c r="C180" s="59"/>
      <c r="D180" s="51"/>
      <c r="E180" s="51"/>
      <c r="F180" s="72" t="s">
        <v>430</v>
      </c>
      <c r="G180" s="97">
        <v>126497.71760899032</v>
      </c>
      <c r="H180" s="73">
        <v>0.68607000000000007</v>
      </c>
      <c r="I180" s="21"/>
      <c r="J180" s="51">
        <f>+G180*H180</f>
        <v>86786.289120000001</v>
      </c>
      <c r="K180" s="70"/>
      <c r="L180" s="51"/>
      <c r="M180" s="749"/>
      <c r="N180" s="21"/>
      <c r="O180" s="21"/>
      <c r="P180" s="21"/>
      <c r="Q180" s="21"/>
      <c r="R180" s="22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</row>
    <row r="181" spans="1:40" ht="13.5" customHeight="1">
      <c r="A181" s="21"/>
      <c r="B181" s="21"/>
      <c r="C181" s="59"/>
      <c r="D181" s="51"/>
      <c r="E181" s="51"/>
      <c r="F181" s="72"/>
      <c r="G181" s="97"/>
      <c r="H181" s="73"/>
      <c r="I181" s="21"/>
      <c r="J181" s="51"/>
      <c r="K181" s="70"/>
      <c r="L181" s="51"/>
      <c r="M181" s="71"/>
      <c r="N181" s="21"/>
      <c r="O181" s="21"/>
      <c r="P181" s="21"/>
      <c r="Q181" s="21"/>
      <c r="R181" s="22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</row>
    <row r="182" spans="1:40" ht="13.5" customHeight="1">
      <c r="A182" s="21"/>
      <c r="B182" s="21"/>
      <c r="C182" s="59"/>
      <c r="D182" s="51"/>
      <c r="E182" s="51"/>
      <c r="F182" s="51"/>
      <c r="G182" s="21"/>
      <c r="H182" s="51"/>
      <c r="I182" s="51"/>
      <c r="J182" s="51"/>
      <c r="K182" s="51"/>
      <c r="L182" s="51"/>
      <c r="M182" s="68"/>
      <c r="N182" s="21"/>
      <c r="O182" s="21"/>
      <c r="P182" s="21"/>
      <c r="Q182" s="21"/>
      <c r="R182" s="22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</row>
    <row r="183" spans="1:40" ht="28.5" customHeight="1">
      <c r="A183" s="21"/>
      <c r="B183" s="21"/>
      <c r="C183" s="59"/>
      <c r="D183" s="51"/>
      <c r="E183" s="51"/>
      <c r="F183" s="53" t="s">
        <v>467</v>
      </c>
      <c r="G183" s="27" t="s">
        <v>468</v>
      </c>
      <c r="H183" s="51"/>
      <c r="I183" s="55" t="s">
        <v>440</v>
      </c>
      <c r="J183" s="51"/>
      <c r="K183" s="52" t="s">
        <v>438</v>
      </c>
      <c r="L183" s="53" t="s">
        <v>439</v>
      </c>
      <c r="M183" s="54" t="s">
        <v>85</v>
      </c>
      <c r="N183" s="21"/>
      <c r="O183" s="21"/>
      <c r="P183" s="21"/>
      <c r="Q183" s="21"/>
      <c r="R183" s="22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</row>
    <row r="184" spans="1:40" ht="14.25" customHeight="1">
      <c r="A184" s="21"/>
      <c r="B184" s="21"/>
      <c r="C184" s="59"/>
      <c r="D184" s="51"/>
      <c r="E184" s="51"/>
      <c r="F184" s="45">
        <f t="shared" ref="F184:F187" si="15">+F127</f>
        <v>44561</v>
      </c>
      <c r="G184" s="31">
        <f>IF(Historical!E13=0,"",IF(ISNUMBER(Historical!F108),Historical!F108,0)/100)</f>
        <v>0.05</v>
      </c>
      <c r="H184" s="51"/>
      <c r="I184" s="21"/>
      <c r="J184" s="51"/>
      <c r="K184" s="56">
        <f t="shared" ref="K184:K189" si="16">+K127</f>
        <v>2024</v>
      </c>
      <c r="L184" s="558" t="s">
        <v>441</v>
      </c>
      <c r="M184" s="57">
        <v>0.05</v>
      </c>
      <c r="N184" s="21"/>
      <c r="O184" s="21"/>
      <c r="P184" s="21"/>
      <c r="Q184" s="21"/>
      <c r="R184" s="22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</row>
    <row r="185" spans="1:40" ht="14.25" customHeight="1">
      <c r="A185" s="21"/>
      <c r="B185" s="21"/>
      <c r="C185" s="59"/>
      <c r="D185" s="51"/>
      <c r="E185" s="51"/>
      <c r="F185" s="45">
        <f t="shared" si="15"/>
        <v>44926</v>
      </c>
      <c r="G185" s="31">
        <f>IF(Historical!G13=0,"",IF(ISNUMBER(Historical!H108),Historical!H108,0)/100)</f>
        <v>4.6363636363636364E-2</v>
      </c>
      <c r="H185" s="51"/>
      <c r="I185" s="51"/>
      <c r="J185" s="51"/>
      <c r="K185" s="56">
        <f t="shared" si="16"/>
        <v>2025</v>
      </c>
      <c r="L185" s="558" t="s">
        <v>441</v>
      </c>
      <c r="M185" s="57">
        <v>0.05</v>
      </c>
      <c r="N185" s="21"/>
      <c r="O185" s="21"/>
      <c r="P185" s="21"/>
      <c r="Q185" s="21"/>
      <c r="R185" s="22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</row>
    <row r="186" spans="1:40" ht="14.25" customHeight="1">
      <c r="A186" s="21"/>
      <c r="B186" s="21"/>
      <c r="C186" s="59"/>
      <c r="D186" s="51"/>
      <c r="E186" s="51"/>
      <c r="F186" s="45">
        <f t="shared" si="15"/>
        <v>45291</v>
      </c>
      <c r="G186" s="31">
        <f>IF(Historical!I13=0,"",IF(ISNUMBER(Historical!J108),Historical!J108,0)/100)</f>
        <v>4.3333333333333342E-2</v>
      </c>
      <c r="H186" s="51"/>
      <c r="I186" s="51"/>
      <c r="J186" s="51"/>
      <c r="K186" s="56">
        <f t="shared" si="16"/>
        <v>2026</v>
      </c>
      <c r="L186" s="558" t="s">
        <v>441</v>
      </c>
      <c r="M186" s="57">
        <v>0.05</v>
      </c>
      <c r="N186" s="21"/>
      <c r="O186" s="21"/>
      <c r="P186" s="21"/>
      <c r="Q186" s="21"/>
      <c r="R186" s="22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</row>
    <row r="187" spans="1:40" ht="14.25" customHeight="1">
      <c r="A187" s="21"/>
      <c r="B187" s="21"/>
      <c r="C187" s="59"/>
      <c r="D187" s="51"/>
      <c r="E187" s="51"/>
      <c r="F187" s="45">
        <f t="shared" si="15"/>
        <v>45473</v>
      </c>
      <c r="G187" s="31">
        <f>+Historical!L108/100</f>
        <v>5.3846153846153849E-2</v>
      </c>
      <c r="H187" s="51"/>
      <c r="I187" s="51"/>
      <c r="J187" s="51"/>
      <c r="K187" s="56">
        <f t="shared" si="16"/>
        <v>2027</v>
      </c>
      <c r="L187" s="558" t="s">
        <v>441</v>
      </c>
      <c r="M187" s="57">
        <v>0.05</v>
      </c>
      <c r="N187" s="21"/>
      <c r="O187" s="21"/>
      <c r="P187" s="21"/>
      <c r="Q187" s="21"/>
      <c r="R187" s="22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</row>
    <row r="188" spans="1:40" ht="14.25" customHeight="1">
      <c r="A188" s="21"/>
      <c r="B188" s="21"/>
      <c r="C188" s="59"/>
      <c r="D188" s="51"/>
      <c r="E188" s="51"/>
      <c r="F188" s="53" t="s">
        <v>464</v>
      </c>
      <c r="G188" s="31">
        <f>+AVERAGE(G184:G187)</f>
        <v>4.8385780885780889E-2</v>
      </c>
      <c r="H188" s="51"/>
      <c r="I188" s="21"/>
      <c r="J188" s="51"/>
      <c r="K188" s="56">
        <f t="shared" si="16"/>
        <v>2028</v>
      </c>
      <c r="L188" s="558" t="s">
        <v>441</v>
      </c>
      <c r="M188" s="57">
        <v>0.05</v>
      </c>
      <c r="N188" s="21"/>
      <c r="O188" s="21"/>
      <c r="P188" s="21"/>
      <c r="Q188" s="21"/>
      <c r="R188" s="22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</row>
    <row r="189" spans="1:40" ht="14.25" hidden="1" customHeight="1">
      <c r="A189" s="21"/>
      <c r="B189" s="21"/>
      <c r="C189" s="59"/>
      <c r="D189" s="74"/>
      <c r="E189" s="51"/>
      <c r="F189" s="74"/>
      <c r="G189" s="51"/>
      <c r="H189" s="73"/>
      <c r="I189" s="73"/>
      <c r="J189" s="68"/>
      <c r="K189" s="56">
        <f t="shared" si="16"/>
        <v>2029</v>
      </c>
      <c r="L189" s="558" t="s">
        <v>441</v>
      </c>
      <c r="M189" s="57">
        <v>1.7438053707885856E-2</v>
      </c>
      <c r="N189" s="21"/>
      <c r="O189" s="21"/>
      <c r="P189" s="21"/>
      <c r="Q189" s="21"/>
      <c r="R189" s="22"/>
      <c r="S189" s="21"/>
      <c r="T189" s="21"/>
      <c r="U189" s="36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</row>
    <row r="190" spans="1:40" ht="14.25" hidden="1" customHeight="1">
      <c r="A190" s="21"/>
      <c r="B190" s="21"/>
      <c r="C190" s="59"/>
      <c r="D190" s="74"/>
      <c r="E190" s="51"/>
      <c r="F190" s="74"/>
      <c r="G190" s="51"/>
      <c r="H190" s="73"/>
      <c r="I190" s="73"/>
      <c r="J190" s="68"/>
      <c r="K190" s="56">
        <f t="shared" ref="K190:K193" si="17">+K189+1</f>
        <v>2030</v>
      </c>
      <c r="L190" s="58" t="s">
        <v>441</v>
      </c>
      <c r="M190" s="57">
        <v>1.7438053707885856E-2</v>
      </c>
      <c r="N190" s="21"/>
      <c r="O190" s="21"/>
      <c r="P190" s="21"/>
      <c r="Q190" s="21"/>
      <c r="R190" s="22"/>
      <c r="S190" s="21"/>
      <c r="T190" s="21"/>
      <c r="U190" s="36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</row>
    <row r="191" spans="1:40" ht="14.25" hidden="1" customHeight="1">
      <c r="A191" s="21"/>
      <c r="B191" s="21"/>
      <c r="C191" s="59"/>
      <c r="D191" s="74"/>
      <c r="E191" s="51"/>
      <c r="F191" s="74"/>
      <c r="G191" s="51"/>
      <c r="H191" s="73"/>
      <c r="I191" s="73"/>
      <c r="J191" s="68"/>
      <c r="K191" s="56">
        <f t="shared" si="17"/>
        <v>2031</v>
      </c>
      <c r="L191" s="58" t="s">
        <v>441</v>
      </c>
      <c r="M191" s="57">
        <v>1.7438053707885856E-2</v>
      </c>
      <c r="N191" s="21"/>
      <c r="O191" s="21"/>
      <c r="P191" s="21"/>
      <c r="Q191" s="21"/>
      <c r="R191" s="22"/>
      <c r="S191" s="21"/>
      <c r="T191" s="21"/>
      <c r="U191" s="36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</row>
    <row r="192" spans="1:40" ht="14.25" hidden="1" customHeight="1">
      <c r="A192" s="21"/>
      <c r="B192" s="21"/>
      <c r="C192" s="59"/>
      <c r="D192" s="74"/>
      <c r="E192" s="51"/>
      <c r="F192" s="74"/>
      <c r="G192" s="51"/>
      <c r="H192" s="73"/>
      <c r="I192" s="73"/>
      <c r="J192" s="68"/>
      <c r="K192" s="56">
        <f t="shared" si="17"/>
        <v>2032</v>
      </c>
      <c r="L192" s="58" t="s">
        <v>441</v>
      </c>
      <c r="M192" s="57">
        <v>1.7438053707885856E-2</v>
      </c>
      <c r="N192" s="21"/>
      <c r="O192" s="21"/>
      <c r="P192" s="21"/>
      <c r="Q192" s="21"/>
      <c r="R192" s="22"/>
      <c r="S192" s="21"/>
      <c r="T192" s="21"/>
      <c r="U192" s="36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</row>
    <row r="193" spans="1:40" ht="14.25" hidden="1" customHeight="1">
      <c r="A193" s="21"/>
      <c r="B193" s="21"/>
      <c r="C193" s="59"/>
      <c r="D193" s="74"/>
      <c r="E193" s="51"/>
      <c r="F193" s="74"/>
      <c r="G193" s="51"/>
      <c r="H193" s="73"/>
      <c r="I193" s="73"/>
      <c r="J193" s="560"/>
      <c r="K193" s="75">
        <f t="shared" si="17"/>
        <v>2033</v>
      </c>
      <c r="L193" s="76" t="s">
        <v>441</v>
      </c>
      <c r="M193" s="57">
        <v>1.7438053707885856E-2</v>
      </c>
      <c r="N193" s="561"/>
      <c r="O193" s="21"/>
      <c r="P193" s="21"/>
      <c r="Q193" s="21"/>
      <c r="R193" s="22"/>
      <c r="S193" s="21"/>
      <c r="T193" s="21"/>
      <c r="U193" s="36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</row>
    <row r="194" spans="1:40" ht="14.25" customHeight="1">
      <c r="A194" s="21"/>
      <c r="B194" s="21"/>
      <c r="C194" s="59"/>
      <c r="D194" s="74"/>
      <c r="E194" s="51"/>
      <c r="F194" s="55" t="s">
        <v>469</v>
      </c>
      <c r="G194" s="51"/>
      <c r="H194" s="73"/>
      <c r="I194" s="73"/>
      <c r="J194" s="68"/>
      <c r="K194" s="77"/>
      <c r="L194" s="59"/>
      <c r="M194" s="59"/>
      <c r="N194" s="21"/>
      <c r="O194" s="21"/>
      <c r="P194" s="21"/>
      <c r="Q194" s="21"/>
      <c r="R194" s="22"/>
      <c r="S194" s="21"/>
      <c r="T194" s="21"/>
      <c r="U194" s="36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</row>
    <row r="195" spans="1:40" ht="14.25" customHeight="1">
      <c r="A195" s="21"/>
      <c r="B195" s="21"/>
      <c r="C195" s="59"/>
      <c r="D195" s="74"/>
      <c r="E195" s="51"/>
      <c r="F195" s="78" t="s">
        <v>470</v>
      </c>
      <c r="G195" s="57">
        <v>0</v>
      </c>
      <c r="H195" s="73"/>
      <c r="I195" s="73"/>
      <c r="J195" s="68"/>
      <c r="K195" s="77"/>
      <c r="L195" s="59"/>
      <c r="M195" s="59"/>
      <c r="N195" s="21"/>
      <c r="O195" s="21"/>
      <c r="P195" s="21"/>
      <c r="Q195" s="21"/>
      <c r="R195" s="22"/>
      <c r="S195" s="21"/>
      <c r="T195" s="21"/>
      <c r="U195" s="36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</row>
    <row r="196" spans="1:40" ht="14.25" customHeight="1">
      <c r="A196" s="21"/>
      <c r="B196" s="21"/>
      <c r="C196" s="59"/>
      <c r="D196" s="74"/>
      <c r="E196" s="51"/>
      <c r="F196" s="78" t="s">
        <v>471</v>
      </c>
      <c r="G196" s="71">
        <f>1-G195</f>
        <v>1</v>
      </c>
      <c r="H196" s="73"/>
      <c r="I196" s="73"/>
      <c r="J196" s="68"/>
      <c r="K196" s="77"/>
      <c r="L196" s="59"/>
      <c r="M196" s="59"/>
      <c r="N196" s="21"/>
      <c r="O196" s="21"/>
      <c r="P196" s="21"/>
      <c r="Q196" s="21"/>
      <c r="R196" s="22"/>
      <c r="S196" s="21"/>
      <c r="T196" s="21"/>
      <c r="U196" s="36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</row>
    <row r="197" spans="1:40" ht="14.25" customHeight="1">
      <c r="A197" s="21"/>
      <c r="B197" s="21"/>
      <c r="C197" s="59"/>
      <c r="D197" s="74"/>
      <c r="E197" s="51"/>
      <c r="F197" s="78" t="s">
        <v>472</v>
      </c>
      <c r="G197" s="79">
        <v>4</v>
      </c>
      <c r="H197" s="73" t="s">
        <v>473</v>
      </c>
      <c r="I197" s="73"/>
      <c r="J197" s="80" t="s">
        <v>474</v>
      </c>
      <c r="K197" s="79">
        <v>1</v>
      </c>
      <c r="L197" s="73" t="s">
        <v>473</v>
      </c>
      <c r="M197" s="21"/>
      <c r="N197" s="21"/>
      <c r="O197" s="21"/>
      <c r="P197" s="21"/>
      <c r="Q197" s="21"/>
      <c r="R197" s="22"/>
      <c r="S197" s="21"/>
      <c r="T197" s="21"/>
      <c r="U197" s="36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1541">
        <f>+Historical!I13</f>
        <v>45291</v>
      </c>
      <c r="AN197" s="1623"/>
    </row>
    <row r="198" spans="1:40" ht="14.25" customHeight="1">
      <c r="A198" s="21"/>
      <c r="B198" s="21"/>
      <c r="C198" s="59"/>
      <c r="D198" s="74"/>
      <c r="E198" s="51"/>
      <c r="F198" s="78" t="s">
        <v>475</v>
      </c>
      <c r="G198" s="81">
        <v>0.01</v>
      </c>
      <c r="H198" s="73"/>
      <c r="I198" s="73"/>
      <c r="J198" s="80" t="s">
        <v>476</v>
      </c>
      <c r="K198" s="563">
        <f>G197-K197</f>
        <v>3</v>
      </c>
      <c r="L198" s="73" t="s">
        <v>473</v>
      </c>
      <c r="M198" s="21"/>
      <c r="N198" s="21"/>
      <c r="O198" s="21"/>
      <c r="P198" s="21"/>
      <c r="Q198" s="21"/>
      <c r="R198" s="22"/>
      <c r="S198" s="21"/>
      <c r="T198" s="21"/>
      <c r="U198" s="36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562"/>
      <c r="AN198" s="564"/>
    </row>
    <row r="199" spans="1:40" ht="14.25" customHeight="1">
      <c r="A199" s="21"/>
      <c r="B199" s="21"/>
      <c r="C199" s="59"/>
      <c r="D199" s="74"/>
      <c r="E199" s="51"/>
      <c r="F199" s="78" t="s">
        <v>477</v>
      </c>
      <c r="G199" s="82">
        <v>0.1</v>
      </c>
      <c r="H199" s="73"/>
      <c r="I199" s="73"/>
      <c r="J199" s="80" t="s">
        <v>478</v>
      </c>
      <c r="K199" s="83">
        <f>+K197+K198</f>
        <v>4</v>
      </c>
      <c r="L199" s="73" t="s">
        <v>473</v>
      </c>
      <c r="M199" s="21"/>
      <c r="N199" s="21"/>
      <c r="O199" s="21"/>
      <c r="P199" s="21"/>
      <c r="Q199" s="21"/>
      <c r="R199" s="22"/>
      <c r="S199" s="21"/>
      <c r="T199" s="21"/>
      <c r="U199" s="36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562"/>
      <c r="AN199" s="564"/>
    </row>
    <row r="200" spans="1:40" ht="13.5" customHeight="1">
      <c r="A200" s="21"/>
      <c r="B200" s="21"/>
      <c r="C200" s="59"/>
      <c r="D200" s="74"/>
      <c r="E200" s="51"/>
      <c r="F200" s="78"/>
      <c r="G200" s="71"/>
      <c r="H200" s="73"/>
      <c r="I200" s="73"/>
      <c r="J200" s="68"/>
      <c r="K200" s="77"/>
      <c r="L200" s="64" t="str">
        <f>+IF(K198&lt;0,"Input kembali asumsi","")</f>
        <v/>
      </c>
      <c r="M200" s="59"/>
      <c r="N200" s="21"/>
      <c r="O200" s="21"/>
      <c r="P200" s="21"/>
      <c r="Q200" s="21"/>
      <c r="R200" s="22"/>
      <c r="S200" s="21"/>
      <c r="T200" s="21"/>
      <c r="U200" s="36"/>
      <c r="V200" s="21"/>
      <c r="W200" s="21"/>
      <c r="X200" s="21"/>
      <c r="Y200" s="21"/>
      <c r="Z200" s="21"/>
      <c r="AA200" s="62"/>
      <c r="AB200" s="21"/>
      <c r="AC200" s="21"/>
      <c r="AD200" s="21"/>
      <c r="AE200" s="62"/>
      <c r="AF200" s="21"/>
      <c r="AG200" s="21"/>
      <c r="AH200" s="21"/>
      <c r="AI200" s="21"/>
      <c r="AJ200" s="21"/>
      <c r="AK200" s="21"/>
      <c r="AL200" s="21"/>
      <c r="AM200" s="1542">
        <f>+G11</f>
        <v>120000</v>
      </c>
      <c r="AN200" s="1623"/>
    </row>
    <row r="201" spans="1:40" ht="13.5" customHeight="1">
      <c r="A201" s="21"/>
      <c r="B201" s="21"/>
      <c r="C201" s="59"/>
      <c r="D201" s="74"/>
      <c r="E201" s="51"/>
      <c r="F201" s="565" t="str">
        <f>+Historical!B12</f>
        <v>Financial Statement Unit</v>
      </c>
      <c r="G201" s="71"/>
      <c r="H201" s="73"/>
      <c r="I201" s="77"/>
      <c r="J201" s="42" t="str">
        <f>+Assumption!G8</f>
        <v>IDR Million</v>
      </c>
      <c r="K201" s="21"/>
      <c r="L201" s="21"/>
      <c r="M201" s="59"/>
      <c r="N201" s="21"/>
      <c r="O201" s="21"/>
      <c r="P201" s="21"/>
      <c r="Q201" s="21"/>
      <c r="R201" s="22"/>
      <c r="S201" s="21"/>
      <c r="T201" s="21"/>
      <c r="U201" s="36"/>
      <c r="V201" s="21"/>
      <c r="W201" s="21"/>
      <c r="X201" s="21"/>
      <c r="Y201" s="21"/>
      <c r="Z201" s="21"/>
      <c r="AA201" s="62"/>
      <c r="AB201" s="21"/>
      <c r="AC201" s="21"/>
      <c r="AD201" s="21"/>
      <c r="AE201" s="62"/>
      <c r="AF201" s="21"/>
      <c r="AG201" s="21"/>
      <c r="AH201" s="21"/>
      <c r="AI201" s="21"/>
      <c r="AJ201" s="21"/>
      <c r="AK201" s="21"/>
      <c r="AL201" s="21"/>
      <c r="AM201" s="1543"/>
      <c r="AN201" s="1623"/>
    </row>
    <row r="202" spans="1:40" ht="13.5" customHeight="1">
      <c r="A202" s="21"/>
      <c r="B202" s="21"/>
      <c r="C202" s="59"/>
      <c r="D202" s="74"/>
      <c r="E202" s="51"/>
      <c r="F202" s="1544" t="s">
        <v>479</v>
      </c>
      <c r="G202" s="1624"/>
      <c r="H202" s="1623"/>
      <c r="I202" s="1541">
        <f>+Historical!K13</f>
        <v>45473</v>
      </c>
      <c r="J202" s="1623"/>
      <c r="K202" s="21"/>
      <c r="L202" s="21"/>
      <c r="M202" s="59"/>
      <c r="N202" s="21"/>
      <c r="O202" s="21"/>
      <c r="P202" s="21"/>
      <c r="Q202" s="21"/>
      <c r="R202" s="22"/>
      <c r="S202" s="21"/>
      <c r="T202" s="21"/>
      <c r="U202" s="36"/>
      <c r="V202" s="21"/>
      <c r="W202" s="21"/>
      <c r="X202" s="21"/>
      <c r="Y202" s="21"/>
      <c r="Z202" s="21"/>
      <c r="AA202" s="62"/>
      <c r="AB202" s="21"/>
      <c r="AC202" s="21"/>
      <c r="AD202" s="21"/>
      <c r="AE202" s="62"/>
      <c r="AF202" s="21"/>
      <c r="AG202" s="21"/>
      <c r="AH202" s="21"/>
      <c r="AI202" s="21"/>
      <c r="AJ202" s="21"/>
      <c r="AK202" s="21"/>
      <c r="AL202" s="21"/>
      <c r="AM202" s="84">
        <f>IF(AM200=0,0,AN202/AM200)</f>
        <v>4.1749999999999999E-3</v>
      </c>
      <c r="AN202" s="85">
        <f>+Historical!G20</f>
        <v>501</v>
      </c>
    </row>
    <row r="203" spans="1:40" ht="13.5" customHeight="1">
      <c r="A203" s="21"/>
      <c r="B203" s="21"/>
      <c r="C203" s="59"/>
      <c r="D203" s="74"/>
      <c r="E203" s="51"/>
      <c r="F203" s="566" t="s">
        <v>206</v>
      </c>
      <c r="G203" s="567"/>
      <c r="H203" s="568"/>
      <c r="I203" s="1542">
        <f>+G12</f>
        <v>130000</v>
      </c>
      <c r="J203" s="1623"/>
      <c r="K203" s="21"/>
      <c r="L203" s="21"/>
      <c r="M203" s="59"/>
      <c r="N203" s="21"/>
      <c r="O203" s="21"/>
      <c r="P203" s="21"/>
      <c r="Q203" s="21"/>
      <c r="R203" s="22"/>
      <c r="S203" s="21"/>
      <c r="T203" s="21"/>
      <c r="U203" s="36"/>
      <c r="V203" s="21"/>
      <c r="W203" s="21"/>
      <c r="X203" s="21"/>
      <c r="Y203" s="21"/>
      <c r="Z203" s="21"/>
      <c r="AA203" s="62"/>
      <c r="AB203" s="21"/>
      <c r="AC203" s="21"/>
      <c r="AD203" s="21"/>
      <c r="AE203" s="62"/>
      <c r="AF203" s="21"/>
      <c r="AG203" s="21"/>
      <c r="AH203" s="21"/>
      <c r="AI203" s="21"/>
      <c r="AJ203" s="21"/>
      <c r="AK203" s="21"/>
      <c r="AL203" s="21"/>
      <c r="AM203" s="84">
        <f>IF(AM200=0,0,AN203/AM200)</f>
        <v>0.68334166666666663</v>
      </c>
      <c r="AN203" s="86">
        <f>AN208+AN204-AN202-AN206-AN207</f>
        <v>82001</v>
      </c>
    </row>
    <row r="204" spans="1:40" ht="13.5" customHeight="1">
      <c r="A204" s="21"/>
      <c r="B204" s="21"/>
      <c r="C204" s="59"/>
      <c r="D204" s="74"/>
      <c r="E204" s="51"/>
      <c r="F204" s="569" t="s">
        <v>480</v>
      </c>
      <c r="G204" s="570"/>
      <c r="H204" s="571"/>
      <c r="I204" s="1545"/>
      <c r="J204" s="1623"/>
      <c r="K204" s="21"/>
      <c r="L204" s="21"/>
      <c r="M204" s="59"/>
      <c r="N204" s="21"/>
      <c r="O204" s="21"/>
      <c r="P204" s="21"/>
      <c r="Q204" s="21"/>
      <c r="R204" s="22"/>
      <c r="S204" s="21"/>
      <c r="T204" s="21"/>
      <c r="U204" s="36"/>
      <c r="V204" s="21"/>
      <c r="W204" s="21"/>
      <c r="X204" s="21"/>
      <c r="Y204" s="21"/>
      <c r="Z204" s="21"/>
      <c r="AA204" s="62"/>
      <c r="AB204" s="21"/>
      <c r="AC204" s="21"/>
      <c r="AD204" s="21"/>
      <c r="AE204" s="62"/>
      <c r="AF204" s="21"/>
      <c r="AG204" s="21"/>
      <c r="AH204" s="21"/>
      <c r="AI204" s="21"/>
      <c r="AJ204" s="21"/>
      <c r="AK204" s="21"/>
      <c r="AL204" s="21"/>
      <c r="AM204" s="84">
        <f>IF(AM200=0,0,AN204/AM200)</f>
        <v>4.1833333333333332E-3</v>
      </c>
      <c r="AN204" s="85">
        <f>+Historical!I20</f>
        <v>502</v>
      </c>
    </row>
    <row r="205" spans="1:40" ht="16.5" customHeight="1">
      <c r="A205" s="21"/>
      <c r="B205" s="21"/>
      <c r="C205" s="59"/>
      <c r="D205" s="74"/>
      <c r="E205" s="51"/>
      <c r="F205" s="572"/>
      <c r="G205" s="573" t="s">
        <v>481</v>
      </c>
      <c r="H205" s="574"/>
      <c r="I205" s="84">
        <f>IF(I203=0,0,J205/I203)</f>
        <v>3.8615384615384614E-3</v>
      </c>
      <c r="J205" s="85">
        <f>+AN204</f>
        <v>502</v>
      </c>
      <c r="K205" s="21"/>
      <c r="L205" s="1546" t="str">
        <f>+IF(J206&lt;0,"Input kembali data Biaya Tenaga Kerja dan Overhead Pabrik, pembelian bahan baku min bernilai 0 ","")</f>
        <v/>
      </c>
      <c r="M205" s="1616"/>
      <c r="N205" s="21"/>
      <c r="O205" s="21"/>
      <c r="P205" s="21"/>
      <c r="Q205" s="21"/>
      <c r="R205" s="22"/>
      <c r="S205" s="21"/>
      <c r="T205" s="21"/>
      <c r="U205" s="36"/>
      <c r="V205" s="21"/>
      <c r="W205" s="21"/>
      <c r="X205" s="21"/>
      <c r="Y205" s="21"/>
      <c r="Z205" s="21"/>
      <c r="AA205" s="62"/>
      <c r="AB205" s="21"/>
      <c r="AC205" s="21"/>
      <c r="AD205" s="21"/>
      <c r="AE205" s="62"/>
      <c r="AF205" s="21"/>
      <c r="AG205" s="21"/>
      <c r="AH205" s="21"/>
      <c r="AI205" s="21"/>
      <c r="AJ205" s="21"/>
      <c r="AK205" s="21"/>
      <c r="AL205" s="21"/>
      <c r="AM205" s="84">
        <f>IF(AM200=0,0,AN205/AM200)</f>
        <v>0.68333333333333335</v>
      </c>
      <c r="AN205" s="87">
        <f>AN202+AN203-AN204</f>
        <v>82000</v>
      </c>
    </row>
    <row r="206" spans="1:40" ht="14.25" customHeight="1">
      <c r="A206" s="21"/>
      <c r="B206" s="21"/>
      <c r="C206" s="59"/>
      <c r="D206" s="74"/>
      <c r="E206" s="51"/>
      <c r="F206" s="569"/>
      <c r="G206" s="570" t="s">
        <v>482</v>
      </c>
      <c r="H206" s="575"/>
      <c r="I206" s="84">
        <f>IF(I203=0,0,J206/I203)</f>
        <v>0.69231538461538467</v>
      </c>
      <c r="J206" s="86">
        <f>J211+J207-J205-J209-J210</f>
        <v>90001</v>
      </c>
      <c r="K206" s="21"/>
      <c r="L206" s="1616"/>
      <c r="M206" s="1616"/>
      <c r="N206" s="21"/>
      <c r="O206" s="21"/>
      <c r="P206" s="21"/>
      <c r="Q206" s="21"/>
      <c r="R206" s="22"/>
      <c r="S206" s="21"/>
      <c r="T206" s="21"/>
      <c r="U206" s="36"/>
      <c r="V206" s="21"/>
      <c r="W206" s="21"/>
      <c r="X206" s="21"/>
      <c r="Y206" s="21"/>
      <c r="Z206" s="21"/>
      <c r="AA206" s="62"/>
      <c r="AB206" s="21"/>
      <c r="AC206" s="21"/>
      <c r="AD206" s="21"/>
      <c r="AE206" s="62"/>
      <c r="AF206" s="21"/>
      <c r="AG206" s="21"/>
      <c r="AH206" s="21"/>
      <c r="AI206" s="21"/>
      <c r="AJ206" s="21"/>
      <c r="AK206" s="21"/>
      <c r="AL206" s="21"/>
      <c r="AM206" s="576">
        <f>IF(AM200=0,0,AN206/AM200)</f>
        <v>0</v>
      </c>
      <c r="AN206" s="88"/>
    </row>
    <row r="207" spans="1:40" ht="14.25" customHeight="1">
      <c r="A207" s="21"/>
      <c r="B207" s="21"/>
      <c r="C207" s="59"/>
      <c r="D207" s="74"/>
      <c r="E207" s="51"/>
      <c r="F207" s="572"/>
      <c r="G207" s="573" t="s">
        <v>483</v>
      </c>
      <c r="H207" s="574"/>
      <c r="I207" s="84">
        <f>IF(I203=0,0,J207/I203)</f>
        <v>3.8692307692307693E-3</v>
      </c>
      <c r="J207" s="85">
        <f>+Historical!K20</f>
        <v>503</v>
      </c>
      <c r="K207" s="21"/>
      <c r="L207" s="1616"/>
      <c r="M207" s="1616"/>
      <c r="N207" s="21"/>
      <c r="O207" s="21"/>
      <c r="P207" s="21"/>
      <c r="Q207" s="21"/>
      <c r="R207" s="22"/>
      <c r="S207" s="21"/>
      <c r="T207" s="21"/>
      <c r="U207" s="36"/>
      <c r="V207" s="21"/>
      <c r="W207" s="21"/>
      <c r="X207" s="21"/>
      <c r="Y207" s="21"/>
      <c r="Z207" s="21"/>
      <c r="AA207" s="62"/>
      <c r="AB207" s="21"/>
      <c r="AC207" s="21"/>
      <c r="AD207" s="21"/>
      <c r="AE207" s="62"/>
      <c r="AF207" s="21"/>
      <c r="AG207" s="21"/>
      <c r="AH207" s="21"/>
      <c r="AI207" s="21"/>
      <c r="AJ207" s="21"/>
      <c r="AK207" s="21"/>
      <c r="AL207" s="21"/>
      <c r="AM207" s="576">
        <f>IF(AM200=0,0,AN207/AM200)</f>
        <v>0</v>
      </c>
      <c r="AN207" s="88"/>
    </row>
    <row r="208" spans="1:40" ht="14.25" customHeight="1">
      <c r="A208" s="21"/>
      <c r="B208" s="21"/>
      <c r="C208" s="59"/>
      <c r="D208" s="74"/>
      <c r="E208" s="51"/>
      <c r="F208" s="572" t="s">
        <v>484</v>
      </c>
      <c r="G208" s="573"/>
      <c r="H208" s="574"/>
      <c r="I208" s="89">
        <f>IF(I203=0,0,J208/I203)</f>
        <v>0.69230769230769229</v>
      </c>
      <c r="J208" s="87">
        <f>J205+J206-J207</f>
        <v>90000</v>
      </c>
      <c r="K208" s="21"/>
      <c r="L208" s="1616"/>
      <c r="M208" s="1616"/>
      <c r="N208" s="21"/>
      <c r="O208" s="21"/>
      <c r="P208" s="21"/>
      <c r="Q208" s="21"/>
      <c r="R208" s="22"/>
      <c r="S208" s="21"/>
      <c r="T208" s="21"/>
      <c r="U208" s="36"/>
      <c r="V208" s="21"/>
      <c r="W208" s="21"/>
      <c r="X208" s="21"/>
      <c r="Y208" s="21"/>
      <c r="Z208" s="21"/>
      <c r="AA208" s="62"/>
      <c r="AB208" s="21"/>
      <c r="AC208" s="21"/>
      <c r="AD208" s="21"/>
      <c r="AE208" s="62"/>
      <c r="AF208" s="21"/>
      <c r="AG208" s="21"/>
      <c r="AH208" s="21"/>
      <c r="AI208" s="21"/>
      <c r="AJ208" s="21"/>
      <c r="AK208" s="21"/>
      <c r="AL208" s="21"/>
      <c r="AM208" s="90">
        <f>IF(AM200=0,0,AN208/AM200)</f>
        <v>0.68333333333333335</v>
      </c>
      <c r="AN208" s="91">
        <f>+Historical!I106</f>
        <v>82000</v>
      </c>
    </row>
    <row r="209" spans="1:40" ht="14.25" customHeight="1">
      <c r="A209" s="21"/>
      <c r="B209" s="21"/>
      <c r="C209" s="59"/>
      <c r="D209" s="74"/>
      <c r="E209" s="51"/>
      <c r="F209" s="572" t="s">
        <v>485</v>
      </c>
      <c r="G209" s="573"/>
      <c r="H209" s="570"/>
      <c r="I209" s="92">
        <f>IF(I203=0,0,J209/I203)</f>
        <v>0</v>
      </c>
      <c r="J209" s="88">
        <v>0</v>
      </c>
      <c r="K209" s="21"/>
      <c r="L209" s="21"/>
      <c r="M209" s="59"/>
      <c r="N209" s="21"/>
      <c r="O209" s="21"/>
      <c r="P209" s="21"/>
      <c r="Q209" s="21"/>
      <c r="R209" s="22"/>
      <c r="S209" s="21"/>
      <c r="T209" s="21"/>
      <c r="U209" s="36"/>
      <c r="V209" s="21"/>
      <c r="W209" s="21"/>
      <c r="X209" s="21"/>
      <c r="Y209" s="21"/>
      <c r="Z209" s="21"/>
      <c r="AA209" s="62"/>
      <c r="AB209" s="21"/>
      <c r="AC209" s="21"/>
      <c r="AD209" s="21"/>
      <c r="AE209" s="62"/>
      <c r="AF209" s="21"/>
      <c r="AG209" s="21"/>
      <c r="AH209" s="21"/>
      <c r="AI209" s="21"/>
      <c r="AJ209" s="21"/>
      <c r="AK209" s="21"/>
      <c r="AL209" s="21"/>
      <c r="AM209" s="21"/>
      <c r="AN209" s="21"/>
    </row>
    <row r="210" spans="1:40" ht="14.25" customHeight="1">
      <c r="A210" s="21"/>
      <c r="B210" s="21"/>
      <c r="C210" s="59"/>
      <c r="D210" s="74"/>
      <c r="E210" s="51"/>
      <c r="F210" s="572" t="s">
        <v>486</v>
      </c>
      <c r="G210" s="573"/>
      <c r="H210" s="570"/>
      <c r="I210" s="93">
        <f>IF(I203=0,0,J210/I203)</f>
        <v>0</v>
      </c>
      <c r="J210" s="88">
        <v>0</v>
      </c>
      <c r="K210" s="21"/>
      <c r="L210" s="21"/>
      <c r="M210" s="59"/>
      <c r="N210" s="21"/>
      <c r="O210" s="21"/>
      <c r="P210" s="21"/>
      <c r="Q210" s="21"/>
      <c r="R210" s="22"/>
      <c r="S210" s="21"/>
      <c r="T210" s="21"/>
      <c r="U210" s="36"/>
      <c r="V210" s="21"/>
      <c r="W210" s="21"/>
      <c r="X210" s="21"/>
      <c r="Y210" s="21"/>
      <c r="Z210" s="21"/>
      <c r="AA210" s="62"/>
      <c r="AB210" s="21"/>
      <c r="AC210" s="21"/>
      <c r="AD210" s="21"/>
      <c r="AE210" s="62"/>
      <c r="AF210" s="21"/>
      <c r="AG210" s="21"/>
      <c r="AH210" s="21"/>
      <c r="AI210" s="21"/>
      <c r="AJ210" s="21"/>
      <c r="AK210" s="21"/>
      <c r="AL210" s="21"/>
      <c r="AM210" s="21"/>
      <c r="AN210" s="21"/>
    </row>
    <row r="211" spans="1:40" ht="13.5" customHeight="1">
      <c r="A211" s="21"/>
      <c r="B211" s="21"/>
      <c r="C211" s="59"/>
      <c r="D211" s="74"/>
      <c r="E211" s="51"/>
      <c r="F211" s="1538" t="s">
        <v>487</v>
      </c>
      <c r="G211" s="1624"/>
      <c r="H211" s="1623"/>
      <c r="I211" s="94">
        <f>IF(I203=0,0,J211/I203)</f>
        <v>0.69230769230769229</v>
      </c>
      <c r="J211" s="91">
        <f>+Historical!K106</f>
        <v>90000</v>
      </c>
      <c r="K211" s="21"/>
      <c r="L211" s="21"/>
      <c r="M211" s="59"/>
      <c r="N211" s="21"/>
      <c r="O211" s="21"/>
      <c r="P211" s="21"/>
      <c r="Q211" s="21"/>
      <c r="R211" s="22"/>
      <c r="S211" s="21"/>
      <c r="T211" s="21"/>
      <c r="U211" s="36"/>
      <c r="V211" s="21"/>
      <c r="W211" s="21"/>
      <c r="X211" s="21"/>
      <c r="Y211" s="21"/>
      <c r="Z211" s="21"/>
      <c r="AA211" s="62"/>
      <c r="AB211" s="21"/>
      <c r="AC211" s="21"/>
      <c r="AD211" s="21"/>
      <c r="AE211" s="62"/>
      <c r="AF211" s="21"/>
      <c r="AG211" s="21"/>
      <c r="AH211" s="21"/>
      <c r="AI211" s="21"/>
      <c r="AJ211" s="21"/>
      <c r="AK211" s="21"/>
      <c r="AL211" s="21"/>
      <c r="AM211" s="21"/>
      <c r="AN211" s="21"/>
    </row>
    <row r="212" spans="1:40" ht="13.5" customHeight="1">
      <c r="A212" s="21"/>
      <c r="B212" s="21"/>
      <c r="C212" s="59"/>
      <c r="D212" s="74"/>
      <c r="E212" s="51"/>
      <c r="F212" s="74"/>
      <c r="G212" s="51"/>
      <c r="H212" s="73"/>
      <c r="I212" s="73"/>
      <c r="J212" s="68"/>
      <c r="K212" s="77"/>
      <c r="L212" s="59"/>
      <c r="M212" s="59"/>
      <c r="N212" s="21"/>
      <c r="O212" s="21"/>
      <c r="P212" s="21"/>
      <c r="Q212" s="21"/>
      <c r="R212" s="22"/>
      <c r="S212" s="21"/>
      <c r="T212" s="21"/>
      <c r="U212" s="36"/>
      <c r="V212" s="21"/>
      <c r="W212" s="21"/>
      <c r="X212" s="21"/>
      <c r="Y212" s="21"/>
      <c r="Z212" s="21"/>
      <c r="AA212" s="62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</row>
    <row r="213" spans="1:40" ht="13.5" customHeight="1">
      <c r="A213" s="21"/>
      <c r="B213" s="21"/>
      <c r="C213" s="59"/>
      <c r="D213" s="60">
        <v>4</v>
      </c>
      <c r="E213" s="60" t="s">
        <v>488</v>
      </c>
      <c r="F213" s="55"/>
      <c r="G213" s="51"/>
      <c r="H213" s="73"/>
      <c r="I213" s="73"/>
      <c r="J213" s="83"/>
      <c r="K213" s="51"/>
      <c r="L213" s="21"/>
      <c r="M213" s="59"/>
      <c r="N213" s="21"/>
      <c r="O213" s="21"/>
      <c r="P213" s="21"/>
      <c r="Q213" s="21"/>
      <c r="R213" s="22"/>
      <c r="S213" s="21"/>
      <c r="T213" s="21"/>
      <c r="U213" s="66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</row>
    <row r="214" spans="1:40" ht="36" customHeight="1">
      <c r="A214" s="21"/>
      <c r="B214" s="21"/>
      <c r="C214" s="59"/>
      <c r="D214" s="51"/>
      <c r="E214" s="51"/>
      <c r="F214" s="53" t="s">
        <v>467</v>
      </c>
      <c r="G214" s="95" t="s">
        <v>190</v>
      </c>
      <c r="H214" s="51"/>
      <c r="I214" s="55" t="s">
        <v>440</v>
      </c>
      <c r="J214" s="51"/>
      <c r="K214" s="52" t="s">
        <v>438</v>
      </c>
      <c r="L214" s="53" t="s">
        <v>439</v>
      </c>
      <c r="M214" s="54" t="s">
        <v>85</v>
      </c>
      <c r="N214" s="21"/>
      <c r="O214" s="21"/>
      <c r="P214" s="21"/>
      <c r="Q214" s="21"/>
      <c r="R214" s="22"/>
      <c r="S214" s="21"/>
      <c r="T214" s="21"/>
      <c r="U214" s="66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</row>
    <row r="215" spans="1:40" ht="14.25" customHeight="1">
      <c r="A215" s="21"/>
      <c r="B215" s="21"/>
      <c r="C215" s="59"/>
      <c r="D215" s="51"/>
      <c r="E215" s="51"/>
      <c r="F215" s="45">
        <f t="shared" ref="F215:F218" si="18">+F184</f>
        <v>44561</v>
      </c>
      <c r="G215" s="154">
        <f>IF(Historical!E13=0,"",IF(ISNUMBER(Historical!E94),Historical!E94,0))</f>
        <v>1.44</v>
      </c>
      <c r="H215" s="51"/>
      <c r="I215" s="21"/>
      <c r="J215" s="51"/>
      <c r="K215" s="56">
        <f t="shared" ref="K215:K224" si="19">+K184</f>
        <v>2024</v>
      </c>
      <c r="L215" s="96" t="s">
        <v>191</v>
      </c>
      <c r="M215" s="79">
        <v>45</v>
      </c>
      <c r="N215" s="21"/>
      <c r="O215" s="21"/>
      <c r="P215" s="21"/>
      <c r="Q215" s="21"/>
      <c r="R215" s="22"/>
      <c r="S215" s="21"/>
      <c r="T215" s="21"/>
      <c r="U215" s="66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</row>
    <row r="216" spans="1:40" ht="14.25" customHeight="1">
      <c r="A216" s="21"/>
      <c r="B216" s="21"/>
      <c r="C216" s="59"/>
      <c r="D216" s="51"/>
      <c r="E216" s="51"/>
      <c r="F216" s="45">
        <f t="shared" si="18"/>
        <v>44926</v>
      </c>
      <c r="G216" s="154">
        <f>IF(Historical!G13=0,"",IF(ISNUMBER(Historical!G94),Historical!G94,0))</f>
        <v>1.3123636363636364</v>
      </c>
      <c r="H216" s="51"/>
      <c r="I216" s="51"/>
      <c r="J216" s="51"/>
      <c r="K216" s="56">
        <f t="shared" si="19"/>
        <v>2025</v>
      </c>
      <c r="L216" s="96" t="s">
        <v>191</v>
      </c>
      <c r="M216" s="79">
        <v>45</v>
      </c>
      <c r="N216" s="21"/>
      <c r="O216" s="21"/>
      <c r="P216" s="21"/>
      <c r="Q216" s="21"/>
      <c r="R216" s="22"/>
      <c r="S216" s="21"/>
      <c r="T216" s="21"/>
      <c r="U216" s="66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</row>
    <row r="217" spans="1:40" ht="14.25" customHeight="1">
      <c r="A217" s="21"/>
      <c r="B217" s="21"/>
      <c r="C217" s="59"/>
      <c r="D217" s="51"/>
      <c r="E217" s="51"/>
      <c r="F217" s="45">
        <f t="shared" si="18"/>
        <v>45291</v>
      </c>
      <c r="G217" s="154">
        <f>IF(Historical!I13=0,"",IF(ISNUMBER(Historical!I94),Historical!I94,0))</f>
        <v>1.206</v>
      </c>
      <c r="H217" s="51"/>
      <c r="I217" s="51"/>
      <c r="J217" s="51"/>
      <c r="K217" s="56">
        <f t="shared" si="19"/>
        <v>2026</v>
      </c>
      <c r="L217" s="96" t="s">
        <v>191</v>
      </c>
      <c r="M217" s="79">
        <v>45</v>
      </c>
      <c r="N217" s="21"/>
      <c r="O217" s="21"/>
      <c r="P217" s="21"/>
      <c r="Q217" s="21"/>
      <c r="R217" s="22"/>
      <c r="S217" s="21"/>
      <c r="T217" s="21"/>
      <c r="U217" s="66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</row>
    <row r="218" spans="1:40" ht="14.25" customHeight="1">
      <c r="A218" s="21"/>
      <c r="B218" s="21"/>
      <c r="C218" s="59"/>
      <c r="D218" s="51"/>
      <c r="E218" s="51"/>
      <c r="F218" s="45">
        <f t="shared" si="18"/>
        <v>45473</v>
      </c>
      <c r="G218" s="154">
        <f>+Historical!K94</f>
        <v>0.55799999999999994</v>
      </c>
      <c r="H218" s="51"/>
      <c r="I218" s="51"/>
      <c r="J218" s="51"/>
      <c r="K218" s="56">
        <f t="shared" si="19"/>
        <v>2027</v>
      </c>
      <c r="L218" s="96" t="s">
        <v>191</v>
      </c>
      <c r="M218" s="79">
        <v>45</v>
      </c>
      <c r="N218" s="21"/>
      <c r="O218" s="21"/>
      <c r="P218" s="21"/>
      <c r="Q218" s="21"/>
      <c r="R218" s="22"/>
      <c r="S218" s="21"/>
      <c r="T218" s="21"/>
      <c r="U218" s="66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</row>
    <row r="219" spans="1:40" ht="14.25" customHeight="1">
      <c r="A219" s="21"/>
      <c r="B219" s="21"/>
      <c r="C219" s="59"/>
      <c r="D219" s="51"/>
      <c r="E219" s="51"/>
      <c r="F219" s="53" t="s">
        <v>442</v>
      </c>
      <c r="G219" s="154">
        <f>+AVERAGE(G215:G218)</f>
        <v>1.1290909090909091</v>
      </c>
      <c r="H219" s="51"/>
      <c r="I219" s="21"/>
      <c r="J219" s="51"/>
      <c r="K219" s="56">
        <f t="shared" si="19"/>
        <v>2028</v>
      </c>
      <c r="L219" s="96" t="s">
        <v>191</v>
      </c>
      <c r="M219" s="79">
        <v>45</v>
      </c>
      <c r="N219" s="21"/>
      <c r="O219" s="21"/>
      <c r="P219" s="21"/>
      <c r="Q219" s="21"/>
      <c r="R219" s="22"/>
      <c r="S219" s="21"/>
      <c r="T219" s="21"/>
      <c r="U219" s="66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</row>
    <row r="220" spans="1:40" ht="14.25" hidden="1" customHeight="1">
      <c r="A220" s="21"/>
      <c r="B220" s="21"/>
      <c r="C220" s="59"/>
      <c r="D220" s="51"/>
      <c r="E220" s="51"/>
      <c r="F220" s="65"/>
      <c r="G220" s="97"/>
      <c r="H220" s="51"/>
      <c r="I220" s="21"/>
      <c r="J220" s="51"/>
      <c r="K220" s="56">
        <f t="shared" si="19"/>
        <v>2029</v>
      </c>
      <c r="L220" s="96" t="s">
        <v>191</v>
      </c>
      <c r="M220" s="79">
        <f t="shared" ref="M220" si="20">+M219</f>
        <v>45</v>
      </c>
      <c r="N220" s="21"/>
      <c r="O220" s="21"/>
      <c r="P220" s="21"/>
      <c r="Q220" s="21"/>
      <c r="R220" s="22"/>
      <c r="S220" s="21"/>
      <c r="T220" s="21"/>
      <c r="U220" s="66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</row>
    <row r="221" spans="1:40" ht="14.25" hidden="1" customHeight="1">
      <c r="A221" s="21"/>
      <c r="B221" s="21"/>
      <c r="C221" s="59"/>
      <c r="D221" s="51"/>
      <c r="E221" s="51"/>
      <c r="F221" s="65"/>
      <c r="G221" s="97"/>
      <c r="H221" s="51"/>
      <c r="I221" s="21"/>
      <c r="J221" s="51"/>
      <c r="K221" s="56">
        <f t="shared" si="19"/>
        <v>2030</v>
      </c>
      <c r="L221" s="96" t="s">
        <v>370</v>
      </c>
      <c r="M221" s="79">
        <v>120</v>
      </c>
      <c r="N221" s="21"/>
      <c r="O221" s="21"/>
      <c r="P221" s="21"/>
      <c r="Q221" s="21"/>
      <c r="R221" s="22"/>
      <c r="S221" s="21"/>
      <c r="T221" s="21"/>
      <c r="U221" s="66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</row>
    <row r="222" spans="1:40" ht="14.25" hidden="1" customHeight="1">
      <c r="A222" s="21"/>
      <c r="B222" s="21"/>
      <c r="C222" s="59"/>
      <c r="D222" s="51"/>
      <c r="E222" s="51"/>
      <c r="F222" s="65"/>
      <c r="G222" s="97"/>
      <c r="H222" s="51"/>
      <c r="I222" s="21"/>
      <c r="J222" s="51"/>
      <c r="K222" s="56">
        <f t="shared" si="19"/>
        <v>2031</v>
      </c>
      <c r="L222" s="96" t="s">
        <v>370</v>
      </c>
      <c r="M222" s="79">
        <v>120</v>
      </c>
      <c r="N222" s="21"/>
      <c r="O222" s="21"/>
      <c r="P222" s="21"/>
      <c r="Q222" s="21"/>
      <c r="R222" s="22"/>
      <c r="S222" s="21"/>
      <c r="T222" s="21"/>
      <c r="U222" s="66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</row>
    <row r="223" spans="1:40" ht="14.25" hidden="1" customHeight="1">
      <c r="A223" s="21"/>
      <c r="B223" s="21"/>
      <c r="C223" s="59"/>
      <c r="D223" s="51"/>
      <c r="E223" s="51"/>
      <c r="F223" s="65"/>
      <c r="G223" s="97"/>
      <c r="H223" s="51"/>
      <c r="I223" s="21"/>
      <c r="J223" s="51"/>
      <c r="K223" s="56">
        <f t="shared" si="19"/>
        <v>2032</v>
      </c>
      <c r="L223" s="96" t="s">
        <v>370</v>
      </c>
      <c r="M223" s="79">
        <v>120</v>
      </c>
      <c r="N223" s="21"/>
      <c r="O223" s="21"/>
      <c r="P223" s="21"/>
      <c r="Q223" s="21"/>
      <c r="R223" s="22"/>
      <c r="S223" s="21"/>
      <c r="T223" s="21"/>
      <c r="U223" s="66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</row>
    <row r="224" spans="1:40" ht="14.25" hidden="1" customHeight="1">
      <c r="A224" s="21"/>
      <c r="B224" s="21"/>
      <c r="C224" s="59"/>
      <c r="D224" s="51"/>
      <c r="E224" s="51"/>
      <c r="F224" s="65"/>
      <c r="G224" s="97"/>
      <c r="H224" s="51"/>
      <c r="I224" s="21"/>
      <c r="J224" s="51"/>
      <c r="K224" s="56">
        <f t="shared" si="19"/>
        <v>2033</v>
      </c>
      <c r="L224" s="96" t="s">
        <v>370</v>
      </c>
      <c r="M224" s="79">
        <v>120</v>
      </c>
      <c r="N224" s="21"/>
      <c r="O224" s="21"/>
      <c r="P224" s="21"/>
      <c r="Q224" s="21"/>
      <c r="R224" s="22"/>
      <c r="S224" s="21"/>
      <c r="T224" s="21"/>
      <c r="U224" s="66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</row>
    <row r="225" spans="1:40" ht="13.5" customHeight="1">
      <c r="A225" s="21"/>
      <c r="B225" s="21"/>
      <c r="C225" s="59"/>
      <c r="D225" s="51"/>
      <c r="E225" s="51"/>
      <c r="F225" s="74"/>
      <c r="G225" s="51"/>
      <c r="H225" s="73"/>
      <c r="I225" s="73"/>
      <c r="J225" s="83"/>
      <c r="K225" s="51"/>
      <c r="L225" s="21"/>
      <c r="M225" s="59"/>
      <c r="N225" s="21"/>
      <c r="O225" s="21"/>
      <c r="P225" s="21"/>
      <c r="Q225" s="21"/>
      <c r="R225" s="22"/>
      <c r="S225" s="21"/>
      <c r="T225" s="21"/>
      <c r="U225" s="66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</row>
    <row r="226" spans="1:40" ht="14.25" customHeight="1">
      <c r="A226" s="21"/>
      <c r="B226" s="21"/>
      <c r="C226" s="59"/>
      <c r="D226" s="51"/>
      <c r="E226" s="51"/>
      <c r="F226" s="53" t="s">
        <v>467</v>
      </c>
      <c r="G226" s="95" t="s">
        <v>192</v>
      </c>
      <c r="H226" s="51"/>
      <c r="I226" s="55" t="s">
        <v>440</v>
      </c>
      <c r="J226" s="51"/>
      <c r="K226" s="52" t="s">
        <v>438</v>
      </c>
      <c r="L226" s="53" t="s">
        <v>439</v>
      </c>
      <c r="M226" s="54" t="s">
        <v>85</v>
      </c>
      <c r="N226" s="21"/>
      <c r="O226" s="21"/>
      <c r="P226" s="21"/>
      <c r="Q226" s="21"/>
      <c r="R226" s="22"/>
      <c r="S226" s="21"/>
      <c r="T226" s="21"/>
      <c r="U226" s="66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</row>
    <row r="227" spans="1:40" ht="14.25" customHeight="1">
      <c r="A227" s="21"/>
      <c r="B227" s="21"/>
      <c r="C227" s="59"/>
      <c r="D227" s="51"/>
      <c r="E227" s="51"/>
      <c r="F227" s="45">
        <f t="shared" ref="F227:F230" si="21">+F215</f>
        <v>44561</v>
      </c>
      <c r="G227" s="154">
        <f>IF(Historical!E13=0,"",IF(ISNUMBER(Historical!E95),Historical!E95,0))</f>
        <v>2.25</v>
      </c>
      <c r="H227" s="51"/>
      <c r="I227" s="21"/>
      <c r="J227" s="51"/>
      <c r="K227" s="56">
        <f t="shared" ref="K227:K236" si="22">+K215</f>
        <v>2024</v>
      </c>
      <c r="L227" s="96" t="s">
        <v>191</v>
      </c>
      <c r="M227" s="79">
        <v>60</v>
      </c>
      <c r="N227" s="21"/>
      <c r="O227" s="21"/>
      <c r="P227" s="21"/>
      <c r="Q227" s="21"/>
      <c r="R227" s="22"/>
      <c r="S227" s="21"/>
      <c r="T227" s="21"/>
      <c r="U227" s="66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</row>
    <row r="228" spans="1:40" ht="14.25" customHeight="1">
      <c r="A228" s="21"/>
      <c r="B228" s="21"/>
      <c r="C228" s="59"/>
      <c r="D228" s="51"/>
      <c r="E228" s="51"/>
      <c r="F228" s="45">
        <f t="shared" si="21"/>
        <v>44926</v>
      </c>
      <c r="G228" s="154">
        <f>IF(Historical!G13=0,"",IF(ISNUMBER(Historical!G95),Historical!G95,0))</f>
        <v>2.2266666666666666</v>
      </c>
      <c r="H228" s="51"/>
      <c r="I228" s="51"/>
      <c r="J228" s="51"/>
      <c r="K228" s="56">
        <f t="shared" si="22"/>
        <v>2025</v>
      </c>
      <c r="L228" s="96" t="s">
        <v>191</v>
      </c>
      <c r="M228" s="79">
        <v>60</v>
      </c>
      <c r="N228" s="21"/>
      <c r="O228" s="21"/>
      <c r="P228" s="21"/>
      <c r="Q228" s="21"/>
      <c r="R228" s="22"/>
      <c r="S228" s="21"/>
      <c r="T228" s="21"/>
      <c r="U228" s="66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</row>
    <row r="229" spans="1:40" ht="14.25" customHeight="1">
      <c r="A229" s="21"/>
      <c r="B229" s="21"/>
      <c r="C229" s="59"/>
      <c r="D229" s="51"/>
      <c r="E229" s="51"/>
      <c r="F229" s="45">
        <f t="shared" si="21"/>
        <v>45291</v>
      </c>
      <c r="G229" s="154">
        <f>IF(Historical!I13=0,"",IF(ISNUMBER(Historical!I95),Historical!I95,0))</f>
        <v>2.2039024390243904</v>
      </c>
      <c r="H229" s="51"/>
      <c r="I229" s="51"/>
      <c r="J229" s="51"/>
      <c r="K229" s="56">
        <f t="shared" si="22"/>
        <v>2026</v>
      </c>
      <c r="L229" s="96" t="s">
        <v>191</v>
      </c>
      <c r="M229" s="79">
        <v>60</v>
      </c>
      <c r="N229" s="21"/>
      <c r="O229" s="21"/>
      <c r="P229" s="21"/>
      <c r="Q229" s="21"/>
      <c r="R229" s="22"/>
      <c r="S229" s="21"/>
      <c r="T229" s="21"/>
      <c r="U229" s="66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</row>
    <row r="230" spans="1:40" ht="14.25" customHeight="1">
      <c r="A230" s="21"/>
      <c r="B230" s="21"/>
      <c r="C230" s="59"/>
      <c r="D230" s="51"/>
      <c r="E230" s="51"/>
      <c r="F230" s="45">
        <f t="shared" si="21"/>
        <v>45473</v>
      </c>
      <c r="G230" s="154">
        <f>+Historical!K95</f>
        <v>1.006</v>
      </c>
      <c r="H230" s="51"/>
      <c r="I230" s="51"/>
      <c r="J230" s="51"/>
      <c r="K230" s="56">
        <f t="shared" si="22"/>
        <v>2027</v>
      </c>
      <c r="L230" s="96" t="s">
        <v>191</v>
      </c>
      <c r="M230" s="79">
        <v>60</v>
      </c>
      <c r="N230" s="21"/>
      <c r="O230" s="21"/>
      <c r="P230" s="21"/>
      <c r="Q230" s="21"/>
      <c r="R230" s="22"/>
      <c r="S230" s="21"/>
      <c r="T230" s="21"/>
      <c r="U230" s="66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</row>
    <row r="231" spans="1:40" ht="14.25" customHeight="1">
      <c r="A231" s="21"/>
      <c r="B231" s="21"/>
      <c r="C231" s="59"/>
      <c r="D231" s="51"/>
      <c r="E231" s="51"/>
      <c r="F231" s="53" t="s">
        <v>442</v>
      </c>
      <c r="G231" s="154">
        <f>+AVERAGE(G227:G230)</f>
        <v>1.9216422764227643</v>
      </c>
      <c r="H231" s="51"/>
      <c r="I231" s="21"/>
      <c r="J231" s="51"/>
      <c r="K231" s="56">
        <f t="shared" si="22"/>
        <v>2028</v>
      </c>
      <c r="L231" s="96" t="s">
        <v>191</v>
      </c>
      <c r="M231" s="79">
        <v>60</v>
      </c>
      <c r="N231" s="21"/>
      <c r="O231" s="21"/>
      <c r="P231" s="21"/>
      <c r="Q231" s="21"/>
      <c r="R231" s="22"/>
      <c r="S231" s="21"/>
      <c r="T231" s="21"/>
      <c r="U231" s="66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</row>
    <row r="232" spans="1:40" ht="14.25" hidden="1" customHeight="1">
      <c r="A232" s="21"/>
      <c r="B232" s="21"/>
      <c r="C232" s="59"/>
      <c r="D232" s="51"/>
      <c r="E232" s="51"/>
      <c r="F232" s="65"/>
      <c r="G232" s="97"/>
      <c r="H232" s="51"/>
      <c r="I232" s="21"/>
      <c r="J232" s="51"/>
      <c r="K232" s="56">
        <f t="shared" si="22"/>
        <v>2029</v>
      </c>
      <c r="L232" s="96" t="s">
        <v>370</v>
      </c>
      <c r="M232" s="79">
        <v>7</v>
      </c>
      <c r="N232" s="21"/>
      <c r="O232" s="21"/>
      <c r="P232" s="21"/>
      <c r="Q232" s="21"/>
      <c r="R232" s="22"/>
      <c r="S232" s="21"/>
      <c r="T232" s="21"/>
      <c r="U232" s="66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</row>
    <row r="233" spans="1:40" ht="14.25" hidden="1" customHeight="1">
      <c r="A233" s="21"/>
      <c r="B233" s="21"/>
      <c r="C233" s="59"/>
      <c r="D233" s="51"/>
      <c r="E233" s="51"/>
      <c r="F233" s="65"/>
      <c r="G233" s="97"/>
      <c r="H233" s="51"/>
      <c r="I233" s="21"/>
      <c r="J233" s="51"/>
      <c r="K233" s="56">
        <f t="shared" si="22"/>
        <v>2030</v>
      </c>
      <c r="L233" s="96" t="s">
        <v>370</v>
      </c>
      <c r="M233" s="79">
        <v>7</v>
      </c>
      <c r="N233" s="21"/>
      <c r="O233" s="21"/>
      <c r="P233" s="21"/>
      <c r="Q233" s="21"/>
      <c r="R233" s="22"/>
      <c r="S233" s="21"/>
      <c r="T233" s="21"/>
      <c r="U233" s="66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</row>
    <row r="234" spans="1:40" ht="14.25" hidden="1" customHeight="1">
      <c r="A234" s="21"/>
      <c r="B234" s="21"/>
      <c r="C234" s="59"/>
      <c r="D234" s="51"/>
      <c r="E234" s="51"/>
      <c r="F234" s="65"/>
      <c r="G234" s="97"/>
      <c r="H234" s="51"/>
      <c r="I234" s="21"/>
      <c r="J234" s="51"/>
      <c r="K234" s="56">
        <f t="shared" si="22"/>
        <v>2031</v>
      </c>
      <c r="L234" s="96" t="s">
        <v>370</v>
      </c>
      <c r="M234" s="79">
        <v>7</v>
      </c>
      <c r="N234" s="21"/>
      <c r="O234" s="21"/>
      <c r="P234" s="21"/>
      <c r="Q234" s="21"/>
      <c r="R234" s="22"/>
      <c r="S234" s="21"/>
      <c r="T234" s="21"/>
      <c r="U234" s="66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</row>
    <row r="235" spans="1:40" ht="14.25" hidden="1" customHeight="1">
      <c r="A235" s="21"/>
      <c r="B235" s="21"/>
      <c r="C235" s="59"/>
      <c r="D235" s="51"/>
      <c r="E235" s="51"/>
      <c r="F235" s="65"/>
      <c r="G235" s="97"/>
      <c r="H235" s="51"/>
      <c r="I235" s="21"/>
      <c r="J235" s="51"/>
      <c r="K235" s="56">
        <f t="shared" si="22"/>
        <v>2032</v>
      </c>
      <c r="L235" s="96" t="s">
        <v>370</v>
      </c>
      <c r="M235" s="79">
        <v>7</v>
      </c>
      <c r="N235" s="21"/>
      <c r="O235" s="21"/>
      <c r="P235" s="21"/>
      <c r="Q235" s="21"/>
      <c r="R235" s="22"/>
      <c r="S235" s="21"/>
      <c r="T235" s="21"/>
      <c r="U235" s="66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</row>
    <row r="236" spans="1:40" ht="14.25" hidden="1" customHeight="1">
      <c r="A236" s="21"/>
      <c r="B236" s="21"/>
      <c r="C236" s="59"/>
      <c r="D236" s="51"/>
      <c r="E236" s="51"/>
      <c r="F236" s="65"/>
      <c r="G236" s="97"/>
      <c r="H236" s="51"/>
      <c r="I236" s="21"/>
      <c r="J236" s="51"/>
      <c r="K236" s="56">
        <f t="shared" si="22"/>
        <v>2033</v>
      </c>
      <c r="L236" s="96" t="s">
        <v>370</v>
      </c>
      <c r="M236" s="79">
        <v>7</v>
      </c>
      <c r="N236" s="21"/>
      <c r="O236" s="21"/>
      <c r="P236" s="21"/>
      <c r="Q236" s="21"/>
      <c r="R236" s="22"/>
      <c r="S236" s="21"/>
      <c r="T236" s="21"/>
      <c r="U236" s="66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</row>
    <row r="237" spans="1:40" ht="13.5" customHeight="1">
      <c r="A237" s="21"/>
      <c r="B237" s="21"/>
      <c r="C237" s="59"/>
      <c r="D237" s="51"/>
      <c r="E237" s="51"/>
      <c r="F237" s="74"/>
      <c r="G237" s="51"/>
      <c r="H237" s="73"/>
      <c r="I237" s="73"/>
      <c r="J237" s="83"/>
      <c r="K237" s="51"/>
      <c r="L237" s="21"/>
      <c r="M237" s="59"/>
      <c r="N237" s="21"/>
      <c r="O237" s="21"/>
      <c r="P237" s="21"/>
      <c r="Q237" s="21"/>
      <c r="R237" s="22"/>
      <c r="S237" s="21"/>
      <c r="T237" s="21"/>
      <c r="U237" s="66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14.25" customHeight="1">
      <c r="A238" s="21"/>
      <c r="B238" s="21"/>
      <c r="C238" s="59"/>
      <c r="D238" s="51"/>
      <c r="E238" s="51"/>
      <c r="F238" s="53" t="s">
        <v>467</v>
      </c>
      <c r="G238" s="95" t="s">
        <v>194</v>
      </c>
      <c r="H238" s="51"/>
      <c r="I238" s="55" t="s">
        <v>440</v>
      </c>
      <c r="J238" s="51"/>
      <c r="K238" s="52" t="s">
        <v>438</v>
      </c>
      <c r="L238" s="53" t="s">
        <v>439</v>
      </c>
      <c r="M238" s="54" t="s">
        <v>85</v>
      </c>
      <c r="N238" s="21"/>
      <c r="O238" s="21"/>
      <c r="P238" s="21"/>
      <c r="Q238" s="21"/>
      <c r="R238" s="22"/>
      <c r="S238" s="21"/>
      <c r="T238" s="21"/>
      <c r="U238" s="66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spans="1:40" ht="14.25" customHeight="1">
      <c r="A239" s="21"/>
      <c r="B239" s="21"/>
      <c r="C239" s="59"/>
      <c r="D239" s="51"/>
      <c r="E239" s="51"/>
      <c r="F239" s="45">
        <f t="shared" ref="F239:F242" si="23">+F227</f>
        <v>44561</v>
      </c>
      <c r="G239" s="154">
        <f>IF(Historical!E13=0,"",IF(ISNUMBER(Historical!E96),Historical!E96,0))</f>
        <v>10.799999999999999</v>
      </c>
      <c r="H239" s="51"/>
      <c r="I239" s="21"/>
      <c r="J239" s="51"/>
      <c r="K239" s="56">
        <f t="shared" ref="K239:K248" si="24">+K227</f>
        <v>2024</v>
      </c>
      <c r="L239" s="96" t="s">
        <v>191</v>
      </c>
      <c r="M239" s="79">
        <v>5</v>
      </c>
      <c r="N239" s="21"/>
      <c r="O239" s="21"/>
      <c r="P239" s="21"/>
      <c r="Q239" s="21"/>
      <c r="R239" s="22"/>
      <c r="S239" s="21"/>
      <c r="T239" s="21"/>
      <c r="U239" s="66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</row>
    <row r="240" spans="1:40" ht="14.25" customHeight="1">
      <c r="A240" s="21"/>
      <c r="B240" s="21"/>
      <c r="C240" s="59"/>
      <c r="D240" s="51"/>
      <c r="E240" s="51"/>
      <c r="F240" s="45">
        <f t="shared" si="23"/>
        <v>44926</v>
      </c>
      <c r="G240" s="154">
        <f>IF(Historical!G13=0,"",IF(ISNUMBER(Historical!G96),Historical!G96,0))</f>
        <v>10.671111111111111</v>
      </c>
      <c r="H240" s="51"/>
      <c r="I240" s="51"/>
      <c r="J240" s="51"/>
      <c r="K240" s="56">
        <f t="shared" si="24"/>
        <v>2025</v>
      </c>
      <c r="L240" s="96" t="s">
        <v>191</v>
      </c>
      <c r="M240" s="79">
        <v>5</v>
      </c>
      <c r="N240" s="21"/>
      <c r="O240" s="21"/>
      <c r="P240" s="21"/>
      <c r="Q240" s="21"/>
      <c r="R240" s="22"/>
      <c r="S240" s="21"/>
      <c r="T240" s="21"/>
      <c r="U240" s="66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</row>
    <row r="241" spans="1:40" ht="14.25" customHeight="1">
      <c r="A241" s="21"/>
      <c r="B241" s="21"/>
      <c r="C241" s="59"/>
      <c r="D241" s="51"/>
      <c r="E241" s="51"/>
      <c r="F241" s="45">
        <f t="shared" si="23"/>
        <v>45291</v>
      </c>
      <c r="G241" s="154">
        <f>IF(Historical!I13=0,"",IF(ISNUMBER(Historical!I96),Historical!I96,0))</f>
        <v>10.545365853658538</v>
      </c>
      <c r="H241" s="51"/>
      <c r="I241" s="51"/>
      <c r="J241" s="51"/>
      <c r="K241" s="56">
        <f t="shared" si="24"/>
        <v>2026</v>
      </c>
      <c r="L241" s="96" t="s">
        <v>191</v>
      </c>
      <c r="M241" s="79">
        <v>5</v>
      </c>
      <c r="N241" s="21"/>
      <c r="O241" s="21"/>
      <c r="P241" s="21"/>
      <c r="Q241" s="21"/>
      <c r="R241" s="22"/>
      <c r="S241" s="21"/>
      <c r="T241" s="21"/>
      <c r="U241" s="66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</row>
    <row r="242" spans="1:40" ht="14.25" customHeight="1">
      <c r="A242" s="21"/>
      <c r="B242" s="21"/>
      <c r="C242" s="59"/>
      <c r="D242" s="51"/>
      <c r="E242" s="51"/>
      <c r="F242" s="45">
        <f t="shared" si="23"/>
        <v>45473</v>
      </c>
      <c r="G242" s="154">
        <f>+Historical!K96</f>
        <v>4.806</v>
      </c>
      <c r="H242" s="51"/>
      <c r="I242" s="51"/>
      <c r="J242" s="51"/>
      <c r="K242" s="56">
        <f t="shared" si="24"/>
        <v>2027</v>
      </c>
      <c r="L242" s="96" t="s">
        <v>191</v>
      </c>
      <c r="M242" s="79">
        <v>5</v>
      </c>
      <c r="N242" s="21"/>
      <c r="O242" s="21"/>
      <c r="P242" s="21"/>
      <c r="Q242" s="21"/>
      <c r="R242" s="22"/>
      <c r="S242" s="21"/>
      <c r="T242" s="21"/>
      <c r="U242" s="66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</row>
    <row r="243" spans="1:40" ht="14.25" customHeight="1">
      <c r="A243" s="21"/>
      <c r="B243" s="21"/>
      <c r="C243" s="59"/>
      <c r="D243" s="51"/>
      <c r="E243" s="51"/>
      <c r="F243" s="53" t="s">
        <v>464</v>
      </c>
      <c r="G243" s="154">
        <f>+AVERAGE(G239:G242)</f>
        <v>9.2056192411924123</v>
      </c>
      <c r="H243" s="51"/>
      <c r="I243" s="21"/>
      <c r="J243" s="51"/>
      <c r="K243" s="56">
        <f t="shared" si="24"/>
        <v>2028</v>
      </c>
      <c r="L243" s="96" t="s">
        <v>191</v>
      </c>
      <c r="M243" s="79">
        <v>5</v>
      </c>
      <c r="N243" s="21"/>
      <c r="O243" s="21"/>
      <c r="P243" s="21"/>
      <c r="Q243" s="21"/>
      <c r="R243" s="22"/>
      <c r="S243" s="21"/>
      <c r="T243" s="21"/>
      <c r="U243" s="66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</row>
    <row r="244" spans="1:40" ht="14.25" hidden="1" customHeight="1">
      <c r="A244" s="21"/>
      <c r="B244" s="21"/>
      <c r="C244" s="59"/>
      <c r="D244" s="21"/>
      <c r="E244" s="51"/>
      <c r="F244" s="74"/>
      <c r="G244" s="51"/>
      <c r="H244" s="73"/>
      <c r="I244" s="73"/>
      <c r="J244" s="68"/>
      <c r="K244" s="56">
        <f t="shared" si="24"/>
        <v>2029</v>
      </c>
      <c r="L244" s="96" t="s">
        <v>370</v>
      </c>
      <c r="M244" s="79">
        <v>70</v>
      </c>
      <c r="N244" s="21"/>
      <c r="O244" s="21"/>
      <c r="P244" s="21"/>
      <c r="Q244" s="21"/>
      <c r="R244" s="22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</row>
    <row r="245" spans="1:40" ht="14.25" hidden="1" customHeight="1">
      <c r="A245" s="21"/>
      <c r="B245" s="21"/>
      <c r="C245" s="59"/>
      <c r="D245" s="21"/>
      <c r="E245" s="51"/>
      <c r="F245" s="74"/>
      <c r="G245" s="51"/>
      <c r="H245" s="73"/>
      <c r="I245" s="73"/>
      <c r="J245" s="68"/>
      <c r="K245" s="56">
        <f t="shared" si="24"/>
        <v>2030</v>
      </c>
      <c r="L245" s="96" t="s">
        <v>370</v>
      </c>
      <c r="M245" s="79">
        <v>70</v>
      </c>
      <c r="N245" s="21"/>
      <c r="O245" s="21"/>
      <c r="P245" s="21"/>
      <c r="Q245" s="21"/>
      <c r="R245" s="22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</row>
    <row r="246" spans="1:40" ht="14.25" hidden="1" customHeight="1">
      <c r="A246" s="21"/>
      <c r="B246" s="21"/>
      <c r="C246" s="59"/>
      <c r="D246" s="21"/>
      <c r="E246" s="51"/>
      <c r="F246" s="74"/>
      <c r="G246" s="51"/>
      <c r="H246" s="73"/>
      <c r="I246" s="73"/>
      <c r="J246" s="68"/>
      <c r="K246" s="56">
        <f t="shared" si="24"/>
        <v>2031</v>
      </c>
      <c r="L246" s="96" t="s">
        <v>370</v>
      </c>
      <c r="M246" s="79">
        <v>70</v>
      </c>
      <c r="N246" s="21"/>
      <c r="O246" s="21"/>
      <c r="P246" s="21"/>
      <c r="Q246" s="21"/>
      <c r="R246" s="22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</row>
    <row r="247" spans="1:40" ht="14.25" hidden="1" customHeight="1">
      <c r="A247" s="21"/>
      <c r="B247" s="21"/>
      <c r="C247" s="59"/>
      <c r="D247" s="21"/>
      <c r="E247" s="51"/>
      <c r="F247" s="74"/>
      <c r="G247" s="51"/>
      <c r="H247" s="73"/>
      <c r="I247" s="73"/>
      <c r="J247" s="68"/>
      <c r="K247" s="56">
        <f t="shared" si="24"/>
        <v>2032</v>
      </c>
      <c r="L247" s="96" t="s">
        <v>370</v>
      </c>
      <c r="M247" s="79">
        <v>70</v>
      </c>
      <c r="N247" s="21"/>
      <c r="O247" s="21"/>
      <c r="P247" s="21"/>
      <c r="Q247" s="21"/>
      <c r="R247" s="22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</row>
    <row r="248" spans="1:40" ht="14.25" hidden="1" customHeight="1">
      <c r="A248" s="21"/>
      <c r="B248" s="21"/>
      <c r="C248" s="59"/>
      <c r="D248" s="21"/>
      <c r="E248" s="51"/>
      <c r="F248" s="74"/>
      <c r="G248" s="51"/>
      <c r="H248" s="73"/>
      <c r="I248" s="73"/>
      <c r="J248" s="68"/>
      <c r="K248" s="56">
        <f t="shared" si="24"/>
        <v>2033</v>
      </c>
      <c r="L248" s="96" t="s">
        <v>370</v>
      </c>
      <c r="M248" s="79">
        <v>70</v>
      </c>
      <c r="N248" s="21"/>
      <c r="O248" s="21"/>
      <c r="P248" s="21"/>
      <c r="Q248" s="21"/>
      <c r="R248" s="22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</row>
    <row r="249" spans="1:40" ht="13.5" customHeight="1">
      <c r="A249" s="21"/>
      <c r="B249" s="21"/>
      <c r="C249" s="59"/>
      <c r="D249" s="25"/>
      <c r="E249" s="51"/>
      <c r="F249" s="74"/>
      <c r="G249" s="51"/>
      <c r="H249" s="73"/>
      <c r="I249" s="73"/>
      <c r="J249" s="68"/>
      <c r="K249" s="77"/>
      <c r="L249" s="59"/>
      <c r="M249" s="59"/>
      <c r="N249" s="21"/>
      <c r="O249" s="21"/>
      <c r="P249" s="21"/>
      <c r="Q249" s="21"/>
      <c r="R249" s="22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</row>
    <row r="250" spans="1:40" ht="14.25" customHeight="1">
      <c r="A250" s="21"/>
      <c r="B250" s="21"/>
      <c r="C250" s="59"/>
      <c r="D250" s="60">
        <v>5</v>
      </c>
      <c r="E250" s="60" t="s">
        <v>489</v>
      </c>
      <c r="F250" s="55"/>
      <c r="G250" s="51"/>
      <c r="H250" s="73"/>
      <c r="I250" s="73"/>
      <c r="J250" s="98"/>
      <c r="K250" s="77"/>
      <c r="L250" s="59"/>
      <c r="M250" s="59"/>
      <c r="N250" s="21"/>
      <c r="O250" s="21"/>
      <c r="P250" s="21"/>
      <c r="Q250" s="21"/>
      <c r="R250" s="22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</row>
    <row r="251" spans="1:40" ht="14.25" customHeight="1">
      <c r="A251" s="21"/>
      <c r="B251" s="21"/>
      <c r="C251" s="59"/>
      <c r="D251" s="21"/>
      <c r="E251" s="51"/>
      <c r="F251" s="577" t="s">
        <v>490</v>
      </c>
      <c r="G251" s="99" t="s">
        <v>86</v>
      </c>
      <c r="H251" s="578">
        <v>1</v>
      </c>
      <c r="I251" s="100"/>
      <c r="J251" s="101"/>
      <c r="K251" s="77"/>
      <c r="L251" s="59"/>
      <c r="M251" s="59"/>
      <c r="N251" s="21"/>
      <c r="O251" s="21"/>
      <c r="P251" s="21"/>
      <c r="Q251" s="21"/>
      <c r="R251" s="22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</row>
    <row r="252" spans="1:40" ht="14.25" customHeight="1">
      <c r="A252" s="21"/>
      <c r="B252" s="21"/>
      <c r="C252" s="59"/>
      <c r="D252" s="21"/>
      <c r="E252" s="51"/>
      <c r="F252" s="102" t="s">
        <v>491</v>
      </c>
      <c r="G252" s="103" t="s">
        <v>86</v>
      </c>
      <c r="H252" s="104">
        <v>0.6</v>
      </c>
      <c r="I252" s="100"/>
      <c r="J252" s="101">
        <f>H252*CF!I62</f>
        <v>60000</v>
      </c>
      <c r="K252" s="77"/>
      <c r="L252" s="59"/>
      <c r="M252" s="59"/>
      <c r="N252" s="21"/>
      <c r="O252" s="21"/>
      <c r="P252" s="21"/>
      <c r="Q252" s="21"/>
      <c r="R252" s="22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</row>
    <row r="253" spans="1:40" ht="14.25" customHeight="1">
      <c r="A253" s="21"/>
      <c r="B253" s="21"/>
      <c r="C253" s="59"/>
      <c r="D253" s="21"/>
      <c r="E253" s="51"/>
      <c r="F253" s="105" t="s">
        <v>492</v>
      </c>
      <c r="G253" s="106" t="s">
        <v>86</v>
      </c>
      <c r="H253" s="579">
        <f>+H251-H252</f>
        <v>0.4</v>
      </c>
      <c r="I253" s="100"/>
      <c r="J253" s="101"/>
      <c r="K253" s="77"/>
      <c r="L253" s="59"/>
      <c r="M253" s="59"/>
      <c r="N253" s="21"/>
      <c r="O253" s="21"/>
      <c r="P253" s="21"/>
      <c r="Q253" s="21"/>
      <c r="R253" s="22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</row>
    <row r="254" spans="1:40" ht="13.5" customHeight="1">
      <c r="A254" s="21"/>
      <c r="B254" s="21"/>
      <c r="C254" s="59"/>
      <c r="D254" s="21"/>
      <c r="E254" s="51"/>
      <c r="F254" s="19"/>
      <c r="G254" s="20"/>
      <c r="H254" s="107"/>
      <c r="I254" s="100"/>
      <c r="J254" s="101"/>
      <c r="K254" s="77"/>
      <c r="L254" s="59"/>
      <c r="M254" s="59"/>
      <c r="N254" s="21"/>
      <c r="O254" s="21"/>
      <c r="P254" s="21"/>
      <c r="Q254" s="21"/>
      <c r="R254" s="22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</row>
    <row r="255" spans="1:40" ht="17.25" hidden="1" customHeight="1">
      <c r="A255" s="21"/>
      <c r="B255" s="21"/>
      <c r="C255" s="59"/>
      <c r="D255" s="21"/>
      <c r="E255" s="51"/>
      <c r="F255" s="108" t="s">
        <v>493</v>
      </c>
      <c r="G255" s="109"/>
      <c r="H255" s="107" t="s">
        <v>494</v>
      </c>
      <c r="I255" s="100"/>
      <c r="J255" s="101"/>
      <c r="K255" s="77"/>
      <c r="L255" s="59"/>
      <c r="M255" s="59"/>
      <c r="N255" s="21"/>
      <c r="O255" s="21"/>
      <c r="P255" s="21"/>
      <c r="Q255" s="21"/>
      <c r="R255" s="22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</row>
    <row r="256" spans="1:40" ht="13.5" customHeight="1">
      <c r="A256" s="21"/>
      <c r="B256" s="21"/>
      <c r="C256" s="59"/>
      <c r="D256" s="21"/>
      <c r="E256" s="51"/>
      <c r="F256" s="74"/>
      <c r="G256" s="51"/>
      <c r="H256" s="73"/>
      <c r="I256" s="100"/>
      <c r="J256" s="68"/>
      <c r="K256" s="77"/>
      <c r="L256" s="59"/>
      <c r="M256" s="59"/>
      <c r="N256" s="21"/>
      <c r="O256" s="21"/>
      <c r="P256" s="21"/>
      <c r="Q256" s="21"/>
      <c r="R256" s="22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</row>
    <row r="257" spans="1:40" ht="14.25" customHeight="1">
      <c r="A257" s="21"/>
      <c r="B257" s="21"/>
      <c r="C257" s="59"/>
      <c r="D257" s="21"/>
      <c r="E257" s="108" t="s">
        <v>495</v>
      </c>
      <c r="F257" s="74"/>
      <c r="G257" s="51"/>
      <c r="H257" s="73"/>
      <c r="I257" s="100"/>
      <c r="J257" s="98"/>
      <c r="K257" s="77"/>
      <c r="L257" s="59"/>
      <c r="M257" s="59"/>
      <c r="N257" s="21"/>
      <c r="O257" s="21"/>
      <c r="P257" s="21"/>
      <c r="Q257" s="21"/>
      <c r="R257" s="22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</row>
    <row r="258" spans="1:40" ht="28.5" customHeight="1">
      <c r="A258" s="21"/>
      <c r="B258" s="21"/>
      <c r="C258" s="59"/>
      <c r="D258" s="21"/>
      <c r="E258" s="51"/>
      <c r="F258" s="580" t="s">
        <v>138</v>
      </c>
      <c r="G258" s="110" t="s">
        <v>86</v>
      </c>
      <c r="H258" s="111">
        <v>0.25</v>
      </c>
      <c r="I258" s="22"/>
      <c r="J258" s="69"/>
      <c r="K258" s="21"/>
      <c r="L258" s="59"/>
      <c r="M258" s="59"/>
      <c r="N258" s="21"/>
      <c r="O258" s="21"/>
      <c r="P258" s="21"/>
      <c r="Q258" s="21"/>
      <c r="R258" s="22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</row>
    <row r="259" spans="1:40" ht="14.25" customHeight="1">
      <c r="A259" s="21"/>
      <c r="B259" s="21"/>
      <c r="C259" s="59"/>
      <c r="D259" s="21"/>
      <c r="E259" s="51"/>
      <c r="F259" s="581" t="s">
        <v>496</v>
      </c>
      <c r="G259" s="582" t="s">
        <v>86</v>
      </c>
      <c r="H259" s="112">
        <v>0.35</v>
      </c>
      <c r="I259" s="22"/>
      <c r="J259" s="69"/>
      <c r="K259" s="21"/>
      <c r="L259" s="59"/>
      <c r="M259" s="59"/>
      <c r="N259" s="21"/>
      <c r="O259" s="21"/>
      <c r="P259" s="21"/>
      <c r="Q259" s="21"/>
      <c r="R259" s="22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</row>
    <row r="260" spans="1:40" ht="14.25" customHeight="1">
      <c r="A260" s="21"/>
      <c r="B260" s="21"/>
      <c r="C260" s="59"/>
      <c r="D260" s="21"/>
      <c r="E260" s="51"/>
      <c r="F260" s="113" t="s">
        <v>497</v>
      </c>
      <c r="G260" s="114" t="s">
        <v>86</v>
      </c>
      <c r="H260" s="583">
        <f>100%-H258-H259</f>
        <v>0.4</v>
      </c>
      <c r="I260" s="22"/>
      <c r="J260" s="69"/>
      <c r="K260" s="21"/>
      <c r="L260" s="59"/>
      <c r="M260" s="59"/>
      <c r="N260" s="21"/>
      <c r="O260" s="21"/>
      <c r="P260" s="21"/>
      <c r="Q260" s="21"/>
      <c r="R260" s="22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</row>
    <row r="261" spans="1:40" ht="13.5" customHeight="1">
      <c r="A261" s="21"/>
      <c r="B261" s="21"/>
      <c r="C261" s="59"/>
      <c r="D261" s="21"/>
      <c r="E261" s="51"/>
      <c r="F261" s="74"/>
      <c r="G261" s="51"/>
      <c r="H261" s="73"/>
      <c r="I261" s="73"/>
      <c r="J261" s="68"/>
      <c r="K261" s="77"/>
      <c r="L261" s="59"/>
      <c r="M261" s="59"/>
      <c r="N261" s="21"/>
      <c r="O261" s="21"/>
      <c r="P261" s="21"/>
      <c r="Q261" s="21"/>
      <c r="R261" s="22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</row>
    <row r="262" spans="1:40" ht="14.25" customHeight="1">
      <c r="A262" s="21"/>
      <c r="B262" s="21"/>
      <c r="C262" s="59"/>
      <c r="D262" s="60">
        <v>6</v>
      </c>
      <c r="E262" s="60" t="s">
        <v>498</v>
      </c>
      <c r="F262" s="73"/>
      <c r="G262" s="21"/>
      <c r="H262" s="21"/>
      <c r="I262" s="21"/>
      <c r="J262" s="71"/>
      <c r="K262" s="68"/>
      <c r="L262" s="77"/>
      <c r="M262" s="101"/>
      <c r="N262" s="21"/>
      <c r="O262" s="21"/>
      <c r="P262" s="21"/>
      <c r="Q262" s="21"/>
      <c r="R262" s="22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</row>
    <row r="263" spans="1:40" ht="14.25" customHeight="1">
      <c r="A263" s="21"/>
      <c r="B263" s="21"/>
      <c r="C263" s="59"/>
      <c r="D263" s="51"/>
      <c r="E263" s="51"/>
      <c r="F263" s="115" t="s">
        <v>499</v>
      </c>
      <c r="G263" s="21"/>
      <c r="H263" s="21"/>
      <c r="I263" s="21"/>
      <c r="J263" s="71"/>
      <c r="K263" s="68"/>
      <c r="L263" s="77"/>
      <c r="M263" s="101"/>
      <c r="N263" s="21"/>
      <c r="O263" s="21"/>
      <c r="P263" s="21"/>
      <c r="Q263" s="21"/>
      <c r="R263" s="22"/>
      <c r="S263" s="21"/>
      <c r="T263" s="21"/>
      <c r="U263" s="21"/>
      <c r="V263" s="21"/>
      <c r="W263" s="116">
        <f>+IF(SUM(Y266:Y280)=0,H266,SUM(Y266:Y280))</f>
        <v>0.11024354603019972</v>
      </c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</row>
    <row r="264" spans="1:40" ht="7.5" customHeight="1">
      <c r="A264" s="21"/>
      <c r="B264" s="21"/>
      <c r="C264" s="59"/>
      <c r="D264" s="51"/>
      <c r="E264" s="51"/>
      <c r="F264" s="73"/>
      <c r="G264" s="117"/>
      <c r="H264" s="21"/>
      <c r="I264" s="21"/>
      <c r="J264" s="71"/>
      <c r="K264" s="68"/>
      <c r="L264" s="77"/>
      <c r="M264" s="101"/>
      <c r="N264" s="21"/>
      <c r="O264" s="21"/>
      <c r="P264" s="21"/>
      <c r="Q264" s="21"/>
      <c r="R264" s="22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</row>
    <row r="265" spans="1:40" ht="14.25" customHeight="1">
      <c r="A265" s="21"/>
      <c r="B265" s="21"/>
      <c r="C265" s="59"/>
      <c r="D265" s="51"/>
      <c r="E265" s="51"/>
      <c r="F265" s="118" t="s">
        <v>500</v>
      </c>
      <c r="G265" s="119" t="str">
        <f>+"Current Outs ("&amp;+G8&amp;")"</f>
        <v>Current Outs (IDR Million)</v>
      </c>
      <c r="H265" s="120" t="s">
        <v>501</v>
      </c>
      <c r="I265" s="21"/>
      <c r="J265" s="71"/>
      <c r="K265" s="68"/>
      <c r="L265" s="77"/>
      <c r="M265" s="101"/>
      <c r="N265" s="21"/>
      <c r="O265" s="21"/>
      <c r="P265" s="21"/>
      <c r="Q265" s="21"/>
      <c r="R265" s="22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</row>
    <row r="266" spans="1:40" ht="14.25" customHeight="1">
      <c r="A266" s="21"/>
      <c r="B266" s="21"/>
      <c r="C266" s="59"/>
      <c r="D266" s="51"/>
      <c r="E266" s="51"/>
      <c r="F266" s="584" t="s">
        <v>502</v>
      </c>
      <c r="G266" s="121">
        <f>+Projection!H28-SUM(G267:G270)</f>
        <v>2003</v>
      </c>
      <c r="H266" s="122">
        <v>0.1</v>
      </c>
      <c r="I266" s="21"/>
      <c r="J266" s="123" t="str">
        <f>+IF(OR(G266&lt;0,G270&lt;0),"Input kembali data kredit jangka pendek, BNI 1, Bank 1 min bernilai 0","")</f>
        <v/>
      </c>
      <c r="K266" s="68"/>
      <c r="L266" s="77"/>
      <c r="M266" s="101"/>
      <c r="N266" s="21"/>
      <c r="O266" s="21"/>
      <c r="P266" s="21"/>
      <c r="Q266" s="21"/>
      <c r="R266" s="22"/>
      <c r="S266" s="21"/>
      <c r="T266" s="21"/>
      <c r="U266" s="21"/>
      <c r="V266" s="21"/>
      <c r="W266" s="124">
        <f t="shared" ref="W266:W280" si="25">+IF(SUM($G$266:$G$280)=0,0,G266/SUM($G$266:$G$280))</f>
        <v>0.48782269849001464</v>
      </c>
      <c r="X266" s="21">
        <f t="shared" ref="X266:X280" si="26">+H266</f>
        <v>0.1</v>
      </c>
      <c r="Y266" s="21">
        <f t="shared" ref="Y266:Y280" si="27">+W266*X266</f>
        <v>4.8782269849001469E-2</v>
      </c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</row>
    <row r="267" spans="1:40" ht="14.25" customHeight="1">
      <c r="A267" s="21"/>
      <c r="B267" s="21"/>
      <c r="C267" s="59"/>
      <c r="D267" s="51"/>
      <c r="E267" s="51"/>
      <c r="F267" s="584" t="s">
        <v>503</v>
      </c>
      <c r="G267" s="125">
        <v>0</v>
      </c>
      <c r="H267" s="122">
        <v>0</v>
      </c>
      <c r="I267" s="21"/>
      <c r="J267" s="71"/>
      <c r="K267" s="68"/>
      <c r="L267" s="77"/>
      <c r="M267" s="101"/>
      <c r="N267" s="21"/>
      <c r="O267" s="21"/>
      <c r="P267" s="21"/>
      <c r="Q267" s="21"/>
      <c r="R267" s="22"/>
      <c r="S267" s="21"/>
      <c r="T267" s="21"/>
      <c r="U267" s="21"/>
      <c r="V267" s="21"/>
      <c r="W267" s="124">
        <f t="shared" si="25"/>
        <v>0</v>
      </c>
      <c r="X267" s="21">
        <f t="shared" si="26"/>
        <v>0</v>
      </c>
      <c r="Y267" s="21">
        <f t="shared" si="27"/>
        <v>0</v>
      </c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</row>
    <row r="268" spans="1:40" ht="14.25" customHeight="1">
      <c r="A268" s="21"/>
      <c r="B268" s="21"/>
      <c r="C268" s="59"/>
      <c r="D268" s="51"/>
      <c r="E268" s="51"/>
      <c r="F268" s="584" t="s">
        <v>504</v>
      </c>
      <c r="G268" s="125">
        <v>0</v>
      </c>
      <c r="H268" s="122">
        <v>0</v>
      </c>
      <c r="I268" s="21"/>
      <c r="J268" s="71"/>
      <c r="K268" s="68"/>
      <c r="L268" s="77"/>
      <c r="M268" s="101"/>
      <c r="N268" s="21"/>
      <c r="O268" s="21"/>
      <c r="P268" s="21"/>
      <c r="Q268" s="21"/>
      <c r="R268" s="22"/>
      <c r="S268" s="21"/>
      <c r="T268" s="21"/>
      <c r="U268" s="21"/>
      <c r="V268" s="21"/>
      <c r="W268" s="124">
        <f t="shared" si="25"/>
        <v>0</v>
      </c>
      <c r="X268" s="21">
        <f t="shared" si="26"/>
        <v>0</v>
      </c>
      <c r="Y268" s="21">
        <f t="shared" si="27"/>
        <v>0</v>
      </c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</row>
    <row r="269" spans="1:40" ht="14.25" customHeight="1">
      <c r="A269" s="21"/>
      <c r="B269" s="21"/>
      <c r="C269" s="59"/>
      <c r="D269" s="51"/>
      <c r="E269" s="51"/>
      <c r="F269" s="584" t="s">
        <v>505</v>
      </c>
      <c r="G269" s="125">
        <v>0</v>
      </c>
      <c r="H269" s="122">
        <v>0</v>
      </c>
      <c r="I269" s="21"/>
      <c r="J269" s="71"/>
      <c r="K269" s="68"/>
      <c r="L269" s="77"/>
      <c r="M269" s="101"/>
      <c r="N269" s="21"/>
      <c r="O269" s="21"/>
      <c r="P269" s="21"/>
      <c r="Q269" s="21"/>
      <c r="R269" s="22"/>
      <c r="S269" s="21"/>
      <c r="T269" s="21"/>
      <c r="U269" s="21"/>
      <c r="V269" s="21"/>
      <c r="W269" s="124">
        <f t="shared" si="25"/>
        <v>0</v>
      </c>
      <c r="X269" s="21">
        <f t="shared" si="26"/>
        <v>0</v>
      </c>
      <c r="Y269" s="21">
        <f t="shared" si="27"/>
        <v>0</v>
      </c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</row>
    <row r="270" spans="1:40" ht="14.25" customHeight="1">
      <c r="A270" s="21"/>
      <c r="B270" s="21"/>
      <c r="C270" s="59"/>
      <c r="D270" s="51"/>
      <c r="E270" s="51"/>
      <c r="F270" s="126" t="s">
        <v>506</v>
      </c>
      <c r="G270" s="125">
        <v>0</v>
      </c>
      <c r="H270" s="122">
        <v>0</v>
      </c>
      <c r="I270" s="21"/>
      <c r="J270" s="71"/>
      <c r="K270" s="68"/>
      <c r="L270" s="77"/>
      <c r="M270" s="101"/>
      <c r="N270" s="21"/>
      <c r="O270" s="21"/>
      <c r="P270" s="21"/>
      <c r="Q270" s="21"/>
      <c r="R270" s="22"/>
      <c r="S270" s="21"/>
      <c r="T270" s="21"/>
      <c r="U270" s="21"/>
      <c r="V270" s="21"/>
      <c r="W270" s="124">
        <f t="shared" si="25"/>
        <v>0</v>
      </c>
      <c r="X270" s="21">
        <f t="shared" si="26"/>
        <v>0</v>
      </c>
      <c r="Y270" s="21">
        <f t="shared" si="27"/>
        <v>0</v>
      </c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</row>
    <row r="271" spans="1:40" ht="14.25" customHeight="1">
      <c r="A271" s="21"/>
      <c r="B271" s="21"/>
      <c r="C271" s="59"/>
      <c r="D271" s="51"/>
      <c r="E271" s="51"/>
      <c r="F271" s="127" t="s">
        <v>507</v>
      </c>
      <c r="G271" s="128">
        <f>+Projection!H29-SUM(G272:G280)</f>
        <v>2103</v>
      </c>
      <c r="H271" s="46">
        <v>0.12</v>
      </c>
      <c r="I271" s="21"/>
      <c r="J271" s="71"/>
      <c r="K271" s="68"/>
      <c r="L271" s="77"/>
      <c r="M271" s="101"/>
      <c r="N271" s="21"/>
      <c r="O271" s="21"/>
      <c r="P271" s="21"/>
      <c r="Q271" s="21"/>
      <c r="R271" s="22"/>
      <c r="S271" s="21"/>
      <c r="T271" s="21"/>
      <c r="U271" s="21"/>
      <c r="V271" s="21"/>
      <c r="W271" s="124">
        <f t="shared" si="25"/>
        <v>0.51217730150998542</v>
      </c>
      <c r="X271" s="21">
        <f t="shared" si="26"/>
        <v>0.12</v>
      </c>
      <c r="Y271" s="21">
        <f t="shared" si="27"/>
        <v>6.1461276181198246E-2</v>
      </c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</row>
    <row r="272" spans="1:40" ht="14.25" customHeight="1">
      <c r="A272" s="21"/>
      <c r="B272" s="21"/>
      <c r="C272" s="59"/>
      <c r="D272" s="51"/>
      <c r="E272" s="51"/>
      <c r="F272" s="127" t="s">
        <v>508</v>
      </c>
      <c r="G272" s="129">
        <v>0</v>
      </c>
      <c r="H272" s="46">
        <v>0</v>
      </c>
      <c r="I272" s="21"/>
      <c r="J272" s="71"/>
      <c r="K272" s="68"/>
      <c r="L272" s="77"/>
      <c r="M272" s="101"/>
      <c r="N272" s="21"/>
      <c r="O272" s="21"/>
      <c r="P272" s="21"/>
      <c r="Q272" s="21"/>
      <c r="R272" s="22"/>
      <c r="S272" s="21"/>
      <c r="T272" s="21"/>
      <c r="U272" s="21"/>
      <c r="V272" s="21"/>
      <c r="W272" s="124">
        <f t="shared" si="25"/>
        <v>0</v>
      </c>
      <c r="X272" s="21">
        <f t="shared" si="26"/>
        <v>0</v>
      </c>
      <c r="Y272" s="21">
        <f t="shared" si="27"/>
        <v>0</v>
      </c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</row>
    <row r="273" spans="1:40" ht="14.25" customHeight="1">
      <c r="A273" s="21"/>
      <c r="B273" s="21"/>
      <c r="C273" s="59"/>
      <c r="D273" s="51"/>
      <c r="E273" s="51"/>
      <c r="F273" s="127" t="s">
        <v>509</v>
      </c>
      <c r="G273" s="129">
        <v>0</v>
      </c>
      <c r="H273" s="46">
        <v>0</v>
      </c>
      <c r="I273" s="21"/>
      <c r="J273" s="71"/>
      <c r="K273" s="68"/>
      <c r="L273" s="77"/>
      <c r="M273" s="101"/>
      <c r="N273" s="21"/>
      <c r="O273" s="21"/>
      <c r="P273" s="21"/>
      <c r="Q273" s="21"/>
      <c r="R273" s="22"/>
      <c r="S273" s="21"/>
      <c r="T273" s="21"/>
      <c r="U273" s="21"/>
      <c r="V273" s="21"/>
      <c r="W273" s="124">
        <f t="shared" si="25"/>
        <v>0</v>
      </c>
      <c r="X273" s="21">
        <f t="shared" si="26"/>
        <v>0</v>
      </c>
      <c r="Y273" s="21">
        <f t="shared" si="27"/>
        <v>0</v>
      </c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</row>
    <row r="274" spans="1:40" ht="14.25" customHeight="1">
      <c r="A274" s="21"/>
      <c r="B274" s="21"/>
      <c r="C274" s="59"/>
      <c r="D274" s="51"/>
      <c r="E274" s="51"/>
      <c r="F274" s="127" t="s">
        <v>510</v>
      </c>
      <c r="G274" s="129">
        <v>0</v>
      </c>
      <c r="H274" s="46">
        <v>0</v>
      </c>
      <c r="I274" s="21"/>
      <c r="J274" s="71"/>
      <c r="K274" s="68"/>
      <c r="L274" s="77"/>
      <c r="M274" s="101"/>
      <c r="N274" s="21"/>
      <c r="O274" s="21"/>
      <c r="P274" s="21"/>
      <c r="Q274" s="21"/>
      <c r="R274" s="22"/>
      <c r="S274" s="21"/>
      <c r="T274" s="21"/>
      <c r="U274" s="21"/>
      <c r="V274" s="21"/>
      <c r="W274" s="124">
        <f t="shared" si="25"/>
        <v>0</v>
      </c>
      <c r="X274" s="21">
        <f t="shared" si="26"/>
        <v>0</v>
      </c>
      <c r="Y274" s="21">
        <f t="shared" si="27"/>
        <v>0</v>
      </c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</row>
    <row r="275" spans="1:40" ht="14.25" customHeight="1">
      <c r="A275" s="21"/>
      <c r="B275" s="21"/>
      <c r="C275" s="59"/>
      <c r="D275" s="51"/>
      <c r="E275" s="51"/>
      <c r="F275" s="127" t="s">
        <v>511</v>
      </c>
      <c r="G275" s="129">
        <v>0</v>
      </c>
      <c r="H275" s="46">
        <v>0</v>
      </c>
      <c r="I275" s="21"/>
      <c r="J275" s="71"/>
      <c r="K275" s="68"/>
      <c r="L275" s="77"/>
      <c r="M275" s="101"/>
      <c r="N275" s="21"/>
      <c r="O275" s="21"/>
      <c r="P275" s="21"/>
      <c r="Q275" s="21"/>
      <c r="R275" s="22"/>
      <c r="S275" s="21"/>
      <c r="T275" s="21"/>
      <c r="U275" s="21"/>
      <c r="V275" s="21"/>
      <c r="W275" s="124">
        <f t="shared" si="25"/>
        <v>0</v>
      </c>
      <c r="X275" s="21">
        <f t="shared" si="26"/>
        <v>0</v>
      </c>
      <c r="Y275" s="21">
        <f t="shared" si="27"/>
        <v>0</v>
      </c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</row>
    <row r="276" spans="1:40" ht="14.25" customHeight="1">
      <c r="A276" s="21"/>
      <c r="B276" s="21"/>
      <c r="C276" s="59"/>
      <c r="D276" s="51"/>
      <c r="E276" s="51"/>
      <c r="F276" s="127" t="s">
        <v>512</v>
      </c>
      <c r="G276" s="129">
        <v>0</v>
      </c>
      <c r="H276" s="46">
        <v>0</v>
      </c>
      <c r="I276" s="21"/>
      <c r="J276" s="71"/>
      <c r="K276" s="68"/>
      <c r="L276" s="77"/>
      <c r="M276" s="101"/>
      <c r="N276" s="21"/>
      <c r="O276" s="21"/>
      <c r="P276" s="21"/>
      <c r="Q276" s="21"/>
      <c r="R276" s="22"/>
      <c r="S276" s="21"/>
      <c r="T276" s="21"/>
      <c r="U276" s="21"/>
      <c r="V276" s="21"/>
      <c r="W276" s="124">
        <f t="shared" si="25"/>
        <v>0</v>
      </c>
      <c r="X276" s="21">
        <f t="shared" si="26"/>
        <v>0</v>
      </c>
      <c r="Y276" s="21">
        <f t="shared" si="27"/>
        <v>0</v>
      </c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</row>
    <row r="277" spans="1:40" ht="14.25" customHeight="1">
      <c r="A277" s="21"/>
      <c r="B277" s="21"/>
      <c r="C277" s="59"/>
      <c r="D277" s="51"/>
      <c r="E277" s="51"/>
      <c r="F277" s="127" t="s">
        <v>513</v>
      </c>
      <c r="G277" s="129">
        <v>0</v>
      </c>
      <c r="H277" s="46">
        <v>0</v>
      </c>
      <c r="I277" s="21"/>
      <c r="J277" s="71"/>
      <c r="K277" s="68"/>
      <c r="L277" s="77"/>
      <c r="M277" s="101"/>
      <c r="N277" s="21"/>
      <c r="O277" s="21"/>
      <c r="P277" s="21"/>
      <c r="Q277" s="21"/>
      <c r="R277" s="22"/>
      <c r="S277" s="21"/>
      <c r="T277" s="21"/>
      <c r="U277" s="21"/>
      <c r="V277" s="21"/>
      <c r="W277" s="124">
        <f t="shared" si="25"/>
        <v>0</v>
      </c>
      <c r="X277" s="21">
        <f t="shared" si="26"/>
        <v>0</v>
      </c>
      <c r="Y277" s="21">
        <f t="shared" si="27"/>
        <v>0</v>
      </c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</row>
    <row r="278" spans="1:40" ht="14.25" customHeight="1">
      <c r="A278" s="21"/>
      <c r="B278" s="21"/>
      <c r="C278" s="59"/>
      <c r="D278" s="51"/>
      <c r="E278" s="51"/>
      <c r="F278" s="127" t="s">
        <v>514</v>
      </c>
      <c r="G278" s="129">
        <v>0</v>
      </c>
      <c r="H278" s="46">
        <v>0</v>
      </c>
      <c r="I278" s="21"/>
      <c r="J278" s="71"/>
      <c r="K278" s="68"/>
      <c r="L278" s="77"/>
      <c r="M278" s="101"/>
      <c r="N278" s="21"/>
      <c r="O278" s="21"/>
      <c r="P278" s="21"/>
      <c r="Q278" s="21"/>
      <c r="R278" s="22"/>
      <c r="S278" s="21"/>
      <c r="T278" s="21"/>
      <c r="U278" s="21"/>
      <c r="V278" s="21"/>
      <c r="W278" s="124">
        <f t="shared" si="25"/>
        <v>0</v>
      </c>
      <c r="X278" s="21">
        <f t="shared" si="26"/>
        <v>0</v>
      </c>
      <c r="Y278" s="21">
        <f t="shared" si="27"/>
        <v>0</v>
      </c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</row>
    <row r="279" spans="1:40" ht="14.25" customHeight="1">
      <c r="A279" s="21"/>
      <c r="B279" s="21"/>
      <c r="C279" s="59"/>
      <c r="D279" s="51"/>
      <c r="E279" s="51"/>
      <c r="F279" s="127" t="s">
        <v>515</v>
      </c>
      <c r="G279" s="129">
        <v>0</v>
      </c>
      <c r="H279" s="46">
        <v>0</v>
      </c>
      <c r="I279" s="21"/>
      <c r="J279" s="71"/>
      <c r="K279" s="68"/>
      <c r="L279" s="77"/>
      <c r="M279" s="101"/>
      <c r="N279" s="21"/>
      <c r="O279" s="21"/>
      <c r="P279" s="21"/>
      <c r="Q279" s="21"/>
      <c r="R279" s="22"/>
      <c r="S279" s="21"/>
      <c r="T279" s="21"/>
      <c r="U279" s="21"/>
      <c r="V279" s="21"/>
      <c r="W279" s="124">
        <f t="shared" si="25"/>
        <v>0</v>
      </c>
      <c r="X279" s="21">
        <f t="shared" si="26"/>
        <v>0</v>
      </c>
      <c r="Y279" s="21">
        <f t="shared" si="27"/>
        <v>0</v>
      </c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</row>
    <row r="280" spans="1:40" ht="14.25" customHeight="1">
      <c r="A280" s="21"/>
      <c r="B280" s="21"/>
      <c r="C280" s="59"/>
      <c r="D280" s="51"/>
      <c r="E280" s="51"/>
      <c r="F280" s="127" t="s">
        <v>516</v>
      </c>
      <c r="G280" s="129">
        <v>0</v>
      </c>
      <c r="H280" s="130">
        <v>0</v>
      </c>
      <c r="I280" s="21"/>
      <c r="J280" s="71"/>
      <c r="K280" s="68"/>
      <c r="L280" s="77"/>
      <c r="M280" s="101"/>
      <c r="N280" s="21"/>
      <c r="O280" s="21"/>
      <c r="P280" s="21"/>
      <c r="Q280" s="21"/>
      <c r="R280" s="22"/>
      <c r="S280" s="21"/>
      <c r="T280" s="21"/>
      <c r="U280" s="21"/>
      <c r="V280" s="21"/>
      <c r="W280" s="124">
        <f t="shared" si="25"/>
        <v>0</v>
      </c>
      <c r="X280" s="21">
        <f t="shared" si="26"/>
        <v>0</v>
      </c>
      <c r="Y280" s="21">
        <f t="shared" si="27"/>
        <v>0</v>
      </c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</row>
    <row r="281" spans="1:40" ht="14.25" customHeight="1">
      <c r="A281" s="21"/>
      <c r="B281" s="21"/>
      <c r="C281" s="59"/>
      <c r="D281" s="51"/>
      <c r="E281" s="51"/>
      <c r="F281" s="73"/>
      <c r="G281" s="117"/>
      <c r="H281" s="21"/>
      <c r="I281" s="21"/>
      <c r="J281" s="71"/>
      <c r="K281" s="68"/>
      <c r="L281" s="77"/>
      <c r="M281" s="101"/>
      <c r="N281" s="21"/>
      <c r="O281" s="21"/>
      <c r="P281" s="21"/>
      <c r="Q281" s="21"/>
      <c r="R281" s="22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</row>
    <row r="282" spans="1:40" ht="14.25" customHeight="1">
      <c r="A282" s="21"/>
      <c r="B282" s="21"/>
      <c r="C282" s="59"/>
      <c r="D282" s="51"/>
      <c r="E282" s="51"/>
      <c r="F282" s="115" t="s">
        <v>517</v>
      </c>
      <c r="G282" s="21"/>
      <c r="H282" s="21"/>
      <c r="I282" s="21"/>
      <c r="J282" s="71"/>
      <c r="K282" s="68"/>
      <c r="L282" s="77"/>
      <c r="M282" s="101"/>
      <c r="N282" s="21"/>
      <c r="O282" s="21"/>
      <c r="P282" s="21"/>
      <c r="Q282" s="21"/>
      <c r="R282" s="22"/>
      <c r="S282" s="21"/>
      <c r="T282" s="21"/>
      <c r="U282" s="21"/>
      <c r="V282" s="21"/>
      <c r="W282" s="116">
        <f>+IF(SUM(Y285:Y300)=0,(H286+H288)/2,SUM(Y285:Y300))</f>
        <v>0.11507346459006759</v>
      </c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</row>
    <row r="283" spans="1:40" ht="6.75" customHeight="1">
      <c r="A283" s="21"/>
      <c r="B283" s="21"/>
      <c r="C283" s="59"/>
      <c r="D283" s="51"/>
      <c r="E283" s="51"/>
      <c r="F283" s="71"/>
      <c r="G283" s="71"/>
      <c r="H283" s="71"/>
      <c r="I283" s="71"/>
      <c r="J283" s="71"/>
      <c r="K283" s="68"/>
      <c r="L283" s="77"/>
      <c r="M283" s="101"/>
      <c r="N283" s="21"/>
      <c r="O283" s="21"/>
      <c r="P283" s="21"/>
      <c r="Q283" s="21"/>
      <c r="R283" s="22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</row>
    <row r="284" spans="1:40" ht="14.25" customHeight="1">
      <c r="A284" s="21"/>
      <c r="B284" s="21"/>
      <c r="C284" s="59"/>
      <c r="D284" s="51"/>
      <c r="E284" s="51"/>
      <c r="F284" s="118" t="s">
        <v>500</v>
      </c>
      <c r="G284" s="119" t="str">
        <f>+G265</f>
        <v>Current Outs (IDR Million)</v>
      </c>
      <c r="H284" s="120" t="s">
        <v>501</v>
      </c>
      <c r="I284" s="71"/>
      <c r="J284" s="71"/>
      <c r="K284" s="68"/>
      <c r="L284" s="77"/>
      <c r="M284" s="101"/>
      <c r="N284" s="21"/>
      <c r="O284" s="21"/>
      <c r="P284" s="21"/>
      <c r="Q284" s="21"/>
      <c r="R284" s="22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</row>
    <row r="285" spans="1:40" ht="14.25" customHeight="1">
      <c r="A285" s="21"/>
      <c r="B285" s="21"/>
      <c r="C285" s="59"/>
      <c r="D285" s="51"/>
      <c r="E285" s="51"/>
      <c r="F285" s="915" t="str">
        <f>+CF!F103</f>
        <v>Long Term Bank Loan - BNI #1 (Eksisting)</v>
      </c>
      <c r="G285" s="131">
        <f>Historical!K51+Historical!K46</f>
        <v>6706</v>
      </c>
      <c r="H285" s="122">
        <v>0.11</v>
      </c>
      <c r="I285" s="71"/>
      <c r="J285" s="71"/>
      <c r="K285" s="68"/>
      <c r="L285" s="77"/>
      <c r="M285" s="101"/>
      <c r="N285" s="21"/>
      <c r="O285" s="21"/>
      <c r="P285" s="21"/>
      <c r="Q285" s="21"/>
      <c r="R285" s="22"/>
      <c r="S285" s="21"/>
      <c r="T285" s="21"/>
      <c r="U285" s="21"/>
      <c r="V285" s="21"/>
      <c r="W285" s="124">
        <f t="shared" ref="W285:W286" si="28">+IF(SUM($G$285:$G$300)=0,0,G285/SUM($G$285:$G$300))</f>
        <v>0.49265354099324127</v>
      </c>
      <c r="X285" s="21">
        <f t="shared" ref="X285:X286" si="29">+H285</f>
        <v>0.11</v>
      </c>
      <c r="Y285" s="21">
        <f t="shared" ref="Y285:Y286" si="30">+W285*X285</f>
        <v>5.419188950925654E-2</v>
      </c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</row>
    <row r="286" spans="1:40" ht="14.25" customHeight="1">
      <c r="A286" s="21"/>
      <c r="B286" s="21"/>
      <c r="C286" s="59"/>
      <c r="D286" s="51"/>
      <c r="E286" s="51"/>
      <c r="F286" s="915" t="str">
        <f>+CF!F104</f>
        <v>Long Term Bank Loan - BNI #2 (New)</v>
      </c>
      <c r="G286" s="121">
        <v>0</v>
      </c>
      <c r="H286" s="132">
        <v>0</v>
      </c>
      <c r="I286" s="71"/>
      <c r="J286" s="71"/>
      <c r="K286" s="68"/>
      <c r="L286" s="77"/>
      <c r="M286" s="101"/>
      <c r="N286" s="21"/>
      <c r="O286" s="21"/>
      <c r="P286" s="21"/>
      <c r="Q286" s="21"/>
      <c r="R286" s="22"/>
      <c r="S286" s="21"/>
      <c r="T286" s="21"/>
      <c r="U286" s="21"/>
      <c r="V286" s="21"/>
      <c r="W286" s="124">
        <f t="shared" si="28"/>
        <v>0</v>
      </c>
      <c r="X286" s="21">
        <f t="shared" si="29"/>
        <v>0</v>
      </c>
      <c r="Y286" s="21">
        <f t="shared" si="30"/>
        <v>0</v>
      </c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</row>
    <row r="287" spans="1:40" ht="14.25" customHeight="1">
      <c r="A287" s="21"/>
      <c r="B287" s="21"/>
      <c r="C287" s="59"/>
      <c r="D287" s="51"/>
      <c r="E287" s="51"/>
      <c r="F287" s="915" t="str">
        <f>+CF!F105</f>
        <v>Long Term Bank Loan - BNI #3</v>
      </c>
      <c r="G287" s="121">
        <v>0</v>
      </c>
      <c r="H287" s="132">
        <v>0</v>
      </c>
      <c r="I287" s="71"/>
      <c r="J287" s="71"/>
      <c r="K287" s="68"/>
      <c r="L287" s="77"/>
      <c r="M287" s="101"/>
      <c r="N287" s="21"/>
      <c r="O287" s="21"/>
      <c r="P287" s="21"/>
      <c r="Q287" s="21"/>
      <c r="R287" s="22"/>
      <c r="S287" s="21"/>
      <c r="T287" s="21"/>
      <c r="U287" s="21"/>
      <c r="V287" s="21"/>
      <c r="W287" s="124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</row>
    <row r="288" spans="1:40" ht="14.25" customHeight="1">
      <c r="A288" s="21"/>
      <c r="B288" s="21"/>
      <c r="C288" s="59"/>
      <c r="D288" s="51"/>
      <c r="E288" s="51"/>
      <c r="F288" s="915" t="str">
        <f>+CF!F106</f>
        <v>Long Term Bank Loan - BNI #4</v>
      </c>
      <c r="G288" s="121">
        <v>0</v>
      </c>
      <c r="H288" s="132">
        <v>0</v>
      </c>
      <c r="I288" s="71" t="s">
        <v>518</v>
      </c>
      <c r="J288" s="71"/>
      <c r="K288" s="68"/>
      <c r="L288" s="77"/>
      <c r="M288" s="101"/>
      <c r="N288" s="21"/>
      <c r="O288" s="21"/>
      <c r="P288" s="21"/>
      <c r="Q288" s="21"/>
      <c r="R288" s="22"/>
      <c r="S288" s="21"/>
      <c r="T288" s="21"/>
      <c r="U288" s="21"/>
      <c r="V288" s="21"/>
      <c r="W288" s="124">
        <f t="shared" ref="W288:W289" si="31">+IF(SUM($G$285:$G$300)=0,0,G288/SUM($G$285:$G$300))</f>
        <v>0</v>
      </c>
      <c r="X288" s="21">
        <f t="shared" ref="X288:X289" si="32">+H288</f>
        <v>0</v>
      </c>
      <c r="Y288" s="21">
        <f t="shared" ref="Y288:Y289" si="33">+W288*X288</f>
        <v>0</v>
      </c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</row>
    <row r="289" spans="1:40" ht="14.25" customHeight="1">
      <c r="A289" s="21"/>
      <c r="B289" s="21"/>
      <c r="C289" s="59"/>
      <c r="D289" s="51"/>
      <c r="E289" s="51"/>
      <c r="F289" s="915" t="str">
        <f>+CF!F107</f>
        <v>Long Term Bank Loan - BNI Working Capital Loan Aflopend Existing</v>
      </c>
      <c r="G289" s="133">
        <v>0</v>
      </c>
      <c r="H289" s="122">
        <v>0</v>
      </c>
      <c r="I289" s="71"/>
      <c r="J289" s="71"/>
      <c r="K289" s="68"/>
      <c r="L289" s="77"/>
      <c r="M289" s="101"/>
      <c r="N289" s="21"/>
      <c r="O289" s="21"/>
      <c r="P289" s="21"/>
      <c r="Q289" s="21"/>
      <c r="R289" s="22"/>
      <c r="S289" s="21"/>
      <c r="T289" s="21"/>
      <c r="U289" s="21"/>
      <c r="V289" s="21"/>
      <c r="W289" s="124">
        <f t="shared" si="31"/>
        <v>0</v>
      </c>
      <c r="X289" s="21">
        <f t="shared" si="32"/>
        <v>0</v>
      </c>
      <c r="Y289" s="21">
        <f t="shared" si="33"/>
        <v>0</v>
      </c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</row>
    <row r="290" spans="1:40" ht="14.25" customHeight="1">
      <c r="A290" s="21"/>
      <c r="B290" s="21"/>
      <c r="C290" s="59"/>
      <c r="D290" s="51"/>
      <c r="E290" s="51"/>
      <c r="F290" s="915" t="str">
        <f>+CF!F108</f>
        <v>Long Term Bank Loan - BNI Working Capital Loan Aflopend New</v>
      </c>
      <c r="G290" s="133"/>
      <c r="H290" s="132">
        <v>0</v>
      </c>
      <c r="I290" s="71"/>
      <c r="J290" s="71"/>
      <c r="K290" s="68"/>
      <c r="L290" s="77"/>
      <c r="M290" s="101"/>
      <c r="N290" s="21"/>
      <c r="O290" s="21"/>
      <c r="P290" s="21"/>
      <c r="Q290" s="21"/>
      <c r="R290" s="22"/>
      <c r="S290" s="21"/>
      <c r="T290" s="21"/>
      <c r="U290" s="21"/>
      <c r="V290" s="21"/>
      <c r="W290" s="124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</row>
    <row r="291" spans="1:40" ht="14.25" customHeight="1">
      <c r="A291" s="21"/>
      <c r="B291" s="21"/>
      <c r="C291" s="59"/>
      <c r="D291" s="51"/>
      <c r="E291" s="51"/>
      <c r="F291" s="127" t="s">
        <v>507</v>
      </c>
      <c r="G291" s="129">
        <v>0</v>
      </c>
      <c r="H291" s="46">
        <v>0</v>
      </c>
      <c r="I291" s="71"/>
      <c r="J291" s="71"/>
      <c r="K291" s="68"/>
      <c r="L291" s="77"/>
      <c r="M291" s="101"/>
      <c r="N291" s="21"/>
      <c r="O291" s="21"/>
      <c r="P291" s="21"/>
      <c r="Q291" s="21"/>
      <c r="R291" s="22"/>
      <c r="S291" s="21"/>
      <c r="T291" s="21"/>
      <c r="U291" s="21"/>
      <c r="V291" s="21"/>
      <c r="W291" s="124">
        <f t="shared" ref="W291:W300" si="34">+IF(SUM($G$285:$G$300)=0,0,G291/SUM($G$285:$G$300))</f>
        <v>0</v>
      </c>
      <c r="X291" s="21">
        <f t="shared" ref="X291:X300" si="35">+H291</f>
        <v>0</v>
      </c>
      <c r="Y291" s="21">
        <f t="shared" ref="Y291:Y300" si="36">+W291*X291</f>
        <v>0</v>
      </c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</row>
    <row r="292" spans="1:40" ht="14.25" customHeight="1">
      <c r="A292" s="21"/>
      <c r="B292" s="21"/>
      <c r="C292" s="59"/>
      <c r="D292" s="51"/>
      <c r="E292" s="51"/>
      <c r="F292" s="127" t="s">
        <v>508</v>
      </c>
      <c r="G292" s="129">
        <v>0</v>
      </c>
      <c r="H292" s="46">
        <v>0</v>
      </c>
      <c r="I292" s="71"/>
      <c r="J292" s="71"/>
      <c r="K292" s="68"/>
      <c r="L292" s="77"/>
      <c r="M292" s="101"/>
      <c r="N292" s="21"/>
      <c r="O292" s="21"/>
      <c r="P292" s="21"/>
      <c r="Q292" s="21"/>
      <c r="R292" s="22"/>
      <c r="S292" s="21"/>
      <c r="T292" s="21"/>
      <c r="U292" s="21"/>
      <c r="V292" s="21"/>
      <c r="W292" s="124">
        <f t="shared" si="34"/>
        <v>0</v>
      </c>
      <c r="X292" s="21">
        <f t="shared" si="35"/>
        <v>0</v>
      </c>
      <c r="Y292" s="21">
        <f t="shared" si="36"/>
        <v>0</v>
      </c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</row>
    <row r="293" spans="1:40" ht="14.25" customHeight="1">
      <c r="A293" s="21"/>
      <c r="B293" s="21"/>
      <c r="C293" s="59"/>
      <c r="D293" s="51"/>
      <c r="E293" s="51"/>
      <c r="F293" s="127" t="s">
        <v>509</v>
      </c>
      <c r="G293" s="129">
        <v>0</v>
      </c>
      <c r="H293" s="46">
        <v>0</v>
      </c>
      <c r="I293" s="71"/>
      <c r="J293" s="71"/>
      <c r="K293" s="68"/>
      <c r="L293" s="77"/>
      <c r="M293" s="101"/>
      <c r="N293" s="21"/>
      <c r="O293" s="21"/>
      <c r="P293" s="21"/>
      <c r="Q293" s="21"/>
      <c r="R293" s="22"/>
      <c r="S293" s="21"/>
      <c r="T293" s="21"/>
      <c r="U293" s="21"/>
      <c r="V293" s="21"/>
      <c r="W293" s="124">
        <f t="shared" si="34"/>
        <v>0</v>
      </c>
      <c r="X293" s="21">
        <f t="shared" si="35"/>
        <v>0</v>
      </c>
      <c r="Y293" s="21">
        <f t="shared" si="36"/>
        <v>0</v>
      </c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</row>
    <row r="294" spans="1:40" ht="14.25" customHeight="1">
      <c r="A294" s="21"/>
      <c r="B294" s="21"/>
      <c r="C294" s="59"/>
      <c r="D294" s="51"/>
      <c r="E294" s="51"/>
      <c r="F294" s="127" t="s">
        <v>510</v>
      </c>
      <c r="G294" s="129">
        <v>0</v>
      </c>
      <c r="H294" s="46">
        <v>0</v>
      </c>
      <c r="I294" s="71"/>
      <c r="J294" s="71"/>
      <c r="K294" s="68"/>
      <c r="L294" s="77"/>
      <c r="M294" s="101"/>
      <c r="N294" s="21"/>
      <c r="O294" s="21"/>
      <c r="P294" s="21"/>
      <c r="Q294" s="21"/>
      <c r="R294" s="22"/>
      <c r="S294" s="21"/>
      <c r="T294" s="21"/>
      <c r="U294" s="21"/>
      <c r="V294" s="21"/>
      <c r="W294" s="124">
        <f t="shared" si="34"/>
        <v>0</v>
      </c>
      <c r="X294" s="21">
        <f t="shared" si="35"/>
        <v>0</v>
      </c>
      <c r="Y294" s="21">
        <f t="shared" si="36"/>
        <v>0</v>
      </c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</row>
    <row r="295" spans="1:40" ht="14.25" customHeight="1">
      <c r="A295" s="21"/>
      <c r="B295" s="21"/>
      <c r="C295" s="59"/>
      <c r="D295" s="51"/>
      <c r="E295" s="51"/>
      <c r="F295" s="127" t="s">
        <v>511</v>
      </c>
      <c r="G295" s="129">
        <v>0</v>
      </c>
      <c r="H295" s="46">
        <v>0</v>
      </c>
      <c r="I295" s="71"/>
      <c r="J295" s="71"/>
      <c r="K295" s="68"/>
      <c r="L295" s="77"/>
      <c r="M295" s="101"/>
      <c r="N295" s="21"/>
      <c r="O295" s="21"/>
      <c r="P295" s="21"/>
      <c r="Q295" s="21"/>
      <c r="R295" s="22"/>
      <c r="S295" s="21"/>
      <c r="T295" s="21"/>
      <c r="U295" s="21"/>
      <c r="V295" s="21"/>
      <c r="W295" s="124">
        <f t="shared" si="34"/>
        <v>0</v>
      </c>
      <c r="X295" s="21">
        <f t="shared" si="35"/>
        <v>0</v>
      </c>
      <c r="Y295" s="21">
        <f t="shared" si="36"/>
        <v>0</v>
      </c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</row>
    <row r="296" spans="1:40" ht="14.25" customHeight="1">
      <c r="A296" s="21"/>
      <c r="B296" s="21"/>
      <c r="C296" s="59"/>
      <c r="D296" s="51"/>
      <c r="E296" s="51"/>
      <c r="F296" s="127" t="s">
        <v>512</v>
      </c>
      <c r="G296" s="129">
        <v>0</v>
      </c>
      <c r="H296" s="46">
        <v>0</v>
      </c>
      <c r="I296" s="71"/>
      <c r="J296" s="71"/>
      <c r="K296" s="68"/>
      <c r="L296" s="77"/>
      <c r="M296" s="101"/>
      <c r="N296" s="21"/>
      <c r="O296" s="21"/>
      <c r="P296" s="21"/>
      <c r="Q296" s="21"/>
      <c r="R296" s="22"/>
      <c r="S296" s="21"/>
      <c r="T296" s="21"/>
      <c r="U296" s="21"/>
      <c r="V296" s="21"/>
      <c r="W296" s="124">
        <f t="shared" si="34"/>
        <v>0</v>
      </c>
      <c r="X296" s="21">
        <f t="shared" si="35"/>
        <v>0</v>
      </c>
      <c r="Y296" s="21">
        <f t="shared" si="36"/>
        <v>0</v>
      </c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</row>
    <row r="297" spans="1:40" ht="14.25" customHeight="1">
      <c r="A297" s="21"/>
      <c r="B297" s="21"/>
      <c r="C297" s="59"/>
      <c r="D297" s="51"/>
      <c r="E297" s="51"/>
      <c r="F297" s="127" t="s">
        <v>513</v>
      </c>
      <c r="G297" s="129">
        <v>0</v>
      </c>
      <c r="H297" s="46">
        <v>0</v>
      </c>
      <c r="I297" s="71"/>
      <c r="J297" s="71"/>
      <c r="K297" s="68"/>
      <c r="L297" s="77"/>
      <c r="M297" s="101"/>
      <c r="N297" s="21"/>
      <c r="O297" s="21"/>
      <c r="P297" s="21"/>
      <c r="Q297" s="21"/>
      <c r="R297" s="22"/>
      <c r="S297" s="21"/>
      <c r="T297" s="21"/>
      <c r="U297" s="21"/>
      <c r="V297" s="21"/>
      <c r="W297" s="124">
        <f t="shared" si="34"/>
        <v>0</v>
      </c>
      <c r="X297" s="21">
        <f t="shared" si="35"/>
        <v>0</v>
      </c>
      <c r="Y297" s="21">
        <f t="shared" si="36"/>
        <v>0</v>
      </c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</row>
    <row r="298" spans="1:40" ht="14.25" customHeight="1">
      <c r="A298" s="21"/>
      <c r="B298" s="21"/>
      <c r="C298" s="59"/>
      <c r="D298" s="51"/>
      <c r="E298" s="51"/>
      <c r="F298" s="127" t="s">
        <v>514</v>
      </c>
      <c r="G298" s="129">
        <v>0</v>
      </c>
      <c r="H298" s="46">
        <v>0</v>
      </c>
      <c r="I298" s="71"/>
      <c r="J298" s="71"/>
      <c r="K298" s="68"/>
      <c r="L298" s="77"/>
      <c r="M298" s="101"/>
      <c r="N298" s="21"/>
      <c r="O298" s="21"/>
      <c r="P298" s="21"/>
      <c r="Q298" s="21"/>
      <c r="R298" s="22"/>
      <c r="S298" s="21"/>
      <c r="T298" s="21"/>
      <c r="U298" s="21"/>
      <c r="V298" s="21"/>
      <c r="W298" s="124">
        <f t="shared" si="34"/>
        <v>0</v>
      </c>
      <c r="X298" s="21">
        <f t="shared" si="35"/>
        <v>0</v>
      </c>
      <c r="Y298" s="21">
        <f t="shared" si="36"/>
        <v>0</v>
      </c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</row>
    <row r="299" spans="1:40" ht="14.25" customHeight="1">
      <c r="A299" s="21"/>
      <c r="B299" s="21"/>
      <c r="C299" s="59"/>
      <c r="D299" s="51"/>
      <c r="E299" s="51"/>
      <c r="F299" s="127" t="s">
        <v>515</v>
      </c>
      <c r="G299" s="129">
        <v>0</v>
      </c>
      <c r="H299" s="46">
        <v>0</v>
      </c>
      <c r="I299" s="21"/>
      <c r="J299" s="123" t="str">
        <f>+IF(G300&lt;0,"Input kembali data kredit investasi, kredit berjalan bank lainnya min bernilai 0","")</f>
        <v/>
      </c>
      <c r="K299" s="134"/>
      <c r="L299" s="135"/>
      <c r="M299" s="101"/>
      <c r="N299" s="21"/>
      <c r="O299" s="21"/>
      <c r="P299" s="21"/>
      <c r="Q299" s="21"/>
      <c r="R299" s="22"/>
      <c r="S299" s="21"/>
      <c r="T299" s="21"/>
      <c r="U299" s="21"/>
      <c r="V299" s="21"/>
      <c r="W299" s="124">
        <f t="shared" si="34"/>
        <v>0</v>
      </c>
      <c r="X299" s="21">
        <f t="shared" si="35"/>
        <v>0</v>
      </c>
      <c r="Y299" s="21">
        <f t="shared" si="36"/>
        <v>0</v>
      </c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</row>
    <row r="300" spans="1:40" ht="14.25" customHeight="1">
      <c r="A300" s="21"/>
      <c r="B300" s="21"/>
      <c r="C300" s="59"/>
      <c r="D300" s="51"/>
      <c r="E300" s="51"/>
      <c r="F300" s="127" t="s">
        <v>516</v>
      </c>
      <c r="G300" s="128">
        <f>+Historical!K47+Historical!K52</f>
        <v>6906</v>
      </c>
      <c r="H300" s="130">
        <v>0.12</v>
      </c>
      <c r="I300" s="21"/>
      <c r="J300" s="136"/>
      <c r="K300" s="134"/>
      <c r="L300" s="135"/>
      <c r="M300" s="101"/>
      <c r="N300" s="21"/>
      <c r="O300" s="21"/>
      <c r="P300" s="21"/>
      <c r="Q300" s="21"/>
      <c r="R300" s="22"/>
      <c r="S300" s="21"/>
      <c r="T300" s="21"/>
      <c r="U300" s="21"/>
      <c r="V300" s="21"/>
      <c r="W300" s="124">
        <f t="shared" si="34"/>
        <v>0.50734645900675879</v>
      </c>
      <c r="X300" s="21">
        <f t="shared" si="35"/>
        <v>0.12</v>
      </c>
      <c r="Y300" s="21">
        <f t="shared" si="36"/>
        <v>6.0881575080811053E-2</v>
      </c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</row>
    <row r="301" spans="1:40" ht="14.25" customHeight="1">
      <c r="A301" s="21"/>
      <c r="B301" s="21"/>
      <c r="C301" s="59"/>
      <c r="D301" s="51"/>
      <c r="E301" s="51"/>
      <c r="F301" s="137"/>
      <c r="G301" s="138"/>
      <c r="H301" s="139"/>
      <c r="I301" s="21"/>
      <c r="J301" s="71"/>
      <c r="K301" s="68"/>
      <c r="L301" s="77"/>
      <c r="M301" s="101"/>
      <c r="N301" s="21"/>
      <c r="O301" s="21"/>
      <c r="P301" s="21"/>
      <c r="Q301" s="21"/>
      <c r="R301" s="22"/>
      <c r="S301" s="21"/>
      <c r="T301" s="21"/>
      <c r="U301" s="21"/>
      <c r="V301" s="21"/>
      <c r="W301" s="124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</row>
    <row r="302" spans="1:40" ht="14.25" customHeight="1">
      <c r="A302" s="21"/>
      <c r="B302" s="21"/>
      <c r="C302" s="59"/>
      <c r="D302" s="51"/>
      <c r="E302" s="51"/>
      <c r="F302" s="115" t="s">
        <v>519</v>
      </c>
      <c r="G302" s="21"/>
      <c r="H302" s="21"/>
      <c r="I302" s="21"/>
      <c r="J302" s="71"/>
      <c r="K302" s="68"/>
      <c r="L302" s="77"/>
      <c r="M302" s="101"/>
      <c r="N302" s="21"/>
      <c r="O302" s="21"/>
      <c r="P302" s="21"/>
      <c r="Q302" s="21"/>
      <c r="R302" s="22"/>
      <c r="S302" s="21"/>
      <c r="T302" s="21"/>
      <c r="U302" s="21"/>
      <c r="V302" s="21"/>
      <c r="W302" s="116">
        <f>+IF(SUM(Y305:Y315)=0,H314,SUM(Y305:Y315))</f>
        <v>0.15</v>
      </c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</row>
    <row r="303" spans="1:40" ht="3" customHeight="1">
      <c r="A303" s="21"/>
      <c r="B303" s="21"/>
      <c r="C303" s="59"/>
      <c r="D303" s="51"/>
      <c r="E303" s="51"/>
      <c r="F303" s="71"/>
      <c r="G303" s="71"/>
      <c r="H303" s="71"/>
      <c r="I303" s="21"/>
      <c r="J303" s="71"/>
      <c r="K303" s="68"/>
      <c r="L303" s="77"/>
      <c r="M303" s="101"/>
      <c r="N303" s="21"/>
      <c r="O303" s="21"/>
      <c r="P303" s="21"/>
      <c r="Q303" s="21"/>
      <c r="R303" s="22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</row>
    <row r="304" spans="1:40" ht="14.25" customHeight="1">
      <c r="A304" s="21"/>
      <c r="B304" s="21"/>
      <c r="C304" s="59"/>
      <c r="D304" s="51"/>
      <c r="E304" s="51"/>
      <c r="F304" s="118" t="s">
        <v>520</v>
      </c>
      <c r="G304" s="119" t="str">
        <f>+G284</f>
        <v>Current Outs (IDR Million)</v>
      </c>
      <c r="H304" s="120" t="s">
        <v>501</v>
      </c>
      <c r="I304" s="21"/>
      <c r="J304" s="71"/>
      <c r="K304" s="68"/>
      <c r="L304" s="77"/>
      <c r="M304" s="101"/>
      <c r="N304" s="21"/>
      <c r="O304" s="21"/>
      <c r="P304" s="21"/>
      <c r="Q304" s="21"/>
      <c r="R304" s="22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</row>
    <row r="305" spans="1:40" ht="14.25" customHeight="1">
      <c r="A305" s="21"/>
      <c r="B305" s="21"/>
      <c r="C305" s="59"/>
      <c r="D305" s="51"/>
      <c r="E305" s="51"/>
      <c r="F305" s="127" t="s">
        <v>521</v>
      </c>
      <c r="G305" s="129">
        <v>0</v>
      </c>
      <c r="H305" s="46">
        <v>0</v>
      </c>
      <c r="I305" s="21"/>
      <c r="J305" s="71"/>
      <c r="K305" s="68"/>
      <c r="L305" s="77"/>
      <c r="M305" s="101"/>
      <c r="N305" s="21"/>
      <c r="O305" s="21"/>
      <c r="P305" s="21"/>
      <c r="Q305" s="21"/>
      <c r="R305" s="22"/>
      <c r="S305" s="21"/>
      <c r="T305" s="21"/>
      <c r="U305" s="21"/>
      <c r="V305" s="21"/>
      <c r="W305" s="124">
        <f t="shared" ref="W305:W315" si="37">+IF(SUM($G$305:$G$314)=0,0,G305/SUM($G$305:$G$314))</f>
        <v>0</v>
      </c>
      <c r="X305" s="21">
        <f t="shared" ref="X305:X315" si="38">+H305</f>
        <v>0</v>
      </c>
      <c r="Y305" s="21">
        <f t="shared" ref="Y305:Y315" si="39">+W305*X305</f>
        <v>0</v>
      </c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</row>
    <row r="306" spans="1:40" ht="14.25" customHeight="1">
      <c r="A306" s="21"/>
      <c r="B306" s="21"/>
      <c r="C306" s="59"/>
      <c r="D306" s="51"/>
      <c r="E306" s="51"/>
      <c r="F306" s="127" t="s">
        <v>522</v>
      </c>
      <c r="G306" s="129">
        <v>0</v>
      </c>
      <c r="H306" s="46">
        <v>0</v>
      </c>
      <c r="I306" s="21"/>
      <c r="J306" s="71"/>
      <c r="K306" s="68"/>
      <c r="L306" s="77"/>
      <c r="M306" s="101"/>
      <c r="N306" s="21"/>
      <c r="O306" s="21"/>
      <c r="P306" s="21"/>
      <c r="Q306" s="21"/>
      <c r="R306" s="22"/>
      <c r="S306" s="21"/>
      <c r="T306" s="21"/>
      <c r="U306" s="21"/>
      <c r="V306" s="21"/>
      <c r="W306" s="124">
        <f t="shared" si="37"/>
        <v>0</v>
      </c>
      <c r="X306" s="21">
        <f t="shared" si="38"/>
        <v>0</v>
      </c>
      <c r="Y306" s="21">
        <f t="shared" si="39"/>
        <v>0</v>
      </c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</row>
    <row r="307" spans="1:40" ht="14.25" customHeight="1">
      <c r="A307" s="21"/>
      <c r="B307" s="21"/>
      <c r="C307" s="59"/>
      <c r="D307" s="51"/>
      <c r="E307" s="51"/>
      <c r="F307" s="127" t="s">
        <v>523</v>
      </c>
      <c r="G307" s="129">
        <v>0</v>
      </c>
      <c r="H307" s="46">
        <v>0</v>
      </c>
      <c r="I307" s="21"/>
      <c r="J307" s="71"/>
      <c r="K307" s="68"/>
      <c r="L307" s="77"/>
      <c r="M307" s="101"/>
      <c r="N307" s="21"/>
      <c r="O307" s="21"/>
      <c r="P307" s="21"/>
      <c r="Q307" s="21"/>
      <c r="R307" s="22"/>
      <c r="S307" s="21"/>
      <c r="T307" s="21"/>
      <c r="U307" s="21"/>
      <c r="V307" s="21"/>
      <c r="W307" s="124">
        <f t="shared" si="37"/>
        <v>0</v>
      </c>
      <c r="X307" s="21">
        <f t="shared" si="38"/>
        <v>0</v>
      </c>
      <c r="Y307" s="21">
        <f t="shared" si="39"/>
        <v>0</v>
      </c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</row>
    <row r="308" spans="1:40" ht="14.25" customHeight="1">
      <c r="A308" s="21"/>
      <c r="B308" s="21"/>
      <c r="C308" s="59"/>
      <c r="D308" s="51"/>
      <c r="E308" s="51"/>
      <c r="F308" s="127" t="s">
        <v>524</v>
      </c>
      <c r="G308" s="129">
        <v>0</v>
      </c>
      <c r="H308" s="46">
        <v>0</v>
      </c>
      <c r="I308" s="21"/>
      <c r="J308" s="71"/>
      <c r="K308" s="68"/>
      <c r="L308" s="77"/>
      <c r="M308" s="101"/>
      <c r="N308" s="21"/>
      <c r="O308" s="21"/>
      <c r="P308" s="21"/>
      <c r="Q308" s="21"/>
      <c r="R308" s="22"/>
      <c r="S308" s="21"/>
      <c r="T308" s="21"/>
      <c r="U308" s="21"/>
      <c r="V308" s="21"/>
      <c r="W308" s="124">
        <f t="shared" si="37"/>
        <v>0</v>
      </c>
      <c r="X308" s="21">
        <f t="shared" si="38"/>
        <v>0</v>
      </c>
      <c r="Y308" s="21">
        <f t="shared" si="39"/>
        <v>0</v>
      </c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</row>
    <row r="309" spans="1:40" ht="14.25" customHeight="1">
      <c r="A309" s="21"/>
      <c r="B309" s="21"/>
      <c r="C309" s="59"/>
      <c r="D309" s="51"/>
      <c r="E309" s="51"/>
      <c r="F309" s="127" t="s">
        <v>525</v>
      </c>
      <c r="G309" s="129">
        <v>0</v>
      </c>
      <c r="H309" s="46">
        <v>0</v>
      </c>
      <c r="I309" s="21"/>
      <c r="J309" s="71"/>
      <c r="K309" s="68"/>
      <c r="L309" s="77"/>
      <c r="M309" s="101"/>
      <c r="N309" s="21"/>
      <c r="O309" s="21"/>
      <c r="P309" s="21"/>
      <c r="Q309" s="21"/>
      <c r="R309" s="22"/>
      <c r="S309" s="21"/>
      <c r="T309" s="21"/>
      <c r="U309" s="21"/>
      <c r="V309" s="21"/>
      <c r="W309" s="124">
        <f t="shared" si="37"/>
        <v>0</v>
      </c>
      <c r="X309" s="21">
        <f t="shared" si="38"/>
        <v>0</v>
      </c>
      <c r="Y309" s="21">
        <f t="shared" si="39"/>
        <v>0</v>
      </c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</row>
    <row r="310" spans="1:40" ht="14.25" customHeight="1">
      <c r="A310" s="21"/>
      <c r="B310" s="21"/>
      <c r="C310" s="59"/>
      <c r="D310" s="51"/>
      <c r="E310" s="51"/>
      <c r="F310" s="127" t="s">
        <v>526</v>
      </c>
      <c r="G310" s="129">
        <v>0</v>
      </c>
      <c r="H310" s="46">
        <v>0</v>
      </c>
      <c r="I310" s="21"/>
      <c r="J310" s="71"/>
      <c r="K310" s="68"/>
      <c r="L310" s="77"/>
      <c r="M310" s="101"/>
      <c r="N310" s="21"/>
      <c r="O310" s="21"/>
      <c r="P310" s="21"/>
      <c r="Q310" s="21"/>
      <c r="R310" s="22"/>
      <c r="S310" s="21"/>
      <c r="T310" s="21"/>
      <c r="U310" s="21"/>
      <c r="V310" s="21"/>
      <c r="W310" s="124">
        <f t="shared" si="37"/>
        <v>0</v>
      </c>
      <c r="X310" s="21">
        <f t="shared" si="38"/>
        <v>0</v>
      </c>
      <c r="Y310" s="21">
        <f t="shared" si="39"/>
        <v>0</v>
      </c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</row>
    <row r="311" spans="1:40" ht="14.25" customHeight="1">
      <c r="A311" s="21"/>
      <c r="B311" s="21"/>
      <c r="C311" s="59"/>
      <c r="D311" s="51"/>
      <c r="E311" s="51"/>
      <c r="F311" s="127" t="s">
        <v>527</v>
      </c>
      <c r="G311" s="129">
        <v>0</v>
      </c>
      <c r="H311" s="46">
        <v>0</v>
      </c>
      <c r="I311" s="21"/>
      <c r="J311" s="71"/>
      <c r="K311" s="68"/>
      <c r="L311" s="77"/>
      <c r="M311" s="101"/>
      <c r="N311" s="21"/>
      <c r="O311" s="21"/>
      <c r="P311" s="21"/>
      <c r="Q311" s="21"/>
      <c r="R311" s="22"/>
      <c r="S311" s="21"/>
      <c r="T311" s="21"/>
      <c r="U311" s="21"/>
      <c r="V311" s="21"/>
      <c r="W311" s="124">
        <f t="shared" si="37"/>
        <v>0</v>
      </c>
      <c r="X311" s="21">
        <f t="shared" si="38"/>
        <v>0</v>
      </c>
      <c r="Y311" s="21">
        <f t="shared" si="39"/>
        <v>0</v>
      </c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</row>
    <row r="312" spans="1:40" ht="14.25" customHeight="1">
      <c r="A312" s="21"/>
      <c r="B312" s="21"/>
      <c r="C312" s="59"/>
      <c r="D312" s="51"/>
      <c r="E312" s="51"/>
      <c r="F312" s="127" t="s">
        <v>528</v>
      </c>
      <c r="G312" s="129">
        <v>0</v>
      </c>
      <c r="H312" s="46">
        <v>0</v>
      </c>
      <c r="I312" s="21"/>
      <c r="J312" s="71"/>
      <c r="K312" s="68"/>
      <c r="L312" s="77"/>
      <c r="M312" s="101"/>
      <c r="N312" s="21"/>
      <c r="O312" s="21"/>
      <c r="P312" s="21"/>
      <c r="Q312" s="21"/>
      <c r="R312" s="22"/>
      <c r="S312" s="21"/>
      <c r="T312" s="21"/>
      <c r="U312" s="21"/>
      <c r="V312" s="21"/>
      <c r="W312" s="124">
        <f t="shared" si="37"/>
        <v>0</v>
      </c>
      <c r="X312" s="21">
        <f t="shared" si="38"/>
        <v>0</v>
      </c>
      <c r="Y312" s="21">
        <f t="shared" si="39"/>
        <v>0</v>
      </c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</row>
    <row r="313" spans="1:40" ht="14.25" customHeight="1">
      <c r="A313" s="21"/>
      <c r="B313" s="21"/>
      <c r="C313" s="59"/>
      <c r="D313" s="51"/>
      <c r="E313" s="51"/>
      <c r="F313" s="127" t="s">
        <v>529</v>
      </c>
      <c r="G313" s="129">
        <v>0</v>
      </c>
      <c r="H313" s="46">
        <v>0</v>
      </c>
      <c r="I313" s="21"/>
      <c r="J313" s="71"/>
      <c r="K313" s="68"/>
      <c r="L313" s="77"/>
      <c r="M313" s="101"/>
      <c r="N313" s="21"/>
      <c r="O313" s="21"/>
      <c r="P313" s="21"/>
      <c r="Q313" s="21"/>
      <c r="R313" s="22"/>
      <c r="S313" s="21"/>
      <c r="T313" s="21"/>
      <c r="U313" s="21"/>
      <c r="V313" s="21"/>
      <c r="W313" s="124">
        <f t="shared" si="37"/>
        <v>0</v>
      </c>
      <c r="X313" s="21">
        <f t="shared" si="38"/>
        <v>0</v>
      </c>
      <c r="Y313" s="21">
        <f t="shared" si="39"/>
        <v>0</v>
      </c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</row>
    <row r="314" spans="1:40" ht="14.25" customHeight="1">
      <c r="A314" s="21"/>
      <c r="B314" s="21"/>
      <c r="C314" s="59"/>
      <c r="D314" s="51"/>
      <c r="E314" s="51"/>
      <c r="F314" s="127" t="s">
        <v>530</v>
      </c>
      <c r="G314" s="128">
        <f>Historical!K53+Historical!K48</f>
        <v>7106</v>
      </c>
      <c r="H314" s="130">
        <v>0.15</v>
      </c>
      <c r="I314" s="21"/>
      <c r="J314" s="123" t="str">
        <f>+IF(G314&lt;0,"Inpu kembali data outs Sewa Guna Usaha, saldo SGU min bernilai 0","")</f>
        <v/>
      </c>
      <c r="K314" s="68"/>
      <c r="L314" s="77"/>
      <c r="M314" s="101"/>
      <c r="N314" s="21"/>
      <c r="O314" s="21"/>
      <c r="P314" s="21"/>
      <c r="Q314" s="21"/>
      <c r="R314" s="22"/>
      <c r="S314" s="21"/>
      <c r="T314" s="21"/>
      <c r="U314" s="21"/>
      <c r="V314" s="21"/>
      <c r="W314" s="124">
        <f t="shared" si="37"/>
        <v>1</v>
      </c>
      <c r="X314" s="21">
        <f t="shared" si="38"/>
        <v>0.15</v>
      </c>
      <c r="Y314" s="21">
        <f t="shared" si="39"/>
        <v>0.15</v>
      </c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</row>
    <row r="315" spans="1:40" ht="14.25" customHeight="1">
      <c r="A315" s="21"/>
      <c r="B315" s="21"/>
      <c r="C315" s="59"/>
      <c r="D315" s="51"/>
      <c r="E315" s="51"/>
      <c r="F315" s="137"/>
      <c r="G315" s="138"/>
      <c r="H315" s="139"/>
      <c r="I315" s="21"/>
      <c r="J315" s="71"/>
      <c r="K315" s="68"/>
      <c r="L315" s="77"/>
      <c r="M315" s="101"/>
      <c r="N315" s="21"/>
      <c r="O315" s="21"/>
      <c r="P315" s="21"/>
      <c r="Q315" s="21"/>
      <c r="R315" s="22"/>
      <c r="S315" s="21"/>
      <c r="T315" s="21"/>
      <c r="U315" s="21"/>
      <c r="V315" s="21"/>
      <c r="W315" s="124">
        <f t="shared" si="37"/>
        <v>0</v>
      </c>
      <c r="X315" s="21">
        <f t="shared" si="38"/>
        <v>0</v>
      </c>
      <c r="Y315" s="21">
        <f t="shared" si="39"/>
        <v>0</v>
      </c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</row>
    <row r="316" spans="1:40" ht="14.25" customHeight="1">
      <c r="A316" s="21"/>
      <c r="B316" s="21"/>
      <c r="C316" s="59"/>
      <c r="D316" s="51"/>
      <c r="E316" s="51"/>
      <c r="F316" s="115" t="s">
        <v>531</v>
      </c>
      <c r="G316" s="21"/>
      <c r="H316" s="21"/>
      <c r="I316" s="21"/>
      <c r="J316" s="71"/>
      <c r="K316" s="68"/>
      <c r="L316" s="77"/>
      <c r="M316" s="101"/>
      <c r="N316" s="21"/>
      <c r="O316" s="21"/>
      <c r="P316" s="21"/>
      <c r="Q316" s="21"/>
      <c r="R316" s="22"/>
      <c r="S316" s="21"/>
      <c r="T316" s="21"/>
      <c r="U316" s="21"/>
      <c r="V316" s="21"/>
      <c r="W316" s="116">
        <f>+IF(SUM(Y319:Y329)=0,H328,SUM(Y319:Y329))</f>
        <v>0.2</v>
      </c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</row>
    <row r="317" spans="1:40" ht="3.75" customHeight="1">
      <c r="A317" s="21"/>
      <c r="B317" s="21"/>
      <c r="C317" s="59"/>
      <c r="D317" s="51"/>
      <c r="E317" s="51"/>
      <c r="F317" s="71"/>
      <c r="G317" s="71"/>
      <c r="H317" s="71"/>
      <c r="I317" s="21"/>
      <c r="J317" s="71"/>
      <c r="K317" s="68"/>
      <c r="L317" s="77"/>
      <c r="M317" s="101"/>
      <c r="N317" s="21"/>
      <c r="O317" s="21"/>
      <c r="P317" s="21"/>
      <c r="Q317" s="21"/>
      <c r="R317" s="22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</row>
    <row r="318" spans="1:40" ht="14.25" customHeight="1">
      <c r="A318" s="21"/>
      <c r="B318" s="21"/>
      <c r="C318" s="59"/>
      <c r="D318" s="51"/>
      <c r="E318" s="51"/>
      <c r="F318" s="118" t="s">
        <v>532</v>
      </c>
      <c r="G318" s="119" t="str">
        <f>+G304</f>
        <v>Current Outs (IDR Million)</v>
      </c>
      <c r="H318" s="120" t="s">
        <v>501</v>
      </c>
      <c r="I318" s="21"/>
      <c r="J318" s="71"/>
      <c r="K318" s="68"/>
      <c r="L318" s="77"/>
      <c r="M318" s="101"/>
      <c r="N318" s="21"/>
      <c r="O318" s="21"/>
      <c r="P318" s="21"/>
      <c r="Q318" s="21"/>
      <c r="R318" s="22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</row>
    <row r="319" spans="1:40" ht="14.25" customHeight="1">
      <c r="A319" s="21"/>
      <c r="B319" s="21"/>
      <c r="C319" s="59"/>
      <c r="D319" s="51"/>
      <c r="E319" s="51"/>
      <c r="F319" s="127" t="s">
        <v>533</v>
      </c>
      <c r="G319" s="129">
        <v>0</v>
      </c>
      <c r="H319" s="46">
        <v>0</v>
      </c>
      <c r="I319" s="21"/>
      <c r="J319" s="71"/>
      <c r="K319" s="68"/>
      <c r="L319" s="77"/>
      <c r="M319" s="101"/>
      <c r="N319" s="21"/>
      <c r="O319" s="21"/>
      <c r="P319" s="21"/>
      <c r="Q319" s="21"/>
      <c r="R319" s="22"/>
      <c r="S319" s="21"/>
      <c r="T319" s="21"/>
      <c r="U319" s="21"/>
      <c r="V319" s="21"/>
      <c r="W319" s="124">
        <f t="shared" ref="W319:W329" si="40">+IF(SUM($G$319:$G$328)=0,0,G319/SUM($G$319:$G$328))</f>
        <v>0</v>
      </c>
      <c r="X319" s="21">
        <f t="shared" ref="X319:X329" si="41">+H319</f>
        <v>0</v>
      </c>
      <c r="Y319" s="21">
        <f t="shared" ref="Y319:Y329" si="42">+W319*X319</f>
        <v>0</v>
      </c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</row>
    <row r="320" spans="1:40" ht="14.25" customHeight="1">
      <c r="A320" s="21"/>
      <c r="B320" s="21"/>
      <c r="C320" s="59"/>
      <c r="D320" s="51"/>
      <c r="E320" s="51"/>
      <c r="F320" s="127" t="s">
        <v>534</v>
      </c>
      <c r="G320" s="129">
        <v>0</v>
      </c>
      <c r="H320" s="46">
        <v>0</v>
      </c>
      <c r="I320" s="21"/>
      <c r="J320" s="71"/>
      <c r="K320" s="68"/>
      <c r="L320" s="77"/>
      <c r="M320" s="101"/>
      <c r="N320" s="21"/>
      <c r="O320" s="21"/>
      <c r="P320" s="21"/>
      <c r="Q320" s="21"/>
      <c r="R320" s="22"/>
      <c r="S320" s="21"/>
      <c r="T320" s="21"/>
      <c r="U320" s="21"/>
      <c r="V320" s="21"/>
      <c r="W320" s="124">
        <f t="shared" si="40"/>
        <v>0</v>
      </c>
      <c r="X320" s="21">
        <f t="shared" si="41"/>
        <v>0</v>
      </c>
      <c r="Y320" s="21">
        <f t="shared" si="42"/>
        <v>0</v>
      </c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</row>
    <row r="321" spans="1:40" ht="14.25" customHeight="1">
      <c r="A321" s="21"/>
      <c r="B321" s="21"/>
      <c r="C321" s="59"/>
      <c r="D321" s="51"/>
      <c r="E321" s="51"/>
      <c r="F321" s="127" t="s">
        <v>535</v>
      </c>
      <c r="G321" s="129">
        <v>0</v>
      </c>
      <c r="H321" s="46">
        <v>0</v>
      </c>
      <c r="I321" s="21"/>
      <c r="J321" s="71"/>
      <c r="K321" s="68"/>
      <c r="L321" s="77"/>
      <c r="M321" s="101"/>
      <c r="N321" s="21"/>
      <c r="O321" s="21"/>
      <c r="P321" s="21"/>
      <c r="Q321" s="21"/>
      <c r="R321" s="22"/>
      <c r="S321" s="21"/>
      <c r="T321" s="21"/>
      <c r="U321" s="21"/>
      <c r="V321" s="21"/>
      <c r="W321" s="124">
        <f t="shared" si="40"/>
        <v>0</v>
      </c>
      <c r="X321" s="21">
        <f t="shared" si="41"/>
        <v>0</v>
      </c>
      <c r="Y321" s="21">
        <f t="shared" si="42"/>
        <v>0</v>
      </c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</row>
    <row r="322" spans="1:40" ht="14.25" customHeight="1">
      <c r="A322" s="21"/>
      <c r="B322" s="21"/>
      <c r="C322" s="59"/>
      <c r="D322" s="51"/>
      <c r="E322" s="51"/>
      <c r="F322" s="127" t="s">
        <v>536</v>
      </c>
      <c r="G322" s="129">
        <v>0</v>
      </c>
      <c r="H322" s="46">
        <v>0</v>
      </c>
      <c r="I322" s="21"/>
      <c r="J322" s="71"/>
      <c r="K322" s="68"/>
      <c r="L322" s="77"/>
      <c r="M322" s="101"/>
      <c r="N322" s="21"/>
      <c r="O322" s="21"/>
      <c r="P322" s="21"/>
      <c r="Q322" s="21"/>
      <c r="R322" s="22"/>
      <c r="S322" s="21"/>
      <c r="T322" s="21"/>
      <c r="U322" s="21"/>
      <c r="V322" s="21"/>
      <c r="W322" s="124">
        <f t="shared" si="40"/>
        <v>0</v>
      </c>
      <c r="X322" s="21">
        <f t="shared" si="41"/>
        <v>0</v>
      </c>
      <c r="Y322" s="21">
        <f t="shared" si="42"/>
        <v>0</v>
      </c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</row>
    <row r="323" spans="1:40" ht="14.25" customHeight="1">
      <c r="A323" s="21"/>
      <c r="B323" s="21"/>
      <c r="C323" s="59"/>
      <c r="D323" s="51"/>
      <c r="E323" s="51"/>
      <c r="F323" s="127" t="s">
        <v>537</v>
      </c>
      <c r="G323" s="129">
        <v>0</v>
      </c>
      <c r="H323" s="46">
        <v>0</v>
      </c>
      <c r="I323" s="21"/>
      <c r="J323" s="71"/>
      <c r="K323" s="68"/>
      <c r="L323" s="77"/>
      <c r="M323" s="101"/>
      <c r="N323" s="21"/>
      <c r="O323" s="21"/>
      <c r="P323" s="21"/>
      <c r="Q323" s="21"/>
      <c r="R323" s="22"/>
      <c r="S323" s="21"/>
      <c r="T323" s="21"/>
      <c r="U323" s="21"/>
      <c r="V323" s="21"/>
      <c r="W323" s="124">
        <f t="shared" si="40"/>
        <v>0</v>
      </c>
      <c r="X323" s="21">
        <f t="shared" si="41"/>
        <v>0</v>
      </c>
      <c r="Y323" s="21">
        <f t="shared" si="42"/>
        <v>0</v>
      </c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</row>
    <row r="324" spans="1:40" ht="14.25" customHeight="1">
      <c r="A324" s="21"/>
      <c r="B324" s="21"/>
      <c r="C324" s="59"/>
      <c r="D324" s="51"/>
      <c r="E324" s="51"/>
      <c r="F324" s="127" t="s">
        <v>538</v>
      </c>
      <c r="G324" s="129">
        <v>0</v>
      </c>
      <c r="H324" s="46">
        <v>0</v>
      </c>
      <c r="I324" s="21"/>
      <c r="J324" s="71"/>
      <c r="K324" s="68"/>
      <c r="L324" s="77"/>
      <c r="M324" s="101"/>
      <c r="N324" s="21"/>
      <c r="O324" s="21"/>
      <c r="P324" s="21"/>
      <c r="Q324" s="21"/>
      <c r="R324" s="22"/>
      <c r="S324" s="21"/>
      <c r="T324" s="21"/>
      <c r="U324" s="21"/>
      <c r="V324" s="21"/>
      <c r="W324" s="124">
        <f t="shared" si="40"/>
        <v>0</v>
      </c>
      <c r="X324" s="21">
        <f t="shared" si="41"/>
        <v>0</v>
      </c>
      <c r="Y324" s="21">
        <f t="shared" si="42"/>
        <v>0</v>
      </c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</row>
    <row r="325" spans="1:40" ht="14.25" customHeight="1">
      <c r="A325" s="21"/>
      <c r="B325" s="21"/>
      <c r="C325" s="59"/>
      <c r="D325" s="51"/>
      <c r="E325" s="51"/>
      <c r="F325" s="127" t="s">
        <v>539</v>
      </c>
      <c r="G325" s="129">
        <v>0</v>
      </c>
      <c r="H325" s="46">
        <v>0</v>
      </c>
      <c r="I325" s="21"/>
      <c r="J325" s="71"/>
      <c r="K325" s="68"/>
      <c r="L325" s="77"/>
      <c r="M325" s="101"/>
      <c r="N325" s="21"/>
      <c r="O325" s="21"/>
      <c r="P325" s="21"/>
      <c r="Q325" s="21"/>
      <c r="R325" s="22"/>
      <c r="S325" s="21"/>
      <c r="T325" s="21"/>
      <c r="U325" s="21"/>
      <c r="V325" s="21"/>
      <c r="W325" s="124">
        <f t="shared" si="40"/>
        <v>0</v>
      </c>
      <c r="X325" s="21">
        <f t="shared" si="41"/>
        <v>0</v>
      </c>
      <c r="Y325" s="21">
        <f t="shared" si="42"/>
        <v>0</v>
      </c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</row>
    <row r="326" spans="1:40" ht="14.25" customHeight="1">
      <c r="A326" s="21"/>
      <c r="B326" s="21"/>
      <c r="C326" s="59"/>
      <c r="D326" s="51"/>
      <c r="E326" s="51"/>
      <c r="F326" s="127" t="s">
        <v>540</v>
      </c>
      <c r="G326" s="129">
        <v>0</v>
      </c>
      <c r="H326" s="46">
        <v>0</v>
      </c>
      <c r="I326" s="21"/>
      <c r="J326" s="71"/>
      <c r="K326" s="68"/>
      <c r="L326" s="77"/>
      <c r="M326" s="101"/>
      <c r="N326" s="21"/>
      <c r="O326" s="21"/>
      <c r="P326" s="21"/>
      <c r="Q326" s="21"/>
      <c r="R326" s="22"/>
      <c r="S326" s="21"/>
      <c r="T326" s="21"/>
      <c r="U326" s="21"/>
      <c r="V326" s="21"/>
      <c r="W326" s="124">
        <f t="shared" si="40"/>
        <v>0</v>
      </c>
      <c r="X326" s="21">
        <f t="shared" si="41"/>
        <v>0</v>
      </c>
      <c r="Y326" s="21">
        <f t="shared" si="42"/>
        <v>0</v>
      </c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</row>
    <row r="327" spans="1:40" ht="14.25" customHeight="1">
      <c r="A327" s="21"/>
      <c r="B327" s="21"/>
      <c r="C327" s="59"/>
      <c r="D327" s="51"/>
      <c r="E327" s="51"/>
      <c r="F327" s="127" t="s">
        <v>541</v>
      </c>
      <c r="G327" s="129">
        <v>0</v>
      </c>
      <c r="H327" s="46">
        <v>0</v>
      </c>
      <c r="I327" s="21"/>
      <c r="J327" s="71"/>
      <c r="K327" s="68"/>
      <c r="L327" s="77"/>
      <c r="M327" s="101"/>
      <c r="N327" s="21"/>
      <c r="O327" s="21"/>
      <c r="P327" s="21"/>
      <c r="Q327" s="21"/>
      <c r="R327" s="22"/>
      <c r="S327" s="21"/>
      <c r="T327" s="21"/>
      <c r="U327" s="21"/>
      <c r="V327" s="21"/>
      <c r="W327" s="124">
        <f t="shared" si="40"/>
        <v>0</v>
      </c>
      <c r="X327" s="21">
        <f t="shared" si="41"/>
        <v>0</v>
      </c>
      <c r="Y327" s="21">
        <f t="shared" si="42"/>
        <v>0</v>
      </c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</row>
    <row r="328" spans="1:40" ht="14.25" customHeight="1">
      <c r="A328" s="21"/>
      <c r="B328" s="21"/>
      <c r="C328" s="59"/>
      <c r="D328" s="51"/>
      <c r="E328" s="51"/>
      <c r="F328" s="127" t="s">
        <v>542</v>
      </c>
      <c r="G328" s="128">
        <f>+Historical!K54+Historical!K49</f>
        <v>7306</v>
      </c>
      <c r="H328" s="46">
        <v>0.2</v>
      </c>
      <c r="I328" s="21"/>
      <c r="J328" s="71"/>
      <c r="K328" s="68"/>
      <c r="L328" s="77"/>
      <c r="M328" s="101"/>
      <c r="N328" s="21"/>
      <c r="O328" s="21"/>
      <c r="P328" s="21"/>
      <c r="Q328" s="21"/>
      <c r="R328" s="22"/>
      <c r="S328" s="21"/>
      <c r="T328" s="21"/>
      <c r="U328" s="21"/>
      <c r="V328" s="21"/>
      <c r="W328" s="124">
        <f t="shared" si="40"/>
        <v>1</v>
      </c>
      <c r="X328" s="21">
        <f t="shared" si="41"/>
        <v>0.2</v>
      </c>
      <c r="Y328" s="21">
        <f t="shared" si="42"/>
        <v>0.2</v>
      </c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</row>
    <row r="329" spans="1:40" ht="13.5" customHeight="1">
      <c r="A329" s="21"/>
      <c r="B329" s="21"/>
      <c r="C329" s="59"/>
      <c r="D329" s="51"/>
      <c r="E329" s="51"/>
      <c r="F329" s="137"/>
      <c r="G329" s="138"/>
      <c r="H329" s="139"/>
      <c r="I329" s="21"/>
      <c r="J329" s="71"/>
      <c r="K329" s="68"/>
      <c r="L329" s="77"/>
      <c r="M329" s="101"/>
      <c r="N329" s="21"/>
      <c r="O329" s="21"/>
      <c r="P329" s="21"/>
      <c r="Q329" s="21"/>
      <c r="R329" s="22"/>
      <c r="S329" s="21"/>
      <c r="T329" s="21"/>
      <c r="U329" s="21"/>
      <c r="V329" s="21"/>
      <c r="W329" s="124">
        <f t="shared" si="40"/>
        <v>0</v>
      </c>
      <c r="X329" s="21">
        <f t="shared" si="41"/>
        <v>0</v>
      </c>
      <c r="Y329" s="21">
        <f t="shared" si="42"/>
        <v>0</v>
      </c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</row>
    <row r="330" spans="1:40" ht="14.25" customHeight="1">
      <c r="A330" s="21"/>
      <c r="B330" s="21"/>
      <c r="C330" s="59"/>
      <c r="D330" s="60">
        <v>7</v>
      </c>
      <c r="E330" s="60" t="s">
        <v>543</v>
      </c>
      <c r="F330" s="73"/>
      <c r="G330" s="117"/>
      <c r="H330" s="21"/>
      <c r="I330" s="21"/>
      <c r="J330" s="71"/>
      <c r="K330" s="68"/>
      <c r="L330" s="77"/>
      <c r="M330" s="101"/>
      <c r="N330" s="21"/>
      <c r="O330" s="21"/>
      <c r="P330" s="21"/>
      <c r="Q330" s="21"/>
      <c r="R330" s="22"/>
      <c r="S330" s="21"/>
      <c r="T330" s="21"/>
      <c r="U330" s="21"/>
      <c r="V330" s="21"/>
      <c r="W330" s="124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</row>
    <row r="331" spans="1:40" ht="14.25" customHeight="1">
      <c r="A331" s="21"/>
      <c r="B331" s="21"/>
      <c r="C331" s="59"/>
      <c r="D331" s="51"/>
      <c r="E331" s="51"/>
      <c r="F331" s="140" t="s">
        <v>544</v>
      </c>
      <c r="G331" s="141" t="str">
        <f>+G265</f>
        <v>Current Outs (IDR Million)</v>
      </c>
      <c r="H331" s="21"/>
      <c r="I331" s="21"/>
      <c r="J331" s="26" t="s">
        <v>545</v>
      </c>
      <c r="K331" s="142" t="s">
        <v>546</v>
      </c>
      <c r="L331" s="77"/>
      <c r="M331" s="101"/>
      <c r="N331" s="21"/>
      <c r="O331" s="21"/>
      <c r="P331" s="21"/>
      <c r="Q331" s="21"/>
      <c r="R331" s="22"/>
      <c r="S331" s="21"/>
      <c r="T331" s="21"/>
      <c r="U331" s="21"/>
      <c r="V331" s="21"/>
      <c r="W331" s="124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</row>
    <row r="332" spans="1:40" ht="14.25" customHeight="1">
      <c r="A332" s="21"/>
      <c r="B332" s="21"/>
      <c r="C332" s="59"/>
      <c r="D332" s="51"/>
      <c r="E332" s="51"/>
      <c r="F332" s="143" t="s">
        <v>547</v>
      </c>
      <c r="G332" s="144">
        <f>+Historical!K35</f>
        <v>2003</v>
      </c>
      <c r="H332" s="21"/>
      <c r="I332" s="21"/>
      <c r="J332" s="585" t="s">
        <v>548</v>
      </c>
      <c r="K332" s="57">
        <v>1</v>
      </c>
      <c r="L332" s="77"/>
      <c r="M332" s="101"/>
      <c r="N332" s="21"/>
      <c r="O332" s="21"/>
      <c r="P332" s="21"/>
      <c r="Q332" s="21"/>
      <c r="R332" s="22"/>
      <c r="S332" s="21"/>
      <c r="T332" s="21"/>
      <c r="U332" s="21"/>
      <c r="V332" s="21"/>
      <c r="W332" s="124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</row>
    <row r="333" spans="1:40" ht="13.5" customHeight="1">
      <c r="A333" s="21"/>
      <c r="B333" s="21"/>
      <c r="C333" s="59"/>
      <c r="D333" s="51"/>
      <c r="E333" s="51"/>
      <c r="F333" s="143" t="s">
        <v>549</v>
      </c>
      <c r="G333" s="144">
        <f>+Historical!K36</f>
        <v>2103</v>
      </c>
      <c r="H333" s="21"/>
      <c r="I333" s="21"/>
      <c r="J333" s="145" t="s">
        <v>550</v>
      </c>
      <c r="K333" s="146">
        <f>+K334-K332</f>
        <v>0</v>
      </c>
      <c r="L333" s="77"/>
      <c r="M333" s="101"/>
      <c r="N333" s="21"/>
      <c r="O333" s="21"/>
      <c r="P333" s="21"/>
      <c r="Q333" s="21"/>
      <c r="R333" s="22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</row>
    <row r="334" spans="1:40" ht="14.25" customHeight="1">
      <c r="A334" s="21"/>
      <c r="B334" s="21"/>
      <c r="C334" s="59"/>
      <c r="D334" s="51"/>
      <c r="E334" s="51"/>
      <c r="F334" s="147" t="s">
        <v>551</v>
      </c>
      <c r="G334" s="148">
        <f>+G332+G333</f>
        <v>4106</v>
      </c>
      <c r="H334" s="21"/>
      <c r="I334" s="21"/>
      <c r="J334" s="145" t="s">
        <v>458</v>
      </c>
      <c r="K334" s="149">
        <v>1</v>
      </c>
      <c r="L334" s="77"/>
      <c r="M334" s="101"/>
      <c r="N334" s="21"/>
      <c r="O334" s="21"/>
      <c r="P334" s="21"/>
      <c r="Q334" s="21"/>
      <c r="R334" s="22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</row>
    <row r="335" spans="1:40" ht="13.5" customHeight="1">
      <c r="A335" s="21"/>
      <c r="B335" s="21"/>
      <c r="C335" s="59"/>
      <c r="D335" s="51"/>
      <c r="E335" s="51"/>
      <c r="F335" s="73"/>
      <c r="G335" s="117"/>
      <c r="H335" s="21"/>
      <c r="I335" s="21"/>
      <c r="J335" s="71"/>
      <c r="K335" s="68"/>
      <c r="L335" s="77"/>
      <c r="M335" s="101"/>
      <c r="N335" s="21"/>
      <c r="O335" s="21"/>
      <c r="P335" s="21"/>
      <c r="Q335" s="21"/>
      <c r="R335" s="22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</row>
    <row r="336" spans="1:40" ht="14.25" customHeight="1">
      <c r="A336" s="21"/>
      <c r="B336" s="21"/>
      <c r="C336" s="59"/>
      <c r="D336" s="60">
        <v>8</v>
      </c>
      <c r="E336" s="60" t="s">
        <v>552</v>
      </c>
      <c r="F336" s="73"/>
      <c r="G336" s="117"/>
      <c r="H336" s="21"/>
      <c r="I336" s="21"/>
      <c r="J336" s="71"/>
      <c r="K336" s="68"/>
      <c r="L336" s="77"/>
      <c r="M336" s="101"/>
      <c r="N336" s="21"/>
      <c r="O336" s="21"/>
      <c r="P336" s="21"/>
      <c r="Q336" s="21"/>
      <c r="R336" s="22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</row>
    <row r="337" spans="1:40" ht="14.25" customHeight="1">
      <c r="A337" s="21"/>
      <c r="B337" s="21"/>
      <c r="C337" s="59"/>
      <c r="D337" s="60"/>
      <c r="E337" s="60"/>
      <c r="F337" s="73"/>
      <c r="G337" s="150">
        <v>0.25</v>
      </c>
      <c r="H337" s="21"/>
      <c r="I337" s="21"/>
      <c r="J337" s="71"/>
      <c r="K337" s="68"/>
      <c r="L337" s="77"/>
      <c r="M337" s="101"/>
      <c r="N337" s="21"/>
      <c r="O337" s="21"/>
      <c r="P337" s="21"/>
      <c r="Q337" s="21"/>
      <c r="R337" s="22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</row>
    <row r="338" spans="1:40" ht="13.5" customHeight="1">
      <c r="A338" s="21"/>
      <c r="B338" s="21"/>
      <c r="C338" s="59"/>
      <c r="D338" s="60"/>
      <c r="E338" s="60"/>
      <c r="F338" s="73"/>
      <c r="G338" s="117"/>
      <c r="H338" s="21"/>
      <c r="I338" s="21"/>
      <c r="J338" s="71"/>
      <c r="K338" s="68"/>
      <c r="L338" s="77"/>
      <c r="M338" s="101"/>
      <c r="N338" s="21"/>
      <c r="O338" s="21"/>
      <c r="P338" s="21"/>
      <c r="Q338" s="21"/>
      <c r="R338" s="22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</row>
    <row r="339" spans="1:40" ht="14.25" customHeight="1">
      <c r="A339" s="21"/>
      <c r="B339" s="21"/>
      <c r="C339" s="59"/>
      <c r="D339" s="51"/>
      <c r="E339" s="51"/>
      <c r="F339" s="73"/>
      <c r="G339" s="21"/>
      <c r="H339" s="21"/>
      <c r="I339" s="21"/>
      <c r="J339" s="71"/>
      <c r="K339" s="68"/>
      <c r="L339" s="77"/>
      <c r="M339" s="101"/>
      <c r="N339" s="21"/>
      <c r="O339" s="21"/>
      <c r="P339" s="21"/>
      <c r="Q339" s="21"/>
      <c r="R339" s="22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</row>
    <row r="340" spans="1:40" ht="14.25" customHeight="1">
      <c r="A340" s="21"/>
      <c r="B340" s="21"/>
      <c r="C340" s="59"/>
      <c r="D340" s="60">
        <v>9</v>
      </c>
      <c r="E340" s="60" t="s">
        <v>553</v>
      </c>
      <c r="F340" s="73"/>
      <c r="G340" s="35">
        <v>0.35</v>
      </c>
      <c r="H340" s="21"/>
      <c r="I340" s="21"/>
      <c r="J340" s="71"/>
      <c r="K340" s="68"/>
      <c r="L340" s="77"/>
      <c r="M340" s="101"/>
      <c r="N340" s="21"/>
      <c r="O340" s="21"/>
      <c r="P340" s="21"/>
      <c r="Q340" s="21"/>
      <c r="R340" s="22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</row>
    <row r="341" spans="1:40" ht="13.5" customHeight="1">
      <c r="A341" s="21"/>
      <c r="B341" s="21"/>
      <c r="C341" s="59"/>
      <c r="D341" s="51"/>
      <c r="E341" s="60"/>
      <c r="F341" s="73"/>
      <c r="G341" s="21"/>
      <c r="H341" s="21"/>
      <c r="I341" s="21"/>
      <c r="J341" s="71"/>
      <c r="K341" s="68"/>
      <c r="L341" s="77"/>
      <c r="M341" s="101"/>
      <c r="N341" s="21"/>
      <c r="O341" s="21"/>
      <c r="P341" s="21"/>
      <c r="Q341" s="21"/>
      <c r="R341" s="22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</row>
    <row r="342" spans="1:40" ht="13.5" customHeight="1">
      <c r="A342" s="21"/>
      <c r="B342" s="21"/>
      <c r="C342" s="59"/>
      <c r="D342" s="51"/>
      <c r="E342" s="51"/>
      <c r="F342" s="151"/>
      <c r="G342" s="69"/>
      <c r="H342" s="69"/>
      <c r="I342" s="21"/>
      <c r="J342" s="71"/>
      <c r="K342" s="68"/>
      <c r="L342" s="77"/>
      <c r="M342" s="101"/>
      <c r="N342" s="152"/>
      <c r="O342" s="21"/>
      <c r="P342" s="21"/>
      <c r="Q342" s="21"/>
      <c r="R342" s="22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59"/>
      <c r="AI342" s="59"/>
      <c r="AJ342" s="59"/>
      <c r="AK342" s="59"/>
      <c r="AL342" s="21"/>
      <c r="AM342" s="21"/>
      <c r="AN342" s="21"/>
    </row>
    <row r="343" spans="1:40" ht="13.5" customHeight="1">
      <c r="A343" s="21"/>
      <c r="B343" s="21"/>
      <c r="C343" s="59"/>
      <c r="D343" s="60">
        <v>10</v>
      </c>
      <c r="E343" s="60" t="s">
        <v>554</v>
      </c>
      <c r="F343" s="115"/>
      <c r="G343" s="21"/>
      <c r="H343" s="21"/>
      <c r="I343" s="21"/>
      <c r="J343" s="71"/>
      <c r="K343" s="68"/>
      <c r="L343" s="77"/>
      <c r="M343" s="101"/>
      <c r="N343" s="21"/>
      <c r="O343" s="21"/>
      <c r="P343" s="21"/>
      <c r="Q343" s="21"/>
      <c r="R343" s="22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59"/>
      <c r="AI343" s="59"/>
      <c r="AJ343" s="59"/>
      <c r="AK343" s="59"/>
      <c r="AL343" s="21"/>
      <c r="AM343" s="21"/>
      <c r="AN343" s="21"/>
    </row>
    <row r="344" spans="1:40" ht="14.25" customHeight="1">
      <c r="A344" s="21"/>
      <c r="B344" s="21"/>
      <c r="C344" s="59"/>
      <c r="D344" s="60"/>
      <c r="E344" s="60" t="s">
        <v>88</v>
      </c>
      <c r="F344" s="115"/>
      <c r="G344" s="22" t="str">
        <f>+G8</f>
        <v>IDR Million</v>
      </c>
      <c r="H344" s="21"/>
      <c r="I344" s="21"/>
      <c r="J344" s="71"/>
      <c r="K344" s="68" t="str">
        <f>+G344</f>
        <v>IDR Million</v>
      </c>
      <c r="L344" s="77"/>
      <c r="M344" s="101"/>
      <c r="N344" s="21"/>
      <c r="O344" s="21"/>
      <c r="P344" s="21"/>
      <c r="Q344" s="21"/>
      <c r="R344" s="22"/>
      <c r="S344" s="21"/>
      <c r="T344" s="21"/>
      <c r="U344" s="21"/>
      <c r="V344" s="21"/>
      <c r="W344" s="21"/>
      <c r="X344" s="21"/>
      <c r="Y344" s="21"/>
      <c r="Z344" s="21"/>
      <c r="AA344" s="153" t="s">
        <v>555</v>
      </c>
      <c r="AB344" s="153">
        <v>11</v>
      </c>
      <c r="AC344" s="153"/>
      <c r="AD344" s="153"/>
      <c r="AE344" s="59"/>
      <c r="AF344" s="59"/>
      <c r="AG344" s="59"/>
      <c r="AH344" s="59"/>
      <c r="AI344" s="59"/>
      <c r="AJ344" s="59"/>
      <c r="AK344" s="59"/>
      <c r="AL344" s="21"/>
      <c r="AM344" s="21"/>
      <c r="AN344" s="21"/>
    </row>
    <row r="345" spans="1:40" ht="14.25" customHeight="1">
      <c r="A345" s="21"/>
      <c r="B345" s="21"/>
      <c r="C345" s="59"/>
      <c r="D345" s="60"/>
      <c r="E345" s="60"/>
      <c r="F345" s="28">
        <f>+$F$9</f>
        <v>44561</v>
      </c>
      <c r="G345" s="154">
        <f>+Historical!E16</f>
        <v>100</v>
      </c>
      <c r="H345" s="21"/>
      <c r="I345" s="55" t="s">
        <v>440</v>
      </c>
      <c r="J345" s="71"/>
      <c r="K345" s="155">
        <v>500</v>
      </c>
      <c r="L345" s="77"/>
      <c r="M345" s="101"/>
      <c r="N345" s="21"/>
      <c r="O345" s="21"/>
      <c r="P345" s="21"/>
      <c r="Q345" s="21"/>
      <c r="R345" s="22"/>
      <c r="S345" s="21"/>
      <c r="T345" s="21"/>
      <c r="U345" s="21"/>
      <c r="V345" s="21"/>
      <c r="W345" s="21"/>
      <c r="X345" s="21"/>
      <c r="Y345" s="21"/>
      <c r="Z345" s="21"/>
      <c r="AA345" s="153" t="s">
        <v>556</v>
      </c>
      <c r="AB345" s="153">
        <v>12</v>
      </c>
      <c r="AC345" s="153"/>
      <c r="AD345" s="153"/>
      <c r="AE345" s="59"/>
      <c r="AF345" s="59"/>
      <c r="AG345" s="59"/>
      <c r="AH345" s="59"/>
      <c r="AI345" s="59"/>
      <c r="AJ345" s="59"/>
      <c r="AK345" s="59"/>
      <c r="AL345" s="21"/>
      <c r="AM345" s="21"/>
      <c r="AN345" s="21"/>
    </row>
    <row r="346" spans="1:40" ht="13.5" customHeight="1">
      <c r="A346" s="21"/>
      <c r="B346" s="21"/>
      <c r="C346" s="59"/>
      <c r="D346" s="60"/>
      <c r="E346" s="60"/>
      <c r="F346" s="28">
        <f>+$F$10</f>
        <v>44926</v>
      </c>
      <c r="G346" s="154">
        <f>+Historical!G16</f>
        <v>101</v>
      </c>
      <c r="H346" s="21"/>
      <c r="I346" s="21"/>
      <c r="J346" s="71"/>
      <c r="K346" s="68"/>
      <c r="L346" s="77"/>
      <c r="M346" s="101"/>
      <c r="N346" s="21"/>
      <c r="O346" s="21"/>
      <c r="P346" s="21"/>
      <c r="Q346" s="21"/>
      <c r="R346" s="22"/>
      <c r="S346" s="21"/>
      <c r="T346" s="21"/>
      <c r="U346" s="21"/>
      <c r="V346" s="21"/>
      <c r="W346" s="21"/>
      <c r="X346" s="21"/>
      <c r="Y346" s="21"/>
      <c r="Z346" s="21"/>
      <c r="AA346" s="153"/>
      <c r="AB346" s="153"/>
      <c r="AC346" s="153"/>
      <c r="AD346" s="153"/>
      <c r="AE346" s="59"/>
      <c r="AF346" s="59"/>
      <c r="AG346" s="59"/>
      <c r="AH346" s="59"/>
      <c r="AI346" s="59"/>
      <c r="AJ346" s="59"/>
      <c r="AK346" s="59"/>
      <c r="AL346" s="21"/>
      <c r="AM346" s="21"/>
      <c r="AN346" s="21"/>
    </row>
    <row r="347" spans="1:40" ht="13.5" customHeight="1">
      <c r="A347" s="21"/>
      <c r="B347" s="21"/>
      <c r="C347" s="59"/>
      <c r="D347" s="60"/>
      <c r="E347" s="60"/>
      <c r="F347" s="28">
        <f>+$F$11</f>
        <v>45291</v>
      </c>
      <c r="G347" s="154">
        <f>+Historical!I16</f>
        <v>102</v>
      </c>
      <c r="H347" s="21"/>
      <c r="I347" s="21"/>
      <c r="J347" s="71"/>
      <c r="K347" s="68"/>
      <c r="L347" s="77"/>
      <c r="M347" s="101"/>
      <c r="N347" s="21"/>
      <c r="O347" s="21"/>
      <c r="P347" s="21"/>
      <c r="Q347" s="21"/>
      <c r="R347" s="22"/>
      <c r="S347" s="21"/>
      <c r="T347" s="21"/>
      <c r="U347" s="21"/>
      <c r="V347" s="21"/>
      <c r="W347" s="21"/>
      <c r="X347" s="21"/>
      <c r="Y347" s="21"/>
      <c r="Z347" s="21"/>
      <c r="AA347" s="153"/>
      <c r="AB347" s="153"/>
      <c r="AC347" s="153"/>
      <c r="AD347" s="153"/>
      <c r="AE347" s="59"/>
      <c r="AF347" s="59"/>
      <c r="AG347" s="59"/>
      <c r="AH347" s="59"/>
      <c r="AI347" s="59"/>
      <c r="AJ347" s="59"/>
      <c r="AK347" s="59"/>
      <c r="AL347" s="21"/>
      <c r="AM347" s="21"/>
      <c r="AN347" s="21"/>
    </row>
    <row r="348" spans="1:40" ht="13.5" customHeight="1">
      <c r="A348" s="21"/>
      <c r="B348" s="21"/>
      <c r="C348" s="59"/>
      <c r="D348" s="60"/>
      <c r="E348" s="60"/>
      <c r="F348" s="28">
        <f>+$F$12</f>
        <v>45473</v>
      </c>
      <c r="G348" s="154">
        <f>+Historical!K16</f>
        <v>103</v>
      </c>
      <c r="H348" s="21"/>
      <c r="I348" s="21"/>
      <c r="J348" s="71"/>
      <c r="K348" s="68"/>
      <c r="L348" s="77"/>
      <c r="M348" s="101"/>
      <c r="N348" s="21"/>
      <c r="O348" s="21"/>
      <c r="P348" s="21"/>
      <c r="Q348" s="21"/>
      <c r="R348" s="22"/>
      <c r="S348" s="21"/>
      <c r="T348" s="21"/>
      <c r="U348" s="21"/>
      <c r="V348" s="21"/>
      <c r="W348" s="21"/>
      <c r="X348" s="21"/>
      <c r="Y348" s="21"/>
      <c r="Z348" s="21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21"/>
      <c r="AM348" s="21"/>
      <c r="AN348" s="21"/>
    </row>
    <row r="349" spans="1:40" ht="13.5" customHeight="1">
      <c r="A349" s="21"/>
      <c r="B349" s="21"/>
      <c r="C349" s="59"/>
      <c r="D349" s="60"/>
      <c r="E349" s="60"/>
      <c r="F349" s="115"/>
      <c r="G349" s="21"/>
      <c r="H349" s="21"/>
      <c r="I349" s="21"/>
      <c r="J349" s="71"/>
      <c r="K349" s="68"/>
      <c r="L349" s="77"/>
      <c r="M349" s="101"/>
      <c r="N349" s="21"/>
      <c r="O349" s="21"/>
      <c r="P349" s="21"/>
      <c r="Q349" s="21"/>
      <c r="R349" s="22"/>
      <c r="S349" s="21"/>
      <c r="T349" s="21"/>
      <c r="U349" s="21"/>
      <c r="V349" s="21"/>
      <c r="W349" s="21"/>
      <c r="X349" s="21"/>
      <c r="Y349" s="21"/>
      <c r="Z349" s="21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21"/>
      <c r="AM349" s="21"/>
      <c r="AN349" s="21"/>
    </row>
    <row r="350" spans="1:40" ht="13.5" customHeight="1">
      <c r="A350" s="21"/>
      <c r="B350" s="21"/>
      <c r="C350" s="59"/>
      <c r="D350" s="51"/>
      <c r="E350" s="51"/>
      <c r="F350" s="73"/>
      <c r="G350" s="21"/>
      <c r="H350" s="21"/>
      <c r="I350" s="21"/>
      <c r="J350" s="71"/>
      <c r="K350" s="68"/>
      <c r="L350" s="77"/>
      <c r="M350" s="101"/>
      <c r="N350" s="21"/>
      <c r="O350" s="21"/>
      <c r="P350" s="21"/>
      <c r="Q350" s="21"/>
      <c r="R350" s="22"/>
      <c r="S350" s="21"/>
      <c r="T350" s="21"/>
      <c r="U350" s="21"/>
      <c r="V350" s="21"/>
      <c r="W350" s="21"/>
      <c r="X350" s="21"/>
      <c r="Y350" s="21"/>
      <c r="Z350" s="21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21"/>
      <c r="AM350" s="21"/>
      <c r="AN350" s="21"/>
    </row>
    <row r="351" spans="1:40" ht="13.5" customHeight="1">
      <c r="A351" s="21"/>
      <c r="B351" s="21"/>
      <c r="C351" s="59"/>
      <c r="D351" s="25">
        <v>11</v>
      </c>
      <c r="E351" s="60" t="s">
        <v>557</v>
      </c>
      <c r="F351" s="51"/>
      <c r="G351" s="21"/>
      <c r="H351" s="51"/>
      <c r="I351" s="51"/>
      <c r="J351" s="71"/>
      <c r="K351" s="156"/>
      <c r="L351" s="59"/>
      <c r="M351" s="59"/>
      <c r="N351" s="21"/>
      <c r="O351" s="21"/>
      <c r="P351" s="21"/>
      <c r="Q351" s="21"/>
      <c r="R351" s="22"/>
      <c r="S351" s="21"/>
      <c r="T351" s="21"/>
      <c r="U351" s="21"/>
      <c r="V351" s="21"/>
      <c r="W351" s="21"/>
      <c r="X351" s="21"/>
      <c r="Y351" s="21"/>
      <c r="Z351" s="21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21"/>
      <c r="AM351" s="21"/>
      <c r="AN351" s="21"/>
    </row>
    <row r="352" spans="1:40" ht="13.5" customHeight="1">
      <c r="A352" s="21"/>
      <c r="B352" s="21"/>
      <c r="C352" s="59"/>
      <c r="D352" s="21"/>
      <c r="E352" s="51"/>
      <c r="F352" s="51"/>
      <c r="G352" s="21"/>
      <c r="H352" s="51"/>
      <c r="I352" s="51"/>
      <c r="J352" s="71"/>
      <c r="K352" s="156"/>
      <c r="L352" s="59"/>
      <c r="M352" s="59"/>
      <c r="N352" s="21"/>
      <c r="O352" s="21"/>
      <c r="P352" s="21"/>
      <c r="Q352" s="21"/>
      <c r="R352" s="22"/>
      <c r="S352" s="21"/>
      <c r="T352" s="21"/>
      <c r="U352" s="21"/>
      <c r="V352" s="21"/>
      <c r="W352" s="21"/>
      <c r="X352" s="21"/>
      <c r="Y352" s="21"/>
      <c r="Z352" s="21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21"/>
      <c r="AM352" s="21"/>
      <c r="AN352" s="21"/>
    </row>
    <row r="353" spans="1:40" ht="13.5" customHeight="1">
      <c r="A353" s="21"/>
      <c r="B353" s="21"/>
      <c r="C353" s="59"/>
      <c r="D353" s="21"/>
      <c r="E353" s="157"/>
      <c r="F353" s="157" t="s">
        <v>558</v>
      </c>
      <c r="G353" s="21"/>
      <c r="H353" s="158"/>
      <c r="I353" s="1539" t="s">
        <v>559</v>
      </c>
      <c r="J353" s="1616"/>
      <c r="K353" s="1616"/>
      <c r="L353" s="1616"/>
      <c r="M353" s="156"/>
      <c r="N353" s="59"/>
      <c r="O353" s="59"/>
      <c r="P353" s="21"/>
      <c r="Q353" s="21"/>
      <c r="R353" s="22"/>
      <c r="S353" s="21"/>
      <c r="T353" s="21"/>
      <c r="U353" s="21"/>
      <c r="V353" s="21"/>
      <c r="W353" s="21"/>
      <c r="X353" s="21"/>
      <c r="Y353" s="21"/>
      <c r="Z353" s="21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21"/>
      <c r="AM353" s="21"/>
      <c r="AN353" s="21"/>
    </row>
    <row r="354" spans="1:40" ht="13.5" customHeight="1">
      <c r="A354" s="21"/>
      <c r="B354" s="21"/>
      <c r="C354" s="59"/>
      <c r="D354" s="21"/>
      <c r="E354" s="157"/>
      <c r="F354" s="157"/>
      <c r="G354" s="21"/>
      <c r="H354" s="158"/>
      <c r="I354" s="157"/>
      <c r="J354" s="157"/>
      <c r="K354" s="157"/>
      <c r="L354" s="157"/>
      <c r="M354" s="156"/>
      <c r="N354" s="59"/>
      <c r="O354" s="59"/>
      <c r="P354" s="21"/>
      <c r="Q354" s="21"/>
      <c r="R354" s="22"/>
      <c r="S354" s="21"/>
      <c r="T354" s="21"/>
      <c r="U354" s="21"/>
      <c r="V354" s="21"/>
      <c r="W354" s="21"/>
      <c r="X354" s="21"/>
      <c r="Y354" s="21"/>
      <c r="Z354" s="21"/>
      <c r="AA354" s="59"/>
      <c r="AB354" s="59"/>
      <c r="AC354" s="59"/>
      <c r="AD354" s="59"/>
      <c r="AE354" s="59"/>
      <c r="AF354" s="59"/>
      <c r="AG354" s="59"/>
      <c r="AH354" s="21"/>
      <c r="AI354" s="21"/>
      <c r="AJ354" s="21"/>
      <c r="AK354" s="21"/>
      <c r="AL354" s="21"/>
      <c r="AM354" s="21"/>
      <c r="AN354" s="21"/>
    </row>
    <row r="355" spans="1:40" ht="13.5" hidden="1" customHeight="1">
      <c r="A355" s="21"/>
      <c r="B355" s="21"/>
      <c r="C355" s="59"/>
      <c r="D355" s="21"/>
      <c r="E355" s="157"/>
      <c r="F355" s="157"/>
      <c r="G355" s="21"/>
      <c r="H355" s="158"/>
      <c r="I355" s="157"/>
      <c r="J355" s="157"/>
      <c r="K355" s="157"/>
      <c r="L355" s="157"/>
      <c r="M355" s="156"/>
      <c r="N355" s="59"/>
      <c r="O355" s="59"/>
      <c r="P355" s="21"/>
      <c r="Q355" s="21"/>
      <c r="R355" s="22"/>
      <c r="S355" s="21"/>
      <c r="T355" s="21"/>
      <c r="U355" s="21"/>
      <c r="V355" s="21"/>
      <c r="W355" s="21"/>
      <c r="X355" s="21"/>
      <c r="Y355" s="21"/>
      <c r="Z355" s="21"/>
      <c r="AA355" s="59"/>
      <c r="AB355" s="59"/>
      <c r="AC355" s="59"/>
      <c r="AD355" s="59"/>
      <c r="AE355" s="59"/>
      <c r="AF355" s="59"/>
      <c r="AG355" s="59"/>
      <c r="AH355" s="21"/>
      <c r="AI355" s="21"/>
      <c r="AJ355" s="21"/>
      <c r="AK355" s="21"/>
      <c r="AL355" s="21"/>
      <c r="AM355" s="21"/>
      <c r="AN355" s="21"/>
    </row>
    <row r="356" spans="1:40" ht="13.5" hidden="1" customHeight="1">
      <c r="A356" s="21"/>
      <c r="B356" s="21"/>
      <c r="C356" s="59"/>
      <c r="D356" s="21"/>
      <c r="E356" s="157"/>
      <c r="F356" s="157"/>
      <c r="G356" s="21"/>
      <c r="H356" s="158"/>
      <c r="I356" s="157"/>
      <c r="J356" s="157"/>
      <c r="K356" s="157"/>
      <c r="L356" s="157"/>
      <c r="M356" s="156"/>
      <c r="N356" s="59"/>
      <c r="O356" s="59"/>
      <c r="P356" s="21"/>
      <c r="Q356" s="21"/>
      <c r="R356" s="22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</row>
    <row r="357" spans="1:40" ht="13.5" customHeight="1">
      <c r="A357" s="21"/>
      <c r="B357" s="21"/>
      <c r="C357" s="59"/>
      <c r="D357" s="21"/>
      <c r="E357" s="159"/>
      <c r="F357" s="159"/>
      <c r="G357" s="159"/>
      <c r="H357" s="157"/>
      <c r="I357" s="21"/>
      <c r="J357" s="51"/>
      <c r="K357" s="51"/>
      <c r="L357" s="71"/>
      <c r="M357" s="156"/>
      <c r="N357" s="59"/>
      <c r="O357" s="59"/>
      <c r="P357" s="21"/>
      <c r="Q357" s="21"/>
      <c r="R357" s="22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</row>
    <row r="358" spans="1:40" ht="13.5" customHeight="1">
      <c r="A358" s="21"/>
      <c r="B358" s="21"/>
      <c r="C358" s="59"/>
      <c r="D358" s="21"/>
      <c r="E358" s="159"/>
      <c r="F358" s="159"/>
      <c r="G358" s="159"/>
      <c r="H358" s="157"/>
      <c r="I358" s="21"/>
      <c r="J358" s="51"/>
      <c r="K358" s="51"/>
      <c r="L358" s="71"/>
      <c r="M358" s="156"/>
      <c r="N358" s="59"/>
      <c r="O358" s="59"/>
      <c r="P358" s="21"/>
      <c r="Q358" s="21"/>
      <c r="R358" s="22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</row>
    <row r="359" spans="1:40" ht="13.5" customHeight="1">
      <c r="A359" s="21"/>
      <c r="B359" s="21"/>
      <c r="C359" s="59"/>
      <c r="D359" s="21"/>
      <c r="E359" s="159"/>
      <c r="F359" s="159"/>
      <c r="G359" s="159"/>
      <c r="H359" s="157"/>
      <c r="I359" s="21"/>
      <c r="J359" s="51"/>
      <c r="K359" s="51"/>
      <c r="L359" s="71"/>
      <c r="M359" s="156"/>
      <c r="N359" s="59"/>
      <c r="O359" s="59"/>
      <c r="P359" s="21"/>
      <c r="Q359" s="21"/>
      <c r="R359" s="22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</row>
    <row r="360" spans="1:40" ht="5.25" customHeight="1">
      <c r="A360" s="21"/>
      <c r="B360" s="21"/>
      <c r="C360" s="59"/>
      <c r="D360" s="21"/>
      <c r="E360" s="159"/>
      <c r="F360" s="159"/>
      <c r="G360" s="159"/>
      <c r="H360" s="157"/>
      <c r="I360" s="21"/>
      <c r="J360" s="51"/>
      <c r="K360" s="51"/>
      <c r="L360" s="71"/>
      <c r="M360" s="156"/>
      <c r="N360" s="59"/>
      <c r="O360" s="59"/>
      <c r="P360" s="21"/>
      <c r="Q360" s="21"/>
      <c r="R360" s="22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</row>
    <row r="361" spans="1:40" ht="16.5" customHeight="1">
      <c r="A361" s="21"/>
      <c r="B361" s="21"/>
      <c r="C361" s="59"/>
      <c r="D361" s="21"/>
      <c r="E361" s="159"/>
      <c r="F361" s="160" t="s">
        <v>560</v>
      </c>
      <c r="G361" s="586"/>
      <c r="H361" s="565"/>
      <c r="I361" s="21"/>
      <c r="J361" s="51"/>
      <c r="K361" s="51"/>
      <c r="L361" s="71"/>
      <c r="M361" s="156"/>
      <c r="N361" s="59"/>
      <c r="O361" s="59"/>
      <c r="P361" s="21"/>
      <c r="Q361" s="21"/>
      <c r="R361" s="22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</row>
    <row r="362" spans="1:40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  <c r="AA362" s="21"/>
      <c r="AB362" s="21"/>
      <c r="AC362" s="21"/>
      <c r="AD362" s="21"/>
      <c r="AE362" s="21"/>
      <c r="AF362" s="21"/>
      <c r="AG362" s="21"/>
      <c r="AH362" s="19"/>
      <c r="AI362" s="19"/>
      <c r="AJ362" s="19"/>
      <c r="AK362" s="19"/>
      <c r="AL362" s="19"/>
      <c r="AM362" s="19"/>
      <c r="AN362" s="19"/>
    </row>
    <row r="363" spans="1:40" ht="7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  <c r="AA363" s="21"/>
      <c r="AB363" s="21"/>
      <c r="AC363" s="21"/>
      <c r="AD363" s="21"/>
      <c r="AE363" s="21"/>
      <c r="AF363" s="21"/>
      <c r="AG363" s="21"/>
      <c r="AH363" s="19"/>
      <c r="AI363" s="19"/>
      <c r="AJ363" s="19"/>
      <c r="AK363" s="19"/>
      <c r="AL363" s="19"/>
      <c r="AM363" s="19"/>
      <c r="AN363" s="19"/>
    </row>
    <row r="364" spans="1:40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</row>
    <row r="365" spans="1:40" ht="13.5" customHeight="1">
      <c r="A365" s="19"/>
      <c r="B365" s="19"/>
      <c r="C365" s="19"/>
      <c r="D365" s="19"/>
      <c r="E365" s="19"/>
      <c r="F365" s="19"/>
      <c r="G365" s="19"/>
      <c r="H365" s="161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</row>
    <row r="366" spans="1:40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</row>
    <row r="367" spans="1:40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</row>
    <row r="368" spans="1:40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</row>
    <row r="369" spans="1:40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</row>
    <row r="370" spans="1:4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</row>
    <row r="371" spans="1:40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</row>
    <row r="372" spans="1:40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</row>
    <row r="373" spans="1:40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</row>
    <row r="374" spans="1:40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</row>
    <row r="375" spans="1:40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</row>
    <row r="376" spans="1:40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</row>
    <row r="377" spans="1:40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</row>
    <row r="378" spans="1:40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</row>
    <row r="379" spans="1:40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</row>
    <row r="380" spans="1:4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</row>
    <row r="381" spans="1:40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</row>
    <row r="382" spans="1:40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</row>
    <row r="383" spans="1:40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</row>
    <row r="384" spans="1:40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</row>
    <row r="385" spans="1:40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</row>
    <row r="386" spans="1:40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</row>
    <row r="387" spans="1:40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</row>
    <row r="388" spans="1:40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</row>
    <row r="389" spans="1:40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</row>
    <row r="390" spans="1:4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</row>
    <row r="391" spans="1:40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</row>
    <row r="392" spans="1:40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</row>
    <row r="393" spans="1:40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</row>
    <row r="394" spans="1:40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</row>
    <row r="395" spans="1:40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</row>
    <row r="396" spans="1:40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</row>
    <row r="397" spans="1:40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</row>
    <row r="398" spans="1:40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</row>
    <row r="399" spans="1:40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</row>
    <row r="400" spans="1:4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</row>
    <row r="401" spans="1:40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</row>
    <row r="402" spans="1:40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</row>
    <row r="403" spans="1:40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</row>
    <row r="404" spans="1:40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</row>
    <row r="405" spans="1:40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</row>
    <row r="406" spans="1:40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</row>
    <row r="407" spans="1:40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</row>
    <row r="408" spans="1:40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</row>
    <row r="409" spans="1:40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</row>
    <row r="410" spans="1:4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</row>
    <row r="411" spans="1:40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</row>
    <row r="412" spans="1:40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</row>
    <row r="413" spans="1:40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</row>
    <row r="414" spans="1:40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</row>
    <row r="415" spans="1:40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</row>
    <row r="416" spans="1:40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</row>
    <row r="417" spans="1:40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</row>
    <row r="418" spans="1:40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</row>
    <row r="419" spans="1:40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</row>
    <row r="420" spans="1:4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</row>
    <row r="421" spans="1:40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</row>
    <row r="422" spans="1:40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</row>
    <row r="423" spans="1:40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</row>
    <row r="424" spans="1:40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</row>
    <row r="425" spans="1:40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</row>
    <row r="426" spans="1:40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</row>
    <row r="427" spans="1:40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</row>
    <row r="428" spans="1:40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</row>
    <row r="429" spans="1:40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</row>
    <row r="430" spans="1:4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</row>
    <row r="431" spans="1:40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</row>
    <row r="432" spans="1:40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</row>
    <row r="433" spans="1:40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</row>
    <row r="434" spans="1:40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</row>
    <row r="435" spans="1:40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</row>
    <row r="436" spans="1:40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</row>
    <row r="437" spans="1:40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</row>
    <row r="438" spans="1:40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</row>
    <row r="439" spans="1:40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</row>
    <row r="440" spans="1: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</row>
    <row r="441" spans="1:40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</row>
    <row r="442" spans="1:40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</row>
    <row r="443" spans="1:40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</row>
    <row r="444" spans="1:40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</row>
    <row r="445" spans="1:40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</row>
    <row r="446" spans="1:40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</row>
    <row r="447" spans="1:40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</row>
    <row r="448" spans="1:40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</row>
    <row r="449" spans="1:40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</row>
    <row r="450" spans="1:4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</row>
    <row r="451" spans="1:40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</row>
    <row r="452" spans="1:40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</row>
    <row r="453" spans="1:40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</row>
    <row r="454" spans="1:40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</row>
    <row r="455" spans="1:40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</row>
    <row r="456" spans="1:40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</row>
    <row r="457" spans="1:40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</row>
    <row r="458" spans="1:40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</row>
    <row r="459" spans="1:40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</row>
    <row r="460" spans="1:4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</row>
    <row r="461" spans="1:40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</row>
    <row r="462" spans="1:40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</row>
    <row r="463" spans="1:40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</row>
    <row r="464" spans="1:40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</row>
    <row r="465" spans="1:40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</row>
    <row r="466" spans="1:40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</row>
    <row r="467" spans="1:40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</row>
    <row r="468" spans="1:40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</row>
    <row r="469" spans="1:40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</row>
    <row r="470" spans="1:4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</row>
    <row r="471" spans="1:40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</row>
    <row r="472" spans="1:40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</row>
    <row r="473" spans="1:40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</row>
    <row r="474" spans="1:40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</row>
    <row r="475" spans="1:40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</row>
    <row r="476" spans="1:40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</row>
    <row r="477" spans="1:40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</row>
    <row r="478" spans="1:40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</row>
    <row r="479" spans="1:40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</row>
    <row r="480" spans="1:4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</row>
    <row r="481" spans="1:40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</row>
    <row r="482" spans="1:40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</row>
    <row r="483" spans="1:40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</row>
    <row r="484" spans="1:40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</row>
    <row r="485" spans="1:40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</row>
    <row r="486" spans="1:40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</row>
    <row r="487" spans="1:40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</row>
    <row r="488" spans="1:40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</row>
    <row r="489" spans="1:40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</row>
    <row r="490" spans="1:4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</row>
    <row r="491" spans="1:40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</row>
    <row r="492" spans="1:40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</row>
    <row r="493" spans="1:40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</row>
    <row r="494" spans="1:40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</row>
    <row r="495" spans="1:40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</row>
    <row r="496" spans="1:40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</row>
    <row r="497" spans="1:40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</row>
    <row r="498" spans="1:40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</row>
    <row r="499" spans="1:40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</row>
    <row r="500" spans="1:4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</row>
    <row r="501" spans="1:40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</row>
    <row r="502" spans="1:40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</row>
    <row r="503" spans="1:40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</row>
    <row r="504" spans="1:40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</row>
    <row r="505" spans="1:40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</row>
    <row r="506" spans="1:40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</row>
    <row r="507" spans="1:40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</row>
    <row r="508" spans="1:40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</row>
    <row r="509" spans="1:40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</row>
    <row r="510" spans="1:4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</row>
    <row r="511" spans="1:40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</row>
    <row r="512" spans="1:40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</row>
    <row r="513" spans="1:40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</row>
    <row r="514" spans="1:40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</row>
    <row r="515" spans="1:40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</row>
    <row r="516" spans="1:40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</row>
    <row r="517" spans="1:40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</row>
    <row r="518" spans="1:40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</row>
    <row r="519" spans="1:40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</row>
    <row r="520" spans="1:4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</row>
    <row r="521" spans="1:40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</row>
    <row r="522" spans="1:40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</row>
    <row r="523" spans="1:40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</row>
    <row r="524" spans="1:40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</row>
    <row r="525" spans="1:40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</row>
    <row r="526" spans="1:40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</row>
    <row r="527" spans="1:40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</row>
    <row r="528" spans="1:40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</row>
    <row r="529" spans="1:40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</row>
    <row r="530" spans="1:4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</row>
    <row r="531" spans="1:40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</row>
    <row r="532" spans="1:40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</row>
    <row r="533" spans="1:40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</row>
    <row r="534" spans="1:40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</row>
    <row r="535" spans="1:40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</row>
    <row r="536" spans="1:40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</row>
    <row r="537" spans="1:40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</row>
    <row r="538" spans="1:40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</row>
    <row r="539" spans="1:40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</row>
    <row r="540" spans="1: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</row>
    <row r="541" spans="1:40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</row>
    <row r="542" spans="1:40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</row>
    <row r="543" spans="1:40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</row>
    <row r="544" spans="1:40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</row>
    <row r="545" spans="1:40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</row>
    <row r="546" spans="1:40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</row>
    <row r="547" spans="1:40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</row>
    <row r="548" spans="1:40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</row>
    <row r="549" spans="1:40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</row>
    <row r="550" spans="1:4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</row>
    <row r="551" spans="1:40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</row>
    <row r="552" spans="1:40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</row>
    <row r="553" spans="1:40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</row>
    <row r="554" spans="1:40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</row>
    <row r="555" spans="1:40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</row>
    <row r="556" spans="1:40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</row>
    <row r="557" spans="1:40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</row>
    <row r="558" spans="1:40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</row>
    <row r="559" spans="1:40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</row>
    <row r="560" spans="1:4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</row>
    <row r="561" spans="1:40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</row>
    <row r="562" spans="1:40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</row>
    <row r="563" spans="1:40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</row>
    <row r="564" spans="1:40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</row>
    <row r="565" spans="1:40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</row>
    <row r="566" spans="1:40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</row>
    <row r="567" spans="1:40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</row>
    <row r="568" spans="1:40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</row>
    <row r="569" spans="1:40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</row>
    <row r="570" spans="1:4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</row>
    <row r="571" spans="1:40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</row>
    <row r="572" spans="1:40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</row>
    <row r="573" spans="1:40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</row>
    <row r="574" spans="1:40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</row>
    <row r="575" spans="1:40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</row>
    <row r="576" spans="1:40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</row>
    <row r="577" spans="1:40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</row>
    <row r="578" spans="1:40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</row>
    <row r="579" spans="1:40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</row>
    <row r="580" spans="1:4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</row>
    <row r="581" spans="1:40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</row>
    <row r="582" spans="1:40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</row>
    <row r="583" spans="1:40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</row>
    <row r="584" spans="1:40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</row>
    <row r="585" spans="1:40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</row>
    <row r="586" spans="1:40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</row>
    <row r="587" spans="1:40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</row>
    <row r="588" spans="1:40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</row>
    <row r="589" spans="1:40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</row>
    <row r="590" spans="1:4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</row>
    <row r="591" spans="1:40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</row>
    <row r="592" spans="1:40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</row>
    <row r="593" spans="1:40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</row>
    <row r="594" spans="1:40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</row>
    <row r="595" spans="1:40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</row>
    <row r="596" spans="1:40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</row>
    <row r="597" spans="1:40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</row>
    <row r="598" spans="1:40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</row>
    <row r="599" spans="1:40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</row>
    <row r="600" spans="1:4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</row>
    <row r="601" spans="1:40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</row>
    <row r="602" spans="1:40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</row>
    <row r="603" spans="1:40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</row>
    <row r="604" spans="1:40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</row>
    <row r="605" spans="1:40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</row>
    <row r="606" spans="1:40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</row>
    <row r="607" spans="1:40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</row>
    <row r="608" spans="1:40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</row>
    <row r="609" spans="1:40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</row>
    <row r="610" spans="1:4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</row>
    <row r="611" spans="1:40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</row>
    <row r="612" spans="1:40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</row>
    <row r="613" spans="1:40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</row>
    <row r="614" spans="1:40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</row>
    <row r="615" spans="1:40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</row>
    <row r="616" spans="1:40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</row>
    <row r="617" spans="1:40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</row>
    <row r="618" spans="1:40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</row>
    <row r="619" spans="1:40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</row>
    <row r="620" spans="1:4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</row>
    <row r="621" spans="1:40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</row>
    <row r="622" spans="1:40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</row>
    <row r="623" spans="1:40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</row>
    <row r="624" spans="1:40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</row>
    <row r="625" spans="1:40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</row>
    <row r="626" spans="1:40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</row>
    <row r="627" spans="1:40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</row>
    <row r="628" spans="1:40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1:40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1:4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1:40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1:40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1:40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1:40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1:40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1:40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1:40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1:40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1:40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1: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1:40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1:40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1:40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1:40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1:40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1:40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1:40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1:40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1:40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1:4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1:40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1:40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1:40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1:40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1:40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1:40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1:40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1:40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1:40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1:4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1:40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1:40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1:40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1:40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1:40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1:40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1:40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1:40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1:40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1:4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1:40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1:40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1:40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1:40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1:40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1:40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1:40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1:40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1:40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1:4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1:40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1:40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1:40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1:40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1:40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1:40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1:40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1:40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1:40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1:4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1:40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1:40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1:40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1:40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1:40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1:40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1:40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1:40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1:40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1:4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1:40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1:40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1:40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1:40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1:40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1:40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1:40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1:40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1:40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1:4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1:40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1:40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1:40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1:40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1:40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1:40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1:40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1:40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1:40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1:4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1:40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1:40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1:40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1:40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1:40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1:40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1:40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1:40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1:40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1:4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1:40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1:40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1:40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1:40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1:40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</row>
    <row r="736" spans="1:40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</row>
    <row r="737" spans="1:40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</row>
    <row r="738" spans="1:40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</row>
    <row r="739" spans="1:40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</row>
    <row r="740" spans="1: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</row>
    <row r="741" spans="1:40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</row>
    <row r="742" spans="1:40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</row>
    <row r="743" spans="1:40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</row>
    <row r="744" spans="1:40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</row>
    <row r="745" spans="1:40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</row>
    <row r="746" spans="1:40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</row>
    <row r="747" spans="1:40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</row>
    <row r="748" spans="1:40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</row>
    <row r="749" spans="1:40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</row>
    <row r="750" spans="1:4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</row>
    <row r="751" spans="1:40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</row>
    <row r="752" spans="1:40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</row>
    <row r="753" spans="1:40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</row>
    <row r="754" spans="1:40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</row>
    <row r="755" spans="1:40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</row>
    <row r="756" spans="1:40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</row>
    <row r="757" spans="1:40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</row>
    <row r="758" spans="1:40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</row>
    <row r="759" spans="1:40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</row>
    <row r="760" spans="1:4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</row>
    <row r="761" spans="1:40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</row>
    <row r="762" spans="1:40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</row>
    <row r="763" spans="1:40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</row>
    <row r="764" spans="1:40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</row>
    <row r="765" spans="1:40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</row>
    <row r="766" spans="1:40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</row>
    <row r="767" spans="1:40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</row>
    <row r="768" spans="1:40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</row>
    <row r="769" spans="1:40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</row>
    <row r="770" spans="1:4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</row>
    <row r="771" spans="1:40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</row>
    <row r="772" spans="1:40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</row>
    <row r="773" spans="1:40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</row>
    <row r="774" spans="1:40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</row>
    <row r="775" spans="1:40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</row>
    <row r="776" spans="1:40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</row>
    <row r="777" spans="1:40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</row>
    <row r="778" spans="1:40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</row>
    <row r="779" spans="1:40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</row>
    <row r="780" spans="1:4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</row>
    <row r="781" spans="1:40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</row>
    <row r="782" spans="1:40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</row>
    <row r="783" spans="1:40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</row>
    <row r="784" spans="1:40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</row>
    <row r="785" spans="1:40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</row>
    <row r="786" spans="1:40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</row>
    <row r="787" spans="1:40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</row>
    <row r="788" spans="1:40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</row>
    <row r="789" spans="1:40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</row>
    <row r="790" spans="1:4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</row>
    <row r="791" spans="1:40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</row>
    <row r="792" spans="1:40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</row>
    <row r="793" spans="1:40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</row>
    <row r="794" spans="1:40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</row>
    <row r="795" spans="1:40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</row>
    <row r="796" spans="1:40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</row>
    <row r="797" spans="1:40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</row>
    <row r="798" spans="1:40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</row>
    <row r="799" spans="1:40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</row>
    <row r="800" spans="1:4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</row>
    <row r="801" spans="1:40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</row>
    <row r="802" spans="1:40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</row>
    <row r="803" spans="1:40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</row>
    <row r="804" spans="1:40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</row>
    <row r="805" spans="1:40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</row>
    <row r="806" spans="1:40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</row>
    <row r="807" spans="1:40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</row>
    <row r="808" spans="1:40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</row>
    <row r="809" spans="1:40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</row>
    <row r="810" spans="1:4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</row>
    <row r="811" spans="1:40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</row>
    <row r="812" spans="1:40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</row>
    <row r="813" spans="1:40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</row>
    <row r="814" spans="1:40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</row>
    <row r="815" spans="1:40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</row>
    <row r="816" spans="1:40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</row>
    <row r="817" spans="1:40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</row>
    <row r="818" spans="1:40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</row>
    <row r="819" spans="1:40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</row>
    <row r="820" spans="1:4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</row>
    <row r="821" spans="1:40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</row>
    <row r="822" spans="1:40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</row>
    <row r="823" spans="1:40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</row>
    <row r="824" spans="1:40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</row>
    <row r="825" spans="1:40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</row>
    <row r="826" spans="1:40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</row>
    <row r="827" spans="1:40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</row>
    <row r="828" spans="1:40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</row>
    <row r="829" spans="1:40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</row>
    <row r="830" spans="1:4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</row>
    <row r="831" spans="1:40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</row>
    <row r="832" spans="1:40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</row>
    <row r="833" spans="1:40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</row>
    <row r="834" spans="1:40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</row>
    <row r="835" spans="1:40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</row>
    <row r="836" spans="1:40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</row>
    <row r="837" spans="1:40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</row>
    <row r="838" spans="1:40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</row>
    <row r="839" spans="1:40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</row>
    <row r="840" spans="1: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</row>
    <row r="841" spans="1:40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</row>
    <row r="842" spans="1:40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</row>
    <row r="843" spans="1:40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</row>
    <row r="844" spans="1:40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</row>
    <row r="845" spans="1:40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</row>
    <row r="846" spans="1:40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</row>
    <row r="847" spans="1:40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</row>
    <row r="848" spans="1:40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</row>
    <row r="849" spans="1:40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</row>
    <row r="850" spans="1:4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</row>
    <row r="851" spans="1:40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</row>
    <row r="852" spans="1:40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</row>
    <row r="853" spans="1:40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</row>
    <row r="854" spans="1:40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</row>
    <row r="855" spans="1:40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</row>
    <row r="856" spans="1:40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</row>
    <row r="857" spans="1:40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</row>
    <row r="858" spans="1:40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</row>
    <row r="859" spans="1:40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</row>
    <row r="860" spans="1:4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</row>
    <row r="861" spans="1:40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</row>
    <row r="862" spans="1:40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</row>
    <row r="863" spans="1:40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</row>
    <row r="864" spans="1:40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</row>
    <row r="865" spans="1:40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</row>
    <row r="866" spans="1:40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</row>
    <row r="867" spans="1:40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</row>
    <row r="868" spans="1:40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</row>
    <row r="869" spans="1:40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</row>
    <row r="870" spans="1:4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</row>
    <row r="871" spans="1:40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</row>
    <row r="872" spans="1:40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</row>
    <row r="873" spans="1:40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</row>
    <row r="874" spans="1:40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</row>
    <row r="875" spans="1:40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</row>
    <row r="876" spans="1:40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</row>
    <row r="877" spans="1:40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</row>
    <row r="878" spans="1:40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</row>
    <row r="879" spans="1:40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</row>
    <row r="880" spans="1:4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</row>
    <row r="881" spans="1:40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</row>
    <row r="882" spans="1:40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</row>
    <row r="883" spans="1:40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</row>
    <row r="884" spans="1:40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</row>
    <row r="885" spans="1:40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</row>
    <row r="886" spans="1:40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</row>
    <row r="887" spans="1:40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</row>
    <row r="888" spans="1:40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</row>
    <row r="889" spans="1:40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</row>
    <row r="890" spans="1:4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</row>
    <row r="891" spans="1:40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</row>
    <row r="892" spans="1:40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</row>
    <row r="893" spans="1:40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</row>
    <row r="894" spans="1:40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</row>
    <row r="895" spans="1:40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</row>
    <row r="896" spans="1:40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</row>
    <row r="897" spans="1:40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</row>
    <row r="898" spans="1:40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</row>
    <row r="899" spans="1:40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</row>
    <row r="900" spans="1:4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</row>
    <row r="901" spans="1:40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</row>
    <row r="902" spans="1:40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</row>
    <row r="903" spans="1:40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</row>
    <row r="904" spans="1:40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</row>
    <row r="905" spans="1:40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</row>
    <row r="906" spans="1:40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</row>
    <row r="907" spans="1:40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</row>
    <row r="908" spans="1:40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</row>
    <row r="909" spans="1:40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</row>
    <row r="910" spans="1:4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</row>
    <row r="911" spans="1:40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</row>
    <row r="912" spans="1:40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</row>
    <row r="913" spans="1:40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</row>
    <row r="914" spans="1:40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</row>
    <row r="915" spans="1:40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</row>
    <row r="916" spans="1:40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</row>
    <row r="917" spans="1:40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</row>
    <row r="918" spans="1:40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</row>
    <row r="919" spans="1:40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</row>
    <row r="920" spans="1:4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</row>
    <row r="921" spans="1:40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</row>
    <row r="922" spans="1:40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</row>
    <row r="923" spans="1:40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</row>
    <row r="924" spans="1:40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</row>
    <row r="925" spans="1:40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</row>
    <row r="926" spans="1:40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</row>
    <row r="927" spans="1:40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</row>
    <row r="928" spans="1:40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</row>
    <row r="929" spans="1:40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</row>
    <row r="930" spans="1:4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</row>
    <row r="931" spans="1:40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</row>
    <row r="932" spans="1:40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</row>
    <row r="933" spans="1:40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</row>
    <row r="934" spans="1:40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</row>
    <row r="935" spans="1:40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</row>
    <row r="936" spans="1:40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</row>
    <row r="937" spans="1:40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</row>
    <row r="938" spans="1:40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</row>
    <row r="939" spans="1:40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</row>
    <row r="940" spans="1: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</row>
    <row r="941" spans="1:40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</row>
    <row r="942" spans="1:40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</row>
    <row r="943" spans="1:40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</row>
    <row r="944" spans="1:40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</row>
    <row r="945" spans="1:40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</row>
    <row r="946" spans="1:40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</row>
    <row r="947" spans="1:40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</row>
    <row r="948" spans="1:40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</row>
    <row r="949" spans="1:40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</row>
    <row r="950" spans="1:4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</row>
    <row r="951" spans="1:40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</row>
    <row r="952" spans="1:40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</row>
    <row r="953" spans="1:40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</row>
    <row r="954" spans="1:40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</row>
    <row r="955" spans="1:40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</row>
    <row r="956" spans="1:40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</row>
    <row r="957" spans="1:40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</row>
    <row r="958" spans="1:40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</row>
    <row r="959" spans="1:40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</row>
    <row r="960" spans="1:4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</row>
    <row r="961" spans="1:40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</row>
    <row r="962" spans="1:40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</row>
    <row r="963" spans="1:40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</row>
    <row r="964" spans="1:40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</row>
    <row r="965" spans="1:40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</row>
    <row r="966" spans="1:40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</row>
    <row r="967" spans="1:40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</row>
    <row r="968" spans="1:40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</row>
    <row r="969" spans="1:40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</row>
    <row r="970" spans="1:4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</row>
    <row r="971" spans="1:40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</row>
    <row r="972" spans="1:40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</row>
    <row r="973" spans="1:40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</row>
    <row r="974" spans="1:40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</row>
    <row r="975" spans="1:40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</row>
    <row r="976" spans="1:40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</row>
    <row r="977" spans="1:40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</row>
    <row r="978" spans="1:40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</row>
    <row r="979" spans="1:40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</row>
    <row r="980" spans="1:4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</row>
    <row r="981" spans="1:40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</row>
    <row r="982" spans="1:40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</row>
    <row r="983" spans="1:40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</row>
    <row r="984" spans="1:40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</row>
    <row r="985" spans="1:40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</row>
    <row r="986" spans="1:40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</row>
    <row r="987" spans="1:40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</row>
    <row r="988" spans="1:40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</row>
    <row r="989" spans="1:40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20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</row>
    <row r="990" spans="1:4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20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</row>
    <row r="991" spans="1:40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20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</row>
    <row r="992" spans="1:40" ht="13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20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</row>
    <row r="993" spans="1:40" ht="13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20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</row>
    <row r="994" spans="1:40" ht="13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20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</row>
    <row r="995" spans="1:40" ht="13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20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</row>
    <row r="996" spans="1:40" ht="13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20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</row>
    <row r="997" spans="1:40" ht="13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20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</row>
    <row r="998" spans="1:40" ht="13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20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</row>
    <row r="999" spans="1:40" ht="13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20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</row>
    <row r="1000" spans="1:40" ht="13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20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</row>
    <row r="1001" spans="1:40" ht="13.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20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</row>
    <row r="1002" spans="1:40" ht="13.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20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</row>
    <row r="1003" spans="1:40" ht="13.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20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</row>
    <row r="1004" spans="1:40" ht="13.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20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</row>
    <row r="1005" spans="1:40" ht="13.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20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</row>
    <row r="1006" spans="1:40" ht="13.5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20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</row>
    <row r="1007" spans="1:40" ht="13.5" customHeight="1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20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</row>
    <row r="1008" spans="1:40" ht="13.5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20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</row>
    <row r="1009" spans="1:40" ht="13.5" customHeight="1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20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</row>
    <row r="1010" spans="1:40" ht="13.5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20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</row>
  </sheetData>
  <mergeCells count="19">
    <mergeCell ref="C3:N5"/>
    <mergeCell ref="F17:M17"/>
    <mergeCell ref="F20:M20"/>
    <mergeCell ref="F30:M30"/>
    <mergeCell ref="F40:M40"/>
    <mergeCell ref="F50:M50"/>
    <mergeCell ref="F60:M60"/>
    <mergeCell ref="I203:J203"/>
    <mergeCell ref="I204:J204"/>
    <mergeCell ref="L205:M208"/>
    <mergeCell ref="F211:H211"/>
    <mergeCell ref="I353:L353"/>
    <mergeCell ref="F70:M70"/>
    <mergeCell ref="F80:M80"/>
    <mergeCell ref="AM197:AN197"/>
    <mergeCell ref="AM200:AN200"/>
    <mergeCell ref="AM201:AN201"/>
    <mergeCell ref="F202:H202"/>
    <mergeCell ref="I202:J202"/>
  </mergeCells>
  <pageMargins left="0.7" right="0.7" top="0.75" bottom="0.75" header="0" footer="0"/>
  <pageSetup orientation="landscape"/>
  <headerFooter>
    <oddFooter>&amp;RSABAK - GENERIK NON STANDARD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tabColor rgb="FFC0C0C0"/>
  </sheetPr>
  <dimension ref="A1:EM257"/>
  <sheetViews>
    <sheetView showGridLines="0" tabSelected="1" zoomScale="70" zoomScaleNormal="70" workbookViewId="0">
      <pane xSplit="8" ySplit="8" topLeftCell="I9" activePane="bottomRight" state="frozen"/>
      <selection pane="bottomRight" activeCell="I21" sqref="I21"/>
      <selection pane="bottomLeft" activeCell="A9" sqref="A9"/>
      <selection pane="topRight" activeCell="I1" sqref="I1"/>
    </sheetView>
  </sheetViews>
  <sheetFormatPr defaultColWidth="12.42578125" defaultRowHeight="15" customHeight="1"/>
  <cols>
    <col min="1" max="1" width="9.140625" customWidth="1"/>
    <col min="2" max="2" width="9.140625" hidden="1" customWidth="1"/>
    <col min="3" max="3" width="5" hidden="1" customWidth="1"/>
    <col min="4" max="4" width="7.140625" customWidth="1"/>
    <col min="5" max="5" width="12.7109375" customWidth="1"/>
    <col min="6" max="6" width="65.42578125" customWidth="1"/>
    <col min="7" max="7" width="12.28515625" bestFit="1" customWidth="1"/>
    <col min="8" max="8" width="13.7109375" customWidth="1"/>
    <col min="9" max="9" width="13.5703125" customWidth="1"/>
    <col min="10" max="10" width="8.7109375" bestFit="1" customWidth="1"/>
    <col min="11" max="11" width="9.7109375" bestFit="1" customWidth="1"/>
    <col min="12" max="15" width="8.7109375" bestFit="1" customWidth="1"/>
    <col min="16" max="20" width="8.140625" bestFit="1" customWidth="1"/>
    <col min="21" max="21" width="13.85546875" bestFit="1" customWidth="1"/>
    <col min="22" max="33" width="8.140625" bestFit="1" customWidth="1"/>
    <col min="34" max="34" width="13.85546875" bestFit="1" customWidth="1"/>
    <col min="35" max="46" width="8.140625" bestFit="1" customWidth="1"/>
    <col min="47" max="47" width="13.85546875" bestFit="1" customWidth="1"/>
    <col min="48" max="59" width="8.140625" bestFit="1" customWidth="1"/>
    <col min="60" max="60" width="13.85546875" bestFit="1" customWidth="1"/>
    <col min="61" max="72" width="8.140625" bestFit="1" customWidth="1"/>
    <col min="73" max="73" width="13.85546875" bestFit="1" customWidth="1"/>
    <col min="74" max="138" width="15.42578125" hidden="1" customWidth="1"/>
    <col min="139" max="139" width="25.140625" hidden="1" customWidth="1"/>
    <col min="140" max="143" width="9.140625" hidden="1" customWidth="1"/>
  </cols>
  <sheetData>
    <row r="1" spans="1:143" ht="13.5" customHeight="1">
      <c r="A1" s="21"/>
      <c r="B1" s="21"/>
      <c r="C1" s="21"/>
      <c r="D1" s="21"/>
      <c r="E1" s="21"/>
      <c r="F1" s="243"/>
      <c r="G1" s="243"/>
      <c r="H1" s="21"/>
      <c r="I1" s="617">
        <f>+I96/13600</f>
        <v>0.14727941176470588</v>
      </c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8"/>
      <c r="V1" s="617"/>
      <c r="W1" s="617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8"/>
      <c r="AI1" s="617"/>
      <c r="AJ1" s="617"/>
      <c r="AK1" s="617"/>
      <c r="AL1" s="617"/>
      <c r="AM1" s="617"/>
      <c r="AN1" s="617"/>
      <c r="AO1" s="617"/>
      <c r="AP1" s="617"/>
      <c r="AQ1" s="617"/>
      <c r="AR1" s="617"/>
      <c r="AS1" s="617"/>
      <c r="AT1" s="617"/>
      <c r="AU1" s="618"/>
      <c r="AV1" s="617"/>
      <c r="AW1" s="617"/>
      <c r="AX1" s="617"/>
      <c r="AY1" s="617"/>
      <c r="AZ1" s="617"/>
      <c r="BA1" s="617"/>
      <c r="BB1" s="617"/>
      <c r="BC1" s="617"/>
      <c r="BD1" s="617"/>
      <c r="BE1" s="617"/>
      <c r="BF1" s="617"/>
      <c r="BG1" s="617"/>
      <c r="BH1" s="618"/>
      <c r="BI1" s="617"/>
      <c r="BJ1" s="617"/>
      <c r="BK1" s="617"/>
      <c r="BL1" s="617"/>
      <c r="BM1" s="617"/>
      <c r="BN1" s="617"/>
      <c r="BO1" s="617"/>
      <c r="BP1" s="617"/>
      <c r="BQ1" s="617"/>
      <c r="BR1" s="617"/>
      <c r="BS1" s="617"/>
      <c r="BT1" s="617"/>
      <c r="BU1" s="618"/>
      <c r="BV1" s="617"/>
      <c r="BW1" s="617"/>
      <c r="BX1" s="617"/>
      <c r="BY1" s="617"/>
      <c r="BZ1" s="617"/>
      <c r="CA1" s="617"/>
      <c r="CB1" s="617"/>
      <c r="CC1" s="617"/>
      <c r="CD1" s="617"/>
      <c r="CE1" s="617"/>
      <c r="CF1" s="617"/>
      <c r="CG1" s="617"/>
      <c r="CH1" s="618"/>
      <c r="CI1" s="617"/>
      <c r="CJ1" s="617"/>
      <c r="CK1" s="617"/>
      <c r="CL1" s="617"/>
      <c r="CM1" s="617"/>
      <c r="CN1" s="617"/>
      <c r="CO1" s="617"/>
      <c r="CP1" s="617"/>
      <c r="CQ1" s="617"/>
      <c r="CR1" s="617"/>
      <c r="CS1" s="617"/>
      <c r="CT1" s="617"/>
      <c r="CU1" s="618"/>
      <c r="CV1" s="617"/>
      <c r="CW1" s="617"/>
      <c r="CX1" s="617"/>
      <c r="CY1" s="617"/>
      <c r="CZ1" s="617"/>
      <c r="DA1" s="617"/>
      <c r="DB1" s="617"/>
      <c r="DC1" s="617"/>
      <c r="DD1" s="617"/>
      <c r="DE1" s="617"/>
      <c r="DF1" s="617"/>
      <c r="DG1" s="617"/>
      <c r="DH1" s="618"/>
      <c r="DI1" s="617"/>
      <c r="DJ1" s="617"/>
      <c r="DK1" s="617"/>
      <c r="DL1" s="617"/>
      <c r="DM1" s="617"/>
      <c r="DN1" s="617"/>
      <c r="DO1" s="617"/>
      <c r="DP1" s="617"/>
      <c r="DQ1" s="617"/>
      <c r="DR1" s="617"/>
      <c r="DS1" s="617"/>
      <c r="DT1" s="617"/>
      <c r="DU1" s="618"/>
      <c r="DV1" s="617"/>
      <c r="DW1" s="617"/>
      <c r="DX1" s="617"/>
      <c r="DY1" s="617"/>
      <c r="DZ1" s="617"/>
      <c r="EA1" s="617"/>
      <c r="EB1" s="617"/>
      <c r="EC1" s="617"/>
      <c r="ED1" s="617"/>
      <c r="EE1" s="617"/>
      <c r="EF1" s="617"/>
      <c r="EG1" s="617"/>
      <c r="EH1" s="618"/>
      <c r="EI1" s="21"/>
      <c r="EJ1" s="21"/>
      <c r="EK1" s="21"/>
      <c r="EL1" s="21"/>
      <c r="EM1" s="21"/>
    </row>
    <row r="2" spans="1:143" ht="13.5" customHeight="1">
      <c r="A2" s="21"/>
      <c r="B2" s="21"/>
      <c r="C2" s="21"/>
      <c r="D2" s="21"/>
      <c r="E2" s="21"/>
      <c r="F2" s="243"/>
      <c r="G2" s="243"/>
      <c r="H2" s="21"/>
      <c r="I2" s="617"/>
      <c r="J2" s="619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9"/>
      <c r="X2" s="617"/>
      <c r="Y2" s="617"/>
      <c r="Z2" s="617"/>
      <c r="AA2" s="617"/>
      <c r="AB2" s="617"/>
      <c r="AC2" s="617"/>
      <c r="AD2" s="617"/>
      <c r="AE2" s="617"/>
      <c r="AF2" s="617"/>
      <c r="AG2" s="617"/>
      <c r="AH2" s="617"/>
      <c r="AI2" s="617"/>
      <c r="AJ2" s="619"/>
      <c r="AK2" s="617"/>
      <c r="AL2" s="617"/>
      <c r="AM2" s="617"/>
      <c r="AN2" s="617"/>
      <c r="AO2" s="617"/>
      <c r="AP2" s="617"/>
      <c r="AQ2" s="617"/>
      <c r="AR2" s="617"/>
      <c r="AS2" s="617"/>
      <c r="AT2" s="617"/>
      <c r="AU2" s="617"/>
      <c r="AV2" s="617"/>
      <c r="AW2" s="619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9"/>
      <c r="BK2" s="617"/>
      <c r="BL2" s="617"/>
      <c r="BM2" s="617"/>
      <c r="BN2" s="617"/>
      <c r="BO2" s="617"/>
      <c r="BP2" s="617"/>
      <c r="BQ2" s="617"/>
      <c r="BR2" s="617"/>
      <c r="BS2" s="617"/>
      <c r="BT2" s="617"/>
      <c r="BU2" s="617"/>
      <c r="BV2" s="617"/>
      <c r="BW2" s="619"/>
      <c r="BX2" s="617"/>
      <c r="BY2" s="617"/>
      <c r="BZ2" s="617"/>
      <c r="CA2" s="617"/>
      <c r="CB2" s="617"/>
      <c r="CC2" s="617"/>
      <c r="CD2" s="617"/>
      <c r="CE2" s="617"/>
      <c r="CF2" s="617"/>
      <c r="CG2" s="617"/>
      <c r="CH2" s="617"/>
      <c r="CI2" s="617"/>
      <c r="CJ2" s="619"/>
      <c r="CK2" s="617"/>
      <c r="CL2" s="617"/>
      <c r="CM2" s="617"/>
      <c r="CN2" s="617"/>
      <c r="CO2" s="617"/>
      <c r="CP2" s="617"/>
      <c r="CQ2" s="617"/>
      <c r="CR2" s="617"/>
      <c r="CS2" s="617"/>
      <c r="CT2" s="617"/>
      <c r="CU2" s="617"/>
      <c r="CV2" s="617"/>
      <c r="CW2" s="619"/>
      <c r="CX2" s="617"/>
      <c r="CY2" s="617"/>
      <c r="CZ2" s="617"/>
      <c r="DA2" s="617"/>
      <c r="DB2" s="617"/>
      <c r="DC2" s="617"/>
      <c r="DD2" s="617"/>
      <c r="DE2" s="617"/>
      <c r="DF2" s="617"/>
      <c r="DG2" s="617"/>
      <c r="DH2" s="617"/>
      <c r="DI2" s="617"/>
      <c r="DJ2" s="619"/>
      <c r="DK2" s="617"/>
      <c r="DL2" s="617"/>
      <c r="DM2" s="617"/>
      <c r="DN2" s="617"/>
      <c r="DO2" s="617"/>
      <c r="DP2" s="617"/>
      <c r="DQ2" s="617"/>
      <c r="DR2" s="617"/>
      <c r="DS2" s="617"/>
      <c r="DT2" s="617"/>
      <c r="DU2" s="617"/>
      <c r="DV2" s="617"/>
      <c r="DW2" s="619"/>
      <c r="DX2" s="617"/>
      <c r="DY2" s="617"/>
      <c r="DZ2" s="617"/>
      <c r="EA2" s="617"/>
      <c r="EB2" s="617"/>
      <c r="EC2" s="617"/>
      <c r="ED2" s="617"/>
      <c r="EE2" s="617"/>
      <c r="EF2" s="617"/>
      <c r="EG2" s="617"/>
      <c r="EH2" s="617"/>
      <c r="EI2" s="21"/>
      <c r="EJ2" s="21"/>
      <c r="EK2" s="21"/>
      <c r="EL2" s="21"/>
      <c r="EM2" s="21"/>
    </row>
    <row r="3" spans="1:143" ht="14.25" customHeight="1">
      <c r="A3" s="21"/>
      <c r="B3" s="21"/>
      <c r="C3" s="21"/>
      <c r="D3" s="21"/>
      <c r="E3" s="21"/>
      <c r="F3" s="243"/>
      <c r="G3" s="243"/>
      <c r="H3" s="21"/>
      <c r="I3" s="617">
        <f>+IF(G19=0,1,G19)</f>
        <v>4</v>
      </c>
      <c r="J3" s="617"/>
      <c r="K3" s="617"/>
      <c r="L3" s="617"/>
      <c r="M3" s="617"/>
      <c r="N3" s="617"/>
      <c r="O3" s="617"/>
      <c r="P3" s="617"/>
      <c r="Q3" s="617"/>
      <c r="R3" s="617"/>
      <c r="S3" s="617"/>
      <c r="T3" s="617"/>
      <c r="U3" s="617"/>
      <c r="V3" s="617">
        <f>+I3</f>
        <v>4</v>
      </c>
      <c r="W3" s="617"/>
      <c r="X3" s="617"/>
      <c r="Y3" s="617"/>
      <c r="Z3" s="617"/>
      <c r="AA3" s="617"/>
      <c r="AB3" s="617"/>
      <c r="AC3" s="617"/>
      <c r="AD3" s="617"/>
      <c r="AE3" s="617"/>
      <c r="AF3" s="617"/>
      <c r="AG3" s="617"/>
      <c r="AH3" s="617"/>
      <c r="AI3" s="617">
        <f>+V3</f>
        <v>4</v>
      </c>
      <c r="AJ3" s="617"/>
      <c r="AK3" s="617"/>
      <c r="AL3" s="617"/>
      <c r="AM3" s="617"/>
      <c r="AN3" s="617"/>
      <c r="AO3" s="617"/>
      <c r="AP3" s="617"/>
      <c r="AQ3" s="617"/>
      <c r="AR3" s="617"/>
      <c r="AS3" s="617"/>
      <c r="AT3" s="617"/>
      <c r="AU3" s="617"/>
      <c r="AV3" s="617">
        <f>+AI3</f>
        <v>4</v>
      </c>
      <c r="AW3" s="617"/>
      <c r="AX3" s="617"/>
      <c r="AY3" s="617"/>
      <c r="AZ3" s="617"/>
      <c r="BA3" s="617"/>
      <c r="BB3" s="617"/>
      <c r="BC3" s="617"/>
      <c r="BD3" s="617"/>
      <c r="BE3" s="617"/>
      <c r="BF3" s="617"/>
      <c r="BG3" s="617"/>
      <c r="BH3" s="617"/>
      <c r="BI3" s="617">
        <f>+AV3</f>
        <v>4</v>
      </c>
      <c r="BJ3" s="617"/>
      <c r="BK3" s="617"/>
      <c r="BL3" s="617"/>
      <c r="BM3" s="617"/>
      <c r="BN3" s="617"/>
      <c r="BO3" s="617"/>
      <c r="BP3" s="617"/>
      <c r="BQ3" s="617"/>
      <c r="BR3" s="617"/>
      <c r="BS3" s="617"/>
      <c r="BT3" s="617"/>
      <c r="BU3" s="617"/>
      <c r="BV3" s="617">
        <f>+BI3</f>
        <v>4</v>
      </c>
      <c r="BW3" s="617"/>
      <c r="BX3" s="617"/>
      <c r="BY3" s="617"/>
      <c r="BZ3" s="617"/>
      <c r="CA3" s="617"/>
      <c r="CB3" s="617"/>
      <c r="CC3" s="617"/>
      <c r="CD3" s="617"/>
      <c r="CE3" s="617"/>
      <c r="CF3" s="617"/>
      <c r="CG3" s="617"/>
      <c r="CH3" s="617"/>
      <c r="CI3" s="617">
        <f>+BV3</f>
        <v>4</v>
      </c>
      <c r="CJ3" s="617"/>
      <c r="CK3" s="617"/>
      <c r="CL3" s="617"/>
      <c r="CM3" s="617"/>
      <c r="CN3" s="617"/>
      <c r="CO3" s="617"/>
      <c r="CP3" s="617"/>
      <c r="CQ3" s="617"/>
      <c r="CR3" s="617"/>
      <c r="CS3" s="617"/>
      <c r="CT3" s="617"/>
      <c r="CU3" s="617"/>
      <c r="CV3" s="617">
        <f>+CI3</f>
        <v>4</v>
      </c>
      <c r="CW3" s="617"/>
      <c r="CX3" s="617"/>
      <c r="CY3" s="617"/>
      <c r="CZ3" s="617"/>
      <c r="DA3" s="617"/>
      <c r="DB3" s="617"/>
      <c r="DC3" s="617"/>
      <c r="DD3" s="617"/>
      <c r="DE3" s="617"/>
      <c r="DF3" s="617"/>
      <c r="DG3" s="617"/>
      <c r="DH3" s="617"/>
      <c r="DI3" s="617">
        <f>+CV3</f>
        <v>4</v>
      </c>
      <c r="DJ3" s="617"/>
      <c r="DK3" s="617"/>
      <c r="DL3" s="617"/>
      <c r="DM3" s="617"/>
      <c r="DN3" s="617"/>
      <c r="DO3" s="617"/>
      <c r="DP3" s="617"/>
      <c r="DQ3" s="617"/>
      <c r="DR3" s="617"/>
      <c r="DS3" s="617"/>
      <c r="DT3" s="617"/>
      <c r="DU3" s="617"/>
      <c r="DV3" s="617">
        <f>+DI3</f>
        <v>4</v>
      </c>
      <c r="DW3" s="617"/>
      <c r="DX3" s="617"/>
      <c r="DY3" s="617"/>
      <c r="DZ3" s="617"/>
      <c r="EA3" s="617"/>
      <c r="EB3" s="617"/>
      <c r="EC3" s="617"/>
      <c r="ED3" s="617"/>
      <c r="EE3" s="617"/>
      <c r="EF3" s="617"/>
      <c r="EG3" s="617"/>
      <c r="EH3" s="617"/>
      <c r="EI3" s="21"/>
      <c r="EJ3" s="21"/>
      <c r="EK3" s="21"/>
      <c r="EL3" s="21"/>
      <c r="EM3" s="21"/>
    </row>
    <row r="4" spans="1:143" ht="14.25" customHeight="1">
      <c r="A4" s="21"/>
      <c r="B4" s="21"/>
      <c r="C4" s="21"/>
      <c r="D4" s="21"/>
      <c r="E4" s="21"/>
      <c r="F4" s="243"/>
      <c r="G4" s="243"/>
      <c r="H4" s="21"/>
      <c r="I4" s="617">
        <f t="shared" ref="I4:T4" si="0">+IF(I10=0,0,1)</f>
        <v>0</v>
      </c>
      <c r="J4" s="617">
        <f t="shared" si="0"/>
        <v>0</v>
      </c>
      <c r="K4" s="617">
        <f t="shared" si="0"/>
        <v>0</v>
      </c>
      <c r="L4" s="617">
        <f t="shared" si="0"/>
        <v>0</v>
      </c>
      <c r="M4" s="617">
        <f t="shared" si="0"/>
        <v>0</v>
      </c>
      <c r="N4" s="617">
        <f t="shared" si="0"/>
        <v>0</v>
      </c>
      <c r="O4" s="617">
        <f t="shared" si="0"/>
        <v>1</v>
      </c>
      <c r="P4" s="617">
        <f t="shared" si="0"/>
        <v>1</v>
      </c>
      <c r="Q4" s="617">
        <f t="shared" si="0"/>
        <v>1</v>
      </c>
      <c r="R4" s="617">
        <f t="shared" si="0"/>
        <v>1</v>
      </c>
      <c r="S4" s="617">
        <f t="shared" si="0"/>
        <v>1</v>
      </c>
      <c r="T4" s="617">
        <f t="shared" si="0"/>
        <v>1</v>
      </c>
      <c r="U4" s="617"/>
      <c r="V4" s="617">
        <f t="shared" ref="V4:AG4" si="1">+IF(V10=0,0,1)</f>
        <v>1</v>
      </c>
      <c r="W4" s="617">
        <f t="shared" si="1"/>
        <v>1</v>
      </c>
      <c r="X4" s="617">
        <f t="shared" si="1"/>
        <v>1</v>
      </c>
      <c r="Y4" s="617">
        <f t="shared" si="1"/>
        <v>1</v>
      </c>
      <c r="Z4" s="617">
        <f t="shared" si="1"/>
        <v>1</v>
      </c>
      <c r="AA4" s="617">
        <f t="shared" si="1"/>
        <v>1</v>
      </c>
      <c r="AB4" s="617">
        <f t="shared" si="1"/>
        <v>1</v>
      </c>
      <c r="AC4" s="617">
        <f t="shared" si="1"/>
        <v>1</v>
      </c>
      <c r="AD4" s="617">
        <f t="shared" si="1"/>
        <v>1</v>
      </c>
      <c r="AE4" s="617">
        <f t="shared" si="1"/>
        <v>1</v>
      </c>
      <c r="AF4" s="617">
        <f t="shared" si="1"/>
        <v>1</v>
      </c>
      <c r="AG4" s="617">
        <f t="shared" si="1"/>
        <v>1</v>
      </c>
      <c r="AH4" s="617"/>
      <c r="AI4" s="617">
        <f t="shared" ref="AI4:AT4" si="2">+IF(AI10=0,0,1)</f>
        <v>1</v>
      </c>
      <c r="AJ4" s="617">
        <f t="shared" si="2"/>
        <v>1</v>
      </c>
      <c r="AK4" s="617">
        <f t="shared" si="2"/>
        <v>1</v>
      </c>
      <c r="AL4" s="617">
        <f t="shared" si="2"/>
        <v>1</v>
      </c>
      <c r="AM4" s="617">
        <f t="shared" si="2"/>
        <v>1</v>
      </c>
      <c r="AN4" s="617">
        <f t="shared" si="2"/>
        <v>1</v>
      </c>
      <c r="AO4" s="617">
        <f t="shared" si="2"/>
        <v>1</v>
      </c>
      <c r="AP4" s="617">
        <f t="shared" si="2"/>
        <v>1</v>
      </c>
      <c r="AQ4" s="617">
        <f t="shared" si="2"/>
        <v>1</v>
      </c>
      <c r="AR4" s="617">
        <f t="shared" si="2"/>
        <v>1</v>
      </c>
      <c r="AS4" s="617">
        <f t="shared" si="2"/>
        <v>1</v>
      </c>
      <c r="AT4" s="617">
        <f t="shared" si="2"/>
        <v>1</v>
      </c>
      <c r="AU4" s="617"/>
      <c r="AV4" s="617">
        <f t="shared" ref="AV4:BG4" si="3">+IF(AV10=0,0,1)</f>
        <v>1</v>
      </c>
      <c r="AW4" s="617">
        <f t="shared" si="3"/>
        <v>1</v>
      </c>
      <c r="AX4" s="617">
        <f t="shared" si="3"/>
        <v>1</v>
      </c>
      <c r="AY4" s="617">
        <f t="shared" si="3"/>
        <v>1</v>
      </c>
      <c r="AZ4" s="617">
        <f t="shared" si="3"/>
        <v>1</v>
      </c>
      <c r="BA4" s="617">
        <f t="shared" si="3"/>
        <v>1</v>
      </c>
      <c r="BB4" s="617">
        <f t="shared" si="3"/>
        <v>1</v>
      </c>
      <c r="BC4" s="617">
        <f t="shared" si="3"/>
        <v>1</v>
      </c>
      <c r="BD4" s="617">
        <f t="shared" si="3"/>
        <v>1</v>
      </c>
      <c r="BE4" s="617">
        <f t="shared" si="3"/>
        <v>1</v>
      </c>
      <c r="BF4" s="617">
        <f t="shared" si="3"/>
        <v>1</v>
      </c>
      <c r="BG4" s="617">
        <f t="shared" si="3"/>
        <v>1</v>
      </c>
      <c r="BH4" s="617"/>
      <c r="BI4" s="617">
        <f t="shared" ref="BI4:BT4" si="4">+IF(BI10=0,0,1)</f>
        <v>1</v>
      </c>
      <c r="BJ4" s="617">
        <f t="shared" si="4"/>
        <v>1</v>
      </c>
      <c r="BK4" s="617">
        <f t="shared" si="4"/>
        <v>1</v>
      </c>
      <c r="BL4" s="617">
        <f t="shared" si="4"/>
        <v>1</v>
      </c>
      <c r="BM4" s="617">
        <f t="shared" si="4"/>
        <v>1</v>
      </c>
      <c r="BN4" s="617">
        <f t="shared" si="4"/>
        <v>1</v>
      </c>
      <c r="BO4" s="617">
        <f t="shared" si="4"/>
        <v>1</v>
      </c>
      <c r="BP4" s="617">
        <f t="shared" si="4"/>
        <v>1</v>
      </c>
      <c r="BQ4" s="617">
        <f t="shared" si="4"/>
        <v>1</v>
      </c>
      <c r="BR4" s="617">
        <f t="shared" si="4"/>
        <v>1</v>
      </c>
      <c r="BS4" s="617">
        <f t="shared" si="4"/>
        <v>1</v>
      </c>
      <c r="BT4" s="617">
        <f t="shared" si="4"/>
        <v>1</v>
      </c>
      <c r="BU4" s="617"/>
      <c r="BV4" s="617">
        <f t="shared" ref="BV4:CG4" si="5">+IF(BV10=0,0,1)</f>
        <v>1</v>
      </c>
      <c r="BW4" s="617">
        <f t="shared" si="5"/>
        <v>1</v>
      </c>
      <c r="BX4" s="617">
        <f t="shared" si="5"/>
        <v>1</v>
      </c>
      <c r="BY4" s="617">
        <f t="shared" si="5"/>
        <v>1</v>
      </c>
      <c r="BZ4" s="617">
        <f t="shared" si="5"/>
        <v>1</v>
      </c>
      <c r="CA4" s="617">
        <f t="shared" si="5"/>
        <v>1</v>
      </c>
      <c r="CB4" s="617">
        <f t="shared" si="5"/>
        <v>1</v>
      </c>
      <c r="CC4" s="617">
        <f t="shared" si="5"/>
        <v>1</v>
      </c>
      <c r="CD4" s="617">
        <f t="shared" si="5"/>
        <v>1</v>
      </c>
      <c r="CE4" s="617">
        <f t="shared" si="5"/>
        <v>1</v>
      </c>
      <c r="CF4" s="617">
        <f t="shared" si="5"/>
        <v>1</v>
      </c>
      <c r="CG4" s="617">
        <f t="shared" si="5"/>
        <v>1</v>
      </c>
      <c r="CH4" s="617"/>
      <c r="CI4" s="617">
        <f t="shared" ref="CI4:CT4" si="6">+IF(CI10=0,0,1)</f>
        <v>1</v>
      </c>
      <c r="CJ4" s="617">
        <f t="shared" si="6"/>
        <v>1</v>
      </c>
      <c r="CK4" s="617">
        <f t="shared" si="6"/>
        <v>1</v>
      </c>
      <c r="CL4" s="617">
        <f t="shared" si="6"/>
        <v>1</v>
      </c>
      <c r="CM4" s="617">
        <f t="shared" si="6"/>
        <v>1</v>
      </c>
      <c r="CN4" s="617">
        <f t="shared" si="6"/>
        <v>1</v>
      </c>
      <c r="CO4" s="617">
        <f t="shared" si="6"/>
        <v>1</v>
      </c>
      <c r="CP4" s="617">
        <f t="shared" si="6"/>
        <v>1</v>
      </c>
      <c r="CQ4" s="617">
        <f t="shared" si="6"/>
        <v>1</v>
      </c>
      <c r="CR4" s="617">
        <f t="shared" si="6"/>
        <v>1</v>
      </c>
      <c r="CS4" s="617">
        <f t="shared" si="6"/>
        <v>1</v>
      </c>
      <c r="CT4" s="617">
        <f t="shared" si="6"/>
        <v>1</v>
      </c>
      <c r="CU4" s="617"/>
      <c r="CV4" s="617">
        <f t="shared" ref="CV4:DG4" si="7">+IF(CV10=0,0,1)</f>
        <v>1</v>
      </c>
      <c r="CW4" s="617">
        <f t="shared" si="7"/>
        <v>1</v>
      </c>
      <c r="CX4" s="617">
        <f t="shared" si="7"/>
        <v>1</v>
      </c>
      <c r="CY4" s="617">
        <f t="shared" si="7"/>
        <v>1</v>
      </c>
      <c r="CZ4" s="617">
        <f t="shared" si="7"/>
        <v>1</v>
      </c>
      <c r="DA4" s="617">
        <f t="shared" si="7"/>
        <v>1</v>
      </c>
      <c r="DB4" s="617">
        <f t="shared" si="7"/>
        <v>1</v>
      </c>
      <c r="DC4" s="617">
        <f t="shared" si="7"/>
        <v>1</v>
      </c>
      <c r="DD4" s="617">
        <f t="shared" si="7"/>
        <v>1</v>
      </c>
      <c r="DE4" s="617">
        <f t="shared" si="7"/>
        <v>1</v>
      </c>
      <c r="DF4" s="617">
        <f t="shared" si="7"/>
        <v>1</v>
      </c>
      <c r="DG4" s="617">
        <f t="shared" si="7"/>
        <v>1</v>
      </c>
      <c r="DH4" s="617"/>
      <c r="DI4" s="617">
        <f t="shared" ref="DI4:DT4" si="8">+IF(DI10=0,0,1)</f>
        <v>1</v>
      </c>
      <c r="DJ4" s="617">
        <f t="shared" si="8"/>
        <v>1</v>
      </c>
      <c r="DK4" s="617">
        <f t="shared" si="8"/>
        <v>1</v>
      </c>
      <c r="DL4" s="617">
        <f t="shared" si="8"/>
        <v>1</v>
      </c>
      <c r="DM4" s="617">
        <f t="shared" si="8"/>
        <v>1</v>
      </c>
      <c r="DN4" s="617">
        <f t="shared" si="8"/>
        <v>1</v>
      </c>
      <c r="DO4" s="617">
        <f t="shared" si="8"/>
        <v>1</v>
      </c>
      <c r="DP4" s="617">
        <f t="shared" si="8"/>
        <v>1</v>
      </c>
      <c r="DQ4" s="617">
        <f t="shared" si="8"/>
        <v>1</v>
      </c>
      <c r="DR4" s="617">
        <f t="shared" si="8"/>
        <v>1</v>
      </c>
      <c r="DS4" s="617">
        <f t="shared" si="8"/>
        <v>1</v>
      </c>
      <c r="DT4" s="617">
        <f t="shared" si="8"/>
        <v>1</v>
      </c>
      <c r="DU4" s="617"/>
      <c r="DV4" s="617">
        <f t="shared" ref="DV4:EG4" si="9">+IF(DV10=0,0,1)</f>
        <v>1</v>
      </c>
      <c r="DW4" s="617">
        <f t="shared" si="9"/>
        <v>1</v>
      </c>
      <c r="DX4" s="617">
        <f t="shared" si="9"/>
        <v>1</v>
      </c>
      <c r="DY4" s="617">
        <f t="shared" si="9"/>
        <v>1</v>
      </c>
      <c r="DZ4" s="617">
        <f t="shared" si="9"/>
        <v>1</v>
      </c>
      <c r="EA4" s="617">
        <f t="shared" si="9"/>
        <v>1</v>
      </c>
      <c r="EB4" s="617">
        <f t="shared" si="9"/>
        <v>1</v>
      </c>
      <c r="EC4" s="617">
        <f t="shared" si="9"/>
        <v>1</v>
      </c>
      <c r="ED4" s="617">
        <f t="shared" si="9"/>
        <v>1</v>
      </c>
      <c r="EE4" s="617">
        <f t="shared" si="9"/>
        <v>1</v>
      </c>
      <c r="EF4" s="617">
        <f t="shared" si="9"/>
        <v>1</v>
      </c>
      <c r="EG4" s="617">
        <f t="shared" si="9"/>
        <v>1</v>
      </c>
      <c r="EH4" s="617"/>
      <c r="EI4" s="21"/>
      <c r="EJ4" s="21"/>
      <c r="EK4" s="21"/>
      <c r="EL4" s="21"/>
      <c r="EM4" s="21"/>
    </row>
    <row r="5" spans="1:143" ht="14.25" customHeight="1">
      <c r="A5" s="21"/>
      <c r="B5" s="21"/>
      <c r="C5" s="21"/>
      <c r="D5" s="21"/>
      <c r="E5" s="21"/>
      <c r="F5" s="243"/>
      <c r="G5" s="243"/>
      <c r="H5" s="21"/>
      <c r="I5" s="617">
        <f>+I4</f>
        <v>0</v>
      </c>
      <c r="J5" s="617">
        <f t="shared" ref="J5:T5" si="10">+SUM($I$4:J4)</f>
        <v>0</v>
      </c>
      <c r="K5" s="617">
        <f t="shared" si="10"/>
        <v>0</v>
      </c>
      <c r="L5" s="617">
        <f t="shared" si="10"/>
        <v>0</v>
      </c>
      <c r="M5" s="617">
        <f t="shared" si="10"/>
        <v>0</v>
      </c>
      <c r="N5" s="617">
        <f t="shared" si="10"/>
        <v>0</v>
      </c>
      <c r="O5" s="617">
        <f t="shared" si="10"/>
        <v>1</v>
      </c>
      <c r="P5" s="617">
        <f t="shared" si="10"/>
        <v>2</v>
      </c>
      <c r="Q5" s="617">
        <f t="shared" si="10"/>
        <v>3</v>
      </c>
      <c r="R5" s="617">
        <f t="shared" si="10"/>
        <v>4</v>
      </c>
      <c r="S5" s="617">
        <f t="shared" si="10"/>
        <v>5</v>
      </c>
      <c r="T5" s="617">
        <f t="shared" si="10"/>
        <v>6</v>
      </c>
      <c r="U5" s="617"/>
      <c r="V5" s="617">
        <f>+V4</f>
        <v>1</v>
      </c>
      <c r="W5" s="617">
        <f t="shared" ref="W5:AG5" si="11">+V5+1</f>
        <v>2</v>
      </c>
      <c r="X5" s="617">
        <f t="shared" si="11"/>
        <v>3</v>
      </c>
      <c r="Y5" s="617">
        <f t="shared" si="11"/>
        <v>4</v>
      </c>
      <c r="Z5" s="617">
        <f t="shared" si="11"/>
        <v>5</v>
      </c>
      <c r="AA5" s="617">
        <f t="shared" si="11"/>
        <v>6</v>
      </c>
      <c r="AB5" s="617">
        <f t="shared" si="11"/>
        <v>7</v>
      </c>
      <c r="AC5" s="617">
        <f t="shared" si="11"/>
        <v>8</v>
      </c>
      <c r="AD5" s="617">
        <f t="shared" si="11"/>
        <v>9</v>
      </c>
      <c r="AE5" s="617">
        <f t="shared" si="11"/>
        <v>10</v>
      </c>
      <c r="AF5" s="617">
        <f t="shared" si="11"/>
        <v>11</v>
      </c>
      <c r="AG5" s="617">
        <f t="shared" si="11"/>
        <v>12</v>
      </c>
      <c r="AH5" s="617"/>
      <c r="AI5" s="617">
        <f>+AI4</f>
        <v>1</v>
      </c>
      <c r="AJ5" s="617">
        <f t="shared" ref="AJ5:AT5" si="12">+AI5+1</f>
        <v>2</v>
      </c>
      <c r="AK5" s="617">
        <f t="shared" si="12"/>
        <v>3</v>
      </c>
      <c r="AL5" s="617">
        <f t="shared" si="12"/>
        <v>4</v>
      </c>
      <c r="AM5" s="617">
        <f t="shared" si="12"/>
        <v>5</v>
      </c>
      <c r="AN5" s="617">
        <f t="shared" si="12"/>
        <v>6</v>
      </c>
      <c r="AO5" s="617">
        <f t="shared" si="12"/>
        <v>7</v>
      </c>
      <c r="AP5" s="617">
        <f t="shared" si="12"/>
        <v>8</v>
      </c>
      <c r="AQ5" s="617">
        <f t="shared" si="12"/>
        <v>9</v>
      </c>
      <c r="AR5" s="617">
        <f t="shared" si="12"/>
        <v>10</v>
      </c>
      <c r="AS5" s="617">
        <f t="shared" si="12"/>
        <v>11</v>
      </c>
      <c r="AT5" s="617">
        <f t="shared" si="12"/>
        <v>12</v>
      </c>
      <c r="AU5" s="617"/>
      <c r="AV5" s="617">
        <f>+AV4</f>
        <v>1</v>
      </c>
      <c r="AW5" s="617">
        <f t="shared" ref="AW5:BG5" si="13">+AV5+1</f>
        <v>2</v>
      </c>
      <c r="AX5" s="617">
        <f t="shared" si="13"/>
        <v>3</v>
      </c>
      <c r="AY5" s="617">
        <f t="shared" si="13"/>
        <v>4</v>
      </c>
      <c r="AZ5" s="617">
        <f t="shared" si="13"/>
        <v>5</v>
      </c>
      <c r="BA5" s="617">
        <f t="shared" si="13"/>
        <v>6</v>
      </c>
      <c r="BB5" s="617">
        <f t="shared" si="13"/>
        <v>7</v>
      </c>
      <c r="BC5" s="617">
        <f t="shared" si="13"/>
        <v>8</v>
      </c>
      <c r="BD5" s="617">
        <f t="shared" si="13"/>
        <v>9</v>
      </c>
      <c r="BE5" s="617">
        <f t="shared" si="13"/>
        <v>10</v>
      </c>
      <c r="BF5" s="617">
        <f t="shared" si="13"/>
        <v>11</v>
      </c>
      <c r="BG5" s="617">
        <f t="shared" si="13"/>
        <v>12</v>
      </c>
      <c r="BH5" s="617"/>
      <c r="BI5" s="617">
        <f>+BI4</f>
        <v>1</v>
      </c>
      <c r="BJ5" s="617">
        <f t="shared" ref="BJ5:BT5" si="14">+BI5+1</f>
        <v>2</v>
      </c>
      <c r="BK5" s="617">
        <f t="shared" si="14"/>
        <v>3</v>
      </c>
      <c r="BL5" s="617">
        <f t="shared" si="14"/>
        <v>4</v>
      </c>
      <c r="BM5" s="617">
        <f t="shared" si="14"/>
        <v>5</v>
      </c>
      <c r="BN5" s="617">
        <f t="shared" si="14"/>
        <v>6</v>
      </c>
      <c r="BO5" s="617">
        <f t="shared" si="14"/>
        <v>7</v>
      </c>
      <c r="BP5" s="617">
        <f t="shared" si="14"/>
        <v>8</v>
      </c>
      <c r="BQ5" s="617">
        <f t="shared" si="14"/>
        <v>9</v>
      </c>
      <c r="BR5" s="617">
        <f t="shared" si="14"/>
        <v>10</v>
      </c>
      <c r="BS5" s="617">
        <f t="shared" si="14"/>
        <v>11</v>
      </c>
      <c r="BT5" s="617">
        <f t="shared" si="14"/>
        <v>12</v>
      </c>
      <c r="BU5" s="617"/>
      <c r="BV5" s="617">
        <f>+BV4</f>
        <v>1</v>
      </c>
      <c r="BW5" s="617">
        <f t="shared" ref="BW5:CG5" si="15">+BV5+1</f>
        <v>2</v>
      </c>
      <c r="BX5" s="617">
        <f t="shared" si="15"/>
        <v>3</v>
      </c>
      <c r="BY5" s="617">
        <f t="shared" si="15"/>
        <v>4</v>
      </c>
      <c r="BZ5" s="617">
        <f t="shared" si="15"/>
        <v>5</v>
      </c>
      <c r="CA5" s="617">
        <f t="shared" si="15"/>
        <v>6</v>
      </c>
      <c r="CB5" s="617">
        <f t="shared" si="15"/>
        <v>7</v>
      </c>
      <c r="CC5" s="617">
        <f t="shared" si="15"/>
        <v>8</v>
      </c>
      <c r="CD5" s="617">
        <f t="shared" si="15"/>
        <v>9</v>
      </c>
      <c r="CE5" s="617">
        <f t="shared" si="15"/>
        <v>10</v>
      </c>
      <c r="CF5" s="617">
        <f t="shared" si="15"/>
        <v>11</v>
      </c>
      <c r="CG5" s="617">
        <f t="shared" si="15"/>
        <v>12</v>
      </c>
      <c r="CH5" s="617"/>
      <c r="CI5" s="617">
        <f>+CI4</f>
        <v>1</v>
      </c>
      <c r="CJ5" s="617">
        <f t="shared" ref="CJ5:CT5" si="16">+CI5+1</f>
        <v>2</v>
      </c>
      <c r="CK5" s="617">
        <f t="shared" si="16"/>
        <v>3</v>
      </c>
      <c r="CL5" s="617">
        <f t="shared" si="16"/>
        <v>4</v>
      </c>
      <c r="CM5" s="617">
        <f t="shared" si="16"/>
        <v>5</v>
      </c>
      <c r="CN5" s="617">
        <f t="shared" si="16"/>
        <v>6</v>
      </c>
      <c r="CO5" s="617">
        <f t="shared" si="16"/>
        <v>7</v>
      </c>
      <c r="CP5" s="617">
        <f t="shared" si="16"/>
        <v>8</v>
      </c>
      <c r="CQ5" s="617">
        <f t="shared" si="16"/>
        <v>9</v>
      </c>
      <c r="CR5" s="617">
        <f t="shared" si="16"/>
        <v>10</v>
      </c>
      <c r="CS5" s="617">
        <f t="shared" si="16"/>
        <v>11</v>
      </c>
      <c r="CT5" s="617">
        <f t="shared" si="16"/>
        <v>12</v>
      </c>
      <c r="CU5" s="617"/>
      <c r="CV5" s="617">
        <f>+CV4</f>
        <v>1</v>
      </c>
      <c r="CW5" s="617">
        <f t="shared" ref="CW5:DG5" si="17">+CV5+1</f>
        <v>2</v>
      </c>
      <c r="CX5" s="617">
        <f t="shared" si="17"/>
        <v>3</v>
      </c>
      <c r="CY5" s="617">
        <f t="shared" si="17"/>
        <v>4</v>
      </c>
      <c r="CZ5" s="617">
        <f t="shared" si="17"/>
        <v>5</v>
      </c>
      <c r="DA5" s="617">
        <f t="shared" si="17"/>
        <v>6</v>
      </c>
      <c r="DB5" s="617">
        <f t="shared" si="17"/>
        <v>7</v>
      </c>
      <c r="DC5" s="617">
        <f t="shared" si="17"/>
        <v>8</v>
      </c>
      <c r="DD5" s="617">
        <f t="shared" si="17"/>
        <v>9</v>
      </c>
      <c r="DE5" s="617">
        <f t="shared" si="17"/>
        <v>10</v>
      </c>
      <c r="DF5" s="617">
        <f t="shared" si="17"/>
        <v>11</v>
      </c>
      <c r="DG5" s="617">
        <f t="shared" si="17"/>
        <v>12</v>
      </c>
      <c r="DH5" s="617"/>
      <c r="DI5" s="617">
        <f>+DI4</f>
        <v>1</v>
      </c>
      <c r="DJ5" s="617">
        <f t="shared" ref="DJ5:DT5" si="18">+DI5+1</f>
        <v>2</v>
      </c>
      <c r="DK5" s="617">
        <f t="shared" si="18"/>
        <v>3</v>
      </c>
      <c r="DL5" s="617">
        <f t="shared" si="18"/>
        <v>4</v>
      </c>
      <c r="DM5" s="617">
        <f t="shared" si="18"/>
        <v>5</v>
      </c>
      <c r="DN5" s="617">
        <f t="shared" si="18"/>
        <v>6</v>
      </c>
      <c r="DO5" s="617">
        <f t="shared" si="18"/>
        <v>7</v>
      </c>
      <c r="DP5" s="617">
        <f t="shared" si="18"/>
        <v>8</v>
      </c>
      <c r="DQ5" s="617">
        <f t="shared" si="18"/>
        <v>9</v>
      </c>
      <c r="DR5" s="617">
        <f t="shared" si="18"/>
        <v>10</v>
      </c>
      <c r="DS5" s="617">
        <f t="shared" si="18"/>
        <v>11</v>
      </c>
      <c r="DT5" s="617">
        <f t="shared" si="18"/>
        <v>12</v>
      </c>
      <c r="DU5" s="617"/>
      <c r="DV5" s="617">
        <f>+DV4</f>
        <v>1</v>
      </c>
      <c r="DW5" s="617">
        <f t="shared" ref="DW5:EG5" si="19">+DV5+1</f>
        <v>2</v>
      </c>
      <c r="DX5" s="617">
        <f t="shared" si="19"/>
        <v>3</v>
      </c>
      <c r="DY5" s="617">
        <f t="shared" si="19"/>
        <v>4</v>
      </c>
      <c r="DZ5" s="617">
        <f t="shared" si="19"/>
        <v>5</v>
      </c>
      <c r="EA5" s="617">
        <f t="shared" si="19"/>
        <v>6</v>
      </c>
      <c r="EB5" s="617">
        <f t="shared" si="19"/>
        <v>7</v>
      </c>
      <c r="EC5" s="617">
        <f t="shared" si="19"/>
        <v>8</v>
      </c>
      <c r="ED5" s="617">
        <f t="shared" si="19"/>
        <v>9</v>
      </c>
      <c r="EE5" s="617">
        <f t="shared" si="19"/>
        <v>10</v>
      </c>
      <c r="EF5" s="617">
        <f t="shared" si="19"/>
        <v>11</v>
      </c>
      <c r="EG5" s="617">
        <f t="shared" si="19"/>
        <v>12</v>
      </c>
      <c r="EH5" s="617"/>
      <c r="EI5" s="21"/>
      <c r="EJ5" s="21"/>
      <c r="EK5" s="21"/>
      <c r="EL5" s="21"/>
      <c r="EM5" s="21"/>
    </row>
    <row r="6" spans="1:143" ht="13.5" customHeight="1">
      <c r="A6" s="21"/>
      <c r="B6" s="21"/>
      <c r="C6" s="21"/>
      <c r="D6" s="22"/>
      <c r="E6" s="244" t="str">
        <f>+Historical!B3</f>
        <v>Generic Niaga / Generic Group</v>
      </c>
      <c r="F6" s="21"/>
      <c r="G6" s="21"/>
      <c r="H6" s="21"/>
      <c r="I6" s="1457" t="s">
        <v>561</v>
      </c>
      <c r="J6" s="1616"/>
      <c r="K6" s="1616"/>
      <c r="L6" s="1616"/>
      <c r="M6" s="1616"/>
      <c r="N6" s="1616"/>
      <c r="O6" s="1616"/>
      <c r="P6" s="1616"/>
      <c r="Q6" s="1616"/>
      <c r="R6" s="1616"/>
      <c r="S6" s="1616"/>
      <c r="T6" s="1616"/>
      <c r="U6" s="1616"/>
      <c r="V6" s="1457" t="s">
        <v>562</v>
      </c>
      <c r="W6" s="1616"/>
      <c r="X6" s="1616"/>
      <c r="Y6" s="1616"/>
      <c r="Z6" s="1616"/>
      <c r="AA6" s="1616"/>
      <c r="AB6" s="1616"/>
      <c r="AC6" s="1616"/>
      <c r="AD6" s="1616"/>
      <c r="AE6" s="1616"/>
      <c r="AF6" s="1616"/>
      <c r="AG6" s="1616"/>
      <c r="AH6" s="1616"/>
      <c r="AI6" s="1457" t="s">
        <v>562</v>
      </c>
      <c r="AJ6" s="1616"/>
      <c r="AK6" s="1616"/>
      <c r="AL6" s="1616"/>
      <c r="AM6" s="1616"/>
      <c r="AN6" s="1616"/>
      <c r="AO6" s="1616"/>
      <c r="AP6" s="1616"/>
      <c r="AQ6" s="1616"/>
      <c r="AR6" s="1616"/>
      <c r="AS6" s="1616"/>
      <c r="AT6" s="1616"/>
      <c r="AU6" s="1616"/>
      <c r="AV6" s="1457" t="s">
        <v>562</v>
      </c>
      <c r="AW6" s="1616"/>
      <c r="AX6" s="1616"/>
      <c r="AY6" s="1616"/>
      <c r="AZ6" s="1616"/>
      <c r="BA6" s="1616"/>
      <c r="BB6" s="1616"/>
      <c r="BC6" s="1616"/>
      <c r="BD6" s="1616"/>
      <c r="BE6" s="1616"/>
      <c r="BF6" s="1616"/>
      <c r="BG6" s="1616"/>
      <c r="BH6" s="1616"/>
      <c r="BI6" s="1457" t="s">
        <v>562</v>
      </c>
      <c r="BJ6" s="1616"/>
      <c r="BK6" s="1616"/>
      <c r="BL6" s="1616"/>
      <c r="BM6" s="1616"/>
      <c r="BN6" s="1616"/>
      <c r="BO6" s="1616"/>
      <c r="BP6" s="1616"/>
      <c r="BQ6" s="1616"/>
      <c r="BR6" s="1616"/>
      <c r="BS6" s="1616"/>
      <c r="BT6" s="1616"/>
      <c r="BU6" s="1616"/>
      <c r="BV6" s="1457" t="s">
        <v>562</v>
      </c>
      <c r="BW6" s="1616"/>
      <c r="BX6" s="1616"/>
      <c r="BY6" s="1616"/>
      <c r="BZ6" s="1616"/>
      <c r="CA6" s="1616"/>
      <c r="CB6" s="1616"/>
      <c r="CC6" s="1616"/>
      <c r="CD6" s="1616"/>
      <c r="CE6" s="1616"/>
      <c r="CF6" s="1616"/>
      <c r="CG6" s="1616"/>
      <c r="CH6" s="1616"/>
      <c r="CI6" s="1457" t="s">
        <v>562</v>
      </c>
      <c r="CJ6" s="1616"/>
      <c r="CK6" s="1616"/>
      <c r="CL6" s="1616"/>
      <c r="CM6" s="1616"/>
      <c r="CN6" s="1616"/>
      <c r="CO6" s="1616"/>
      <c r="CP6" s="1616"/>
      <c r="CQ6" s="1616"/>
      <c r="CR6" s="1616"/>
      <c r="CS6" s="1616"/>
      <c r="CT6" s="1616"/>
      <c r="CU6" s="1616"/>
      <c r="CV6" s="1457" t="s">
        <v>562</v>
      </c>
      <c r="CW6" s="1616"/>
      <c r="CX6" s="1616"/>
      <c r="CY6" s="1616"/>
      <c r="CZ6" s="1616"/>
      <c r="DA6" s="1616"/>
      <c r="DB6" s="1616"/>
      <c r="DC6" s="1616"/>
      <c r="DD6" s="1616"/>
      <c r="DE6" s="1616"/>
      <c r="DF6" s="1616"/>
      <c r="DG6" s="1616"/>
      <c r="DH6" s="1616"/>
      <c r="DI6" s="1457" t="s">
        <v>562</v>
      </c>
      <c r="DJ6" s="1616"/>
      <c r="DK6" s="1616"/>
      <c r="DL6" s="1616"/>
      <c r="DM6" s="1616"/>
      <c r="DN6" s="1616"/>
      <c r="DO6" s="1616"/>
      <c r="DP6" s="1616"/>
      <c r="DQ6" s="1616"/>
      <c r="DR6" s="1616"/>
      <c r="DS6" s="1616"/>
      <c r="DT6" s="1616"/>
      <c r="DU6" s="1616"/>
      <c r="DV6" s="1457" t="s">
        <v>562</v>
      </c>
      <c r="DW6" s="1616"/>
      <c r="DX6" s="1616"/>
      <c r="DY6" s="1616"/>
      <c r="DZ6" s="1616"/>
      <c r="EA6" s="1616"/>
      <c r="EB6" s="1616"/>
      <c r="EC6" s="1616"/>
      <c r="ED6" s="1616"/>
      <c r="EE6" s="1616"/>
      <c r="EF6" s="1616"/>
      <c r="EG6" s="1616"/>
      <c r="EH6" s="1616"/>
      <c r="EI6" s="21"/>
      <c r="EJ6" s="21"/>
      <c r="EK6" s="21"/>
      <c r="EL6" s="21"/>
      <c r="EM6" s="21"/>
    </row>
    <row r="7" spans="1:143" ht="15" customHeight="1">
      <c r="A7" s="21"/>
      <c r="B7" s="21"/>
      <c r="C7" s="21"/>
      <c r="D7" s="620"/>
      <c r="E7" s="621" t="str">
        <f>+Historical!B13</f>
        <v>IDR Million</v>
      </c>
      <c r="F7" s="620"/>
      <c r="G7" s="620"/>
      <c r="H7" s="620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7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  <c r="AG7" s="246"/>
      <c r="AH7" s="247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7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7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7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7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7"/>
      <c r="CV7" s="246"/>
      <c r="CW7" s="246"/>
      <c r="CX7" s="246"/>
      <c r="CY7" s="246"/>
      <c r="CZ7" s="246"/>
      <c r="DA7" s="246"/>
      <c r="DB7" s="246"/>
      <c r="DC7" s="246"/>
      <c r="DD7" s="246"/>
      <c r="DE7" s="246"/>
      <c r="DF7" s="246"/>
      <c r="DG7" s="246"/>
      <c r="DH7" s="247"/>
      <c r="DI7" s="246"/>
      <c r="DJ7" s="246"/>
      <c r="DK7" s="246"/>
      <c r="DL7" s="246"/>
      <c r="DM7" s="246"/>
      <c r="DN7" s="246"/>
      <c r="DO7" s="246"/>
      <c r="DP7" s="246"/>
      <c r="DQ7" s="246"/>
      <c r="DR7" s="246"/>
      <c r="DS7" s="246"/>
      <c r="DT7" s="246"/>
      <c r="DU7" s="247"/>
      <c r="DV7" s="246"/>
      <c r="DW7" s="246"/>
      <c r="DX7" s="246"/>
      <c r="DY7" s="246"/>
      <c r="DZ7" s="246"/>
      <c r="EA7" s="246"/>
      <c r="EB7" s="246"/>
      <c r="EC7" s="246"/>
      <c r="ED7" s="246"/>
      <c r="EE7" s="246"/>
      <c r="EF7" s="246"/>
      <c r="EG7" s="246"/>
      <c r="EH7" s="247"/>
      <c r="EI7" s="21"/>
      <c r="EJ7" s="21"/>
      <c r="EK7" s="21"/>
      <c r="EL7" s="21"/>
      <c r="EM7" s="21"/>
    </row>
    <row r="8" spans="1:143" ht="13.5" customHeight="1">
      <c r="A8" s="21"/>
      <c r="B8" s="21"/>
      <c r="C8" s="21"/>
      <c r="D8" s="622"/>
      <c r="E8" s="623"/>
      <c r="F8" s="248" t="s">
        <v>563</v>
      </c>
      <c r="G8" s="624" t="s">
        <v>564</v>
      </c>
      <c r="H8" s="249" t="s">
        <v>565</v>
      </c>
      <c r="I8" s="625">
        <f>IF(MONTH(Historical!K13)=12,DATE(YEAR(Historical!K13),MONTH(Historical!K13)+1,31),DATE(YEAR(Historical!I13),MONTH(Historical!I13)+1,31))</f>
        <v>45322</v>
      </c>
      <c r="J8" s="250">
        <f>+IF(MOD(YEAR(I8),4)=0,I8+29,I8+28)</f>
        <v>45351</v>
      </c>
      <c r="K8" s="250">
        <f>DATE(YEAR(J8),MONTH(J8)+1,31)</f>
        <v>45382</v>
      </c>
      <c r="L8" s="250">
        <f>DATE(YEAR(K8),MONTH(K8)+1,30)</f>
        <v>45412</v>
      </c>
      <c r="M8" s="250">
        <f>DATE(YEAR(L8),MONTH(L8)+1,31)</f>
        <v>45443</v>
      </c>
      <c r="N8" s="250">
        <f>DATE(YEAR(M8),MONTH(M8)+1,30)</f>
        <v>45473</v>
      </c>
      <c r="O8" s="250">
        <f t="shared" ref="O8:P8" si="20">DATE(YEAR(N8),MONTH(N8)+1,31)</f>
        <v>45504</v>
      </c>
      <c r="P8" s="250">
        <f t="shared" si="20"/>
        <v>45535</v>
      </c>
      <c r="Q8" s="250">
        <f>DATE(YEAR(P8),MONTH(P8)+1,30)</f>
        <v>45565</v>
      </c>
      <c r="R8" s="250">
        <f>DATE(YEAR(Q8),MONTH(Q8)+1,31)</f>
        <v>45596</v>
      </c>
      <c r="S8" s="250">
        <f>DATE(YEAR(R8),MONTH(R8)+1,30)</f>
        <v>45626</v>
      </c>
      <c r="T8" s="250">
        <f>DATE(YEAR(S8),MONTH(S8)+1,31)</f>
        <v>45657</v>
      </c>
      <c r="U8" s="249" t="s">
        <v>566</v>
      </c>
      <c r="V8" s="625">
        <f>DATE(YEAR(T8),MONTH(T8)+1,31)</f>
        <v>45688</v>
      </c>
      <c r="W8" s="250">
        <f>+IF(MOD(YEAR(V8),4)=0,V8+29,V8+28)</f>
        <v>45716</v>
      </c>
      <c r="X8" s="250">
        <f>DATE(YEAR(W8),MONTH(W8)+1,31)</f>
        <v>45747</v>
      </c>
      <c r="Y8" s="250">
        <f>DATE(YEAR(X8),MONTH(X8)+1,30)</f>
        <v>45777</v>
      </c>
      <c r="Z8" s="250">
        <f>DATE(YEAR(Y8),MONTH(Y8)+1,31)</f>
        <v>45808</v>
      </c>
      <c r="AA8" s="250">
        <f>DATE(YEAR(Z8),MONTH(Z8)+1,30)</f>
        <v>45838</v>
      </c>
      <c r="AB8" s="250">
        <f t="shared" ref="AB8:AC8" si="21">DATE(YEAR(AA8),MONTH(AA8)+1,31)</f>
        <v>45869</v>
      </c>
      <c r="AC8" s="250">
        <f t="shared" si="21"/>
        <v>45900</v>
      </c>
      <c r="AD8" s="250">
        <f>DATE(YEAR(AC8),MONTH(AC8)+1,30)</f>
        <v>45930</v>
      </c>
      <c r="AE8" s="250">
        <f>DATE(YEAR(AD8),MONTH(AD8)+1,31)</f>
        <v>45961</v>
      </c>
      <c r="AF8" s="250">
        <f>DATE(YEAR(AE8),MONTH(AE8)+1,30)</f>
        <v>45991</v>
      </c>
      <c r="AG8" s="250">
        <f>DATE(YEAR(AF8),MONTH(AF8)+1,31)</f>
        <v>46022</v>
      </c>
      <c r="AH8" s="249" t="s">
        <v>566</v>
      </c>
      <c r="AI8" s="625">
        <f>DATE(YEAR(AG8),MONTH(AG8)+1,31)</f>
        <v>46053</v>
      </c>
      <c r="AJ8" s="250">
        <f>+IF(MOD(YEAR(AI8),4)=0,AI8+29,AI8+28)</f>
        <v>46081</v>
      </c>
      <c r="AK8" s="250">
        <f>DATE(YEAR(AJ8),MONTH(AJ8)+1,31)</f>
        <v>46112</v>
      </c>
      <c r="AL8" s="250">
        <f>DATE(YEAR(AK8),MONTH(AK8)+1,30)</f>
        <v>46142</v>
      </c>
      <c r="AM8" s="250">
        <f>DATE(YEAR(AL8),MONTH(AL8)+1,31)</f>
        <v>46173</v>
      </c>
      <c r="AN8" s="250">
        <f>DATE(YEAR(AM8),MONTH(AM8)+1,30)</f>
        <v>46203</v>
      </c>
      <c r="AO8" s="250">
        <f t="shared" ref="AO8:AP8" si="22">DATE(YEAR(AN8),MONTH(AN8)+1,31)</f>
        <v>46234</v>
      </c>
      <c r="AP8" s="250">
        <f t="shared" si="22"/>
        <v>46265</v>
      </c>
      <c r="AQ8" s="250">
        <f>DATE(YEAR(AP8),MONTH(AP8)+1,30)</f>
        <v>46295</v>
      </c>
      <c r="AR8" s="250">
        <f>DATE(YEAR(AQ8),MONTH(AQ8)+1,31)</f>
        <v>46326</v>
      </c>
      <c r="AS8" s="250">
        <f>DATE(YEAR(AR8),MONTH(AR8)+1,30)</f>
        <v>46356</v>
      </c>
      <c r="AT8" s="250">
        <f>DATE(YEAR(AS8),MONTH(AS8)+1,31)</f>
        <v>46387</v>
      </c>
      <c r="AU8" s="249" t="s">
        <v>566</v>
      </c>
      <c r="AV8" s="625">
        <f>DATE(YEAR(AT8),MONTH(AT8)+1,31)</f>
        <v>46418</v>
      </c>
      <c r="AW8" s="250">
        <f>+IF(MOD(YEAR(AV8),4)=0,AV8+29,AV8+28)</f>
        <v>46446</v>
      </c>
      <c r="AX8" s="250">
        <f>DATE(YEAR(AW8),MONTH(AW8)+1,31)</f>
        <v>46477</v>
      </c>
      <c r="AY8" s="250">
        <f>DATE(YEAR(AX8),MONTH(AX8)+1,30)</f>
        <v>46507</v>
      </c>
      <c r="AZ8" s="250">
        <f>DATE(YEAR(AY8),MONTH(AY8)+1,31)</f>
        <v>46538</v>
      </c>
      <c r="BA8" s="250">
        <f>DATE(YEAR(AZ8),MONTH(AZ8)+1,30)</f>
        <v>46568</v>
      </c>
      <c r="BB8" s="250">
        <f t="shared" ref="BB8:BC8" si="23">DATE(YEAR(BA8),MONTH(BA8)+1,31)</f>
        <v>46599</v>
      </c>
      <c r="BC8" s="250">
        <f t="shared" si="23"/>
        <v>46630</v>
      </c>
      <c r="BD8" s="250">
        <f>DATE(YEAR(BC8),MONTH(BC8)+1,30)</f>
        <v>46660</v>
      </c>
      <c r="BE8" s="250">
        <f>DATE(YEAR(BD8),MONTH(BD8)+1,31)</f>
        <v>46691</v>
      </c>
      <c r="BF8" s="250">
        <f>DATE(YEAR(BE8),MONTH(BE8)+1,30)</f>
        <v>46721</v>
      </c>
      <c r="BG8" s="250">
        <f>DATE(YEAR(BF8),MONTH(BF8)+1,31)</f>
        <v>46752</v>
      </c>
      <c r="BH8" s="249" t="s">
        <v>566</v>
      </c>
      <c r="BI8" s="625">
        <f>DATE(YEAR(BG8),MONTH(BG8)+1,31)</f>
        <v>46783</v>
      </c>
      <c r="BJ8" s="250">
        <f>+IF(MOD(YEAR(BI8),4)=0,BI8+29,BI8+28)</f>
        <v>46812</v>
      </c>
      <c r="BK8" s="250">
        <f>DATE(YEAR(BJ8),MONTH(BJ8)+1,31)</f>
        <v>46843</v>
      </c>
      <c r="BL8" s="250">
        <f>DATE(YEAR(BK8),MONTH(BK8)+1,30)</f>
        <v>46873</v>
      </c>
      <c r="BM8" s="250">
        <f>DATE(YEAR(BL8),MONTH(BL8)+1,31)</f>
        <v>46904</v>
      </c>
      <c r="BN8" s="250">
        <f>DATE(YEAR(BM8),MONTH(BM8)+1,30)</f>
        <v>46934</v>
      </c>
      <c r="BO8" s="250">
        <f t="shared" ref="BO8:BP8" si="24">DATE(YEAR(BN8),MONTH(BN8)+1,31)</f>
        <v>46965</v>
      </c>
      <c r="BP8" s="250">
        <f t="shared" si="24"/>
        <v>46996</v>
      </c>
      <c r="BQ8" s="250">
        <f>DATE(YEAR(BP8),MONTH(BP8)+1,30)</f>
        <v>47026</v>
      </c>
      <c r="BR8" s="250">
        <f>DATE(YEAR(BQ8),MONTH(BQ8)+1,31)</f>
        <v>47057</v>
      </c>
      <c r="BS8" s="250">
        <f>DATE(YEAR(BR8),MONTH(BR8)+1,30)</f>
        <v>47087</v>
      </c>
      <c r="BT8" s="250">
        <f>DATE(YEAR(BS8),MONTH(BS8)+1,31)</f>
        <v>47118</v>
      </c>
      <c r="BU8" s="249" t="s">
        <v>566</v>
      </c>
      <c r="BV8" s="625">
        <f>DATE(YEAR(BT8),MONTH(BT8)+1,31)</f>
        <v>47149</v>
      </c>
      <c r="BW8" s="250">
        <f>+IF(MOD(YEAR(BV8),4)=0,BV8+29,BV8+28)</f>
        <v>47177</v>
      </c>
      <c r="BX8" s="250">
        <f>DATE(YEAR(BW8),MONTH(BW8)+1,31)</f>
        <v>47208</v>
      </c>
      <c r="BY8" s="250">
        <f>DATE(YEAR(BX8),MONTH(BX8)+1,30)</f>
        <v>47238</v>
      </c>
      <c r="BZ8" s="250">
        <f>DATE(YEAR(BY8),MONTH(BY8)+1,31)</f>
        <v>47269</v>
      </c>
      <c r="CA8" s="250">
        <f>DATE(YEAR(BZ8),MONTH(BZ8)+1,30)</f>
        <v>47299</v>
      </c>
      <c r="CB8" s="250">
        <f t="shared" ref="CB8:CC8" si="25">DATE(YEAR(CA8),MONTH(CA8)+1,31)</f>
        <v>47330</v>
      </c>
      <c r="CC8" s="250">
        <f t="shared" si="25"/>
        <v>47361</v>
      </c>
      <c r="CD8" s="250">
        <f>DATE(YEAR(CC8),MONTH(CC8)+1,30)</f>
        <v>47391</v>
      </c>
      <c r="CE8" s="250">
        <f>DATE(YEAR(CD8),MONTH(CD8)+1,31)</f>
        <v>47422</v>
      </c>
      <c r="CF8" s="250">
        <f>DATE(YEAR(CE8),MONTH(CE8)+1,30)</f>
        <v>47452</v>
      </c>
      <c r="CG8" s="250">
        <f>DATE(YEAR(CF8),MONTH(CF8)+1,31)</f>
        <v>47483</v>
      </c>
      <c r="CH8" s="249" t="s">
        <v>566</v>
      </c>
      <c r="CI8" s="625">
        <f>DATE(YEAR(CG8),MONTH(CG8)+1,31)</f>
        <v>47514</v>
      </c>
      <c r="CJ8" s="250">
        <f>+IF(MOD(YEAR(CI8),4)=0,CI8+29,CI8+28)</f>
        <v>47542</v>
      </c>
      <c r="CK8" s="250">
        <f>DATE(YEAR(CJ8),MONTH(CJ8)+1,31)</f>
        <v>47573</v>
      </c>
      <c r="CL8" s="250">
        <f>DATE(YEAR(CK8),MONTH(CK8)+1,30)</f>
        <v>47603</v>
      </c>
      <c r="CM8" s="250">
        <f>DATE(YEAR(CL8),MONTH(CL8)+1,31)</f>
        <v>47634</v>
      </c>
      <c r="CN8" s="250">
        <f>DATE(YEAR(CM8),MONTH(CM8)+1,30)</f>
        <v>47664</v>
      </c>
      <c r="CO8" s="250">
        <f t="shared" ref="CO8:CP8" si="26">DATE(YEAR(CN8),MONTH(CN8)+1,31)</f>
        <v>47695</v>
      </c>
      <c r="CP8" s="250">
        <f t="shared" si="26"/>
        <v>47726</v>
      </c>
      <c r="CQ8" s="250">
        <f>DATE(YEAR(CP8),MONTH(CP8)+1,30)</f>
        <v>47756</v>
      </c>
      <c r="CR8" s="250">
        <f>DATE(YEAR(CQ8),MONTH(CQ8)+1,31)</f>
        <v>47787</v>
      </c>
      <c r="CS8" s="250">
        <f>DATE(YEAR(CR8),MONTH(CR8)+1,30)</f>
        <v>47817</v>
      </c>
      <c r="CT8" s="250">
        <f>DATE(YEAR(CS8),MONTH(CS8)+1,31)</f>
        <v>47848</v>
      </c>
      <c r="CU8" s="249" t="s">
        <v>566</v>
      </c>
      <c r="CV8" s="625">
        <f>DATE(YEAR(CT8),MONTH(CT8)+1,31)</f>
        <v>47879</v>
      </c>
      <c r="CW8" s="250">
        <f>+IF(MOD(YEAR(CV8),4)=0,CV8+29,CV8+28)</f>
        <v>47907</v>
      </c>
      <c r="CX8" s="250">
        <f>DATE(YEAR(CW8),MONTH(CW8)+1,31)</f>
        <v>47938</v>
      </c>
      <c r="CY8" s="250">
        <f>DATE(YEAR(CX8),MONTH(CX8)+1,30)</f>
        <v>47968</v>
      </c>
      <c r="CZ8" s="250">
        <f>DATE(YEAR(CY8),MONTH(CY8)+1,31)</f>
        <v>47999</v>
      </c>
      <c r="DA8" s="250">
        <f>DATE(YEAR(CZ8),MONTH(CZ8)+1,30)</f>
        <v>48029</v>
      </c>
      <c r="DB8" s="250">
        <f t="shared" ref="DB8:DC8" si="27">DATE(YEAR(DA8),MONTH(DA8)+1,31)</f>
        <v>48060</v>
      </c>
      <c r="DC8" s="250">
        <f t="shared" si="27"/>
        <v>48091</v>
      </c>
      <c r="DD8" s="250">
        <f>DATE(YEAR(DC8),MONTH(DC8)+1,30)</f>
        <v>48121</v>
      </c>
      <c r="DE8" s="250">
        <f>DATE(YEAR(DD8),MONTH(DD8)+1,31)</f>
        <v>48152</v>
      </c>
      <c r="DF8" s="250">
        <f>DATE(YEAR(DE8),MONTH(DE8)+1,30)</f>
        <v>48182</v>
      </c>
      <c r="DG8" s="250">
        <f>DATE(YEAR(DF8),MONTH(DF8)+1,31)</f>
        <v>48213</v>
      </c>
      <c r="DH8" s="249" t="s">
        <v>566</v>
      </c>
      <c r="DI8" s="625">
        <f>DATE(YEAR(DG8),MONTH(DG8)+1,31)</f>
        <v>48244</v>
      </c>
      <c r="DJ8" s="250">
        <f>+IF(MOD(YEAR(DI8),4)=0,DI8+29,DI8+28)</f>
        <v>48273</v>
      </c>
      <c r="DK8" s="250">
        <f>DATE(YEAR(DJ8),MONTH(DJ8)+1,31)</f>
        <v>48304</v>
      </c>
      <c r="DL8" s="250">
        <f>DATE(YEAR(DK8),MONTH(DK8)+1,30)</f>
        <v>48334</v>
      </c>
      <c r="DM8" s="250">
        <f>DATE(YEAR(DL8),MONTH(DL8)+1,31)</f>
        <v>48365</v>
      </c>
      <c r="DN8" s="250">
        <f>DATE(YEAR(DM8),MONTH(DM8)+1,30)</f>
        <v>48395</v>
      </c>
      <c r="DO8" s="250">
        <f t="shared" ref="DO8:DP8" si="28">DATE(YEAR(DN8),MONTH(DN8)+1,31)</f>
        <v>48426</v>
      </c>
      <c r="DP8" s="250">
        <f t="shared" si="28"/>
        <v>48457</v>
      </c>
      <c r="DQ8" s="250">
        <f>DATE(YEAR(DP8),MONTH(DP8)+1,30)</f>
        <v>48487</v>
      </c>
      <c r="DR8" s="250">
        <f>DATE(YEAR(DQ8),MONTH(DQ8)+1,31)</f>
        <v>48518</v>
      </c>
      <c r="DS8" s="250">
        <f>DATE(YEAR(DR8),MONTH(DR8)+1,30)</f>
        <v>48548</v>
      </c>
      <c r="DT8" s="250">
        <f>DATE(YEAR(DS8),MONTH(DS8)+1,31)</f>
        <v>48579</v>
      </c>
      <c r="DU8" s="249" t="s">
        <v>566</v>
      </c>
      <c r="DV8" s="625">
        <f>DATE(YEAR(DT8),MONTH(DT8)+1,31)</f>
        <v>48610</v>
      </c>
      <c r="DW8" s="250">
        <f>+IF(MOD(YEAR(DV8),4)=0,DV8+29,DV8+28)</f>
        <v>48638</v>
      </c>
      <c r="DX8" s="250">
        <f>DATE(YEAR(DW8),MONTH(DW8)+1,31)</f>
        <v>48669</v>
      </c>
      <c r="DY8" s="250">
        <f>DATE(YEAR(DX8),MONTH(DX8)+1,30)</f>
        <v>48699</v>
      </c>
      <c r="DZ8" s="250">
        <f>DATE(YEAR(DY8),MONTH(DY8)+1,31)</f>
        <v>48730</v>
      </c>
      <c r="EA8" s="250">
        <f>DATE(YEAR(DZ8),MONTH(DZ8)+1,30)</f>
        <v>48760</v>
      </c>
      <c r="EB8" s="250">
        <f t="shared" ref="EB8:EC8" si="29">DATE(YEAR(EA8),MONTH(EA8)+1,31)</f>
        <v>48791</v>
      </c>
      <c r="EC8" s="250">
        <f t="shared" si="29"/>
        <v>48822</v>
      </c>
      <c r="ED8" s="250">
        <f>DATE(YEAR(EC8),MONTH(EC8)+1,30)</f>
        <v>48852</v>
      </c>
      <c r="EE8" s="250">
        <f>DATE(YEAR(ED8),MONTH(ED8)+1,31)</f>
        <v>48883</v>
      </c>
      <c r="EF8" s="250">
        <f>DATE(YEAR(EE8),MONTH(EE8)+1,30)</f>
        <v>48913</v>
      </c>
      <c r="EG8" s="250">
        <f>DATE(YEAR(EF8),MONTH(EF8)+1,31)</f>
        <v>48944</v>
      </c>
      <c r="EH8" s="249" t="s">
        <v>566</v>
      </c>
      <c r="EI8" s="21"/>
      <c r="EJ8" s="21"/>
      <c r="EK8" s="21"/>
      <c r="EL8" s="21"/>
      <c r="EM8" s="21"/>
    </row>
    <row r="9" spans="1:143" ht="14.25" customHeight="1">
      <c r="A9" s="21"/>
      <c r="B9" s="21"/>
      <c r="C9" s="21"/>
      <c r="D9" s="251">
        <v>1</v>
      </c>
      <c r="E9" s="626"/>
      <c r="F9" s="252" t="s">
        <v>567</v>
      </c>
      <c r="G9" s="253"/>
      <c r="H9" s="254">
        <f>Historical!K16</f>
        <v>103</v>
      </c>
      <c r="I9" s="255">
        <f>Historical!K16</f>
        <v>103</v>
      </c>
      <c r="J9" s="255">
        <f t="shared" ref="J9:L9" si="30">+I81</f>
        <v>-15910.768750000003</v>
      </c>
      <c r="K9" s="255">
        <f t="shared" si="30"/>
        <v>-15924.537500000002</v>
      </c>
      <c r="L9" s="255">
        <f t="shared" si="30"/>
        <v>-15938.306250000001</v>
      </c>
      <c r="M9" s="255">
        <f t="shared" ref="M9:T9" si="31">L81</f>
        <v>-15952.075000000001</v>
      </c>
      <c r="N9" s="255">
        <f t="shared" si="31"/>
        <v>-15965.84375</v>
      </c>
      <c r="O9" s="255">
        <f t="shared" si="31"/>
        <v>-15979.612499999999</v>
      </c>
      <c r="P9" s="255">
        <f t="shared" si="31"/>
        <v>500.00000000000364</v>
      </c>
      <c r="Q9" s="255">
        <f t="shared" si="31"/>
        <v>500</v>
      </c>
      <c r="R9" s="255">
        <f t="shared" si="31"/>
        <v>500</v>
      </c>
      <c r="S9" s="255">
        <f t="shared" si="31"/>
        <v>500</v>
      </c>
      <c r="T9" s="256">
        <f t="shared" si="31"/>
        <v>500</v>
      </c>
      <c r="U9" s="257"/>
      <c r="V9" s="255">
        <f>T81</f>
        <v>500</v>
      </c>
      <c r="W9" s="255">
        <f t="shared" ref="W9:AG9" si="32">V81</f>
        <v>500</v>
      </c>
      <c r="X9" s="255">
        <f t="shared" si="32"/>
        <v>500</v>
      </c>
      <c r="Y9" s="255">
        <f t="shared" si="32"/>
        <v>500</v>
      </c>
      <c r="Z9" s="255">
        <f t="shared" si="32"/>
        <v>500</v>
      </c>
      <c r="AA9" s="255">
        <f t="shared" si="32"/>
        <v>500</v>
      </c>
      <c r="AB9" s="255">
        <f t="shared" si="32"/>
        <v>500</v>
      </c>
      <c r="AC9" s="255">
        <f t="shared" si="32"/>
        <v>500</v>
      </c>
      <c r="AD9" s="255">
        <f t="shared" si="32"/>
        <v>500</v>
      </c>
      <c r="AE9" s="255">
        <f t="shared" si="32"/>
        <v>500</v>
      </c>
      <c r="AF9" s="255">
        <f t="shared" si="32"/>
        <v>500</v>
      </c>
      <c r="AG9" s="256">
        <f t="shared" si="32"/>
        <v>500</v>
      </c>
      <c r="AH9" s="257"/>
      <c r="AI9" s="255">
        <f>AG81</f>
        <v>500</v>
      </c>
      <c r="AJ9" s="255">
        <f t="shared" ref="AJ9:AT9" si="33">AI81</f>
        <v>500</v>
      </c>
      <c r="AK9" s="255">
        <f t="shared" si="33"/>
        <v>500</v>
      </c>
      <c r="AL9" s="255">
        <f t="shared" si="33"/>
        <v>500</v>
      </c>
      <c r="AM9" s="255">
        <f t="shared" si="33"/>
        <v>500</v>
      </c>
      <c r="AN9" s="255">
        <f t="shared" si="33"/>
        <v>500</v>
      </c>
      <c r="AO9" s="255">
        <f t="shared" si="33"/>
        <v>500</v>
      </c>
      <c r="AP9" s="255">
        <f t="shared" si="33"/>
        <v>500</v>
      </c>
      <c r="AQ9" s="255">
        <f t="shared" si="33"/>
        <v>500</v>
      </c>
      <c r="AR9" s="255">
        <f t="shared" si="33"/>
        <v>500</v>
      </c>
      <c r="AS9" s="255">
        <f t="shared" si="33"/>
        <v>500</v>
      </c>
      <c r="AT9" s="256">
        <f t="shared" si="33"/>
        <v>500</v>
      </c>
      <c r="AU9" s="257"/>
      <c r="AV9" s="255">
        <f>AT81</f>
        <v>500</v>
      </c>
      <c r="AW9" s="255">
        <f t="shared" ref="AW9:BG9" si="34">AV81</f>
        <v>500</v>
      </c>
      <c r="AX9" s="255">
        <f t="shared" si="34"/>
        <v>500</v>
      </c>
      <c r="AY9" s="255">
        <f t="shared" si="34"/>
        <v>500</v>
      </c>
      <c r="AZ9" s="255">
        <f t="shared" si="34"/>
        <v>500</v>
      </c>
      <c r="BA9" s="255">
        <f t="shared" si="34"/>
        <v>500</v>
      </c>
      <c r="BB9" s="255">
        <f t="shared" si="34"/>
        <v>500</v>
      </c>
      <c r="BC9" s="255">
        <f t="shared" si="34"/>
        <v>500</v>
      </c>
      <c r="BD9" s="255">
        <f t="shared" si="34"/>
        <v>500</v>
      </c>
      <c r="BE9" s="255">
        <f t="shared" si="34"/>
        <v>500</v>
      </c>
      <c r="BF9" s="255">
        <f t="shared" si="34"/>
        <v>500</v>
      </c>
      <c r="BG9" s="256">
        <f t="shared" si="34"/>
        <v>500</v>
      </c>
      <c r="BH9" s="257"/>
      <c r="BI9" s="255">
        <f>BG81</f>
        <v>500</v>
      </c>
      <c r="BJ9" s="255">
        <f t="shared" ref="BJ9:BT9" si="35">BI81</f>
        <v>500</v>
      </c>
      <c r="BK9" s="255">
        <f t="shared" si="35"/>
        <v>500</v>
      </c>
      <c r="BL9" s="255">
        <f t="shared" si="35"/>
        <v>500</v>
      </c>
      <c r="BM9" s="255">
        <f t="shared" si="35"/>
        <v>500</v>
      </c>
      <c r="BN9" s="255">
        <f t="shared" si="35"/>
        <v>1251.0488604390957</v>
      </c>
      <c r="BO9" s="255">
        <f t="shared" si="35"/>
        <v>3904.8578533644359</v>
      </c>
      <c r="BP9" s="255">
        <f t="shared" si="35"/>
        <v>6503.7059266707347</v>
      </c>
      <c r="BQ9" s="255">
        <f t="shared" si="35"/>
        <v>9494.5493452151222</v>
      </c>
      <c r="BR9" s="255">
        <f t="shared" si="35"/>
        <v>9112.4200994738003</v>
      </c>
      <c r="BS9" s="255">
        <f t="shared" si="35"/>
        <v>8116.2765957324755</v>
      </c>
      <c r="BT9" s="256">
        <f t="shared" si="35"/>
        <v>13635.093257991151</v>
      </c>
      <c r="BU9" s="257"/>
      <c r="BV9" s="255">
        <f>BT81</f>
        <v>19821.240488916494</v>
      </c>
      <c r="BW9" s="255">
        <f t="shared" ref="BW9:CG9" si="36">BV81</f>
        <v>49702.373941713857</v>
      </c>
      <c r="BX9" s="255">
        <f t="shared" si="36"/>
        <v>53862.225740046706</v>
      </c>
      <c r="BY9" s="255">
        <f t="shared" si="36"/>
        <v>55689.262598861722</v>
      </c>
      <c r="BZ9" s="255">
        <f t="shared" si="36"/>
        <v>56521.390593981239</v>
      </c>
      <c r="CA9" s="255">
        <f t="shared" si="36"/>
        <v>59253.944662757262</v>
      </c>
      <c r="CB9" s="255">
        <f t="shared" si="36"/>
        <v>60782.23514623144</v>
      </c>
      <c r="CC9" s="255">
        <f t="shared" si="36"/>
        <v>62325.598408133817</v>
      </c>
      <c r="CD9" s="255">
        <f t="shared" si="36"/>
        <v>64911.192887234982</v>
      </c>
      <c r="CE9" s="255">
        <f t="shared" si="36"/>
        <v>63951.885115281169</v>
      </c>
      <c r="CF9" s="255">
        <f t="shared" si="36"/>
        <v>61833.377760437506</v>
      </c>
      <c r="CG9" s="256">
        <f t="shared" si="36"/>
        <v>65912.312148482364</v>
      </c>
      <c r="CH9" s="257"/>
      <c r="CI9" s="255">
        <f>CG81</f>
        <v>71103.486907879706</v>
      </c>
      <c r="CJ9" s="255">
        <f t="shared" ref="CJ9:CT9" si="37">CI81</f>
        <v>21164.557702409773</v>
      </c>
      <c r="CK9" s="255">
        <f t="shared" si="37"/>
        <v>29647.982689222008</v>
      </c>
      <c r="CL9" s="255">
        <f t="shared" si="37"/>
        <v>36036.712008383067</v>
      </c>
      <c r="CM9" s="255">
        <f t="shared" si="37"/>
        <v>35934.443764795302</v>
      </c>
      <c r="CN9" s="255">
        <f t="shared" si="37"/>
        <v>35505.591802618692</v>
      </c>
      <c r="CO9" s="255">
        <f t="shared" si="37"/>
        <v>36510.340891404267</v>
      </c>
      <c r="CP9" s="255">
        <f t="shared" si="37"/>
        <v>37439.989291397455</v>
      </c>
      <c r="CQ9" s="255">
        <f t="shared" si="37"/>
        <v>37743.369044946565</v>
      </c>
      <c r="CR9" s="255">
        <f t="shared" si="37"/>
        <v>35890.426326603236</v>
      </c>
      <c r="CS9" s="255">
        <f t="shared" si="37"/>
        <v>34178.894465959849</v>
      </c>
      <c r="CT9" s="256">
        <f t="shared" si="37"/>
        <v>37824.267765732082</v>
      </c>
      <c r="CU9" s="257"/>
      <c r="CV9" s="255">
        <f>CT81</f>
        <v>41368.086783928818</v>
      </c>
      <c r="CW9" s="255">
        <f t="shared" ref="CW9:DG9" si="38">CV81</f>
        <v>30880.049487458884</v>
      </c>
      <c r="CX9" s="255">
        <f t="shared" si="38"/>
        <v>39363.474474271119</v>
      </c>
      <c r="CY9" s="255">
        <f t="shared" si="38"/>
        <v>45752.203793432178</v>
      </c>
      <c r="CZ9" s="255">
        <f t="shared" si="38"/>
        <v>45649.935549844406</v>
      </c>
      <c r="DA9" s="255">
        <f t="shared" si="38"/>
        <v>45221.083587667796</v>
      </c>
      <c r="DB9" s="255">
        <f t="shared" si="38"/>
        <v>46225.83267645337</v>
      </c>
      <c r="DC9" s="255">
        <f t="shared" si="38"/>
        <v>47155.481076446558</v>
      </c>
      <c r="DD9" s="255">
        <f t="shared" si="38"/>
        <v>47458.860829995669</v>
      </c>
      <c r="DE9" s="255">
        <f t="shared" si="38"/>
        <v>45605.91811165234</v>
      </c>
      <c r="DF9" s="255">
        <f t="shared" si="38"/>
        <v>43894.386251008953</v>
      </c>
      <c r="DG9" s="256">
        <f t="shared" si="38"/>
        <v>47539.759550781186</v>
      </c>
      <c r="DH9" s="257"/>
      <c r="DI9" s="255">
        <f>DG81</f>
        <v>51083.578568977922</v>
      </c>
      <c r="DJ9" s="255">
        <f t="shared" ref="DJ9:DT9" si="39">DI81</f>
        <v>40595.541272507988</v>
      </c>
      <c r="DK9" s="255">
        <f t="shared" si="39"/>
        <v>49078.966259320223</v>
      </c>
      <c r="DL9" s="255">
        <f t="shared" si="39"/>
        <v>55467.695578481282</v>
      </c>
      <c r="DM9" s="255">
        <f t="shared" si="39"/>
        <v>55365.427334893509</v>
      </c>
      <c r="DN9" s="255">
        <f t="shared" si="39"/>
        <v>54936.575372716899</v>
      </c>
      <c r="DO9" s="255">
        <f t="shared" si="39"/>
        <v>55941.324461502474</v>
      </c>
      <c r="DP9" s="255">
        <f t="shared" si="39"/>
        <v>56870.972861495662</v>
      </c>
      <c r="DQ9" s="255">
        <f t="shared" si="39"/>
        <v>57174.352615044772</v>
      </c>
      <c r="DR9" s="255">
        <f t="shared" si="39"/>
        <v>55321.409896701443</v>
      </c>
      <c r="DS9" s="255">
        <f t="shared" si="39"/>
        <v>53609.878036058057</v>
      </c>
      <c r="DT9" s="256">
        <f t="shared" si="39"/>
        <v>57255.251335830289</v>
      </c>
      <c r="DU9" s="257"/>
      <c r="DV9" s="255">
        <f>DT81</f>
        <v>60799.070354027026</v>
      </c>
      <c r="DW9" s="255">
        <f t="shared" ref="DW9:EG9" si="40">DV81</f>
        <v>50311.033057557092</v>
      </c>
      <c r="DX9" s="255">
        <f t="shared" si="40"/>
        <v>58794.458044369327</v>
      </c>
      <c r="DY9" s="255">
        <f t="shared" si="40"/>
        <v>65183.187363530385</v>
      </c>
      <c r="DZ9" s="255">
        <f t="shared" si="40"/>
        <v>65080.919119942613</v>
      </c>
      <c r="EA9" s="255">
        <f t="shared" si="40"/>
        <v>64652.067157766003</v>
      </c>
      <c r="EB9" s="255">
        <f t="shared" si="40"/>
        <v>65656.816246551578</v>
      </c>
      <c r="EC9" s="255">
        <f t="shared" si="40"/>
        <v>66586.464646544759</v>
      </c>
      <c r="ED9" s="255">
        <f t="shared" si="40"/>
        <v>66889.844400093862</v>
      </c>
      <c r="EE9" s="255">
        <f t="shared" si="40"/>
        <v>65036.901681750533</v>
      </c>
      <c r="EF9" s="255">
        <f t="shared" si="40"/>
        <v>63325.369821107146</v>
      </c>
      <c r="EG9" s="256">
        <f t="shared" si="40"/>
        <v>66970.743120879371</v>
      </c>
      <c r="EH9" s="257"/>
      <c r="EI9" s="21"/>
      <c r="EJ9" s="21"/>
      <c r="EK9" s="21"/>
      <c r="EL9" s="21"/>
      <c r="EM9" s="21"/>
    </row>
    <row r="10" spans="1:143" ht="14.25" customHeight="1">
      <c r="A10" s="21"/>
      <c r="B10" s="21"/>
      <c r="C10" s="21"/>
      <c r="D10" s="622">
        <f>D9+1</f>
        <v>2</v>
      </c>
      <c r="E10" s="1458"/>
      <c r="F10" s="258" t="s">
        <v>568</v>
      </c>
      <c r="G10" s="259"/>
      <c r="H10" s="260"/>
      <c r="I10" s="627">
        <f>+'Sales-AR Schedule'!D22</f>
        <v>0</v>
      </c>
      <c r="J10" s="627">
        <f>+'Sales-AR Schedule'!E22</f>
        <v>0</v>
      </c>
      <c r="K10" s="627">
        <f>+'Sales-AR Schedule'!F22</f>
        <v>0</v>
      </c>
      <c r="L10" s="627">
        <f>+'Sales-AR Schedule'!G22</f>
        <v>0</v>
      </c>
      <c r="M10" s="627">
        <f>+'Sales-AR Schedule'!H22</f>
        <v>0</v>
      </c>
      <c r="N10" s="627">
        <f>+'Sales-AR Schedule'!I22</f>
        <v>0</v>
      </c>
      <c r="O10" s="627">
        <f>+'Sales-AR Schedule'!J22</f>
        <v>320</v>
      </c>
      <c r="P10" s="627">
        <f>+'Sales-AR Schedule'!K22</f>
        <v>400</v>
      </c>
      <c r="Q10" s="627">
        <f>+'Sales-AR Schedule'!L22</f>
        <v>320</v>
      </c>
      <c r="R10" s="627">
        <f>+'Sales-AR Schedule'!M22</f>
        <v>240</v>
      </c>
      <c r="S10" s="627">
        <f>+'Sales-AR Schedule'!N22</f>
        <v>320</v>
      </c>
      <c r="T10" s="261">
        <f>+'Sales-AR Schedule'!O22</f>
        <v>400</v>
      </c>
      <c r="U10" s="262">
        <f>SUM(I10:T10)</f>
        <v>2000</v>
      </c>
      <c r="V10" s="627">
        <f>+'Sales-AR Schedule'!D24</f>
        <v>15730</v>
      </c>
      <c r="W10" s="627">
        <f>+'Sales-AR Schedule'!E24</f>
        <v>12584</v>
      </c>
      <c r="X10" s="627">
        <f>+'Sales-AR Schedule'!F24</f>
        <v>9438</v>
      </c>
      <c r="Y10" s="627">
        <f>+'Sales-AR Schedule'!G24</f>
        <v>12584</v>
      </c>
      <c r="Z10" s="627">
        <f>+'Sales-AR Schedule'!H24</f>
        <v>15730</v>
      </c>
      <c r="AA10" s="627">
        <f>+'Sales-AR Schedule'!I24</f>
        <v>12584</v>
      </c>
      <c r="AB10" s="627">
        <f>+'Sales-AR Schedule'!J24</f>
        <v>12584</v>
      </c>
      <c r="AC10" s="627">
        <f>+'Sales-AR Schedule'!K24</f>
        <v>15730</v>
      </c>
      <c r="AD10" s="627">
        <f>+'Sales-AR Schedule'!L24</f>
        <v>12584</v>
      </c>
      <c r="AE10" s="627">
        <f>+'Sales-AR Schedule'!M24</f>
        <v>9438</v>
      </c>
      <c r="AF10" s="627">
        <f>+'Sales-AR Schedule'!N24</f>
        <v>12584</v>
      </c>
      <c r="AG10" s="261">
        <f>+'Sales-AR Schedule'!O24</f>
        <v>15730</v>
      </c>
      <c r="AH10" s="262">
        <f>SUM(V10:AG10)</f>
        <v>157300</v>
      </c>
      <c r="AI10" s="627">
        <f>'Sales-AR Schedule'!D26</f>
        <v>17303</v>
      </c>
      <c r="AJ10" s="627">
        <f>'Sales-AR Schedule'!E26</f>
        <v>13842.4</v>
      </c>
      <c r="AK10" s="627">
        <f>'Sales-AR Schedule'!F26</f>
        <v>10381.799999999999</v>
      </c>
      <c r="AL10" s="627">
        <f>'Sales-AR Schedule'!G26</f>
        <v>13842.4</v>
      </c>
      <c r="AM10" s="627">
        <f>'Sales-AR Schedule'!H26</f>
        <v>17303</v>
      </c>
      <c r="AN10" s="627">
        <f>'Sales-AR Schedule'!I26</f>
        <v>13842.4</v>
      </c>
      <c r="AO10" s="627">
        <f>'Sales-AR Schedule'!J26</f>
        <v>13842.4</v>
      </c>
      <c r="AP10" s="627">
        <f>'Sales-AR Schedule'!K26</f>
        <v>17303</v>
      </c>
      <c r="AQ10" s="627">
        <f>'Sales-AR Schedule'!L26</f>
        <v>13842.4</v>
      </c>
      <c r="AR10" s="627">
        <f>'Sales-AR Schedule'!M26</f>
        <v>10381.799999999999</v>
      </c>
      <c r="AS10" s="627">
        <f>'Sales-AR Schedule'!N26</f>
        <v>13842.4</v>
      </c>
      <c r="AT10" s="261">
        <f>'Sales-AR Schedule'!O26</f>
        <v>17303</v>
      </c>
      <c r="AU10" s="262">
        <f>SUM(AI10:AT10)</f>
        <v>173029.99999999997</v>
      </c>
      <c r="AV10" s="627">
        <f>'Sales-AR Schedule'!D28</f>
        <v>19033.300000000003</v>
      </c>
      <c r="AW10" s="627">
        <f>'Sales-AR Schedule'!E28</f>
        <v>15226.640000000003</v>
      </c>
      <c r="AX10" s="627">
        <f>'Sales-AR Schedule'!F28</f>
        <v>11419.980000000001</v>
      </c>
      <c r="AY10" s="627">
        <f>'Sales-AR Schedule'!G28</f>
        <v>15226.640000000003</v>
      </c>
      <c r="AZ10" s="627">
        <f>'Sales-AR Schedule'!H28</f>
        <v>19033.300000000003</v>
      </c>
      <c r="BA10" s="627">
        <f>'Sales-AR Schedule'!I28</f>
        <v>15226.640000000003</v>
      </c>
      <c r="BB10" s="627">
        <f>'Sales-AR Schedule'!J28</f>
        <v>15226.640000000003</v>
      </c>
      <c r="BC10" s="627">
        <f>'Sales-AR Schedule'!K28</f>
        <v>19033.300000000003</v>
      </c>
      <c r="BD10" s="627">
        <f>'Sales-AR Schedule'!L28</f>
        <v>15226.640000000003</v>
      </c>
      <c r="BE10" s="627">
        <f>'Sales-AR Schedule'!M28</f>
        <v>11419.980000000001</v>
      </c>
      <c r="BF10" s="627">
        <f>'Sales-AR Schedule'!N28</f>
        <v>15226.640000000003</v>
      </c>
      <c r="BG10" s="261">
        <f>'Sales-AR Schedule'!O28</f>
        <v>19033.300000000003</v>
      </c>
      <c r="BH10" s="262">
        <f>SUM(AV10:BG10)</f>
        <v>190333.00000000006</v>
      </c>
      <c r="BI10" s="627">
        <f>+'Sales-AR Schedule'!D30</f>
        <v>20936.630000000005</v>
      </c>
      <c r="BJ10" s="627">
        <f>+'Sales-AR Schedule'!E30</f>
        <v>16749.304</v>
      </c>
      <c r="BK10" s="627">
        <f>+'Sales-AR Schedule'!F30</f>
        <v>12561.978000000001</v>
      </c>
      <c r="BL10" s="627">
        <f>+'Sales-AR Schedule'!G30</f>
        <v>16749.304</v>
      </c>
      <c r="BM10" s="627">
        <f>+'Sales-AR Schedule'!H30</f>
        <v>20936.630000000005</v>
      </c>
      <c r="BN10" s="627">
        <f>+'Sales-AR Schedule'!I30</f>
        <v>16749.304</v>
      </c>
      <c r="BO10" s="627">
        <f>+'Sales-AR Schedule'!J30</f>
        <v>16749.304</v>
      </c>
      <c r="BP10" s="627">
        <f>+'Sales-AR Schedule'!K30</f>
        <v>20936.630000000005</v>
      </c>
      <c r="BQ10" s="627">
        <f>+'Sales-AR Schedule'!L30</f>
        <v>16749.304</v>
      </c>
      <c r="BR10" s="627">
        <f>+'Sales-AR Schedule'!M30</f>
        <v>12561.978000000001</v>
      </c>
      <c r="BS10" s="627">
        <f>+'Sales-AR Schedule'!N30</f>
        <v>16749.304</v>
      </c>
      <c r="BT10" s="261">
        <f>+'Sales-AR Schedule'!O30</f>
        <v>20936.630000000005</v>
      </c>
      <c r="BU10" s="262">
        <f>SUM(BI10:BT10)</f>
        <v>209366.30000000005</v>
      </c>
      <c r="BV10" s="627">
        <f>+'Sales-AR Schedule'!D32</f>
        <v>20936.630000000005</v>
      </c>
      <c r="BW10" s="627">
        <f>+'Sales-AR Schedule'!E32</f>
        <v>16749.304</v>
      </c>
      <c r="BX10" s="627">
        <f>+'Sales-AR Schedule'!F32</f>
        <v>12561.978000000001</v>
      </c>
      <c r="BY10" s="627">
        <f>+'Sales-AR Schedule'!G32</f>
        <v>16749.304</v>
      </c>
      <c r="BZ10" s="627">
        <f>+'Sales-AR Schedule'!H32</f>
        <v>20936.630000000005</v>
      </c>
      <c r="CA10" s="627">
        <f>+'Sales-AR Schedule'!I32</f>
        <v>16749.304</v>
      </c>
      <c r="CB10" s="627">
        <f>+'Sales-AR Schedule'!J32</f>
        <v>16749.304</v>
      </c>
      <c r="CC10" s="627">
        <f>+'Sales-AR Schedule'!K32</f>
        <v>20936.630000000005</v>
      </c>
      <c r="CD10" s="627">
        <f>+'Sales-AR Schedule'!L32</f>
        <v>16749.304</v>
      </c>
      <c r="CE10" s="627">
        <f>+'Sales-AR Schedule'!M32</f>
        <v>12561.978000000001</v>
      </c>
      <c r="CF10" s="627">
        <f>+'Sales-AR Schedule'!N32</f>
        <v>16749.304</v>
      </c>
      <c r="CG10" s="261">
        <f>+'Sales-AR Schedule'!O32</f>
        <v>20936.630000000005</v>
      </c>
      <c r="CH10" s="262">
        <f>SUM(BV10:CG10)</f>
        <v>209366.30000000005</v>
      </c>
      <c r="CI10" s="627">
        <f>+'Sales-AR Schedule'!D34</f>
        <v>20936.630000000005</v>
      </c>
      <c r="CJ10" s="627">
        <f>+'Sales-AR Schedule'!E34</f>
        <v>16749.304</v>
      </c>
      <c r="CK10" s="627">
        <f>+'Sales-AR Schedule'!F34</f>
        <v>12561.978000000001</v>
      </c>
      <c r="CL10" s="627">
        <f>+'Sales-AR Schedule'!G34</f>
        <v>16749.304</v>
      </c>
      <c r="CM10" s="627">
        <f>+'Sales-AR Schedule'!H34</f>
        <v>20936.630000000005</v>
      </c>
      <c r="CN10" s="627">
        <f>+'Sales-AR Schedule'!I34</f>
        <v>16749.304</v>
      </c>
      <c r="CO10" s="627">
        <f>+'Sales-AR Schedule'!J34</f>
        <v>16749.304</v>
      </c>
      <c r="CP10" s="627">
        <f>+'Sales-AR Schedule'!K34</f>
        <v>20936.630000000005</v>
      </c>
      <c r="CQ10" s="627">
        <f>+'Sales-AR Schedule'!L34</f>
        <v>16749.304</v>
      </c>
      <c r="CR10" s="627">
        <f>+'Sales-AR Schedule'!M34</f>
        <v>12561.978000000001</v>
      </c>
      <c r="CS10" s="627">
        <f>+'Sales-AR Schedule'!N34</f>
        <v>16749.304</v>
      </c>
      <c r="CT10" s="261">
        <f>+'Sales-AR Schedule'!O34</f>
        <v>20936.630000000005</v>
      </c>
      <c r="CU10" s="262">
        <f>SUM(CI10:CT10)</f>
        <v>209366.30000000005</v>
      </c>
      <c r="CV10" s="627">
        <f>+'Sales-AR Schedule'!D36</f>
        <v>20936.630000000005</v>
      </c>
      <c r="CW10" s="627">
        <f>+'Sales-AR Schedule'!E36</f>
        <v>16749.304</v>
      </c>
      <c r="CX10" s="627">
        <f>+'Sales-AR Schedule'!F36</f>
        <v>12561.978000000001</v>
      </c>
      <c r="CY10" s="627">
        <f>+'Sales-AR Schedule'!G36</f>
        <v>16749.304</v>
      </c>
      <c r="CZ10" s="627">
        <f>+'Sales-AR Schedule'!H36</f>
        <v>20936.630000000005</v>
      </c>
      <c r="DA10" s="627">
        <f>+'Sales-AR Schedule'!I36</f>
        <v>16749.304</v>
      </c>
      <c r="DB10" s="627">
        <f>+'Sales-AR Schedule'!J36</f>
        <v>16749.304</v>
      </c>
      <c r="DC10" s="627">
        <f>+'Sales-AR Schedule'!K36</f>
        <v>20936.630000000005</v>
      </c>
      <c r="DD10" s="627">
        <f>+'Sales-AR Schedule'!L36</f>
        <v>16749.304</v>
      </c>
      <c r="DE10" s="627">
        <f>+'Sales-AR Schedule'!M36</f>
        <v>12561.978000000001</v>
      </c>
      <c r="DF10" s="627">
        <f>+'Sales-AR Schedule'!N36</f>
        <v>16749.304</v>
      </c>
      <c r="DG10" s="261">
        <f>+'Sales-AR Schedule'!O36</f>
        <v>20936.630000000005</v>
      </c>
      <c r="DH10" s="262">
        <f>SUM(CV10:DG10)</f>
        <v>209366.30000000005</v>
      </c>
      <c r="DI10" s="627">
        <f>+'Sales-AR Schedule'!D38</f>
        <v>20936.630000000005</v>
      </c>
      <c r="DJ10" s="627">
        <f>+'Sales-AR Schedule'!E38</f>
        <v>16749.304</v>
      </c>
      <c r="DK10" s="627">
        <f>+'Sales-AR Schedule'!F38</f>
        <v>12561.978000000001</v>
      </c>
      <c r="DL10" s="627">
        <f>+'Sales-AR Schedule'!G38</f>
        <v>16749.304</v>
      </c>
      <c r="DM10" s="627">
        <f>+'Sales-AR Schedule'!H38</f>
        <v>20936.630000000005</v>
      </c>
      <c r="DN10" s="627">
        <f>+'Sales-AR Schedule'!I38</f>
        <v>16749.304</v>
      </c>
      <c r="DO10" s="627">
        <f>+'Sales-AR Schedule'!J38</f>
        <v>16749.304</v>
      </c>
      <c r="DP10" s="627">
        <f>+'Sales-AR Schedule'!K38</f>
        <v>20936.630000000005</v>
      </c>
      <c r="DQ10" s="627">
        <f>+'Sales-AR Schedule'!L38</f>
        <v>16749.304</v>
      </c>
      <c r="DR10" s="627">
        <f>+'Sales-AR Schedule'!M38</f>
        <v>12561.978000000001</v>
      </c>
      <c r="DS10" s="627">
        <f>+'Sales-AR Schedule'!N38</f>
        <v>16749.304</v>
      </c>
      <c r="DT10" s="261">
        <f>+'Sales-AR Schedule'!O38</f>
        <v>20936.630000000005</v>
      </c>
      <c r="DU10" s="262">
        <f>SUM(DI10:DT10)</f>
        <v>209366.30000000005</v>
      </c>
      <c r="DV10" s="627">
        <f>+'Sales-AR Schedule'!D40</f>
        <v>20936.630000000005</v>
      </c>
      <c r="DW10" s="627">
        <f>+'Sales-AR Schedule'!E40</f>
        <v>16749.304</v>
      </c>
      <c r="DX10" s="627">
        <f>+'Sales-AR Schedule'!F40</f>
        <v>12561.978000000001</v>
      </c>
      <c r="DY10" s="627">
        <f>+'Sales-AR Schedule'!G40</f>
        <v>16749.304</v>
      </c>
      <c r="DZ10" s="627">
        <f>+'Sales-AR Schedule'!H40</f>
        <v>20936.630000000005</v>
      </c>
      <c r="EA10" s="627">
        <f>+'Sales-AR Schedule'!I40</f>
        <v>16749.304</v>
      </c>
      <c r="EB10" s="627">
        <f>+'Sales-AR Schedule'!J40</f>
        <v>16749.304</v>
      </c>
      <c r="EC10" s="627">
        <f>+'Sales-AR Schedule'!K40</f>
        <v>20936.630000000005</v>
      </c>
      <c r="ED10" s="627">
        <f>+'Sales-AR Schedule'!L40</f>
        <v>16749.304</v>
      </c>
      <c r="EE10" s="627">
        <f>+'Sales-AR Schedule'!M40</f>
        <v>12561.978000000001</v>
      </c>
      <c r="EF10" s="627">
        <f>+'Sales-AR Schedule'!N40</f>
        <v>16749.304</v>
      </c>
      <c r="EG10" s="261">
        <f>+'Sales-AR Schedule'!O40</f>
        <v>20936.630000000005</v>
      </c>
      <c r="EH10" s="262">
        <f>SUM(DV10:EG10)</f>
        <v>209366.30000000005</v>
      </c>
      <c r="EI10" s="21"/>
      <c r="EJ10" s="21"/>
      <c r="EK10" s="21"/>
      <c r="EL10" s="21"/>
      <c r="EM10" s="21"/>
    </row>
    <row r="11" spans="1:143" ht="13.5" customHeight="1">
      <c r="A11" s="21"/>
      <c r="B11" s="21"/>
      <c r="C11" s="21"/>
      <c r="D11" s="622">
        <f>D10+1</f>
        <v>3</v>
      </c>
      <c r="E11" s="1625"/>
      <c r="F11" s="265" t="s">
        <v>569</v>
      </c>
      <c r="G11" s="266"/>
      <c r="H11" s="267">
        <f>Historical!K19</f>
        <v>403</v>
      </c>
      <c r="I11" s="833">
        <f>+'Sales-AR Schedule'!D57</f>
        <v>0</v>
      </c>
      <c r="J11" s="833">
        <f>+'Sales-AR Schedule'!E57</f>
        <v>0</v>
      </c>
      <c r="K11" s="268">
        <f>+'Sales-AR Schedule'!F57</f>
        <v>0</v>
      </c>
      <c r="L11" s="268">
        <f>+'Sales-AR Schedule'!G57</f>
        <v>0</v>
      </c>
      <c r="M11" s="268">
        <f>+'Sales-AR Schedule'!H57</f>
        <v>0</v>
      </c>
      <c r="N11" s="268">
        <f>+'Sales-AR Schedule'!I57</f>
        <v>0</v>
      </c>
      <c r="O11" s="268">
        <f>+'Sales-AR Schedule'!J57</f>
        <v>27925.714285714283</v>
      </c>
      <c r="P11" s="268">
        <f>+'Sales-AR Schedule'!K57</f>
        <v>24510</v>
      </c>
      <c r="Q11" s="268">
        <f>+'Sales-AR Schedule'!L57</f>
        <v>21840</v>
      </c>
      <c r="R11" s="268">
        <f>+'Sales-AR Schedule'!M57</f>
        <v>19692</v>
      </c>
      <c r="S11" s="268">
        <f>+'Sales-AR Schedule'!N57</f>
        <v>17945.454545454544</v>
      </c>
      <c r="T11" s="268">
        <f>+'Sales-AR Schedule'!O57</f>
        <v>16500</v>
      </c>
      <c r="U11" s="269">
        <f>T11</f>
        <v>16500</v>
      </c>
      <c r="V11" s="268">
        <f>+'Sales-AR Schedule'!D58</f>
        <v>23595</v>
      </c>
      <c r="W11" s="268">
        <f>+'Sales-AR Schedule'!E58</f>
        <v>21235.5</v>
      </c>
      <c r="X11" s="268">
        <f>+'Sales-AR Schedule'!F58</f>
        <v>18876</v>
      </c>
      <c r="Y11" s="268">
        <f>+'Sales-AR Schedule'!G58</f>
        <v>18876</v>
      </c>
      <c r="Z11" s="268">
        <f>+'Sales-AR Schedule'!H58</f>
        <v>19819.8</v>
      </c>
      <c r="AA11" s="268">
        <f>+'Sales-AR Schedule'!I58</f>
        <v>19662.5</v>
      </c>
      <c r="AB11" s="268">
        <f>+'Sales-AR Schedule'!J58</f>
        <v>19550.142857142855</v>
      </c>
      <c r="AC11" s="268">
        <f>+'Sales-AR Schedule'!K58</f>
        <v>20055.75</v>
      </c>
      <c r="AD11" s="268">
        <f>+'Sales-AR Schedule'!L58</f>
        <v>19924.666666666664</v>
      </c>
      <c r="AE11" s="268">
        <f>+'Sales-AR Schedule'!M58</f>
        <v>19347.899999999998</v>
      </c>
      <c r="AF11" s="268">
        <f>+'Sales-AR Schedule'!N58</f>
        <v>19305</v>
      </c>
      <c r="AG11" s="268">
        <f>+'Sales-AR Schedule'!O58</f>
        <v>19662.5</v>
      </c>
      <c r="AH11" s="269">
        <f>AG11</f>
        <v>19662.5</v>
      </c>
      <c r="AI11" s="268">
        <f>'Sales-AR Schedule'!D59</f>
        <v>25954.5</v>
      </c>
      <c r="AJ11" s="268">
        <f>'Sales-AR Schedule'!E59</f>
        <v>23359.050000000003</v>
      </c>
      <c r="AK11" s="268">
        <f>'Sales-AR Schedule'!F59</f>
        <v>20763.599999999999</v>
      </c>
      <c r="AL11" s="268">
        <f>'Sales-AR Schedule'!G59</f>
        <v>20763.599999999999</v>
      </c>
      <c r="AM11" s="268">
        <f>'Sales-AR Schedule'!H59</f>
        <v>21801.780000000002</v>
      </c>
      <c r="AN11" s="268">
        <f>'Sales-AR Schedule'!I59</f>
        <v>21628.75</v>
      </c>
      <c r="AO11" s="268">
        <f>'Sales-AR Schedule'!J59</f>
        <v>21505.157142857141</v>
      </c>
      <c r="AP11" s="268">
        <f>'Sales-AR Schedule'!K59</f>
        <v>22061.324999999997</v>
      </c>
      <c r="AQ11" s="268">
        <f>'Sales-AR Schedule'!L59</f>
        <v>21917.133333333331</v>
      </c>
      <c r="AR11" s="268">
        <f>'Sales-AR Schedule'!M59</f>
        <v>21282.689999999995</v>
      </c>
      <c r="AS11" s="268">
        <f>'Sales-AR Schedule'!N59</f>
        <v>21235.499999999993</v>
      </c>
      <c r="AT11" s="270">
        <f>'Sales-AR Schedule'!O59</f>
        <v>21628.749999999996</v>
      </c>
      <c r="AU11" s="269">
        <f>AT11</f>
        <v>21628.749999999996</v>
      </c>
      <c r="AV11" s="268">
        <f>'Sales-AR Schedule'!D60</f>
        <v>28549.950000000004</v>
      </c>
      <c r="AW11" s="268">
        <f>'Sales-AR Schedule'!E60</f>
        <v>25694.955000000002</v>
      </c>
      <c r="AX11" s="268">
        <f>'Sales-AR Schedule'!F60</f>
        <v>22839.960000000003</v>
      </c>
      <c r="AY11" s="268">
        <f>'Sales-AR Schedule'!G60</f>
        <v>22839.960000000006</v>
      </c>
      <c r="AZ11" s="268">
        <f>'Sales-AR Schedule'!H60</f>
        <v>23981.958000000002</v>
      </c>
      <c r="BA11" s="268">
        <f>'Sales-AR Schedule'!I60</f>
        <v>23791.625000000004</v>
      </c>
      <c r="BB11" s="268">
        <f>'Sales-AR Schedule'!J60</f>
        <v>23655.672857142858</v>
      </c>
      <c r="BC11" s="268">
        <f>'Sales-AR Schedule'!K60</f>
        <v>24267.457500000004</v>
      </c>
      <c r="BD11" s="268">
        <f>'Sales-AR Schedule'!L60</f>
        <v>24108.846666666668</v>
      </c>
      <c r="BE11" s="268">
        <f>'Sales-AR Schedule'!M60</f>
        <v>23410.959000000003</v>
      </c>
      <c r="BF11" s="268">
        <f>'Sales-AR Schedule'!N60</f>
        <v>23359.050000000003</v>
      </c>
      <c r="BG11" s="270">
        <f>'Sales-AR Schedule'!O60</f>
        <v>23791.625000000007</v>
      </c>
      <c r="BH11" s="269">
        <f>BG11</f>
        <v>23791.625000000007</v>
      </c>
      <c r="BI11" s="268">
        <f>+'Sales-AR Schedule'!D61</f>
        <v>31404.945000000007</v>
      </c>
      <c r="BJ11" s="268">
        <f>+'Sales-AR Schedule'!E61</f>
        <v>28264.450500000006</v>
      </c>
      <c r="BK11" s="268">
        <f>+'Sales-AR Schedule'!F61</f>
        <v>25123.956000000006</v>
      </c>
      <c r="BL11" s="268">
        <f>+'Sales-AR Schedule'!G61</f>
        <v>25123.956000000006</v>
      </c>
      <c r="BM11" s="268">
        <f>+'Sales-AR Schedule'!H61</f>
        <v>26380.153800000004</v>
      </c>
      <c r="BN11" s="268">
        <f>+'Sales-AR Schedule'!I61</f>
        <v>26170.787500000006</v>
      </c>
      <c r="BO11" s="268">
        <f>+'Sales-AR Schedule'!J61</f>
        <v>26021.240142857147</v>
      </c>
      <c r="BP11" s="268">
        <f>+'Sales-AR Schedule'!K61</f>
        <v>26694.203250000006</v>
      </c>
      <c r="BQ11" s="268">
        <f>+'Sales-AR Schedule'!L61</f>
        <v>26519.731333333337</v>
      </c>
      <c r="BR11" s="268">
        <f>+'Sales-AR Schedule'!M61</f>
        <v>25752.054900000006</v>
      </c>
      <c r="BS11" s="268">
        <f>+'Sales-AR Schedule'!N61</f>
        <v>25694.955000000005</v>
      </c>
      <c r="BT11" s="270">
        <f>+'Sales-AR Schedule'!O61</f>
        <v>26170.787500000006</v>
      </c>
      <c r="BU11" s="269">
        <f>BT11</f>
        <v>26170.787500000006</v>
      </c>
      <c r="BV11" s="268">
        <f>+'Sales-AR Schedule'!D62</f>
        <v>31404.945000000007</v>
      </c>
      <c r="BW11" s="268">
        <f>+'Sales-AR Schedule'!E62</f>
        <v>28264.450500000006</v>
      </c>
      <c r="BX11" s="268">
        <f>+'Sales-AR Schedule'!F62</f>
        <v>25123.956000000006</v>
      </c>
      <c r="BY11" s="268">
        <f>+'Sales-AR Schedule'!G62</f>
        <v>25123.956000000006</v>
      </c>
      <c r="BZ11" s="268">
        <f>+'Sales-AR Schedule'!H62</f>
        <v>26380.153800000004</v>
      </c>
      <c r="CA11" s="268">
        <f>+'Sales-AR Schedule'!I62</f>
        <v>26170.787500000006</v>
      </c>
      <c r="CB11" s="268">
        <f>+'Sales-AR Schedule'!J62</f>
        <v>26021.240142857147</v>
      </c>
      <c r="CC11" s="268">
        <f>+'Sales-AR Schedule'!K62</f>
        <v>26694.203250000006</v>
      </c>
      <c r="CD11" s="268">
        <f>+'Sales-AR Schedule'!L62</f>
        <v>26519.731333333337</v>
      </c>
      <c r="CE11" s="268">
        <f>+'Sales-AR Schedule'!M62</f>
        <v>25752.054900000006</v>
      </c>
      <c r="CF11" s="268">
        <f>+'Sales-AR Schedule'!N62</f>
        <v>25694.955000000005</v>
      </c>
      <c r="CG11" s="270">
        <f>+'Sales-AR Schedule'!O62</f>
        <v>26170.787500000006</v>
      </c>
      <c r="CH11" s="269">
        <f>CG11</f>
        <v>26170.787500000006</v>
      </c>
      <c r="CI11" s="268">
        <f>+'Sales-AR Schedule'!D63</f>
        <v>83746.520000000019</v>
      </c>
      <c r="CJ11" s="268">
        <f>+'Sales-AR Schedule'!E63</f>
        <v>75371.868000000017</v>
      </c>
      <c r="CK11" s="268">
        <f>+'Sales-AR Schedule'!F63</f>
        <v>66997.216000000015</v>
      </c>
      <c r="CL11" s="268">
        <f>+'Sales-AR Schedule'!G63</f>
        <v>66997.216000000015</v>
      </c>
      <c r="CM11" s="268">
        <f>+'Sales-AR Schedule'!H63</f>
        <v>70347.076800000024</v>
      </c>
      <c r="CN11" s="268">
        <f>+'Sales-AR Schedule'!I63</f>
        <v>69788.766666666677</v>
      </c>
      <c r="CO11" s="268">
        <f>+'Sales-AR Schedule'!J63</f>
        <v>69389.973714285719</v>
      </c>
      <c r="CP11" s="268">
        <f>+'Sales-AR Schedule'!K63</f>
        <v>71184.542000000016</v>
      </c>
      <c r="CQ11" s="268">
        <f>+'Sales-AR Schedule'!L63</f>
        <v>70719.283555555565</v>
      </c>
      <c r="CR11" s="268">
        <f>+'Sales-AR Schedule'!M63</f>
        <v>68672.146400000012</v>
      </c>
      <c r="CS11" s="268">
        <f>+'Sales-AR Schedule'!N63</f>
        <v>68519.880000000019</v>
      </c>
      <c r="CT11" s="270">
        <f>+'Sales-AR Schedule'!O63</f>
        <v>69788.766666666677</v>
      </c>
      <c r="CU11" s="269">
        <f>CT11</f>
        <v>69788.766666666677</v>
      </c>
      <c r="CV11" s="268">
        <f>+'Sales-AR Schedule'!D64</f>
        <v>83746.520000000019</v>
      </c>
      <c r="CW11" s="268">
        <f>+'Sales-AR Schedule'!E64</f>
        <v>75371.868000000017</v>
      </c>
      <c r="CX11" s="268">
        <f>+'Sales-AR Schedule'!F64</f>
        <v>66997.216000000015</v>
      </c>
      <c r="CY11" s="268">
        <f>+'Sales-AR Schedule'!G64</f>
        <v>66997.216000000015</v>
      </c>
      <c r="CZ11" s="268">
        <f>+'Sales-AR Schedule'!H64</f>
        <v>70347.076800000024</v>
      </c>
      <c r="DA11" s="268">
        <f>+'Sales-AR Schedule'!I64</f>
        <v>69788.766666666677</v>
      </c>
      <c r="DB11" s="268">
        <f>+'Sales-AR Schedule'!J64</f>
        <v>69389.973714285719</v>
      </c>
      <c r="DC11" s="268">
        <f>+'Sales-AR Schedule'!K64</f>
        <v>71184.542000000016</v>
      </c>
      <c r="DD11" s="268">
        <f>+'Sales-AR Schedule'!L64</f>
        <v>70719.283555555565</v>
      </c>
      <c r="DE11" s="268">
        <f>+'Sales-AR Schedule'!M64</f>
        <v>68672.146400000012</v>
      </c>
      <c r="DF11" s="268">
        <f>+'Sales-AR Schedule'!N64</f>
        <v>68519.880000000019</v>
      </c>
      <c r="DG11" s="270">
        <f>+'Sales-AR Schedule'!O64</f>
        <v>69788.766666666677</v>
      </c>
      <c r="DH11" s="269">
        <f>DG11</f>
        <v>69788.766666666677</v>
      </c>
      <c r="DI11" s="268">
        <f>+'Sales-AR Schedule'!D65</f>
        <v>83746.520000000019</v>
      </c>
      <c r="DJ11" s="268">
        <f>+'Sales-AR Schedule'!E65</f>
        <v>75371.868000000017</v>
      </c>
      <c r="DK11" s="268">
        <f>+'Sales-AR Schedule'!F65</f>
        <v>66997.216000000015</v>
      </c>
      <c r="DL11" s="268">
        <f>+'Sales-AR Schedule'!G65</f>
        <v>66997.216000000015</v>
      </c>
      <c r="DM11" s="268">
        <f>+'Sales-AR Schedule'!H65</f>
        <v>70347.076800000024</v>
      </c>
      <c r="DN11" s="268">
        <f>+'Sales-AR Schedule'!I65</f>
        <v>69788.766666666677</v>
      </c>
      <c r="DO11" s="268">
        <f>+'Sales-AR Schedule'!J65</f>
        <v>69389.973714285719</v>
      </c>
      <c r="DP11" s="268">
        <f>+'Sales-AR Schedule'!K65</f>
        <v>71184.542000000016</v>
      </c>
      <c r="DQ11" s="268">
        <f>+'Sales-AR Schedule'!L65</f>
        <v>70719.283555555565</v>
      </c>
      <c r="DR11" s="268">
        <f>+'Sales-AR Schedule'!M65</f>
        <v>68672.146400000012</v>
      </c>
      <c r="DS11" s="268">
        <f>+'Sales-AR Schedule'!N65</f>
        <v>68519.880000000019</v>
      </c>
      <c r="DT11" s="270">
        <f>+'Sales-AR Schedule'!O65</f>
        <v>69788.766666666677</v>
      </c>
      <c r="DU11" s="269">
        <f>DT11</f>
        <v>69788.766666666677</v>
      </c>
      <c r="DV11" s="268">
        <f>+'Sales-AR Schedule'!D66</f>
        <v>83746.520000000019</v>
      </c>
      <c r="DW11" s="268">
        <f>+'Sales-AR Schedule'!E66</f>
        <v>75371.868000000017</v>
      </c>
      <c r="DX11" s="268">
        <f>+'Sales-AR Schedule'!F66</f>
        <v>66997.216000000015</v>
      </c>
      <c r="DY11" s="268">
        <f>+'Sales-AR Schedule'!G66</f>
        <v>66997.216000000015</v>
      </c>
      <c r="DZ11" s="268">
        <f>+'Sales-AR Schedule'!H66</f>
        <v>70347.076800000024</v>
      </c>
      <c r="EA11" s="268">
        <f>+'Sales-AR Schedule'!I66</f>
        <v>69788.766666666677</v>
      </c>
      <c r="EB11" s="268">
        <f>+'Sales-AR Schedule'!J66</f>
        <v>69389.973714285719</v>
      </c>
      <c r="EC11" s="268">
        <f>+'Sales-AR Schedule'!K66</f>
        <v>71184.542000000016</v>
      </c>
      <c r="ED11" s="268">
        <f>+'Sales-AR Schedule'!L66</f>
        <v>70719.283555555565</v>
      </c>
      <c r="EE11" s="268">
        <f>+'Sales-AR Schedule'!M66</f>
        <v>68672.146400000012</v>
      </c>
      <c r="EF11" s="268">
        <f>+'Sales-AR Schedule'!N66</f>
        <v>68519.880000000019</v>
      </c>
      <c r="EG11" s="270">
        <f>+'Sales-AR Schedule'!O66</f>
        <v>69788.766666666677</v>
      </c>
      <c r="EH11" s="269">
        <f>EG11</f>
        <v>69788.766666666677</v>
      </c>
      <c r="EI11" s="21"/>
      <c r="EJ11" s="21"/>
      <c r="EK11" s="21"/>
      <c r="EL11" s="21"/>
      <c r="EM11" s="21"/>
    </row>
    <row r="12" spans="1:143" ht="13.5" customHeight="1">
      <c r="A12" s="21"/>
      <c r="B12" s="21"/>
      <c r="C12" s="21"/>
      <c r="D12" s="622">
        <f t="shared" ref="D12:D13" si="41">D11+1</f>
        <v>4</v>
      </c>
      <c r="E12" s="1625"/>
      <c r="F12" s="265" t="s">
        <v>570</v>
      </c>
      <c r="G12" s="271"/>
      <c r="H12" s="267"/>
      <c r="I12" s="628">
        <f t="shared" ref="I12:T12" si="42">+H11+I10-I11</f>
        <v>403</v>
      </c>
      <c r="J12" s="628">
        <f t="shared" si="42"/>
        <v>0</v>
      </c>
      <c r="K12" s="628">
        <f t="shared" si="42"/>
        <v>0</v>
      </c>
      <c r="L12" s="628">
        <f t="shared" si="42"/>
        <v>0</v>
      </c>
      <c r="M12" s="628">
        <f t="shared" si="42"/>
        <v>0</v>
      </c>
      <c r="N12" s="628">
        <f t="shared" si="42"/>
        <v>0</v>
      </c>
      <c r="O12" s="628">
        <f t="shared" si="42"/>
        <v>-27605.714285714283</v>
      </c>
      <c r="P12" s="628">
        <f t="shared" si="42"/>
        <v>3815.7142857142826</v>
      </c>
      <c r="Q12" s="628">
        <f t="shared" si="42"/>
        <v>2990</v>
      </c>
      <c r="R12" s="628">
        <f t="shared" si="42"/>
        <v>2388</v>
      </c>
      <c r="S12" s="628">
        <f t="shared" si="42"/>
        <v>2066.5454545454559</v>
      </c>
      <c r="T12" s="629">
        <f t="shared" si="42"/>
        <v>1845.4545454545441</v>
      </c>
      <c r="U12" s="272">
        <f t="shared" ref="U12:U13" si="43">SUM(I12:T12)</f>
        <v>-14097</v>
      </c>
      <c r="V12" s="628">
        <f t="shared" ref="V12:AG12" si="44">U11+V10-V11</f>
        <v>8635</v>
      </c>
      <c r="W12" s="628">
        <f t="shared" si="44"/>
        <v>14943.5</v>
      </c>
      <c r="X12" s="628">
        <f t="shared" si="44"/>
        <v>11797.5</v>
      </c>
      <c r="Y12" s="628">
        <f t="shared" si="44"/>
        <v>12584</v>
      </c>
      <c r="Z12" s="628">
        <f t="shared" si="44"/>
        <v>14786.2</v>
      </c>
      <c r="AA12" s="628">
        <f t="shared" si="44"/>
        <v>12741.3</v>
      </c>
      <c r="AB12" s="628">
        <f t="shared" si="44"/>
        <v>12696.357142857145</v>
      </c>
      <c r="AC12" s="628">
        <f t="shared" si="44"/>
        <v>15224.392857142855</v>
      </c>
      <c r="AD12" s="628">
        <f t="shared" si="44"/>
        <v>12715.083333333336</v>
      </c>
      <c r="AE12" s="628">
        <f t="shared" si="44"/>
        <v>10014.766666666666</v>
      </c>
      <c r="AF12" s="628">
        <f t="shared" si="44"/>
        <v>12626.899999999998</v>
      </c>
      <c r="AG12" s="629">
        <f t="shared" si="44"/>
        <v>15372.5</v>
      </c>
      <c r="AH12" s="272">
        <f t="shared" ref="AH12:AH13" si="45">SUM(V12:AG12)</f>
        <v>154137.5</v>
      </c>
      <c r="AI12" s="628">
        <f t="shared" ref="AI12:AT12" si="46">AH11+AI10-AI11</f>
        <v>11011</v>
      </c>
      <c r="AJ12" s="628">
        <f t="shared" si="46"/>
        <v>16437.849999999999</v>
      </c>
      <c r="AK12" s="628">
        <f t="shared" si="46"/>
        <v>12977.250000000007</v>
      </c>
      <c r="AL12" s="628">
        <f t="shared" si="46"/>
        <v>13842.400000000001</v>
      </c>
      <c r="AM12" s="628">
        <f t="shared" si="46"/>
        <v>16264.819999999996</v>
      </c>
      <c r="AN12" s="628">
        <f t="shared" si="46"/>
        <v>14015.43</v>
      </c>
      <c r="AO12" s="628">
        <f t="shared" si="46"/>
        <v>13965.992857142861</v>
      </c>
      <c r="AP12" s="628">
        <f t="shared" si="46"/>
        <v>16746.832142857143</v>
      </c>
      <c r="AQ12" s="628">
        <f t="shared" si="46"/>
        <v>13986.591666666667</v>
      </c>
      <c r="AR12" s="628">
        <f t="shared" si="46"/>
        <v>11016.243333333336</v>
      </c>
      <c r="AS12" s="628">
        <f t="shared" si="46"/>
        <v>13889.590000000004</v>
      </c>
      <c r="AT12" s="629">
        <f t="shared" si="46"/>
        <v>16909.749999999996</v>
      </c>
      <c r="AU12" s="273">
        <f t="shared" ref="AU12:AU13" si="47">SUM(AI12:AT12)</f>
        <v>171063.75000000003</v>
      </c>
      <c r="AV12" s="628">
        <f t="shared" ref="AV12:BG12" si="48">AU11+AV10-AV11</f>
        <v>12112.099999999999</v>
      </c>
      <c r="AW12" s="628">
        <f t="shared" si="48"/>
        <v>18081.635000000009</v>
      </c>
      <c r="AX12" s="628">
        <f t="shared" si="48"/>
        <v>14274.975000000002</v>
      </c>
      <c r="AY12" s="628">
        <f t="shared" si="48"/>
        <v>15226.64</v>
      </c>
      <c r="AZ12" s="628">
        <f t="shared" si="48"/>
        <v>17891.302000000007</v>
      </c>
      <c r="BA12" s="628">
        <f t="shared" si="48"/>
        <v>15416.973000000002</v>
      </c>
      <c r="BB12" s="628">
        <f t="shared" si="48"/>
        <v>15362.592142857149</v>
      </c>
      <c r="BC12" s="628">
        <f t="shared" si="48"/>
        <v>18421.515357142853</v>
      </c>
      <c r="BD12" s="628">
        <f t="shared" si="48"/>
        <v>15385.250833333335</v>
      </c>
      <c r="BE12" s="628">
        <f t="shared" si="48"/>
        <v>12117.867666666665</v>
      </c>
      <c r="BF12" s="628">
        <f t="shared" si="48"/>
        <v>15278.548999999999</v>
      </c>
      <c r="BG12" s="629">
        <f t="shared" si="48"/>
        <v>18600.724999999999</v>
      </c>
      <c r="BH12" s="273">
        <f t="shared" ref="BH12:BH13" si="49">SUM(AV12:BG12)</f>
        <v>188170.125</v>
      </c>
      <c r="BI12" s="628">
        <f t="shared" ref="BI12:BT12" si="50">BH11+BI10-BI11</f>
        <v>13323.310000000005</v>
      </c>
      <c r="BJ12" s="628">
        <f t="shared" si="50"/>
        <v>19889.798500000004</v>
      </c>
      <c r="BK12" s="628">
        <f t="shared" si="50"/>
        <v>15702.472500000003</v>
      </c>
      <c r="BL12" s="628">
        <f t="shared" si="50"/>
        <v>16749.304000000004</v>
      </c>
      <c r="BM12" s="628">
        <f t="shared" si="50"/>
        <v>19680.432200000007</v>
      </c>
      <c r="BN12" s="628">
        <f t="shared" si="50"/>
        <v>16958.670299999998</v>
      </c>
      <c r="BO12" s="628">
        <f t="shared" si="50"/>
        <v>16898.851357142863</v>
      </c>
      <c r="BP12" s="628">
        <f t="shared" si="50"/>
        <v>20263.666892857145</v>
      </c>
      <c r="BQ12" s="628">
        <f t="shared" si="50"/>
        <v>16923.775916666673</v>
      </c>
      <c r="BR12" s="628">
        <f t="shared" si="50"/>
        <v>13329.654433333333</v>
      </c>
      <c r="BS12" s="628">
        <f t="shared" si="50"/>
        <v>16806.403900000001</v>
      </c>
      <c r="BT12" s="629">
        <f t="shared" si="50"/>
        <v>20460.797500000001</v>
      </c>
      <c r="BU12" s="273">
        <f t="shared" ref="BU12:BU13" si="51">SUM(BI12:BT12)</f>
        <v>206987.13750000001</v>
      </c>
      <c r="BV12" s="628">
        <f t="shared" ref="BV12:CG12" si="52">BU11+BV10-BV11</f>
        <v>15702.472500000003</v>
      </c>
      <c r="BW12" s="628">
        <f t="shared" si="52"/>
        <v>19889.798500000004</v>
      </c>
      <c r="BX12" s="628">
        <f t="shared" si="52"/>
        <v>15702.472500000003</v>
      </c>
      <c r="BY12" s="628">
        <f t="shared" si="52"/>
        <v>16749.304000000004</v>
      </c>
      <c r="BZ12" s="628">
        <f t="shared" si="52"/>
        <v>19680.432200000007</v>
      </c>
      <c r="CA12" s="628">
        <f t="shared" si="52"/>
        <v>16958.670299999998</v>
      </c>
      <c r="CB12" s="628">
        <f t="shared" si="52"/>
        <v>16898.851357142863</v>
      </c>
      <c r="CC12" s="628">
        <f t="shared" si="52"/>
        <v>20263.666892857145</v>
      </c>
      <c r="CD12" s="628">
        <f t="shared" si="52"/>
        <v>16923.775916666673</v>
      </c>
      <c r="CE12" s="628">
        <f t="shared" si="52"/>
        <v>13329.654433333333</v>
      </c>
      <c r="CF12" s="628">
        <f t="shared" si="52"/>
        <v>16806.403900000001</v>
      </c>
      <c r="CG12" s="629">
        <f t="shared" si="52"/>
        <v>20460.797500000001</v>
      </c>
      <c r="CH12" s="273">
        <f t="shared" ref="CH12:CH13" si="53">SUM(BV12:CG12)</f>
        <v>209366.30000000005</v>
      </c>
      <c r="CI12" s="628">
        <f t="shared" ref="CI12:CT12" si="54">CH11+CI10-CI11</f>
        <v>-36639.102500000008</v>
      </c>
      <c r="CJ12" s="628">
        <f t="shared" si="54"/>
        <v>25123.956000000006</v>
      </c>
      <c r="CK12" s="628">
        <f t="shared" si="54"/>
        <v>20936.630000000005</v>
      </c>
      <c r="CL12" s="628">
        <f t="shared" si="54"/>
        <v>16749.304000000004</v>
      </c>
      <c r="CM12" s="628">
        <f t="shared" si="54"/>
        <v>17586.769199999995</v>
      </c>
      <c r="CN12" s="628">
        <f t="shared" si="54"/>
        <v>17307.614133333351</v>
      </c>
      <c r="CO12" s="628">
        <f t="shared" si="54"/>
        <v>17148.096952380962</v>
      </c>
      <c r="CP12" s="628">
        <f t="shared" si="54"/>
        <v>19142.061714285708</v>
      </c>
      <c r="CQ12" s="628">
        <f t="shared" si="54"/>
        <v>17214.562444444455</v>
      </c>
      <c r="CR12" s="628">
        <f t="shared" si="54"/>
        <v>14609.115155555555</v>
      </c>
      <c r="CS12" s="628">
        <f t="shared" si="54"/>
        <v>16901.570399999997</v>
      </c>
      <c r="CT12" s="629">
        <f t="shared" si="54"/>
        <v>19667.743333333347</v>
      </c>
      <c r="CU12" s="273">
        <f t="shared" ref="CU12:CU13" si="55">SUM(CI12:CT12)</f>
        <v>165748.32083333336</v>
      </c>
      <c r="CV12" s="628">
        <f t="shared" ref="CV12:DG12" si="56">CU11+CV10-CV11</f>
        <v>6978.8766666666634</v>
      </c>
      <c r="CW12" s="628">
        <f t="shared" si="56"/>
        <v>25123.956000000006</v>
      </c>
      <c r="CX12" s="628">
        <f t="shared" si="56"/>
        <v>20936.630000000005</v>
      </c>
      <c r="CY12" s="628">
        <f t="shared" si="56"/>
        <v>16749.304000000004</v>
      </c>
      <c r="CZ12" s="628">
        <f t="shared" si="56"/>
        <v>17586.769199999995</v>
      </c>
      <c r="DA12" s="628">
        <f t="shared" si="56"/>
        <v>17307.614133333351</v>
      </c>
      <c r="DB12" s="628">
        <f t="shared" si="56"/>
        <v>17148.096952380962</v>
      </c>
      <c r="DC12" s="628">
        <f t="shared" si="56"/>
        <v>19142.061714285708</v>
      </c>
      <c r="DD12" s="628">
        <f t="shared" si="56"/>
        <v>17214.562444444455</v>
      </c>
      <c r="DE12" s="628">
        <f t="shared" si="56"/>
        <v>14609.115155555555</v>
      </c>
      <c r="DF12" s="628">
        <f t="shared" si="56"/>
        <v>16901.570399999997</v>
      </c>
      <c r="DG12" s="629">
        <f t="shared" si="56"/>
        <v>19667.743333333347</v>
      </c>
      <c r="DH12" s="273">
        <f t="shared" ref="DH12:DH13" si="57">SUM(CV12:DG12)</f>
        <v>209366.30000000002</v>
      </c>
      <c r="DI12" s="628">
        <f t="shared" ref="DI12:DT12" si="58">DH11+DI10-DI11</f>
        <v>6978.8766666666634</v>
      </c>
      <c r="DJ12" s="628">
        <f t="shared" si="58"/>
        <v>25123.956000000006</v>
      </c>
      <c r="DK12" s="628">
        <f t="shared" si="58"/>
        <v>20936.630000000005</v>
      </c>
      <c r="DL12" s="628">
        <f t="shared" si="58"/>
        <v>16749.304000000004</v>
      </c>
      <c r="DM12" s="628">
        <f t="shared" si="58"/>
        <v>17586.769199999995</v>
      </c>
      <c r="DN12" s="628">
        <f t="shared" si="58"/>
        <v>17307.614133333351</v>
      </c>
      <c r="DO12" s="628">
        <f t="shared" si="58"/>
        <v>17148.096952380962</v>
      </c>
      <c r="DP12" s="628">
        <f t="shared" si="58"/>
        <v>19142.061714285708</v>
      </c>
      <c r="DQ12" s="628">
        <f t="shared" si="58"/>
        <v>17214.562444444455</v>
      </c>
      <c r="DR12" s="628">
        <f t="shared" si="58"/>
        <v>14609.115155555555</v>
      </c>
      <c r="DS12" s="628">
        <f t="shared" si="58"/>
        <v>16901.570399999997</v>
      </c>
      <c r="DT12" s="629">
        <f t="shared" si="58"/>
        <v>19667.743333333347</v>
      </c>
      <c r="DU12" s="273">
        <f t="shared" ref="DU12:DU13" si="59">SUM(DI12:DT12)</f>
        <v>209366.30000000002</v>
      </c>
      <c r="DV12" s="628">
        <f t="shared" ref="DV12:EG12" si="60">DU11+DV10-DV11</f>
        <v>6978.8766666666634</v>
      </c>
      <c r="DW12" s="628">
        <f t="shared" si="60"/>
        <v>25123.956000000006</v>
      </c>
      <c r="DX12" s="628">
        <f t="shared" si="60"/>
        <v>20936.630000000005</v>
      </c>
      <c r="DY12" s="628">
        <f t="shared" si="60"/>
        <v>16749.304000000004</v>
      </c>
      <c r="DZ12" s="628">
        <f t="shared" si="60"/>
        <v>17586.769199999995</v>
      </c>
      <c r="EA12" s="628">
        <f t="shared" si="60"/>
        <v>17307.614133333351</v>
      </c>
      <c r="EB12" s="628">
        <f t="shared" si="60"/>
        <v>17148.096952380962</v>
      </c>
      <c r="EC12" s="628">
        <f t="shared" si="60"/>
        <v>19142.061714285708</v>
      </c>
      <c r="ED12" s="628">
        <f t="shared" si="60"/>
        <v>17214.562444444455</v>
      </c>
      <c r="EE12" s="628">
        <f t="shared" si="60"/>
        <v>14609.115155555555</v>
      </c>
      <c r="EF12" s="628">
        <f t="shared" si="60"/>
        <v>16901.570399999997</v>
      </c>
      <c r="EG12" s="629">
        <f t="shared" si="60"/>
        <v>19667.743333333347</v>
      </c>
      <c r="EH12" s="273">
        <f t="shared" ref="EH12:EH13" si="61">SUM(DV12:EG12)</f>
        <v>209366.30000000002</v>
      </c>
      <c r="EI12" s="21"/>
      <c r="EJ12" s="21"/>
      <c r="EK12" s="21"/>
      <c r="EL12" s="21"/>
      <c r="EM12" s="21"/>
    </row>
    <row r="13" spans="1:143" ht="13.5" customHeight="1">
      <c r="A13" s="21"/>
      <c r="B13" s="21"/>
      <c r="C13" s="21"/>
      <c r="D13" s="622">
        <f t="shared" si="41"/>
        <v>5</v>
      </c>
      <c r="E13" s="1625"/>
      <c r="F13" s="274" t="s">
        <v>571</v>
      </c>
      <c r="G13" s="275"/>
      <c r="H13" s="276"/>
      <c r="I13" s="277">
        <f>+I10*Assumption!$M$84*-1</f>
        <v>0</v>
      </c>
      <c r="J13" s="277">
        <f>+J10*Assumption!$M$84*-1</f>
        <v>0</v>
      </c>
      <c r="K13" s="277">
        <f>+K10*Assumption!$M$84*-1</f>
        <v>0</v>
      </c>
      <c r="L13" s="277">
        <f>+L10*Assumption!$M$84*-1</f>
        <v>0</v>
      </c>
      <c r="M13" s="277">
        <f>+M10*Assumption!$M$84*-1</f>
        <v>0</v>
      </c>
      <c r="N13" s="277">
        <f>+N10*Assumption!$M$84*-1</f>
        <v>0</v>
      </c>
      <c r="O13" s="277">
        <f>+O10*Assumption!$M$84*-1</f>
        <v>1.6</v>
      </c>
      <c r="P13" s="277">
        <f>+P10*Assumption!$M$84*-1</f>
        <v>2</v>
      </c>
      <c r="Q13" s="277">
        <f>+Q10*Assumption!$M$84*-1</f>
        <v>1.6</v>
      </c>
      <c r="R13" s="277">
        <f>+R10*Assumption!$M$84*-1</f>
        <v>1.2</v>
      </c>
      <c r="S13" s="277">
        <f>+S10*Assumption!$M$84*-1</f>
        <v>1.6</v>
      </c>
      <c r="T13" s="277">
        <f>+T10*Assumption!$M$84*-1</f>
        <v>2</v>
      </c>
      <c r="U13" s="273">
        <f t="shared" si="43"/>
        <v>10</v>
      </c>
      <c r="V13" s="277">
        <f>+V10*Assumption!$M$85*-1</f>
        <v>78.650000000000006</v>
      </c>
      <c r="W13" s="277">
        <f>+W10*Assumption!$M$85*-1</f>
        <v>62.92</v>
      </c>
      <c r="X13" s="277">
        <f>+X10*Assumption!$M$85*-1</f>
        <v>47.19</v>
      </c>
      <c r="Y13" s="277">
        <f>+Y10*Assumption!$M$85*-1</f>
        <v>62.92</v>
      </c>
      <c r="Z13" s="277">
        <f>+Z10*Assumption!$M$85*-1</f>
        <v>78.650000000000006</v>
      </c>
      <c r="AA13" s="277">
        <f>+AA10*Assumption!$M$85*-1</f>
        <v>62.92</v>
      </c>
      <c r="AB13" s="277">
        <f>+AB10*Assumption!$M$85*-1</f>
        <v>62.92</v>
      </c>
      <c r="AC13" s="277">
        <f>+AC10*Assumption!$M$85*-1</f>
        <v>78.650000000000006</v>
      </c>
      <c r="AD13" s="277">
        <f>+AD10*Assumption!$M$85*-1</f>
        <v>62.92</v>
      </c>
      <c r="AE13" s="277">
        <f>+AE10*Assumption!$M$85*-1</f>
        <v>47.19</v>
      </c>
      <c r="AF13" s="277">
        <f>+AF10*Assumption!$M$85*-1</f>
        <v>62.92</v>
      </c>
      <c r="AG13" s="277">
        <f>+AG10*Assumption!$M$85*-1</f>
        <v>78.650000000000006</v>
      </c>
      <c r="AH13" s="273">
        <f t="shared" si="45"/>
        <v>786.5</v>
      </c>
      <c r="AI13" s="277">
        <f>+AI10*Assumption!$M$86*-1</f>
        <v>86.515000000000001</v>
      </c>
      <c r="AJ13" s="277">
        <f>+AJ10*Assumption!$M$86*-1</f>
        <v>69.212000000000003</v>
      </c>
      <c r="AK13" s="277">
        <f>+AK10*Assumption!$M$86*-1</f>
        <v>51.908999999999999</v>
      </c>
      <c r="AL13" s="277">
        <f>+AL10*Assumption!$M$86*-1</f>
        <v>69.212000000000003</v>
      </c>
      <c r="AM13" s="277">
        <f>+AM10*Assumption!$M$86*-1</f>
        <v>86.515000000000001</v>
      </c>
      <c r="AN13" s="277">
        <f>+AN10*Assumption!$M$86*-1</f>
        <v>69.212000000000003</v>
      </c>
      <c r="AO13" s="277">
        <f>+AO10*Assumption!$M$86*-1</f>
        <v>69.212000000000003</v>
      </c>
      <c r="AP13" s="277">
        <f>+AP10*Assumption!$M$86*-1</f>
        <v>86.515000000000001</v>
      </c>
      <c r="AQ13" s="277">
        <f>+AQ10*Assumption!$M$86*-1</f>
        <v>69.212000000000003</v>
      </c>
      <c r="AR13" s="277">
        <f>+AR10*Assumption!$M$86*-1</f>
        <v>51.908999999999999</v>
      </c>
      <c r="AS13" s="277">
        <f>+AS10*Assumption!$M$86*-1</f>
        <v>69.212000000000003</v>
      </c>
      <c r="AT13" s="277">
        <f>+AT10*Assumption!$M$86*-1</f>
        <v>86.515000000000001</v>
      </c>
      <c r="AU13" s="273">
        <f t="shared" si="47"/>
        <v>865.15</v>
      </c>
      <c r="AV13" s="277">
        <f>+AV10*Assumption!$M$87*-1</f>
        <v>95.166500000000013</v>
      </c>
      <c r="AW13" s="277">
        <f>+AW10*Assumption!$M$87*-1</f>
        <v>76.133200000000016</v>
      </c>
      <c r="AX13" s="277">
        <f>+AX10*Assumption!$M$87*-1</f>
        <v>57.099900000000005</v>
      </c>
      <c r="AY13" s="277">
        <f>+AY10*Assumption!$M$87*-1</f>
        <v>76.133200000000016</v>
      </c>
      <c r="AZ13" s="277">
        <f>+AZ10*Assumption!$M$87*-1</f>
        <v>95.166500000000013</v>
      </c>
      <c r="BA13" s="277">
        <f>+BA10*Assumption!$M$87*-1</f>
        <v>76.133200000000016</v>
      </c>
      <c r="BB13" s="277">
        <f>+BB10*Assumption!$M$87*-1</f>
        <v>76.133200000000016</v>
      </c>
      <c r="BC13" s="277">
        <f>+BC10*Assumption!$M$87*-1</f>
        <v>95.166500000000013</v>
      </c>
      <c r="BD13" s="277">
        <f>+BD10*Assumption!$M$87*-1</f>
        <v>76.133200000000016</v>
      </c>
      <c r="BE13" s="277">
        <f>+BE10*Assumption!$M$87*-1</f>
        <v>57.099900000000005</v>
      </c>
      <c r="BF13" s="277">
        <f>+BF10*Assumption!$M$87*-1</f>
        <v>76.133200000000016</v>
      </c>
      <c r="BG13" s="277">
        <f>+BG10*Assumption!$M$87*-1</f>
        <v>95.166500000000013</v>
      </c>
      <c r="BH13" s="273">
        <f t="shared" si="49"/>
        <v>951.66500000000019</v>
      </c>
      <c r="BI13" s="277">
        <f>+BI10*Assumption!$M$88*-1</f>
        <v>104.68315000000003</v>
      </c>
      <c r="BJ13" s="277">
        <f>+BJ10*Assumption!$M$88*-1</f>
        <v>83.746520000000004</v>
      </c>
      <c r="BK13" s="277">
        <f>+BK10*Assumption!$M$88*-1</f>
        <v>62.809890000000003</v>
      </c>
      <c r="BL13" s="277">
        <f>+BL10*Assumption!$M$88*-1</f>
        <v>83.746520000000004</v>
      </c>
      <c r="BM13" s="277">
        <f>+BM10*Assumption!$M$88*-1</f>
        <v>104.68315000000003</v>
      </c>
      <c r="BN13" s="277">
        <f>+BN10*Assumption!$M$88*-1</f>
        <v>83.746520000000004</v>
      </c>
      <c r="BO13" s="277">
        <f>+BO10*Assumption!$M$88*-1</f>
        <v>83.746520000000004</v>
      </c>
      <c r="BP13" s="277">
        <f>+BP10*Assumption!$M$88*-1</f>
        <v>104.68315000000003</v>
      </c>
      <c r="BQ13" s="277">
        <f>+BQ10*Assumption!$M$88*-1</f>
        <v>83.746520000000004</v>
      </c>
      <c r="BR13" s="277">
        <f>+BR10*Assumption!$M$88*-1</f>
        <v>62.809890000000003</v>
      </c>
      <c r="BS13" s="277">
        <f>+BS10*Assumption!$M$88*-1</f>
        <v>83.746520000000004</v>
      </c>
      <c r="BT13" s="277">
        <f>+BT10*Assumption!$M$88*-1</f>
        <v>104.68315000000003</v>
      </c>
      <c r="BU13" s="273">
        <f t="shared" si="51"/>
        <v>1046.8315000000002</v>
      </c>
      <c r="BV13" s="277">
        <f>+BV10*Assumption!$M$89*-1</f>
        <v>88.909858255848476</v>
      </c>
      <c r="BW13" s="277">
        <f>+BW10*Assumption!$M$89*-1</f>
        <v>71.127886604678764</v>
      </c>
      <c r="BX13" s="277">
        <f>+BX10*Assumption!$M$89*-1</f>
        <v>53.345914953509073</v>
      </c>
      <c r="BY13" s="277">
        <f>+BY10*Assumption!$M$89*-1</f>
        <v>71.127886604678764</v>
      </c>
      <c r="BZ13" s="277">
        <f>+BZ10*Assumption!$M$89*-1</f>
        <v>88.909858255848476</v>
      </c>
      <c r="CA13" s="277">
        <f>+CA10*Assumption!$M$89*-1</f>
        <v>71.127886604678764</v>
      </c>
      <c r="CB13" s="277">
        <f>+CB10*Assumption!$M$89*-1</f>
        <v>71.127886604678764</v>
      </c>
      <c r="CC13" s="277">
        <f>+CC10*Assumption!$M$89*-1</f>
        <v>88.909858255848476</v>
      </c>
      <c r="CD13" s="277">
        <f>+CD10*Assumption!$M$89*-1</f>
        <v>71.127886604678764</v>
      </c>
      <c r="CE13" s="277">
        <f>+CE10*Assumption!$M$89*-1</f>
        <v>53.345914953509073</v>
      </c>
      <c r="CF13" s="277">
        <f>+CF10*Assumption!$M$89*-1</f>
        <v>71.127886604678764</v>
      </c>
      <c r="CG13" s="277">
        <f>+CG10*Assumption!$M$89*-1</f>
        <v>88.909858255848476</v>
      </c>
      <c r="CH13" s="273">
        <f t="shared" si="53"/>
        <v>889.09858255848474</v>
      </c>
      <c r="CI13" s="277">
        <f>+CI10*Assumption!$M$89*-1</f>
        <v>88.909858255848476</v>
      </c>
      <c r="CJ13" s="277">
        <f>+CJ10*Assumption!$M$89*-1</f>
        <v>71.127886604678764</v>
      </c>
      <c r="CK13" s="277">
        <f>+CK10*Assumption!$M$89*-1</f>
        <v>53.345914953509073</v>
      </c>
      <c r="CL13" s="277">
        <f>+CL10*Assumption!$M$89*-1</f>
        <v>71.127886604678764</v>
      </c>
      <c r="CM13" s="277">
        <f>+CM10*Assumption!$M$89*-1</f>
        <v>88.909858255848476</v>
      </c>
      <c r="CN13" s="277">
        <f>+CN10*Assumption!$M$89*-1</f>
        <v>71.127886604678764</v>
      </c>
      <c r="CO13" s="277">
        <f>+CO10*Assumption!$M$89*-1</f>
        <v>71.127886604678764</v>
      </c>
      <c r="CP13" s="277">
        <f>+CP10*Assumption!$M$89*-1</f>
        <v>88.909858255848476</v>
      </c>
      <c r="CQ13" s="277">
        <f>+CQ10*Assumption!$M$89*-1</f>
        <v>71.127886604678764</v>
      </c>
      <c r="CR13" s="277">
        <f>+CR10*Assumption!$M$89*-1</f>
        <v>53.345914953509073</v>
      </c>
      <c r="CS13" s="277">
        <f>+CS10*Assumption!$M$89*-1</f>
        <v>71.127886604678764</v>
      </c>
      <c r="CT13" s="277">
        <f>+CT10*Assumption!$M$89*-1</f>
        <v>88.909858255848476</v>
      </c>
      <c r="CU13" s="273">
        <f t="shared" si="55"/>
        <v>889.09858255848474</v>
      </c>
      <c r="CV13" s="277">
        <f>+CV10*Assumption!$M$89*-1</f>
        <v>88.909858255848476</v>
      </c>
      <c r="CW13" s="277">
        <f>+CW10*Assumption!$M$89*-1</f>
        <v>71.127886604678764</v>
      </c>
      <c r="CX13" s="277">
        <f>+CX10*Assumption!$M$89*-1</f>
        <v>53.345914953509073</v>
      </c>
      <c r="CY13" s="277">
        <f>+CY10*Assumption!$M$89*-1</f>
        <v>71.127886604678764</v>
      </c>
      <c r="CZ13" s="277">
        <f>+CZ10*Assumption!$M$89*-1</f>
        <v>88.909858255848476</v>
      </c>
      <c r="DA13" s="277">
        <f>+DA10*Assumption!$M$89*-1</f>
        <v>71.127886604678764</v>
      </c>
      <c r="DB13" s="277">
        <f>+DB10*Assumption!$M$89*-1</f>
        <v>71.127886604678764</v>
      </c>
      <c r="DC13" s="277">
        <f>+DC10*Assumption!$M$89*-1</f>
        <v>88.909858255848476</v>
      </c>
      <c r="DD13" s="277">
        <f>+DD10*Assumption!$M$89*-1</f>
        <v>71.127886604678764</v>
      </c>
      <c r="DE13" s="277">
        <f>+DE10*Assumption!$M$89*-1</f>
        <v>53.345914953509073</v>
      </c>
      <c r="DF13" s="277">
        <f>+DF10*Assumption!$M$89*-1</f>
        <v>71.127886604678764</v>
      </c>
      <c r="DG13" s="277">
        <f>+DG10*Assumption!$M$89*-1</f>
        <v>88.909858255848476</v>
      </c>
      <c r="DH13" s="273">
        <f t="shared" si="57"/>
        <v>889.09858255848474</v>
      </c>
      <c r="DI13" s="277">
        <f>+DI10*Assumption!$M$89*-1</f>
        <v>88.909858255848476</v>
      </c>
      <c r="DJ13" s="277">
        <f>+DJ10*Assumption!$M$89*-1</f>
        <v>71.127886604678764</v>
      </c>
      <c r="DK13" s="277">
        <f>+DK10*Assumption!$M$89*-1</f>
        <v>53.345914953509073</v>
      </c>
      <c r="DL13" s="277">
        <f>+DL10*Assumption!$M$89*-1</f>
        <v>71.127886604678764</v>
      </c>
      <c r="DM13" s="277">
        <f>+DM10*Assumption!$M$89*-1</f>
        <v>88.909858255848476</v>
      </c>
      <c r="DN13" s="277">
        <f>+DN10*Assumption!$M$89*-1</f>
        <v>71.127886604678764</v>
      </c>
      <c r="DO13" s="277">
        <f>+DO10*Assumption!$M$89*-1</f>
        <v>71.127886604678764</v>
      </c>
      <c r="DP13" s="277">
        <f>+DP10*Assumption!$M$89*-1</f>
        <v>88.909858255848476</v>
      </c>
      <c r="DQ13" s="277">
        <f>+DQ10*Assumption!$M$89*-1</f>
        <v>71.127886604678764</v>
      </c>
      <c r="DR13" s="277">
        <f>+DR10*Assumption!$M$89*-1</f>
        <v>53.345914953509073</v>
      </c>
      <c r="DS13" s="277">
        <f>+DS10*Assumption!$M$89*-1</f>
        <v>71.127886604678764</v>
      </c>
      <c r="DT13" s="277">
        <f>+DT10*Assumption!$M$89*-1</f>
        <v>88.909858255848476</v>
      </c>
      <c r="DU13" s="273">
        <f t="shared" si="59"/>
        <v>889.09858255848474</v>
      </c>
      <c r="DV13" s="277">
        <f>+DV10*Assumption!$M$89*-1</f>
        <v>88.909858255848476</v>
      </c>
      <c r="DW13" s="277">
        <f>+DW10*Assumption!$M$89*-1</f>
        <v>71.127886604678764</v>
      </c>
      <c r="DX13" s="277">
        <f>+DX10*Assumption!$M$89*-1</f>
        <v>53.345914953509073</v>
      </c>
      <c r="DY13" s="277">
        <f>+DY10*Assumption!$M$89*-1</f>
        <v>71.127886604678764</v>
      </c>
      <c r="DZ13" s="277">
        <f>+DZ10*Assumption!$M$89*-1</f>
        <v>88.909858255848476</v>
      </c>
      <c r="EA13" s="277">
        <f>+EA10*Assumption!$M$89*-1</f>
        <v>71.127886604678764</v>
      </c>
      <c r="EB13" s="277">
        <f>+EB10*Assumption!$M$89*-1</f>
        <v>71.127886604678764</v>
      </c>
      <c r="EC13" s="277">
        <f>+EC10*Assumption!$M$89*-1</f>
        <v>88.909858255848476</v>
      </c>
      <c r="ED13" s="277">
        <f>+ED10*Assumption!$M$89*-1</f>
        <v>71.127886604678764</v>
      </c>
      <c r="EE13" s="277">
        <f>+EE10*Assumption!$M$89*-1</f>
        <v>53.345914953509073</v>
      </c>
      <c r="EF13" s="277">
        <f>+EF10*Assumption!$M$89*-1</f>
        <v>71.127886604678764</v>
      </c>
      <c r="EG13" s="277">
        <f>+EG10*Assumption!$M$89*-1</f>
        <v>88.909858255848476</v>
      </c>
      <c r="EH13" s="273">
        <f t="shared" si="61"/>
        <v>889.09858255848474</v>
      </c>
      <c r="EI13" s="21"/>
      <c r="EJ13" s="21"/>
      <c r="EK13" s="21"/>
      <c r="EL13" s="21"/>
      <c r="EM13" s="21"/>
    </row>
    <row r="14" spans="1:143" ht="14.25" customHeight="1">
      <c r="A14" s="21"/>
      <c r="B14" s="21"/>
      <c r="C14" s="21"/>
      <c r="D14" s="251">
        <v>6</v>
      </c>
      <c r="E14" s="278"/>
      <c r="F14" s="279" t="s">
        <v>572</v>
      </c>
      <c r="G14" s="630"/>
      <c r="H14" s="280"/>
      <c r="I14" s="281">
        <f>SUM(I12:I13)</f>
        <v>403</v>
      </c>
      <c r="J14" s="281">
        <f t="shared" ref="J14:EH14" si="62">SUM(J12:J13)</f>
        <v>0</v>
      </c>
      <c r="K14" s="281">
        <f t="shared" si="62"/>
        <v>0</v>
      </c>
      <c r="L14" s="281">
        <f t="shared" si="62"/>
        <v>0</v>
      </c>
      <c r="M14" s="281">
        <f t="shared" si="62"/>
        <v>0</v>
      </c>
      <c r="N14" s="281">
        <f t="shared" si="62"/>
        <v>0</v>
      </c>
      <c r="O14" s="281">
        <f t="shared" si="62"/>
        <v>-27604.114285714284</v>
      </c>
      <c r="P14" s="281">
        <f t="shared" si="62"/>
        <v>3817.7142857142826</v>
      </c>
      <c r="Q14" s="281">
        <f t="shared" si="62"/>
        <v>2991.6</v>
      </c>
      <c r="R14" s="281">
        <f t="shared" si="62"/>
        <v>2389.1999999999998</v>
      </c>
      <c r="S14" s="281">
        <f t="shared" si="62"/>
        <v>2068.1454545454558</v>
      </c>
      <c r="T14" s="282">
        <f t="shared" si="62"/>
        <v>1847.4545454545441</v>
      </c>
      <c r="U14" s="283">
        <f>SUM(U12:U13)</f>
        <v>-14087</v>
      </c>
      <c r="V14" s="281">
        <f t="shared" si="62"/>
        <v>8713.65</v>
      </c>
      <c r="W14" s="281">
        <f t="shared" si="62"/>
        <v>15006.42</v>
      </c>
      <c r="X14" s="281">
        <f t="shared" si="62"/>
        <v>11844.69</v>
      </c>
      <c r="Y14" s="281">
        <f t="shared" si="62"/>
        <v>12646.92</v>
      </c>
      <c r="Z14" s="281">
        <f t="shared" si="62"/>
        <v>14864.85</v>
      </c>
      <c r="AA14" s="281">
        <f t="shared" si="62"/>
        <v>12804.22</v>
      </c>
      <c r="AB14" s="281">
        <f t="shared" si="62"/>
        <v>12759.277142857145</v>
      </c>
      <c r="AC14" s="281">
        <f t="shared" si="62"/>
        <v>15303.042857142855</v>
      </c>
      <c r="AD14" s="281">
        <f t="shared" si="62"/>
        <v>12778.003333333336</v>
      </c>
      <c r="AE14" s="281">
        <f t="shared" si="62"/>
        <v>10061.956666666667</v>
      </c>
      <c r="AF14" s="281">
        <f t="shared" si="62"/>
        <v>12689.819999999998</v>
      </c>
      <c r="AG14" s="282">
        <f t="shared" si="62"/>
        <v>15451.15</v>
      </c>
      <c r="AH14" s="283">
        <f t="shared" si="62"/>
        <v>154924</v>
      </c>
      <c r="AI14" s="281">
        <f t="shared" si="62"/>
        <v>11097.514999999999</v>
      </c>
      <c r="AJ14" s="281">
        <f t="shared" si="62"/>
        <v>16507.061999999998</v>
      </c>
      <c r="AK14" s="281">
        <f t="shared" si="62"/>
        <v>13029.159000000007</v>
      </c>
      <c r="AL14" s="281">
        <f t="shared" si="62"/>
        <v>13911.612000000001</v>
      </c>
      <c r="AM14" s="281">
        <f t="shared" si="62"/>
        <v>16351.334999999995</v>
      </c>
      <c r="AN14" s="281">
        <f t="shared" si="62"/>
        <v>14084.642</v>
      </c>
      <c r="AO14" s="281">
        <f t="shared" si="62"/>
        <v>14035.20485714286</v>
      </c>
      <c r="AP14" s="281">
        <f t="shared" si="62"/>
        <v>16833.347142857143</v>
      </c>
      <c r="AQ14" s="281">
        <f t="shared" si="62"/>
        <v>14055.803666666667</v>
      </c>
      <c r="AR14" s="281">
        <f t="shared" si="62"/>
        <v>11068.152333333335</v>
      </c>
      <c r="AS14" s="281">
        <f t="shared" si="62"/>
        <v>13958.802000000003</v>
      </c>
      <c r="AT14" s="282">
        <f t="shared" si="62"/>
        <v>16996.264999999996</v>
      </c>
      <c r="AU14" s="283">
        <f t="shared" si="62"/>
        <v>171928.90000000002</v>
      </c>
      <c r="AV14" s="281">
        <f t="shared" si="62"/>
        <v>12207.266499999998</v>
      </c>
      <c r="AW14" s="281">
        <f t="shared" si="62"/>
        <v>18157.76820000001</v>
      </c>
      <c r="AX14" s="281">
        <f t="shared" si="62"/>
        <v>14332.074900000001</v>
      </c>
      <c r="AY14" s="281">
        <f t="shared" si="62"/>
        <v>15302.7732</v>
      </c>
      <c r="AZ14" s="281">
        <f t="shared" si="62"/>
        <v>17986.468500000006</v>
      </c>
      <c r="BA14" s="281">
        <f t="shared" si="62"/>
        <v>15493.106200000002</v>
      </c>
      <c r="BB14" s="281">
        <f t="shared" si="62"/>
        <v>15438.725342857149</v>
      </c>
      <c r="BC14" s="281">
        <f t="shared" si="62"/>
        <v>18516.681857142852</v>
      </c>
      <c r="BD14" s="281">
        <f t="shared" si="62"/>
        <v>15461.384033333336</v>
      </c>
      <c r="BE14" s="281">
        <f t="shared" si="62"/>
        <v>12174.967566666664</v>
      </c>
      <c r="BF14" s="281">
        <f t="shared" si="62"/>
        <v>15354.682199999999</v>
      </c>
      <c r="BG14" s="282">
        <f t="shared" si="62"/>
        <v>18695.891499999998</v>
      </c>
      <c r="BH14" s="283">
        <f t="shared" si="62"/>
        <v>189121.79</v>
      </c>
      <c r="BI14" s="281">
        <f t="shared" si="62"/>
        <v>13427.993150000006</v>
      </c>
      <c r="BJ14" s="281">
        <f t="shared" si="62"/>
        <v>19973.545020000005</v>
      </c>
      <c r="BK14" s="281">
        <f t="shared" si="62"/>
        <v>15765.282390000004</v>
      </c>
      <c r="BL14" s="281">
        <f t="shared" si="62"/>
        <v>16833.050520000004</v>
      </c>
      <c r="BM14" s="281">
        <f t="shared" si="62"/>
        <v>19785.115350000007</v>
      </c>
      <c r="BN14" s="281">
        <f t="shared" si="62"/>
        <v>17042.416819999999</v>
      </c>
      <c r="BO14" s="281">
        <f t="shared" si="62"/>
        <v>16982.597877142864</v>
      </c>
      <c r="BP14" s="281">
        <f t="shared" si="62"/>
        <v>20368.350042857146</v>
      </c>
      <c r="BQ14" s="281">
        <f t="shared" si="62"/>
        <v>17007.522436666673</v>
      </c>
      <c r="BR14" s="281">
        <f t="shared" si="62"/>
        <v>13392.464323333334</v>
      </c>
      <c r="BS14" s="281">
        <f t="shared" si="62"/>
        <v>16890.150420000002</v>
      </c>
      <c r="BT14" s="282">
        <f t="shared" si="62"/>
        <v>20565.480650000001</v>
      </c>
      <c r="BU14" s="283">
        <f t="shared" si="62"/>
        <v>208033.96900000001</v>
      </c>
      <c r="BV14" s="281">
        <f t="shared" si="62"/>
        <v>15791.382358255853</v>
      </c>
      <c r="BW14" s="281">
        <f t="shared" si="62"/>
        <v>19960.926386604682</v>
      </c>
      <c r="BX14" s="281">
        <f t="shared" si="62"/>
        <v>15755.818414953512</v>
      </c>
      <c r="BY14" s="281">
        <f t="shared" si="62"/>
        <v>16820.431886604681</v>
      </c>
      <c r="BZ14" s="281">
        <f t="shared" si="62"/>
        <v>19769.342058255854</v>
      </c>
      <c r="CA14" s="281">
        <f t="shared" si="62"/>
        <v>17029.798186604676</v>
      </c>
      <c r="CB14" s="281">
        <f t="shared" si="62"/>
        <v>16969.979243747541</v>
      </c>
      <c r="CC14" s="281">
        <f t="shared" si="62"/>
        <v>20352.576751112992</v>
      </c>
      <c r="CD14" s="281">
        <f t="shared" si="62"/>
        <v>16994.903803271351</v>
      </c>
      <c r="CE14" s="281">
        <f t="shared" si="62"/>
        <v>13383.000348286841</v>
      </c>
      <c r="CF14" s="281">
        <f t="shared" si="62"/>
        <v>16877.531786604679</v>
      </c>
      <c r="CG14" s="282">
        <f t="shared" si="62"/>
        <v>20549.707358255848</v>
      </c>
      <c r="CH14" s="283">
        <f t="shared" si="62"/>
        <v>210255.39858255853</v>
      </c>
      <c r="CI14" s="281">
        <f t="shared" si="62"/>
        <v>-36550.192641744157</v>
      </c>
      <c r="CJ14" s="281">
        <f t="shared" si="62"/>
        <v>25195.083886604683</v>
      </c>
      <c r="CK14" s="281">
        <f t="shared" si="62"/>
        <v>20989.975914953513</v>
      </c>
      <c r="CL14" s="281">
        <f t="shared" si="62"/>
        <v>16820.431886604681</v>
      </c>
      <c r="CM14" s="281">
        <f t="shared" si="62"/>
        <v>17675.679058255842</v>
      </c>
      <c r="CN14" s="281">
        <f t="shared" si="62"/>
        <v>17378.742019938029</v>
      </c>
      <c r="CO14" s="281">
        <f t="shared" si="62"/>
        <v>17219.22483898564</v>
      </c>
      <c r="CP14" s="281">
        <f t="shared" si="62"/>
        <v>19230.971572541555</v>
      </c>
      <c r="CQ14" s="281">
        <f t="shared" si="62"/>
        <v>17285.690331049133</v>
      </c>
      <c r="CR14" s="281">
        <f t="shared" si="62"/>
        <v>14662.461070509064</v>
      </c>
      <c r="CS14" s="281">
        <f t="shared" si="62"/>
        <v>16972.698286604675</v>
      </c>
      <c r="CT14" s="282">
        <f t="shared" si="62"/>
        <v>19756.653191589194</v>
      </c>
      <c r="CU14" s="283">
        <f t="shared" si="62"/>
        <v>166637.41941589184</v>
      </c>
      <c r="CV14" s="281">
        <f t="shared" si="62"/>
        <v>7067.7865249225115</v>
      </c>
      <c r="CW14" s="281">
        <f t="shared" si="62"/>
        <v>25195.083886604683</v>
      </c>
      <c r="CX14" s="281">
        <f t="shared" si="62"/>
        <v>20989.975914953513</v>
      </c>
      <c r="CY14" s="281">
        <f t="shared" si="62"/>
        <v>16820.431886604681</v>
      </c>
      <c r="CZ14" s="281">
        <f t="shared" si="62"/>
        <v>17675.679058255842</v>
      </c>
      <c r="DA14" s="281">
        <f t="shared" si="62"/>
        <v>17378.742019938029</v>
      </c>
      <c r="DB14" s="281">
        <f t="shared" si="62"/>
        <v>17219.22483898564</v>
      </c>
      <c r="DC14" s="281">
        <f t="shared" si="62"/>
        <v>19230.971572541555</v>
      </c>
      <c r="DD14" s="281">
        <f t="shared" si="62"/>
        <v>17285.690331049133</v>
      </c>
      <c r="DE14" s="281">
        <f t="shared" si="62"/>
        <v>14662.461070509064</v>
      </c>
      <c r="DF14" s="281">
        <f t="shared" si="62"/>
        <v>16972.698286604675</v>
      </c>
      <c r="DG14" s="282">
        <f t="shared" si="62"/>
        <v>19756.653191589194</v>
      </c>
      <c r="DH14" s="283">
        <f t="shared" si="62"/>
        <v>210255.3985825585</v>
      </c>
      <c r="DI14" s="281">
        <f t="shared" si="62"/>
        <v>7067.7865249225115</v>
      </c>
      <c r="DJ14" s="281">
        <f t="shared" si="62"/>
        <v>25195.083886604683</v>
      </c>
      <c r="DK14" s="281">
        <f t="shared" si="62"/>
        <v>20989.975914953513</v>
      </c>
      <c r="DL14" s="281">
        <f t="shared" si="62"/>
        <v>16820.431886604681</v>
      </c>
      <c r="DM14" s="281">
        <f t="shared" si="62"/>
        <v>17675.679058255842</v>
      </c>
      <c r="DN14" s="281">
        <f t="shared" si="62"/>
        <v>17378.742019938029</v>
      </c>
      <c r="DO14" s="281">
        <f t="shared" si="62"/>
        <v>17219.22483898564</v>
      </c>
      <c r="DP14" s="281">
        <f t="shared" si="62"/>
        <v>19230.971572541555</v>
      </c>
      <c r="DQ14" s="281">
        <f t="shared" si="62"/>
        <v>17285.690331049133</v>
      </c>
      <c r="DR14" s="281">
        <f t="shared" si="62"/>
        <v>14662.461070509064</v>
      </c>
      <c r="DS14" s="281">
        <f t="shared" si="62"/>
        <v>16972.698286604675</v>
      </c>
      <c r="DT14" s="282">
        <f t="shared" si="62"/>
        <v>19756.653191589194</v>
      </c>
      <c r="DU14" s="283">
        <f t="shared" si="62"/>
        <v>210255.3985825585</v>
      </c>
      <c r="DV14" s="281">
        <f t="shared" si="62"/>
        <v>7067.7865249225115</v>
      </c>
      <c r="DW14" s="281">
        <f t="shared" si="62"/>
        <v>25195.083886604683</v>
      </c>
      <c r="DX14" s="281">
        <f t="shared" si="62"/>
        <v>20989.975914953513</v>
      </c>
      <c r="DY14" s="281">
        <f t="shared" si="62"/>
        <v>16820.431886604681</v>
      </c>
      <c r="DZ14" s="281">
        <f t="shared" si="62"/>
        <v>17675.679058255842</v>
      </c>
      <c r="EA14" s="281">
        <f t="shared" si="62"/>
        <v>17378.742019938029</v>
      </c>
      <c r="EB14" s="281">
        <f t="shared" si="62"/>
        <v>17219.22483898564</v>
      </c>
      <c r="EC14" s="281">
        <f t="shared" si="62"/>
        <v>19230.971572541555</v>
      </c>
      <c r="ED14" s="281">
        <f t="shared" si="62"/>
        <v>17285.690331049133</v>
      </c>
      <c r="EE14" s="281">
        <f t="shared" si="62"/>
        <v>14662.461070509064</v>
      </c>
      <c r="EF14" s="281">
        <f t="shared" si="62"/>
        <v>16972.698286604675</v>
      </c>
      <c r="EG14" s="282">
        <f t="shared" si="62"/>
        <v>19756.653191589194</v>
      </c>
      <c r="EH14" s="283">
        <f t="shared" si="62"/>
        <v>210255.3985825585</v>
      </c>
      <c r="EI14" s="21"/>
      <c r="EJ14" s="21"/>
      <c r="EK14" s="21"/>
      <c r="EL14" s="21"/>
      <c r="EM14" s="21"/>
    </row>
    <row r="15" spans="1:143" ht="14.25" customHeight="1">
      <c r="A15" s="21"/>
      <c r="B15" s="21"/>
      <c r="C15" s="21"/>
      <c r="D15" s="622">
        <f t="shared" ref="D15:D60" si="63">D14+1</f>
        <v>7</v>
      </c>
      <c r="E15" s="1459"/>
      <c r="F15" s="258" t="s">
        <v>573</v>
      </c>
      <c r="G15" s="741">
        <v>1</v>
      </c>
      <c r="H15" s="260"/>
      <c r="I15" s="627">
        <f>+'Purchase-Expenses-AP Schedule'!F36</f>
        <v>0</v>
      </c>
      <c r="J15" s="284">
        <f>+'Purchase-Expenses-AP Schedule'!G36</f>
        <v>0</v>
      </c>
      <c r="K15" s="284">
        <f>+'Purchase-Expenses-AP Schedule'!H36</f>
        <v>0</v>
      </c>
      <c r="L15" s="284">
        <f>+'Purchase-Expenses-AP Schedule'!I36</f>
        <v>0</v>
      </c>
      <c r="M15" s="284">
        <f>+'Purchase-Expenses-AP Schedule'!J36</f>
        <v>0</v>
      </c>
      <c r="N15" s="284">
        <f>+'Purchase-Expenses-AP Schedule'!K36</f>
        <v>0</v>
      </c>
      <c r="O15" s="284">
        <f>+'Purchase-Expenses-AP Schedule'!L36</f>
        <v>3260.32</v>
      </c>
      <c r="P15" s="284">
        <f>+'Purchase-Expenses-AP Schedule'!M36</f>
        <v>4075.4</v>
      </c>
      <c r="Q15" s="284">
        <f>+'Purchase-Expenses-AP Schedule'!N36</f>
        <v>4075.4</v>
      </c>
      <c r="R15" s="284">
        <f>+'Purchase-Expenses-AP Schedule'!O36</f>
        <v>3260.32</v>
      </c>
      <c r="S15" s="284">
        <f>+'Purchase-Expenses-AP Schedule'!P36</f>
        <v>2445.2399999999998</v>
      </c>
      <c r="T15" s="285">
        <f>+'Purchase-Expenses-AP Schedule'!Q36</f>
        <v>3260.32</v>
      </c>
      <c r="U15" s="262">
        <f t="shared" ref="U15:U17" si="64">SUM(I15:T15)</f>
        <v>20377</v>
      </c>
      <c r="V15" s="627">
        <f>+'Purchase-Expenses-AP Schedule'!F38</f>
        <v>9303.36</v>
      </c>
      <c r="W15" s="284">
        <f>+'Purchase-Expenses-AP Schedule'!G38</f>
        <v>6977.5199999999995</v>
      </c>
      <c r="X15" s="284">
        <f>+'Purchase-Expenses-AP Schedule'!H38</f>
        <v>9303.36</v>
      </c>
      <c r="Y15" s="284">
        <f>+'Purchase-Expenses-AP Schedule'!I38</f>
        <v>11629.2</v>
      </c>
      <c r="Z15" s="284">
        <f>+'Purchase-Expenses-AP Schedule'!J38</f>
        <v>11629.2</v>
      </c>
      <c r="AA15" s="284">
        <f>+'Purchase-Expenses-AP Schedule'!K38</f>
        <v>9303.36</v>
      </c>
      <c r="AB15" s="284">
        <f>+'Purchase-Expenses-AP Schedule'!L38</f>
        <v>9303.36</v>
      </c>
      <c r="AC15" s="284">
        <f>+'Purchase-Expenses-AP Schedule'!M38</f>
        <v>11629.2</v>
      </c>
      <c r="AD15" s="284">
        <f>+'Purchase-Expenses-AP Schedule'!N38</f>
        <v>11629.2</v>
      </c>
      <c r="AE15" s="284">
        <f>+'Purchase-Expenses-AP Schedule'!O38</f>
        <v>9303.36</v>
      </c>
      <c r="AF15" s="284">
        <f>+'Purchase-Expenses-AP Schedule'!P38</f>
        <v>6977.5199999999995</v>
      </c>
      <c r="AG15" s="285">
        <f>+'Purchase-Expenses-AP Schedule'!Q38</f>
        <v>9303.36</v>
      </c>
      <c r="AH15" s="262">
        <f t="shared" ref="AH15:AH17" si="65">SUM(V15:AG15)</f>
        <v>116292</v>
      </c>
      <c r="AI15" s="627">
        <f>+'Purchase-Expenses-AP Schedule'!F40</f>
        <v>10117.535999999998</v>
      </c>
      <c r="AJ15" s="284">
        <f>+'Purchase-Expenses-AP Schedule'!G40</f>
        <v>7588.1519999999982</v>
      </c>
      <c r="AK15" s="284">
        <f>+'Purchase-Expenses-AP Schedule'!H40</f>
        <v>10117.535999999998</v>
      </c>
      <c r="AL15" s="284">
        <f>+'Purchase-Expenses-AP Schedule'!I40</f>
        <v>12646.919999999998</v>
      </c>
      <c r="AM15" s="284">
        <f>+'Purchase-Expenses-AP Schedule'!J40</f>
        <v>12646.919999999998</v>
      </c>
      <c r="AN15" s="284">
        <f>+'Purchase-Expenses-AP Schedule'!K40</f>
        <v>10117.535999999998</v>
      </c>
      <c r="AO15" s="284">
        <f>+'Purchase-Expenses-AP Schedule'!L40</f>
        <v>10117.535999999998</v>
      </c>
      <c r="AP15" s="284">
        <f>+'Purchase-Expenses-AP Schedule'!M40</f>
        <v>12646.919999999998</v>
      </c>
      <c r="AQ15" s="284">
        <f>+'Purchase-Expenses-AP Schedule'!N40</f>
        <v>12646.919999999998</v>
      </c>
      <c r="AR15" s="284">
        <f>+'Purchase-Expenses-AP Schedule'!O40</f>
        <v>10117.535999999998</v>
      </c>
      <c r="AS15" s="284">
        <f>+'Purchase-Expenses-AP Schedule'!P40</f>
        <v>7588.1519999999982</v>
      </c>
      <c r="AT15" s="285">
        <f>+'Purchase-Expenses-AP Schedule'!Q40</f>
        <v>10117.535999999998</v>
      </c>
      <c r="AU15" s="262">
        <f t="shared" ref="AU15:AU17" si="66">SUM(AI15:AT15)</f>
        <v>126469.19999999997</v>
      </c>
      <c r="AV15" s="627">
        <f>+'Purchase-Expenses-AP Schedule'!F42</f>
        <v>11129.2896</v>
      </c>
      <c r="AW15" s="284">
        <f>+'Purchase-Expenses-AP Schedule'!G42</f>
        <v>8346.9671999999991</v>
      </c>
      <c r="AX15" s="284">
        <f>+'Purchase-Expenses-AP Schedule'!H42</f>
        <v>11129.2896</v>
      </c>
      <c r="AY15" s="284">
        <f>+'Purchase-Expenses-AP Schedule'!I42</f>
        <v>13911.612000000001</v>
      </c>
      <c r="AZ15" s="284">
        <f>+'Purchase-Expenses-AP Schedule'!J42</f>
        <v>13911.612000000001</v>
      </c>
      <c r="BA15" s="284">
        <f>+'Purchase-Expenses-AP Schedule'!K42</f>
        <v>11129.2896</v>
      </c>
      <c r="BB15" s="284">
        <f>+'Purchase-Expenses-AP Schedule'!L42</f>
        <v>11129.2896</v>
      </c>
      <c r="BC15" s="284">
        <f>+'Purchase-Expenses-AP Schedule'!M42</f>
        <v>13911.612000000001</v>
      </c>
      <c r="BD15" s="284">
        <f>+'Purchase-Expenses-AP Schedule'!N42</f>
        <v>13911.612000000001</v>
      </c>
      <c r="BE15" s="284">
        <f>+'Purchase-Expenses-AP Schedule'!O42</f>
        <v>11129.2896</v>
      </c>
      <c r="BF15" s="284">
        <f>+'Purchase-Expenses-AP Schedule'!P42</f>
        <v>8346.9671999999991</v>
      </c>
      <c r="BG15" s="285">
        <f>+'Purchase-Expenses-AP Schedule'!Q42</f>
        <v>11129.2896</v>
      </c>
      <c r="BH15" s="262">
        <f t="shared" ref="BH15:BH17" si="67">SUM(AV15:BG15)</f>
        <v>139116.12</v>
      </c>
      <c r="BI15" s="627">
        <f>+'Purchase-Expenses-AP Schedule'!F44</f>
        <v>12242.218560000001</v>
      </c>
      <c r="BJ15" s="284">
        <f>+'Purchase-Expenses-AP Schedule'!G44</f>
        <v>9181.6639200000009</v>
      </c>
      <c r="BK15" s="284">
        <f>+'Purchase-Expenses-AP Schedule'!H44</f>
        <v>12242.218560000001</v>
      </c>
      <c r="BL15" s="284">
        <f>+'Purchase-Expenses-AP Schedule'!I44</f>
        <v>15302.773200000003</v>
      </c>
      <c r="BM15" s="284">
        <f>+'Purchase-Expenses-AP Schedule'!J44</f>
        <v>15302.773200000003</v>
      </c>
      <c r="BN15" s="284">
        <f>+'Purchase-Expenses-AP Schedule'!K44</f>
        <v>12242.218560000001</v>
      </c>
      <c r="BO15" s="284">
        <f>+'Purchase-Expenses-AP Schedule'!L44</f>
        <v>12242.218560000001</v>
      </c>
      <c r="BP15" s="284">
        <f>+'Purchase-Expenses-AP Schedule'!M44</f>
        <v>15302.773200000003</v>
      </c>
      <c r="BQ15" s="284">
        <f>+'Purchase-Expenses-AP Schedule'!N44</f>
        <v>15302.773200000003</v>
      </c>
      <c r="BR15" s="284">
        <f>+'Purchase-Expenses-AP Schedule'!O44</f>
        <v>12242.218560000001</v>
      </c>
      <c r="BS15" s="284">
        <f>+'Purchase-Expenses-AP Schedule'!P44</f>
        <v>9181.6639200000009</v>
      </c>
      <c r="BT15" s="285">
        <f>+'Purchase-Expenses-AP Schedule'!Q44</f>
        <v>12242.218560000001</v>
      </c>
      <c r="BU15" s="262">
        <f t="shared" ref="BU15:BU17" si="68">SUM(BI15:BT15)</f>
        <v>153027.73200000002</v>
      </c>
      <c r="BV15" s="627">
        <f>+'Purchase-Expenses-AP Schedule'!F46</f>
        <v>13480.509831360001</v>
      </c>
      <c r="BW15" s="284">
        <f>+'Purchase-Expenses-AP Schedule'!G46</f>
        <v>10110.38237352</v>
      </c>
      <c r="BX15" s="284">
        <f>+'Purchase-Expenses-AP Schedule'!H46</f>
        <v>13480.509831360001</v>
      </c>
      <c r="BY15" s="284">
        <f>+'Purchase-Expenses-AP Schedule'!I46</f>
        <v>16850.637289200004</v>
      </c>
      <c r="BZ15" s="284">
        <f>+'Purchase-Expenses-AP Schedule'!J46</f>
        <v>16850.637289200004</v>
      </c>
      <c r="CA15" s="284">
        <f>+'Purchase-Expenses-AP Schedule'!K46</f>
        <v>13480.509831360001</v>
      </c>
      <c r="CB15" s="284">
        <f>+'Purchase-Expenses-AP Schedule'!L46</f>
        <v>13480.509831360001</v>
      </c>
      <c r="CC15" s="284">
        <f>+'Purchase-Expenses-AP Schedule'!M46</f>
        <v>16850.637289200004</v>
      </c>
      <c r="CD15" s="284">
        <f>+'Purchase-Expenses-AP Schedule'!N46</f>
        <v>16850.637289200004</v>
      </c>
      <c r="CE15" s="284">
        <f>+'Purchase-Expenses-AP Schedule'!O46</f>
        <v>13480.509831360001</v>
      </c>
      <c r="CF15" s="284">
        <f>+'Purchase-Expenses-AP Schedule'!P46</f>
        <v>10110.38237352</v>
      </c>
      <c r="CG15" s="285">
        <f>+'Purchase-Expenses-AP Schedule'!Q46</f>
        <v>13480.509831360001</v>
      </c>
      <c r="CH15" s="262">
        <f t="shared" ref="CH15:CH17" si="69">SUM(BV15:CG15)</f>
        <v>168506.37289200001</v>
      </c>
      <c r="CI15" s="627">
        <f>+'Purchase-Expenses-AP Schedule'!F48</f>
        <v>15194.968588800002</v>
      </c>
      <c r="CJ15" s="284">
        <f>+'Purchase-Expenses-AP Schedule'!G48</f>
        <v>11396.226441600002</v>
      </c>
      <c r="CK15" s="284">
        <f>+'Purchase-Expenses-AP Schedule'!H48</f>
        <v>15194.968588800002</v>
      </c>
      <c r="CL15" s="284">
        <f>+'Purchase-Expenses-AP Schedule'!I48</f>
        <v>18993.710736000005</v>
      </c>
      <c r="CM15" s="284">
        <f>+'Purchase-Expenses-AP Schedule'!J48</f>
        <v>18993.710736000005</v>
      </c>
      <c r="CN15" s="284">
        <f>+'Purchase-Expenses-AP Schedule'!K48</f>
        <v>15194.968588800002</v>
      </c>
      <c r="CO15" s="284">
        <f>+'Purchase-Expenses-AP Schedule'!L48</f>
        <v>15194.968588800002</v>
      </c>
      <c r="CP15" s="284">
        <f>+'Purchase-Expenses-AP Schedule'!M48</f>
        <v>18993.710736000005</v>
      </c>
      <c r="CQ15" s="284">
        <f>+'Purchase-Expenses-AP Schedule'!N48</f>
        <v>18993.710736000005</v>
      </c>
      <c r="CR15" s="284">
        <f>+'Purchase-Expenses-AP Schedule'!O48</f>
        <v>15194.968588800002</v>
      </c>
      <c r="CS15" s="284">
        <f>+'Purchase-Expenses-AP Schedule'!P48</f>
        <v>11396.226441600002</v>
      </c>
      <c r="CT15" s="285">
        <f>+'Purchase-Expenses-AP Schedule'!Q48</f>
        <v>15194.968588800002</v>
      </c>
      <c r="CU15" s="262">
        <f t="shared" ref="CU15:CU17" si="70">SUM(CI15:CT15)</f>
        <v>189937.10736000002</v>
      </c>
      <c r="CV15" s="627">
        <f>+'Purchase-Expenses-AP Schedule'!F50</f>
        <v>15194.968588800002</v>
      </c>
      <c r="CW15" s="284">
        <f>+'Purchase-Expenses-AP Schedule'!G50</f>
        <v>11396.226441600002</v>
      </c>
      <c r="CX15" s="284">
        <f>+'Purchase-Expenses-AP Schedule'!H50</f>
        <v>15194.968588800002</v>
      </c>
      <c r="CY15" s="284">
        <f>+'Purchase-Expenses-AP Schedule'!I50</f>
        <v>18993.710736000005</v>
      </c>
      <c r="CZ15" s="284">
        <f>+'Purchase-Expenses-AP Schedule'!J50</f>
        <v>18993.710736000005</v>
      </c>
      <c r="DA15" s="284">
        <f>+'Purchase-Expenses-AP Schedule'!K50</f>
        <v>15194.968588800002</v>
      </c>
      <c r="DB15" s="284">
        <f>+'Purchase-Expenses-AP Schedule'!L50</f>
        <v>15194.968588800002</v>
      </c>
      <c r="DC15" s="284">
        <f>+'Purchase-Expenses-AP Schedule'!M50</f>
        <v>18993.710736000005</v>
      </c>
      <c r="DD15" s="284">
        <f>+'Purchase-Expenses-AP Schedule'!N50</f>
        <v>18993.710736000005</v>
      </c>
      <c r="DE15" s="284">
        <f>+'Purchase-Expenses-AP Schedule'!O50</f>
        <v>15194.968588800002</v>
      </c>
      <c r="DF15" s="284">
        <f>+'Purchase-Expenses-AP Schedule'!P50</f>
        <v>11396.226441600002</v>
      </c>
      <c r="DG15" s="285">
        <f>+'Purchase-Expenses-AP Schedule'!Q50</f>
        <v>15194.968588800002</v>
      </c>
      <c r="DH15" s="262">
        <f t="shared" ref="DH15:DH17" si="71">SUM(CV15:DG15)</f>
        <v>189937.10736000002</v>
      </c>
      <c r="DI15" s="627">
        <f>+'Purchase-Expenses-AP Schedule'!F52</f>
        <v>15194.968588800002</v>
      </c>
      <c r="DJ15" s="284">
        <f>+'Purchase-Expenses-AP Schedule'!G52</f>
        <v>11396.226441600002</v>
      </c>
      <c r="DK15" s="284">
        <f>+'Purchase-Expenses-AP Schedule'!H52</f>
        <v>15194.968588800002</v>
      </c>
      <c r="DL15" s="284">
        <f>+'Purchase-Expenses-AP Schedule'!I52</f>
        <v>18993.710736000005</v>
      </c>
      <c r="DM15" s="284">
        <f>+'Purchase-Expenses-AP Schedule'!J52</f>
        <v>18993.710736000005</v>
      </c>
      <c r="DN15" s="284">
        <f>+'Purchase-Expenses-AP Schedule'!K52</f>
        <v>15194.968588800002</v>
      </c>
      <c r="DO15" s="284">
        <f>+'Purchase-Expenses-AP Schedule'!L52</f>
        <v>15194.968588800002</v>
      </c>
      <c r="DP15" s="284">
        <f>+'Purchase-Expenses-AP Schedule'!M52</f>
        <v>18993.710736000005</v>
      </c>
      <c r="DQ15" s="284">
        <f>+'Purchase-Expenses-AP Schedule'!N52</f>
        <v>18993.710736000005</v>
      </c>
      <c r="DR15" s="284">
        <f>+'Purchase-Expenses-AP Schedule'!O52</f>
        <v>15194.968588800002</v>
      </c>
      <c r="DS15" s="284">
        <f>+'Purchase-Expenses-AP Schedule'!P52</f>
        <v>11396.226441600002</v>
      </c>
      <c r="DT15" s="285">
        <f>+'Purchase-Expenses-AP Schedule'!Q52</f>
        <v>15194.968588800002</v>
      </c>
      <c r="DU15" s="262">
        <f t="shared" ref="DU15:DU17" si="72">SUM(DI15:DT15)</f>
        <v>189937.10736000002</v>
      </c>
      <c r="DV15" s="627">
        <f>+'Purchase-Expenses-AP Schedule'!F54</f>
        <v>15194.968588800002</v>
      </c>
      <c r="DW15" s="284">
        <f>+'Purchase-Expenses-AP Schedule'!G54</f>
        <v>11396.226441600002</v>
      </c>
      <c r="DX15" s="284">
        <f>+'Purchase-Expenses-AP Schedule'!H54</f>
        <v>15194.968588800002</v>
      </c>
      <c r="DY15" s="284">
        <f>+'Purchase-Expenses-AP Schedule'!I54</f>
        <v>18993.710736000005</v>
      </c>
      <c r="DZ15" s="284">
        <f>+'Purchase-Expenses-AP Schedule'!J54</f>
        <v>18993.710736000005</v>
      </c>
      <c r="EA15" s="284">
        <f>+'Purchase-Expenses-AP Schedule'!K54</f>
        <v>15194.968588800002</v>
      </c>
      <c r="EB15" s="284">
        <f>+'Purchase-Expenses-AP Schedule'!L54</f>
        <v>15194.968588800002</v>
      </c>
      <c r="EC15" s="284">
        <f>+'Purchase-Expenses-AP Schedule'!M54</f>
        <v>18993.710736000005</v>
      </c>
      <c r="ED15" s="284">
        <f>+'Purchase-Expenses-AP Schedule'!N54</f>
        <v>18993.710736000005</v>
      </c>
      <c r="EE15" s="284">
        <f>+'Purchase-Expenses-AP Schedule'!O54</f>
        <v>15194.968588800002</v>
      </c>
      <c r="EF15" s="284">
        <f>+'Purchase-Expenses-AP Schedule'!P54</f>
        <v>11396.226441600002</v>
      </c>
      <c r="EG15" s="285">
        <f>+'Purchase-Expenses-AP Schedule'!Q54</f>
        <v>15194.968588800002</v>
      </c>
      <c r="EH15" s="262">
        <f t="shared" ref="EH15:EH17" si="73">SUM(DV15:EG15)</f>
        <v>189937.10736000002</v>
      </c>
      <c r="EI15" s="21"/>
      <c r="EJ15" s="21"/>
      <c r="EK15" s="21"/>
      <c r="EL15" s="21"/>
      <c r="EM15" s="21"/>
    </row>
    <row r="16" spans="1:143" ht="13.5" customHeight="1">
      <c r="A16" s="21"/>
      <c r="B16" s="21"/>
      <c r="C16" s="21"/>
      <c r="D16" s="622">
        <f t="shared" si="63"/>
        <v>8</v>
      </c>
      <c r="E16" s="1625"/>
      <c r="F16" s="265" t="s">
        <v>574</v>
      </c>
      <c r="G16" s="742">
        <f>Assumption!G196</f>
        <v>1</v>
      </c>
      <c r="H16" s="286"/>
      <c r="I16" s="268">
        <f>+$G$16*I15</f>
        <v>0</v>
      </c>
      <c r="J16" s="287">
        <f t="shared" ref="J16:T16" si="74">+$G$16*J15</f>
        <v>0</v>
      </c>
      <c r="K16" s="287">
        <f t="shared" si="74"/>
        <v>0</v>
      </c>
      <c r="L16" s="287">
        <f t="shared" si="74"/>
        <v>0</v>
      </c>
      <c r="M16" s="287">
        <f t="shared" si="74"/>
        <v>0</v>
      </c>
      <c r="N16" s="287">
        <f t="shared" si="74"/>
        <v>0</v>
      </c>
      <c r="O16" s="287">
        <f t="shared" si="74"/>
        <v>3260.32</v>
      </c>
      <c r="P16" s="287">
        <f t="shared" si="74"/>
        <v>4075.4</v>
      </c>
      <c r="Q16" s="287">
        <f t="shared" si="74"/>
        <v>4075.4</v>
      </c>
      <c r="R16" s="287">
        <f t="shared" si="74"/>
        <v>3260.32</v>
      </c>
      <c r="S16" s="287">
        <f t="shared" si="74"/>
        <v>2445.2399999999998</v>
      </c>
      <c r="T16" s="288">
        <f t="shared" si="74"/>
        <v>3260.32</v>
      </c>
      <c r="U16" s="272">
        <f t="shared" si="64"/>
        <v>20377</v>
      </c>
      <c r="V16" s="268">
        <f t="shared" ref="V16:AG16" si="75">+$G$16*V15</f>
        <v>9303.36</v>
      </c>
      <c r="W16" s="287">
        <f t="shared" si="75"/>
        <v>6977.5199999999995</v>
      </c>
      <c r="X16" s="287">
        <f t="shared" si="75"/>
        <v>9303.36</v>
      </c>
      <c r="Y16" s="287">
        <f t="shared" si="75"/>
        <v>11629.2</v>
      </c>
      <c r="Z16" s="287">
        <f t="shared" si="75"/>
        <v>11629.2</v>
      </c>
      <c r="AA16" s="287">
        <f t="shared" si="75"/>
        <v>9303.36</v>
      </c>
      <c r="AB16" s="287">
        <f t="shared" si="75"/>
        <v>9303.36</v>
      </c>
      <c r="AC16" s="287">
        <f t="shared" si="75"/>
        <v>11629.2</v>
      </c>
      <c r="AD16" s="287">
        <f t="shared" si="75"/>
        <v>11629.2</v>
      </c>
      <c r="AE16" s="287">
        <f t="shared" si="75"/>
        <v>9303.36</v>
      </c>
      <c r="AF16" s="287">
        <f t="shared" si="75"/>
        <v>6977.5199999999995</v>
      </c>
      <c r="AG16" s="288">
        <f t="shared" si="75"/>
        <v>9303.36</v>
      </c>
      <c r="AH16" s="272">
        <f t="shared" si="65"/>
        <v>116292</v>
      </c>
      <c r="AI16" s="268">
        <f t="shared" ref="AI16:AT16" si="76">+$G$16*AI15</f>
        <v>10117.535999999998</v>
      </c>
      <c r="AJ16" s="287">
        <f t="shared" si="76"/>
        <v>7588.1519999999982</v>
      </c>
      <c r="AK16" s="287">
        <f t="shared" si="76"/>
        <v>10117.535999999998</v>
      </c>
      <c r="AL16" s="287">
        <f t="shared" si="76"/>
        <v>12646.919999999998</v>
      </c>
      <c r="AM16" s="287">
        <f t="shared" si="76"/>
        <v>12646.919999999998</v>
      </c>
      <c r="AN16" s="287">
        <f t="shared" si="76"/>
        <v>10117.535999999998</v>
      </c>
      <c r="AO16" s="287">
        <f t="shared" si="76"/>
        <v>10117.535999999998</v>
      </c>
      <c r="AP16" s="287">
        <f t="shared" si="76"/>
        <v>12646.919999999998</v>
      </c>
      <c r="AQ16" s="287">
        <f t="shared" si="76"/>
        <v>12646.919999999998</v>
      </c>
      <c r="AR16" s="287">
        <f t="shared" si="76"/>
        <v>10117.535999999998</v>
      </c>
      <c r="AS16" s="287">
        <f t="shared" si="76"/>
        <v>7588.1519999999982</v>
      </c>
      <c r="AT16" s="288">
        <f t="shared" si="76"/>
        <v>10117.535999999998</v>
      </c>
      <c r="AU16" s="272">
        <f t="shared" si="66"/>
        <v>126469.19999999997</v>
      </c>
      <c r="AV16" s="268">
        <f t="shared" ref="AV16:BG16" si="77">+$G$16*AV15</f>
        <v>11129.2896</v>
      </c>
      <c r="AW16" s="287">
        <f t="shared" si="77"/>
        <v>8346.9671999999991</v>
      </c>
      <c r="AX16" s="287">
        <f t="shared" si="77"/>
        <v>11129.2896</v>
      </c>
      <c r="AY16" s="287">
        <f t="shared" si="77"/>
        <v>13911.612000000001</v>
      </c>
      <c r="AZ16" s="287">
        <f t="shared" si="77"/>
        <v>13911.612000000001</v>
      </c>
      <c r="BA16" s="287">
        <f t="shared" si="77"/>
        <v>11129.2896</v>
      </c>
      <c r="BB16" s="287">
        <f t="shared" si="77"/>
        <v>11129.2896</v>
      </c>
      <c r="BC16" s="287">
        <f t="shared" si="77"/>
        <v>13911.612000000001</v>
      </c>
      <c r="BD16" s="287">
        <f t="shared" si="77"/>
        <v>13911.612000000001</v>
      </c>
      <c r="BE16" s="287">
        <f t="shared" si="77"/>
        <v>11129.2896</v>
      </c>
      <c r="BF16" s="287">
        <f t="shared" si="77"/>
        <v>8346.9671999999991</v>
      </c>
      <c r="BG16" s="288">
        <f t="shared" si="77"/>
        <v>11129.2896</v>
      </c>
      <c r="BH16" s="272">
        <f t="shared" si="67"/>
        <v>139116.12</v>
      </c>
      <c r="BI16" s="268">
        <f t="shared" ref="BI16:BT16" si="78">+$G$16*BI15</f>
        <v>12242.218560000001</v>
      </c>
      <c r="BJ16" s="287">
        <f t="shared" si="78"/>
        <v>9181.6639200000009</v>
      </c>
      <c r="BK16" s="287">
        <f t="shared" si="78"/>
        <v>12242.218560000001</v>
      </c>
      <c r="BL16" s="287">
        <f t="shared" si="78"/>
        <v>15302.773200000003</v>
      </c>
      <c r="BM16" s="287">
        <f t="shared" si="78"/>
        <v>15302.773200000003</v>
      </c>
      <c r="BN16" s="287">
        <f t="shared" si="78"/>
        <v>12242.218560000001</v>
      </c>
      <c r="BO16" s="287">
        <f t="shared" si="78"/>
        <v>12242.218560000001</v>
      </c>
      <c r="BP16" s="287">
        <f t="shared" si="78"/>
        <v>15302.773200000003</v>
      </c>
      <c r="BQ16" s="287">
        <f t="shared" si="78"/>
        <v>15302.773200000003</v>
      </c>
      <c r="BR16" s="287">
        <f t="shared" si="78"/>
        <v>12242.218560000001</v>
      </c>
      <c r="BS16" s="287">
        <f t="shared" si="78"/>
        <v>9181.6639200000009</v>
      </c>
      <c r="BT16" s="288">
        <f t="shared" si="78"/>
        <v>12242.218560000001</v>
      </c>
      <c r="BU16" s="272">
        <f t="shared" si="68"/>
        <v>153027.73200000002</v>
      </c>
      <c r="BV16" s="268">
        <f t="shared" ref="BV16:CG16" si="79">+$G$16*BV15</f>
        <v>13480.509831360001</v>
      </c>
      <c r="BW16" s="287">
        <f t="shared" si="79"/>
        <v>10110.38237352</v>
      </c>
      <c r="BX16" s="287">
        <f t="shared" si="79"/>
        <v>13480.509831360001</v>
      </c>
      <c r="BY16" s="287">
        <f t="shared" si="79"/>
        <v>16850.637289200004</v>
      </c>
      <c r="BZ16" s="287">
        <f t="shared" si="79"/>
        <v>16850.637289200004</v>
      </c>
      <c r="CA16" s="287">
        <f t="shared" si="79"/>
        <v>13480.509831360001</v>
      </c>
      <c r="CB16" s="287">
        <f t="shared" si="79"/>
        <v>13480.509831360001</v>
      </c>
      <c r="CC16" s="287">
        <f t="shared" si="79"/>
        <v>16850.637289200004</v>
      </c>
      <c r="CD16" s="287">
        <f t="shared" si="79"/>
        <v>16850.637289200004</v>
      </c>
      <c r="CE16" s="287">
        <f t="shared" si="79"/>
        <v>13480.509831360001</v>
      </c>
      <c r="CF16" s="287">
        <f t="shared" si="79"/>
        <v>10110.38237352</v>
      </c>
      <c r="CG16" s="288">
        <f t="shared" si="79"/>
        <v>13480.509831360001</v>
      </c>
      <c r="CH16" s="272">
        <f t="shared" si="69"/>
        <v>168506.37289200001</v>
      </c>
      <c r="CI16" s="268">
        <f t="shared" ref="CI16:CT16" si="80">+$G$16*CI15</f>
        <v>15194.968588800002</v>
      </c>
      <c r="CJ16" s="287">
        <f t="shared" si="80"/>
        <v>11396.226441600002</v>
      </c>
      <c r="CK16" s="287">
        <f t="shared" si="80"/>
        <v>15194.968588800002</v>
      </c>
      <c r="CL16" s="287">
        <f t="shared" si="80"/>
        <v>18993.710736000005</v>
      </c>
      <c r="CM16" s="287">
        <f t="shared" si="80"/>
        <v>18993.710736000005</v>
      </c>
      <c r="CN16" s="287">
        <f t="shared" si="80"/>
        <v>15194.968588800002</v>
      </c>
      <c r="CO16" s="287">
        <f t="shared" si="80"/>
        <v>15194.968588800002</v>
      </c>
      <c r="CP16" s="287">
        <f t="shared" si="80"/>
        <v>18993.710736000005</v>
      </c>
      <c r="CQ16" s="287">
        <f t="shared" si="80"/>
        <v>18993.710736000005</v>
      </c>
      <c r="CR16" s="287">
        <f t="shared" si="80"/>
        <v>15194.968588800002</v>
      </c>
      <c r="CS16" s="287">
        <f t="shared" si="80"/>
        <v>11396.226441600002</v>
      </c>
      <c r="CT16" s="288">
        <f t="shared" si="80"/>
        <v>15194.968588800002</v>
      </c>
      <c r="CU16" s="272">
        <f t="shared" si="70"/>
        <v>189937.10736000002</v>
      </c>
      <c r="CV16" s="268">
        <f t="shared" ref="CV16:DG16" si="81">+$G$16*CV15</f>
        <v>15194.968588800002</v>
      </c>
      <c r="CW16" s="287">
        <f t="shared" si="81"/>
        <v>11396.226441600002</v>
      </c>
      <c r="CX16" s="287">
        <f t="shared" si="81"/>
        <v>15194.968588800002</v>
      </c>
      <c r="CY16" s="287">
        <f t="shared" si="81"/>
        <v>18993.710736000005</v>
      </c>
      <c r="CZ16" s="287">
        <f t="shared" si="81"/>
        <v>18993.710736000005</v>
      </c>
      <c r="DA16" s="287">
        <f t="shared" si="81"/>
        <v>15194.968588800002</v>
      </c>
      <c r="DB16" s="287">
        <f t="shared" si="81"/>
        <v>15194.968588800002</v>
      </c>
      <c r="DC16" s="287">
        <f t="shared" si="81"/>
        <v>18993.710736000005</v>
      </c>
      <c r="DD16" s="287">
        <f t="shared" si="81"/>
        <v>18993.710736000005</v>
      </c>
      <c r="DE16" s="287">
        <f t="shared" si="81"/>
        <v>15194.968588800002</v>
      </c>
      <c r="DF16" s="287">
        <f t="shared" si="81"/>
        <v>11396.226441600002</v>
      </c>
      <c r="DG16" s="288">
        <f t="shared" si="81"/>
        <v>15194.968588800002</v>
      </c>
      <c r="DH16" s="272">
        <f t="shared" si="71"/>
        <v>189937.10736000002</v>
      </c>
      <c r="DI16" s="268">
        <f t="shared" ref="DI16:DT16" si="82">+$G$16*DI15</f>
        <v>15194.968588800002</v>
      </c>
      <c r="DJ16" s="287">
        <f t="shared" si="82"/>
        <v>11396.226441600002</v>
      </c>
      <c r="DK16" s="287">
        <f t="shared" si="82"/>
        <v>15194.968588800002</v>
      </c>
      <c r="DL16" s="287">
        <f t="shared" si="82"/>
        <v>18993.710736000005</v>
      </c>
      <c r="DM16" s="287">
        <f t="shared" si="82"/>
        <v>18993.710736000005</v>
      </c>
      <c r="DN16" s="287">
        <f t="shared" si="82"/>
        <v>15194.968588800002</v>
      </c>
      <c r="DO16" s="287">
        <f t="shared" si="82"/>
        <v>15194.968588800002</v>
      </c>
      <c r="DP16" s="287">
        <f t="shared" si="82"/>
        <v>18993.710736000005</v>
      </c>
      <c r="DQ16" s="287">
        <f t="shared" si="82"/>
        <v>18993.710736000005</v>
      </c>
      <c r="DR16" s="287">
        <f t="shared" si="82"/>
        <v>15194.968588800002</v>
      </c>
      <c r="DS16" s="287">
        <f t="shared" si="82"/>
        <v>11396.226441600002</v>
      </c>
      <c r="DT16" s="288">
        <f t="shared" si="82"/>
        <v>15194.968588800002</v>
      </c>
      <c r="DU16" s="272">
        <f t="shared" si="72"/>
        <v>189937.10736000002</v>
      </c>
      <c r="DV16" s="268">
        <f t="shared" ref="DV16:EG16" si="83">+$G$16*DV15</f>
        <v>15194.968588800002</v>
      </c>
      <c r="DW16" s="287">
        <f t="shared" si="83"/>
        <v>11396.226441600002</v>
      </c>
      <c r="DX16" s="287">
        <f t="shared" si="83"/>
        <v>15194.968588800002</v>
      </c>
      <c r="DY16" s="287">
        <f t="shared" si="83"/>
        <v>18993.710736000005</v>
      </c>
      <c r="DZ16" s="287">
        <f t="shared" si="83"/>
        <v>18993.710736000005</v>
      </c>
      <c r="EA16" s="287">
        <f t="shared" si="83"/>
        <v>15194.968588800002</v>
      </c>
      <c r="EB16" s="287">
        <f t="shared" si="83"/>
        <v>15194.968588800002</v>
      </c>
      <c r="EC16" s="287">
        <f t="shared" si="83"/>
        <v>18993.710736000005</v>
      </c>
      <c r="ED16" s="287">
        <f t="shared" si="83"/>
        <v>18993.710736000005</v>
      </c>
      <c r="EE16" s="287">
        <f t="shared" si="83"/>
        <v>15194.968588800002</v>
      </c>
      <c r="EF16" s="287">
        <f t="shared" si="83"/>
        <v>11396.226441600002</v>
      </c>
      <c r="EG16" s="288">
        <f t="shared" si="83"/>
        <v>15194.968588800002</v>
      </c>
      <c r="EH16" s="272">
        <f t="shared" si="73"/>
        <v>189937.10736000002</v>
      </c>
      <c r="EI16" s="21"/>
      <c r="EJ16" s="21"/>
      <c r="EK16" s="21"/>
      <c r="EL16" s="21"/>
      <c r="EM16" s="21"/>
    </row>
    <row r="17" spans="1:143" ht="13.5" customHeight="1">
      <c r="A17" s="21"/>
      <c r="B17" s="21"/>
      <c r="C17" s="21"/>
      <c r="D17" s="622">
        <f t="shared" si="63"/>
        <v>9</v>
      </c>
      <c r="E17" s="1625"/>
      <c r="F17" s="265" t="s">
        <v>575</v>
      </c>
      <c r="G17" s="742">
        <f>Assumption!G195</f>
        <v>0</v>
      </c>
      <c r="H17" s="286"/>
      <c r="I17" s="268">
        <f>+I15-I16</f>
        <v>0</v>
      </c>
      <c r="J17" s="287">
        <f t="shared" ref="J17:T17" si="84">+J15-J16</f>
        <v>0</v>
      </c>
      <c r="K17" s="287">
        <f t="shared" si="84"/>
        <v>0</v>
      </c>
      <c r="L17" s="287">
        <f t="shared" si="84"/>
        <v>0</v>
      </c>
      <c r="M17" s="287">
        <f t="shared" si="84"/>
        <v>0</v>
      </c>
      <c r="N17" s="287">
        <f t="shared" si="84"/>
        <v>0</v>
      </c>
      <c r="O17" s="287">
        <f t="shared" si="84"/>
        <v>0</v>
      </c>
      <c r="P17" s="287">
        <f t="shared" si="84"/>
        <v>0</v>
      </c>
      <c r="Q17" s="287">
        <f t="shared" si="84"/>
        <v>0</v>
      </c>
      <c r="R17" s="287">
        <f t="shared" si="84"/>
        <v>0</v>
      </c>
      <c r="S17" s="287">
        <f t="shared" si="84"/>
        <v>0</v>
      </c>
      <c r="T17" s="287">
        <f t="shared" si="84"/>
        <v>0</v>
      </c>
      <c r="U17" s="272">
        <f t="shared" si="64"/>
        <v>0</v>
      </c>
      <c r="V17" s="268">
        <f t="shared" ref="V17:AG17" si="85">+V15-V16</f>
        <v>0</v>
      </c>
      <c r="W17" s="287">
        <f t="shared" si="85"/>
        <v>0</v>
      </c>
      <c r="X17" s="287">
        <f t="shared" si="85"/>
        <v>0</v>
      </c>
      <c r="Y17" s="287">
        <f t="shared" si="85"/>
        <v>0</v>
      </c>
      <c r="Z17" s="287">
        <f t="shared" si="85"/>
        <v>0</v>
      </c>
      <c r="AA17" s="287">
        <f t="shared" si="85"/>
        <v>0</v>
      </c>
      <c r="AB17" s="287">
        <f t="shared" si="85"/>
        <v>0</v>
      </c>
      <c r="AC17" s="287">
        <f t="shared" si="85"/>
        <v>0</v>
      </c>
      <c r="AD17" s="287">
        <f t="shared" si="85"/>
        <v>0</v>
      </c>
      <c r="AE17" s="287">
        <f t="shared" si="85"/>
        <v>0</v>
      </c>
      <c r="AF17" s="287">
        <f t="shared" si="85"/>
        <v>0</v>
      </c>
      <c r="AG17" s="288">
        <f t="shared" si="85"/>
        <v>0</v>
      </c>
      <c r="AH17" s="272">
        <f t="shared" si="65"/>
        <v>0</v>
      </c>
      <c r="AI17" s="268">
        <f t="shared" ref="AI17:AT17" si="86">+AI15-AI16</f>
        <v>0</v>
      </c>
      <c r="AJ17" s="287">
        <f t="shared" si="86"/>
        <v>0</v>
      </c>
      <c r="AK17" s="287">
        <f t="shared" si="86"/>
        <v>0</v>
      </c>
      <c r="AL17" s="287">
        <f t="shared" si="86"/>
        <v>0</v>
      </c>
      <c r="AM17" s="287">
        <f t="shared" si="86"/>
        <v>0</v>
      </c>
      <c r="AN17" s="287">
        <f t="shared" si="86"/>
        <v>0</v>
      </c>
      <c r="AO17" s="287">
        <f t="shared" si="86"/>
        <v>0</v>
      </c>
      <c r="AP17" s="287">
        <f t="shared" si="86"/>
        <v>0</v>
      </c>
      <c r="AQ17" s="287">
        <f t="shared" si="86"/>
        <v>0</v>
      </c>
      <c r="AR17" s="287">
        <f t="shared" si="86"/>
        <v>0</v>
      </c>
      <c r="AS17" s="287">
        <f t="shared" si="86"/>
        <v>0</v>
      </c>
      <c r="AT17" s="288">
        <f t="shared" si="86"/>
        <v>0</v>
      </c>
      <c r="AU17" s="272">
        <f t="shared" si="66"/>
        <v>0</v>
      </c>
      <c r="AV17" s="268">
        <f t="shared" ref="AV17:BG17" si="87">+AV15-AV16</f>
        <v>0</v>
      </c>
      <c r="AW17" s="287">
        <f t="shared" si="87"/>
        <v>0</v>
      </c>
      <c r="AX17" s="287">
        <f t="shared" si="87"/>
        <v>0</v>
      </c>
      <c r="AY17" s="287">
        <f t="shared" si="87"/>
        <v>0</v>
      </c>
      <c r="AZ17" s="287">
        <f t="shared" si="87"/>
        <v>0</v>
      </c>
      <c r="BA17" s="287">
        <f t="shared" si="87"/>
        <v>0</v>
      </c>
      <c r="BB17" s="287">
        <f t="shared" si="87"/>
        <v>0</v>
      </c>
      <c r="BC17" s="287">
        <f t="shared" si="87"/>
        <v>0</v>
      </c>
      <c r="BD17" s="287">
        <f t="shared" si="87"/>
        <v>0</v>
      </c>
      <c r="BE17" s="287">
        <f t="shared" si="87"/>
        <v>0</v>
      </c>
      <c r="BF17" s="287">
        <f t="shared" si="87"/>
        <v>0</v>
      </c>
      <c r="BG17" s="288">
        <f t="shared" si="87"/>
        <v>0</v>
      </c>
      <c r="BH17" s="272">
        <f t="shared" si="67"/>
        <v>0</v>
      </c>
      <c r="BI17" s="268">
        <f t="shared" ref="BI17:BT17" si="88">+BI15-BI16</f>
        <v>0</v>
      </c>
      <c r="BJ17" s="287">
        <f t="shared" si="88"/>
        <v>0</v>
      </c>
      <c r="BK17" s="287">
        <f t="shared" si="88"/>
        <v>0</v>
      </c>
      <c r="BL17" s="287">
        <f t="shared" si="88"/>
        <v>0</v>
      </c>
      <c r="BM17" s="287">
        <f t="shared" si="88"/>
        <v>0</v>
      </c>
      <c r="BN17" s="287">
        <f t="shared" si="88"/>
        <v>0</v>
      </c>
      <c r="BO17" s="287">
        <f t="shared" si="88"/>
        <v>0</v>
      </c>
      <c r="BP17" s="287">
        <f t="shared" si="88"/>
        <v>0</v>
      </c>
      <c r="BQ17" s="287">
        <f t="shared" si="88"/>
        <v>0</v>
      </c>
      <c r="BR17" s="287">
        <f t="shared" si="88"/>
        <v>0</v>
      </c>
      <c r="BS17" s="287">
        <f t="shared" si="88"/>
        <v>0</v>
      </c>
      <c r="BT17" s="288">
        <f t="shared" si="88"/>
        <v>0</v>
      </c>
      <c r="BU17" s="272">
        <f t="shared" si="68"/>
        <v>0</v>
      </c>
      <c r="BV17" s="268">
        <f t="shared" ref="BV17:CG17" si="89">+BV15-BV16</f>
        <v>0</v>
      </c>
      <c r="BW17" s="287">
        <f t="shared" si="89"/>
        <v>0</v>
      </c>
      <c r="BX17" s="287">
        <f t="shared" si="89"/>
        <v>0</v>
      </c>
      <c r="BY17" s="287">
        <f t="shared" si="89"/>
        <v>0</v>
      </c>
      <c r="BZ17" s="287">
        <f t="shared" si="89"/>
        <v>0</v>
      </c>
      <c r="CA17" s="287">
        <f t="shared" si="89"/>
        <v>0</v>
      </c>
      <c r="CB17" s="287">
        <f t="shared" si="89"/>
        <v>0</v>
      </c>
      <c r="CC17" s="287">
        <f t="shared" si="89"/>
        <v>0</v>
      </c>
      <c r="CD17" s="287">
        <f t="shared" si="89"/>
        <v>0</v>
      </c>
      <c r="CE17" s="287">
        <f t="shared" si="89"/>
        <v>0</v>
      </c>
      <c r="CF17" s="287">
        <f t="shared" si="89"/>
        <v>0</v>
      </c>
      <c r="CG17" s="288">
        <f t="shared" si="89"/>
        <v>0</v>
      </c>
      <c r="CH17" s="272">
        <f t="shared" si="69"/>
        <v>0</v>
      </c>
      <c r="CI17" s="268">
        <f t="shared" ref="CI17:CT17" si="90">+CI15-CI16</f>
        <v>0</v>
      </c>
      <c r="CJ17" s="287">
        <f t="shared" si="90"/>
        <v>0</v>
      </c>
      <c r="CK17" s="287">
        <f t="shared" si="90"/>
        <v>0</v>
      </c>
      <c r="CL17" s="287">
        <f t="shared" si="90"/>
        <v>0</v>
      </c>
      <c r="CM17" s="287">
        <f t="shared" si="90"/>
        <v>0</v>
      </c>
      <c r="CN17" s="287">
        <f t="shared" si="90"/>
        <v>0</v>
      </c>
      <c r="CO17" s="287">
        <f t="shared" si="90"/>
        <v>0</v>
      </c>
      <c r="CP17" s="287">
        <f t="shared" si="90"/>
        <v>0</v>
      </c>
      <c r="CQ17" s="287">
        <f t="shared" si="90"/>
        <v>0</v>
      </c>
      <c r="CR17" s="287">
        <f t="shared" si="90"/>
        <v>0</v>
      </c>
      <c r="CS17" s="287">
        <f t="shared" si="90"/>
        <v>0</v>
      </c>
      <c r="CT17" s="288">
        <f t="shared" si="90"/>
        <v>0</v>
      </c>
      <c r="CU17" s="272">
        <f t="shared" si="70"/>
        <v>0</v>
      </c>
      <c r="CV17" s="268">
        <f t="shared" ref="CV17:DG17" si="91">+CV15-CV16</f>
        <v>0</v>
      </c>
      <c r="CW17" s="287">
        <f t="shared" si="91"/>
        <v>0</v>
      </c>
      <c r="CX17" s="287">
        <f t="shared" si="91"/>
        <v>0</v>
      </c>
      <c r="CY17" s="287">
        <f t="shared" si="91"/>
        <v>0</v>
      </c>
      <c r="CZ17" s="287">
        <f t="shared" si="91"/>
        <v>0</v>
      </c>
      <c r="DA17" s="287">
        <f t="shared" si="91"/>
        <v>0</v>
      </c>
      <c r="DB17" s="287">
        <f t="shared" si="91"/>
        <v>0</v>
      </c>
      <c r="DC17" s="287">
        <f t="shared" si="91"/>
        <v>0</v>
      </c>
      <c r="DD17" s="287">
        <f t="shared" si="91"/>
        <v>0</v>
      </c>
      <c r="DE17" s="287">
        <f t="shared" si="91"/>
        <v>0</v>
      </c>
      <c r="DF17" s="287">
        <f t="shared" si="91"/>
        <v>0</v>
      </c>
      <c r="DG17" s="288">
        <f t="shared" si="91"/>
        <v>0</v>
      </c>
      <c r="DH17" s="272">
        <f t="shared" si="71"/>
        <v>0</v>
      </c>
      <c r="DI17" s="268">
        <f t="shared" ref="DI17:DT17" si="92">+DI15-DI16</f>
        <v>0</v>
      </c>
      <c r="DJ17" s="287">
        <f t="shared" si="92"/>
        <v>0</v>
      </c>
      <c r="DK17" s="287">
        <f t="shared" si="92"/>
        <v>0</v>
      </c>
      <c r="DL17" s="287">
        <f t="shared" si="92"/>
        <v>0</v>
      </c>
      <c r="DM17" s="287">
        <f t="shared" si="92"/>
        <v>0</v>
      </c>
      <c r="DN17" s="287">
        <f t="shared" si="92"/>
        <v>0</v>
      </c>
      <c r="DO17" s="287">
        <f t="shared" si="92"/>
        <v>0</v>
      </c>
      <c r="DP17" s="287">
        <f t="shared" si="92"/>
        <v>0</v>
      </c>
      <c r="DQ17" s="287">
        <f t="shared" si="92"/>
        <v>0</v>
      </c>
      <c r="DR17" s="287">
        <f t="shared" si="92"/>
        <v>0</v>
      </c>
      <c r="DS17" s="287">
        <f t="shared" si="92"/>
        <v>0</v>
      </c>
      <c r="DT17" s="288">
        <f t="shared" si="92"/>
        <v>0</v>
      </c>
      <c r="DU17" s="272">
        <f t="shared" si="72"/>
        <v>0</v>
      </c>
      <c r="DV17" s="268">
        <f t="shared" ref="DV17:EG17" si="93">+DV15-DV16</f>
        <v>0</v>
      </c>
      <c r="DW17" s="287">
        <f t="shared" si="93"/>
        <v>0</v>
      </c>
      <c r="DX17" s="287">
        <f t="shared" si="93"/>
        <v>0</v>
      </c>
      <c r="DY17" s="287">
        <f t="shared" si="93"/>
        <v>0</v>
      </c>
      <c r="DZ17" s="287">
        <f t="shared" si="93"/>
        <v>0</v>
      </c>
      <c r="EA17" s="287">
        <f t="shared" si="93"/>
        <v>0</v>
      </c>
      <c r="EB17" s="287">
        <f t="shared" si="93"/>
        <v>0</v>
      </c>
      <c r="EC17" s="287">
        <f t="shared" si="93"/>
        <v>0</v>
      </c>
      <c r="ED17" s="287">
        <f t="shared" si="93"/>
        <v>0</v>
      </c>
      <c r="EE17" s="287">
        <f t="shared" si="93"/>
        <v>0</v>
      </c>
      <c r="EF17" s="287">
        <f t="shared" si="93"/>
        <v>0</v>
      </c>
      <c r="EG17" s="288">
        <f t="shared" si="93"/>
        <v>0</v>
      </c>
      <c r="EH17" s="272">
        <f t="shared" si="73"/>
        <v>0</v>
      </c>
      <c r="EI17" s="21"/>
      <c r="EJ17" s="21"/>
      <c r="EK17" s="21"/>
      <c r="EL17" s="21"/>
      <c r="EM17" s="21"/>
    </row>
    <row r="18" spans="1:143" ht="13.5" customHeight="1">
      <c r="A18" s="21"/>
      <c r="B18" s="21"/>
      <c r="C18" s="21"/>
      <c r="D18" s="622">
        <f t="shared" si="63"/>
        <v>10</v>
      </c>
      <c r="E18" s="1625"/>
      <c r="F18" s="265" t="s">
        <v>576</v>
      </c>
      <c r="G18" s="266"/>
      <c r="H18" s="286">
        <f>Historical!K39</f>
        <v>2403</v>
      </c>
      <c r="I18" s="268">
        <f>+'Purchase-Expenses-AP Schedule'!F71</f>
        <v>0</v>
      </c>
      <c r="J18" s="268">
        <f>+'Purchase-Expenses-AP Schedule'!G71</f>
        <v>0</v>
      </c>
      <c r="K18" s="268">
        <f>+'Purchase-Expenses-AP Schedule'!H71</f>
        <v>0</v>
      </c>
      <c r="L18" s="268">
        <f>+'Purchase-Expenses-AP Schedule'!I71</f>
        <v>0</v>
      </c>
      <c r="M18" s="268">
        <f>+'Purchase-Expenses-AP Schedule'!J71</f>
        <v>0</v>
      </c>
      <c r="N18" s="268">
        <f>+'Purchase-Expenses-AP Schedule'!K71</f>
        <v>0</v>
      </c>
      <c r="O18" s="268">
        <f>+'Purchase-Expenses-AP Schedule'!L71</f>
        <v>2220.5076190476193</v>
      </c>
      <c r="P18" s="268">
        <f>+'Purchase-Expenses-AP Schedule'!M71</f>
        <v>2027.8483333333334</v>
      </c>
      <c r="Q18" s="268">
        <f>+'Purchase-Expenses-AP Schedule'!N71</f>
        <v>1878.0022222222221</v>
      </c>
      <c r="R18" s="268">
        <f>+'Purchase-Expenses-AP Schedule'!O71</f>
        <v>1744.5406666666668</v>
      </c>
      <c r="S18" s="268">
        <f>+'Purchase-Expenses-AP Schedule'!P71</f>
        <v>1622.9951515151517</v>
      </c>
      <c r="T18" s="268">
        <f>+'Purchase-Expenses-AP Schedule'!Q71</f>
        <v>1533.0277777777778</v>
      </c>
      <c r="U18" s="272">
        <f>T18</f>
        <v>1533.0277777777778</v>
      </c>
      <c r="V18" s="268">
        <f>+'Purchase-Expenses-AP Schedule'!F72</f>
        <v>1550.56</v>
      </c>
      <c r="W18" s="268">
        <f>+'Purchase-Expenses-AP Schedule'!G72</f>
        <v>1356.74</v>
      </c>
      <c r="X18" s="268">
        <f>+'Purchase-Expenses-AP Schedule'!H72</f>
        <v>1421.3466666666666</v>
      </c>
      <c r="Y18" s="268">
        <f>+'Purchase-Expenses-AP Schedule'!I72</f>
        <v>1550.56</v>
      </c>
      <c r="Z18" s="268">
        <f>+'Purchase-Expenses-AP Schedule'!J72</f>
        <v>1628.088</v>
      </c>
      <c r="AA18" s="268">
        <f>+'Purchase-Expenses-AP Schedule'!K72</f>
        <v>1615.1666666666665</v>
      </c>
      <c r="AB18" s="268">
        <f>+'Purchase-Expenses-AP Schedule'!L72</f>
        <v>1605.9371428571428</v>
      </c>
      <c r="AC18" s="268">
        <f>+'Purchase-Expenses-AP Schedule'!M72</f>
        <v>1647.4699999999998</v>
      </c>
      <c r="AD18" s="268">
        <f>+'Purchase-Expenses-AP Schedule'!N72</f>
        <v>1679.7733333333331</v>
      </c>
      <c r="AE18" s="268">
        <f>+'Purchase-Expenses-AP Schedule'!O72</f>
        <v>1666.8519999999999</v>
      </c>
      <c r="AF18" s="268">
        <f>+'Purchase-Expenses-AP Schedule'!P72</f>
        <v>1621.04</v>
      </c>
      <c r="AG18" s="268">
        <f>+'Purchase-Expenses-AP Schedule'!Q72</f>
        <v>1615.1666666666665</v>
      </c>
      <c r="AH18" s="272">
        <f>AG18</f>
        <v>1615.1666666666665</v>
      </c>
      <c r="AI18" s="268">
        <f>+'Purchase-Expenses-AP Schedule'!F73</f>
        <v>1686.2559999999996</v>
      </c>
      <c r="AJ18" s="268">
        <f>+'Purchase-Expenses-AP Schedule'!G73</f>
        <v>1475.4739999999995</v>
      </c>
      <c r="AK18" s="268">
        <f>+'Purchase-Expenses-AP Schedule'!H73</f>
        <v>1545.7346666666663</v>
      </c>
      <c r="AL18" s="268">
        <f>+'Purchase-Expenses-AP Schedule'!I73</f>
        <v>1686.2559999999996</v>
      </c>
      <c r="AM18" s="268">
        <f>+'Purchase-Expenses-AP Schedule'!J73</f>
        <v>1770.5687999999998</v>
      </c>
      <c r="AN18" s="268">
        <f>+'Purchase-Expenses-AP Schedule'!K73</f>
        <v>1756.5166666666664</v>
      </c>
      <c r="AO18" s="268">
        <f>+'Purchase-Expenses-AP Schedule'!L73</f>
        <v>1746.4794285714281</v>
      </c>
      <c r="AP18" s="268">
        <f>+'Purchase-Expenses-AP Schedule'!M73</f>
        <v>1791.6469999999995</v>
      </c>
      <c r="AQ18" s="268">
        <f>+'Purchase-Expenses-AP Schedule'!N73</f>
        <v>1826.7773333333328</v>
      </c>
      <c r="AR18" s="268">
        <f>+'Purchase-Expenses-AP Schedule'!O73</f>
        <v>1812.7251999999996</v>
      </c>
      <c r="AS18" s="268">
        <f>+'Purchase-Expenses-AP Schedule'!P73</f>
        <v>1762.9039999999998</v>
      </c>
      <c r="AT18" s="268">
        <f>+'Purchase-Expenses-AP Schedule'!Q73</f>
        <v>1756.5166666666662</v>
      </c>
      <c r="AU18" s="272">
        <f>AT18</f>
        <v>1756.5166666666662</v>
      </c>
      <c r="AV18" s="268">
        <f>+'Purchase-Expenses-AP Schedule'!F74</f>
        <v>1854.8815999999999</v>
      </c>
      <c r="AW18" s="268">
        <f>+'Purchase-Expenses-AP Schedule'!G74</f>
        <v>1623.0213999999999</v>
      </c>
      <c r="AX18" s="268">
        <f>+'Purchase-Expenses-AP Schedule'!H74</f>
        <v>1700.3081333333332</v>
      </c>
      <c r="AY18" s="268">
        <f>+'Purchase-Expenses-AP Schedule'!I74</f>
        <v>1854.8815999999999</v>
      </c>
      <c r="AZ18" s="268">
        <f>+'Purchase-Expenses-AP Schedule'!J74</f>
        <v>1947.6256800000001</v>
      </c>
      <c r="BA18" s="268">
        <f>+'Purchase-Expenses-AP Schedule'!K74</f>
        <v>1932.1683333333331</v>
      </c>
      <c r="BB18" s="268">
        <f>+'Purchase-Expenses-AP Schedule'!L74</f>
        <v>1921.1273714285715</v>
      </c>
      <c r="BC18" s="268">
        <f>+'Purchase-Expenses-AP Schedule'!M74</f>
        <v>1970.8117000000002</v>
      </c>
      <c r="BD18" s="268">
        <f>+'Purchase-Expenses-AP Schedule'!N74</f>
        <v>2009.4550666666667</v>
      </c>
      <c r="BE18" s="268">
        <f>+'Purchase-Expenses-AP Schedule'!O74</f>
        <v>1993.9977200000001</v>
      </c>
      <c r="BF18" s="268">
        <f>+'Purchase-Expenses-AP Schedule'!P74</f>
        <v>1939.1944000000001</v>
      </c>
      <c r="BG18" s="268">
        <f>+'Purchase-Expenses-AP Schedule'!Q74</f>
        <v>1932.1683333333331</v>
      </c>
      <c r="BH18" s="272">
        <f>BG18</f>
        <v>1932.1683333333331</v>
      </c>
      <c r="BI18" s="268">
        <f>+'Purchase-Expenses-AP Schedule'!F75</f>
        <v>2040.36976</v>
      </c>
      <c r="BJ18" s="268">
        <f>+'Purchase-Expenses-AP Schedule'!G75</f>
        <v>1785.3235399999999</v>
      </c>
      <c r="BK18" s="268">
        <f>+'Purchase-Expenses-AP Schedule'!H75</f>
        <v>1870.3389466666667</v>
      </c>
      <c r="BL18" s="268">
        <f>+'Purchase-Expenses-AP Schedule'!I75</f>
        <v>2040.36976</v>
      </c>
      <c r="BM18" s="268">
        <f>+'Purchase-Expenses-AP Schedule'!J75</f>
        <v>2142.3882480000002</v>
      </c>
      <c r="BN18" s="268">
        <f>+'Purchase-Expenses-AP Schedule'!K75</f>
        <v>2125.3851666666669</v>
      </c>
      <c r="BO18" s="268">
        <f>+'Purchase-Expenses-AP Schedule'!L75</f>
        <v>2113.2401085714287</v>
      </c>
      <c r="BP18" s="268">
        <f>+'Purchase-Expenses-AP Schedule'!M75</f>
        <v>2167.8928700000001</v>
      </c>
      <c r="BQ18" s="268">
        <f>+'Purchase-Expenses-AP Schedule'!N75</f>
        <v>2210.4005733333333</v>
      </c>
      <c r="BR18" s="268">
        <f>+'Purchase-Expenses-AP Schedule'!O75</f>
        <v>2193.3974920000001</v>
      </c>
      <c r="BS18" s="268">
        <f>+'Purchase-Expenses-AP Schedule'!P75</f>
        <v>2133.11384</v>
      </c>
      <c r="BT18" s="268">
        <f>+'Purchase-Expenses-AP Schedule'!Q75</f>
        <v>2125.3851666666669</v>
      </c>
      <c r="BU18" s="272">
        <f>BT18</f>
        <v>2125.3851666666669</v>
      </c>
      <c r="BV18" s="268">
        <f>+'Purchase-Expenses-AP Schedule'!F76</f>
        <v>31454.522939840004</v>
      </c>
      <c r="BW18" s="268">
        <f>+'Purchase-Expenses-AP Schedule'!G76</f>
        <v>27522.707572360003</v>
      </c>
      <c r="BX18" s="268">
        <f>+'Purchase-Expenses-AP Schedule'!H76</f>
        <v>28833.312694853335</v>
      </c>
      <c r="BY18" s="268">
        <f>+'Purchase-Expenses-AP Schedule'!I76</f>
        <v>31454.522939840008</v>
      </c>
      <c r="BZ18" s="268">
        <f>+'Purchase-Expenses-AP Schedule'!J76</f>
        <v>33027.249086832009</v>
      </c>
      <c r="CA18" s="268">
        <f>+'Purchase-Expenses-AP Schedule'!K76</f>
        <v>32765.12806233334</v>
      </c>
      <c r="CB18" s="268">
        <f>+'Purchase-Expenses-AP Schedule'!L76</f>
        <v>32577.898759120006</v>
      </c>
      <c r="CC18" s="268">
        <f>+'Purchase-Expenses-AP Schedule'!M76</f>
        <v>33420.43062358001</v>
      </c>
      <c r="CD18" s="268">
        <f>+'Purchase-Expenses-AP Schedule'!N76</f>
        <v>34075.733184826677</v>
      </c>
      <c r="CE18" s="268">
        <f>+'Purchase-Expenses-AP Schedule'!O76</f>
        <v>33813.612160328004</v>
      </c>
      <c r="CF18" s="268">
        <f>+'Purchase-Expenses-AP Schedule'!P76</f>
        <v>32884.273982560007</v>
      </c>
      <c r="CG18" s="268">
        <f>+'Purchase-Expenses-AP Schedule'!Q76</f>
        <v>32765.128062333337</v>
      </c>
      <c r="CH18" s="272">
        <f>CG18</f>
        <v>32765.128062333337</v>
      </c>
      <c r="CI18" s="268">
        <f>+'Purchase-Expenses-AP Schedule'!F77</f>
        <v>35454.926707200008</v>
      </c>
      <c r="CJ18" s="268">
        <f>+'Purchase-Expenses-AP Schedule'!G77</f>
        <v>31023.06086880001</v>
      </c>
      <c r="CK18" s="268">
        <f>+'Purchase-Expenses-AP Schedule'!H77</f>
        <v>32500.349481600006</v>
      </c>
      <c r="CL18" s="268">
        <f>+'Purchase-Expenses-AP Schedule'!I77</f>
        <v>35454.926707200008</v>
      </c>
      <c r="CM18" s="268">
        <f>+'Purchase-Expenses-AP Schedule'!J77</f>
        <v>37227.673042560011</v>
      </c>
      <c r="CN18" s="268">
        <f>+'Purchase-Expenses-AP Schedule'!K77</f>
        <v>36932.215320000003</v>
      </c>
      <c r="CO18" s="268">
        <f>+'Purchase-Expenses-AP Schedule'!L77</f>
        <v>36721.174089599997</v>
      </c>
      <c r="CP18" s="268">
        <f>+'Purchase-Expenses-AP Schedule'!M77</f>
        <v>37670.859626400008</v>
      </c>
      <c r="CQ18" s="268">
        <f>+'Purchase-Expenses-AP Schedule'!N77</f>
        <v>38409.503932800006</v>
      </c>
      <c r="CR18" s="268">
        <f>+'Purchase-Expenses-AP Schedule'!O77</f>
        <v>38114.046210240005</v>
      </c>
      <c r="CS18" s="268">
        <f>+'Purchase-Expenses-AP Schedule'!P77</f>
        <v>37066.514284800011</v>
      </c>
      <c r="CT18" s="268">
        <f>+'Purchase-Expenses-AP Schedule'!Q77</f>
        <v>36932.215320000003</v>
      </c>
      <c r="CU18" s="272">
        <f>CT18</f>
        <v>36932.215320000003</v>
      </c>
      <c r="CV18" s="268">
        <f>+'Purchase-Expenses-AP Schedule'!F78</f>
        <v>35454.926707200008</v>
      </c>
      <c r="CW18" s="268">
        <f>+'Purchase-Expenses-AP Schedule'!G78</f>
        <v>31023.06086880001</v>
      </c>
      <c r="CX18" s="268">
        <f>+'Purchase-Expenses-AP Schedule'!H78</f>
        <v>32500.349481600006</v>
      </c>
      <c r="CY18" s="268">
        <f>+'Purchase-Expenses-AP Schedule'!I78</f>
        <v>35454.926707200008</v>
      </c>
      <c r="CZ18" s="268">
        <f>+'Purchase-Expenses-AP Schedule'!J78</f>
        <v>37227.673042560011</v>
      </c>
      <c r="DA18" s="268">
        <f>+'Purchase-Expenses-AP Schedule'!K78</f>
        <v>36932.215320000003</v>
      </c>
      <c r="DB18" s="268">
        <f>+'Purchase-Expenses-AP Schedule'!L78</f>
        <v>36721.174089599997</v>
      </c>
      <c r="DC18" s="268">
        <f>+'Purchase-Expenses-AP Schedule'!M78</f>
        <v>37670.859626400008</v>
      </c>
      <c r="DD18" s="268">
        <f>+'Purchase-Expenses-AP Schedule'!N78</f>
        <v>38409.503932800006</v>
      </c>
      <c r="DE18" s="268">
        <f>+'Purchase-Expenses-AP Schedule'!O78</f>
        <v>38114.046210240005</v>
      </c>
      <c r="DF18" s="268">
        <f>+'Purchase-Expenses-AP Schedule'!P78</f>
        <v>37066.514284800011</v>
      </c>
      <c r="DG18" s="268">
        <f>+'Purchase-Expenses-AP Schedule'!Q78</f>
        <v>36932.215320000003</v>
      </c>
      <c r="DH18" s="272">
        <f>DG18</f>
        <v>36932.215320000003</v>
      </c>
      <c r="DI18" s="268">
        <f>+'Purchase-Expenses-AP Schedule'!F79</f>
        <v>35454.926707200008</v>
      </c>
      <c r="DJ18" s="268">
        <f>+'Purchase-Expenses-AP Schedule'!G79</f>
        <v>31023.06086880001</v>
      </c>
      <c r="DK18" s="268">
        <f>+'Purchase-Expenses-AP Schedule'!H79</f>
        <v>32500.349481600006</v>
      </c>
      <c r="DL18" s="268">
        <f>+'Purchase-Expenses-AP Schedule'!I79</f>
        <v>35454.926707200008</v>
      </c>
      <c r="DM18" s="268">
        <f>+'Purchase-Expenses-AP Schedule'!J79</f>
        <v>37227.673042560011</v>
      </c>
      <c r="DN18" s="268">
        <f>+'Purchase-Expenses-AP Schedule'!K79</f>
        <v>36932.215320000003</v>
      </c>
      <c r="DO18" s="268">
        <f>+'Purchase-Expenses-AP Schedule'!L79</f>
        <v>36721.174089599997</v>
      </c>
      <c r="DP18" s="268">
        <f>+'Purchase-Expenses-AP Schedule'!M79</f>
        <v>37670.859626400008</v>
      </c>
      <c r="DQ18" s="268">
        <f>+'Purchase-Expenses-AP Schedule'!N79</f>
        <v>38409.503932800006</v>
      </c>
      <c r="DR18" s="268">
        <f>+'Purchase-Expenses-AP Schedule'!O79</f>
        <v>38114.046210240005</v>
      </c>
      <c r="DS18" s="268">
        <f>+'Purchase-Expenses-AP Schedule'!P79</f>
        <v>37066.514284800011</v>
      </c>
      <c r="DT18" s="268">
        <f>+'Purchase-Expenses-AP Schedule'!Q79</f>
        <v>36932.215320000003</v>
      </c>
      <c r="DU18" s="272">
        <f>DT18</f>
        <v>36932.215320000003</v>
      </c>
      <c r="DV18" s="268">
        <f>+'Purchase-Expenses-AP Schedule'!F80</f>
        <v>35454.926707200008</v>
      </c>
      <c r="DW18" s="268">
        <f>+'Purchase-Expenses-AP Schedule'!G80</f>
        <v>31023.06086880001</v>
      </c>
      <c r="DX18" s="268">
        <f>+'Purchase-Expenses-AP Schedule'!H80</f>
        <v>32500.349481600006</v>
      </c>
      <c r="DY18" s="268">
        <f>+'Purchase-Expenses-AP Schedule'!I80</f>
        <v>35454.926707200008</v>
      </c>
      <c r="DZ18" s="268">
        <f>+'Purchase-Expenses-AP Schedule'!J80</f>
        <v>37227.673042560011</v>
      </c>
      <c r="EA18" s="268">
        <f>+'Purchase-Expenses-AP Schedule'!K80</f>
        <v>36932.215320000003</v>
      </c>
      <c r="EB18" s="268">
        <f>+'Purchase-Expenses-AP Schedule'!L80</f>
        <v>36721.174089599997</v>
      </c>
      <c r="EC18" s="268">
        <f>+'Purchase-Expenses-AP Schedule'!M80</f>
        <v>37670.859626400008</v>
      </c>
      <c r="ED18" s="268">
        <f>+'Purchase-Expenses-AP Schedule'!N80</f>
        <v>38409.503932800006</v>
      </c>
      <c r="EE18" s="268">
        <f>+'Purchase-Expenses-AP Schedule'!O80</f>
        <v>38114.046210240005</v>
      </c>
      <c r="EF18" s="268">
        <f>+'Purchase-Expenses-AP Schedule'!P80</f>
        <v>37066.514284800011</v>
      </c>
      <c r="EG18" s="268">
        <f>+'Purchase-Expenses-AP Schedule'!Q80</f>
        <v>36932.215320000003</v>
      </c>
      <c r="EH18" s="272">
        <f>EG18</f>
        <v>36932.215320000003</v>
      </c>
      <c r="EI18" s="21"/>
      <c r="EJ18" s="21"/>
      <c r="EK18" s="21"/>
      <c r="EL18" s="21"/>
      <c r="EM18" s="21"/>
    </row>
    <row r="19" spans="1:143" ht="13.5" customHeight="1">
      <c r="A19" s="21"/>
      <c r="B19" s="21"/>
      <c r="C19" s="21"/>
      <c r="D19" s="622">
        <f t="shared" si="63"/>
        <v>11</v>
      </c>
      <c r="E19" s="1625"/>
      <c r="F19" s="265" t="s">
        <v>577</v>
      </c>
      <c r="G19" s="289">
        <f>+Assumption!K199</f>
        <v>4</v>
      </c>
      <c r="H19" s="286">
        <f>Historical!K37</f>
        <v>2203</v>
      </c>
      <c r="I19" s="268">
        <f>+H19+I17-I21</f>
        <v>2203</v>
      </c>
      <c r="J19" s="287">
        <f>+I19+J17-J21</f>
        <v>2203</v>
      </c>
      <c r="K19" s="287">
        <f>+J19+K17-K21</f>
        <v>2203</v>
      </c>
      <c r="L19" s="287">
        <f>+K19+L17-L21</f>
        <v>2203</v>
      </c>
      <c r="M19" s="287">
        <f>+L19+M17-M21</f>
        <v>2203</v>
      </c>
      <c r="N19" s="287">
        <f t="shared" ref="N19:S19" si="94">+M19+N17-N21</f>
        <v>2203</v>
      </c>
      <c r="O19" s="287">
        <f t="shared" si="94"/>
        <v>1652.25</v>
      </c>
      <c r="P19" s="287">
        <f t="shared" si="94"/>
        <v>1101.5</v>
      </c>
      <c r="Q19" s="287">
        <f t="shared" si="94"/>
        <v>550.75</v>
      </c>
      <c r="R19" s="287">
        <f t="shared" si="94"/>
        <v>0</v>
      </c>
      <c r="S19" s="287">
        <f t="shared" si="94"/>
        <v>0</v>
      </c>
      <c r="T19" s="287">
        <f>+S19+T17-T21</f>
        <v>0</v>
      </c>
      <c r="U19" s="272">
        <f>+T19</f>
        <v>0</v>
      </c>
      <c r="V19" s="287">
        <f>+U19+V17-V21</f>
        <v>0</v>
      </c>
      <c r="W19" s="287">
        <f>+V19+W17-W21</f>
        <v>0</v>
      </c>
      <c r="X19" s="287">
        <f t="shared" ref="X19:AG19" si="95">+W19+X17-X21</f>
        <v>0</v>
      </c>
      <c r="Y19" s="287">
        <f t="shared" si="95"/>
        <v>0</v>
      </c>
      <c r="Z19" s="287">
        <f t="shared" si="95"/>
        <v>0</v>
      </c>
      <c r="AA19" s="287">
        <f t="shared" si="95"/>
        <v>0</v>
      </c>
      <c r="AB19" s="287">
        <f t="shared" si="95"/>
        <v>0</v>
      </c>
      <c r="AC19" s="287">
        <f t="shared" si="95"/>
        <v>0</v>
      </c>
      <c r="AD19" s="287">
        <f t="shared" si="95"/>
        <v>0</v>
      </c>
      <c r="AE19" s="287">
        <f t="shared" si="95"/>
        <v>0</v>
      </c>
      <c r="AF19" s="287">
        <f t="shared" si="95"/>
        <v>0</v>
      </c>
      <c r="AG19" s="287">
        <f t="shared" si="95"/>
        <v>0</v>
      </c>
      <c r="AH19" s="272">
        <f>+AG19</f>
        <v>0</v>
      </c>
      <c r="AI19" s="287">
        <f t="shared" ref="AI19:AT19" si="96">+AH19+AI17-AI21</f>
        <v>0</v>
      </c>
      <c r="AJ19" s="287">
        <f t="shared" si="96"/>
        <v>0</v>
      </c>
      <c r="AK19" s="287">
        <f t="shared" si="96"/>
        <v>0</v>
      </c>
      <c r="AL19" s="287">
        <f t="shared" si="96"/>
        <v>0</v>
      </c>
      <c r="AM19" s="287">
        <f t="shared" si="96"/>
        <v>0</v>
      </c>
      <c r="AN19" s="287">
        <f t="shared" si="96"/>
        <v>0</v>
      </c>
      <c r="AO19" s="287">
        <f t="shared" si="96"/>
        <v>0</v>
      </c>
      <c r="AP19" s="287">
        <f t="shared" si="96"/>
        <v>0</v>
      </c>
      <c r="AQ19" s="287">
        <f t="shared" si="96"/>
        <v>0</v>
      </c>
      <c r="AR19" s="287">
        <f t="shared" si="96"/>
        <v>0</v>
      </c>
      <c r="AS19" s="287">
        <f t="shared" si="96"/>
        <v>0</v>
      </c>
      <c r="AT19" s="287">
        <f t="shared" si="96"/>
        <v>0</v>
      </c>
      <c r="AU19" s="272">
        <f>+AT19</f>
        <v>0</v>
      </c>
      <c r="AV19" s="287">
        <f t="shared" ref="AV19:BG19" si="97">+AU19+AV17-AV21</f>
        <v>0</v>
      </c>
      <c r="AW19" s="287">
        <f t="shared" si="97"/>
        <v>0</v>
      </c>
      <c r="AX19" s="287">
        <f t="shared" si="97"/>
        <v>0</v>
      </c>
      <c r="AY19" s="287">
        <f t="shared" si="97"/>
        <v>0</v>
      </c>
      <c r="AZ19" s="287">
        <f t="shared" si="97"/>
        <v>0</v>
      </c>
      <c r="BA19" s="287">
        <f t="shared" si="97"/>
        <v>0</v>
      </c>
      <c r="BB19" s="287">
        <f t="shared" si="97"/>
        <v>0</v>
      </c>
      <c r="BC19" s="287">
        <f t="shared" si="97"/>
        <v>0</v>
      </c>
      <c r="BD19" s="287">
        <f t="shared" si="97"/>
        <v>0</v>
      </c>
      <c r="BE19" s="287">
        <f t="shared" si="97"/>
        <v>0</v>
      </c>
      <c r="BF19" s="287">
        <f t="shared" si="97"/>
        <v>0</v>
      </c>
      <c r="BG19" s="287">
        <f t="shared" si="97"/>
        <v>0</v>
      </c>
      <c r="BH19" s="272">
        <f>+BG19</f>
        <v>0</v>
      </c>
      <c r="BI19" s="287">
        <f t="shared" ref="BI19:BT19" si="98">+BH19+BI17-BI21</f>
        <v>0</v>
      </c>
      <c r="BJ19" s="287">
        <f t="shared" si="98"/>
        <v>0</v>
      </c>
      <c r="BK19" s="287">
        <f t="shared" si="98"/>
        <v>0</v>
      </c>
      <c r="BL19" s="287">
        <f t="shared" si="98"/>
        <v>0</v>
      </c>
      <c r="BM19" s="287">
        <f t="shared" si="98"/>
        <v>0</v>
      </c>
      <c r="BN19" s="287">
        <f t="shared" si="98"/>
        <v>0</v>
      </c>
      <c r="BO19" s="287">
        <f t="shared" si="98"/>
        <v>0</v>
      </c>
      <c r="BP19" s="287">
        <f t="shared" si="98"/>
        <v>0</v>
      </c>
      <c r="BQ19" s="287">
        <f t="shared" si="98"/>
        <v>0</v>
      </c>
      <c r="BR19" s="287">
        <f t="shared" si="98"/>
        <v>0</v>
      </c>
      <c r="BS19" s="287">
        <f t="shared" si="98"/>
        <v>0</v>
      </c>
      <c r="BT19" s="287">
        <f t="shared" si="98"/>
        <v>0</v>
      </c>
      <c r="BU19" s="272">
        <f>+BT19</f>
        <v>0</v>
      </c>
      <c r="BV19" s="287">
        <f t="shared" ref="BV19:CG19" si="99">+BU19+BV17-BV21</f>
        <v>0</v>
      </c>
      <c r="BW19" s="287">
        <f t="shared" si="99"/>
        <v>0</v>
      </c>
      <c r="BX19" s="287">
        <f t="shared" si="99"/>
        <v>0</v>
      </c>
      <c r="BY19" s="287">
        <f t="shared" si="99"/>
        <v>0</v>
      </c>
      <c r="BZ19" s="287">
        <f t="shared" si="99"/>
        <v>0</v>
      </c>
      <c r="CA19" s="287">
        <f t="shared" si="99"/>
        <v>0</v>
      </c>
      <c r="CB19" s="287">
        <f t="shared" si="99"/>
        <v>0</v>
      </c>
      <c r="CC19" s="287">
        <f t="shared" si="99"/>
        <v>0</v>
      </c>
      <c r="CD19" s="287">
        <f t="shared" si="99"/>
        <v>0</v>
      </c>
      <c r="CE19" s="287">
        <f t="shared" si="99"/>
        <v>0</v>
      </c>
      <c r="CF19" s="287">
        <f t="shared" si="99"/>
        <v>0</v>
      </c>
      <c r="CG19" s="287">
        <f t="shared" si="99"/>
        <v>0</v>
      </c>
      <c r="CH19" s="272">
        <f>+CG19</f>
        <v>0</v>
      </c>
      <c r="CI19" s="287">
        <f t="shared" ref="CI19:CT19" si="100">+CH19+CI17-CI21</f>
        <v>0</v>
      </c>
      <c r="CJ19" s="287">
        <f t="shared" si="100"/>
        <v>0</v>
      </c>
      <c r="CK19" s="287">
        <f t="shared" si="100"/>
        <v>0</v>
      </c>
      <c r="CL19" s="287">
        <f t="shared" si="100"/>
        <v>0</v>
      </c>
      <c r="CM19" s="287">
        <f t="shared" si="100"/>
        <v>0</v>
      </c>
      <c r="CN19" s="287">
        <f t="shared" si="100"/>
        <v>0</v>
      </c>
      <c r="CO19" s="287">
        <f t="shared" si="100"/>
        <v>0</v>
      </c>
      <c r="CP19" s="287">
        <f t="shared" si="100"/>
        <v>0</v>
      </c>
      <c r="CQ19" s="287">
        <f t="shared" si="100"/>
        <v>0</v>
      </c>
      <c r="CR19" s="287">
        <f t="shared" si="100"/>
        <v>0</v>
      </c>
      <c r="CS19" s="287">
        <f t="shared" si="100"/>
        <v>0</v>
      </c>
      <c r="CT19" s="287">
        <f t="shared" si="100"/>
        <v>0</v>
      </c>
      <c r="CU19" s="272">
        <f>+CT19</f>
        <v>0</v>
      </c>
      <c r="CV19" s="287">
        <f t="shared" ref="CV19:DG19" si="101">+CU19+CV17-CV21</f>
        <v>0</v>
      </c>
      <c r="CW19" s="287">
        <f t="shared" si="101"/>
        <v>0</v>
      </c>
      <c r="CX19" s="287">
        <f t="shared" si="101"/>
        <v>0</v>
      </c>
      <c r="CY19" s="287">
        <f t="shared" si="101"/>
        <v>0</v>
      </c>
      <c r="CZ19" s="287">
        <f t="shared" si="101"/>
        <v>0</v>
      </c>
      <c r="DA19" s="287">
        <f t="shared" si="101"/>
        <v>0</v>
      </c>
      <c r="DB19" s="287">
        <f t="shared" si="101"/>
        <v>0</v>
      </c>
      <c r="DC19" s="287">
        <f t="shared" si="101"/>
        <v>0</v>
      </c>
      <c r="DD19" s="287">
        <f t="shared" si="101"/>
        <v>0</v>
      </c>
      <c r="DE19" s="287">
        <f t="shared" si="101"/>
        <v>0</v>
      </c>
      <c r="DF19" s="287">
        <f t="shared" si="101"/>
        <v>0</v>
      </c>
      <c r="DG19" s="287">
        <f t="shared" si="101"/>
        <v>0</v>
      </c>
      <c r="DH19" s="272">
        <f>+DG19</f>
        <v>0</v>
      </c>
      <c r="DI19" s="287">
        <f t="shared" ref="DI19:DT19" si="102">+DH19+DI17-DI21</f>
        <v>0</v>
      </c>
      <c r="DJ19" s="287">
        <f t="shared" si="102"/>
        <v>0</v>
      </c>
      <c r="DK19" s="287">
        <f t="shared" si="102"/>
        <v>0</v>
      </c>
      <c r="DL19" s="287">
        <f t="shared" si="102"/>
        <v>0</v>
      </c>
      <c r="DM19" s="287">
        <f t="shared" si="102"/>
        <v>0</v>
      </c>
      <c r="DN19" s="287">
        <f t="shared" si="102"/>
        <v>0</v>
      </c>
      <c r="DO19" s="287">
        <f t="shared" si="102"/>
        <v>0</v>
      </c>
      <c r="DP19" s="287">
        <f t="shared" si="102"/>
        <v>0</v>
      </c>
      <c r="DQ19" s="287">
        <f t="shared" si="102"/>
        <v>0</v>
      </c>
      <c r="DR19" s="287">
        <f t="shared" si="102"/>
        <v>0</v>
      </c>
      <c r="DS19" s="287">
        <f t="shared" si="102"/>
        <v>0</v>
      </c>
      <c r="DT19" s="287">
        <f t="shared" si="102"/>
        <v>0</v>
      </c>
      <c r="DU19" s="272">
        <f>+DT19</f>
        <v>0</v>
      </c>
      <c r="DV19" s="287">
        <f t="shared" ref="DV19:EG19" si="103">+DU19+DV17-DV21</f>
        <v>0</v>
      </c>
      <c r="DW19" s="287">
        <f t="shared" si="103"/>
        <v>0</v>
      </c>
      <c r="DX19" s="287">
        <f t="shared" si="103"/>
        <v>0</v>
      </c>
      <c r="DY19" s="287">
        <f t="shared" si="103"/>
        <v>0</v>
      </c>
      <c r="DZ19" s="287">
        <f t="shared" si="103"/>
        <v>0</v>
      </c>
      <c r="EA19" s="287">
        <f t="shared" si="103"/>
        <v>0</v>
      </c>
      <c r="EB19" s="287">
        <f t="shared" si="103"/>
        <v>0</v>
      </c>
      <c r="EC19" s="287">
        <f t="shared" si="103"/>
        <v>0</v>
      </c>
      <c r="ED19" s="287">
        <f t="shared" si="103"/>
        <v>0</v>
      </c>
      <c r="EE19" s="287">
        <f t="shared" si="103"/>
        <v>0</v>
      </c>
      <c r="EF19" s="287">
        <f t="shared" si="103"/>
        <v>0</v>
      </c>
      <c r="EG19" s="287">
        <f t="shared" si="103"/>
        <v>0</v>
      </c>
      <c r="EH19" s="272">
        <f>+EG19</f>
        <v>0</v>
      </c>
      <c r="EI19" s="21"/>
      <c r="EJ19" s="21"/>
      <c r="EK19" s="21"/>
      <c r="EL19" s="21"/>
      <c r="EM19" s="21"/>
    </row>
    <row r="20" spans="1:143" ht="13.5" customHeight="1">
      <c r="A20" s="21"/>
      <c r="B20" s="21"/>
      <c r="C20" s="21"/>
      <c r="D20" s="622">
        <f t="shared" si="63"/>
        <v>12</v>
      </c>
      <c r="E20" s="1625"/>
      <c r="F20" s="265" t="s">
        <v>578</v>
      </c>
      <c r="G20" s="266"/>
      <c r="H20" s="286"/>
      <c r="I20" s="268">
        <f>+H18+I16-I18</f>
        <v>2403</v>
      </c>
      <c r="J20" s="268">
        <f t="shared" ref="J20:T20" si="104">+I18+J16-J18</f>
        <v>0</v>
      </c>
      <c r="K20" s="268">
        <f t="shared" si="104"/>
        <v>0</v>
      </c>
      <c r="L20" s="268">
        <f t="shared" si="104"/>
        <v>0</v>
      </c>
      <c r="M20" s="268">
        <f t="shared" si="104"/>
        <v>0</v>
      </c>
      <c r="N20" s="268">
        <f t="shared" si="104"/>
        <v>0</v>
      </c>
      <c r="O20" s="268">
        <f t="shared" si="104"/>
        <v>1039.8123809523809</v>
      </c>
      <c r="P20" s="268">
        <f t="shared" si="104"/>
        <v>4268.0592857142856</v>
      </c>
      <c r="Q20" s="268">
        <f t="shared" si="104"/>
        <v>4225.2461111111106</v>
      </c>
      <c r="R20" s="268">
        <f t="shared" si="104"/>
        <v>3393.7815555555553</v>
      </c>
      <c r="S20" s="268">
        <f t="shared" si="104"/>
        <v>2566.785515151515</v>
      </c>
      <c r="T20" s="268">
        <f t="shared" si="104"/>
        <v>3350.2873737373743</v>
      </c>
      <c r="U20" s="272">
        <f>SUM(L20:T20)</f>
        <v>18843.972222222223</v>
      </c>
      <c r="V20" s="268">
        <f t="shared" ref="V20:AG20" si="105">+U18+V16-V18</f>
        <v>9285.8277777777785</v>
      </c>
      <c r="W20" s="268">
        <f t="shared" si="105"/>
        <v>7171.34</v>
      </c>
      <c r="X20" s="268">
        <f t="shared" si="105"/>
        <v>9238.753333333334</v>
      </c>
      <c r="Y20" s="268">
        <f t="shared" si="105"/>
        <v>11499.986666666668</v>
      </c>
      <c r="Z20" s="268">
        <f t="shared" si="105"/>
        <v>11551.672</v>
      </c>
      <c r="AA20" s="268">
        <f t="shared" si="105"/>
        <v>9316.2813333333343</v>
      </c>
      <c r="AB20" s="268">
        <f t="shared" si="105"/>
        <v>9312.5895238095236</v>
      </c>
      <c r="AC20" s="268">
        <f t="shared" si="105"/>
        <v>11587.667142857144</v>
      </c>
      <c r="AD20" s="268">
        <f t="shared" si="105"/>
        <v>11596.896666666667</v>
      </c>
      <c r="AE20" s="268">
        <f t="shared" si="105"/>
        <v>9316.2813333333324</v>
      </c>
      <c r="AF20" s="268">
        <f t="shared" si="105"/>
        <v>7023.3319999999994</v>
      </c>
      <c r="AG20" s="268">
        <f t="shared" si="105"/>
        <v>9309.2333333333354</v>
      </c>
      <c r="AH20" s="272">
        <f>SUM(Y20:AG20)</f>
        <v>90513.94</v>
      </c>
      <c r="AI20" s="268">
        <f t="shared" ref="AI20:AT20" si="106">+AH18+AI16-AI18</f>
        <v>10046.446666666665</v>
      </c>
      <c r="AJ20" s="268">
        <f t="shared" si="106"/>
        <v>7798.9339999999984</v>
      </c>
      <c r="AK20" s="268">
        <f t="shared" si="106"/>
        <v>10047.275333333331</v>
      </c>
      <c r="AL20" s="268">
        <f t="shared" si="106"/>
        <v>12506.398666666666</v>
      </c>
      <c r="AM20" s="268">
        <f t="shared" si="106"/>
        <v>12562.607199999999</v>
      </c>
      <c r="AN20" s="268">
        <f t="shared" si="106"/>
        <v>10131.588133333331</v>
      </c>
      <c r="AO20" s="268">
        <f t="shared" si="106"/>
        <v>10127.573238095236</v>
      </c>
      <c r="AP20" s="268">
        <f t="shared" si="106"/>
        <v>12601.752428571428</v>
      </c>
      <c r="AQ20" s="268">
        <f t="shared" si="106"/>
        <v>12611.789666666664</v>
      </c>
      <c r="AR20" s="268">
        <f t="shared" si="106"/>
        <v>10131.588133333333</v>
      </c>
      <c r="AS20" s="268">
        <f t="shared" si="106"/>
        <v>7637.9731999999976</v>
      </c>
      <c r="AT20" s="268">
        <f t="shared" si="106"/>
        <v>10123.923333333332</v>
      </c>
      <c r="AU20" s="272">
        <f>SUM(AL20:AT20)</f>
        <v>98435.193999999989</v>
      </c>
      <c r="AV20" s="268">
        <f t="shared" ref="AV20:BG20" si="107">+AU18+AV16-AV18</f>
        <v>11030.924666666666</v>
      </c>
      <c r="AW20" s="268">
        <f t="shared" si="107"/>
        <v>8578.8274000000001</v>
      </c>
      <c r="AX20" s="268">
        <f t="shared" si="107"/>
        <v>11052.002866666666</v>
      </c>
      <c r="AY20" s="268">
        <f t="shared" si="107"/>
        <v>13757.038533333334</v>
      </c>
      <c r="AZ20" s="268">
        <f t="shared" si="107"/>
        <v>13818.867920000001</v>
      </c>
      <c r="BA20" s="268">
        <f t="shared" si="107"/>
        <v>11144.746946666668</v>
      </c>
      <c r="BB20" s="268">
        <f t="shared" si="107"/>
        <v>11140.330561904762</v>
      </c>
      <c r="BC20" s="268">
        <f t="shared" si="107"/>
        <v>13861.927671428572</v>
      </c>
      <c r="BD20" s="268">
        <f t="shared" si="107"/>
        <v>13872.968633333334</v>
      </c>
      <c r="BE20" s="268">
        <f t="shared" si="107"/>
        <v>11144.746946666668</v>
      </c>
      <c r="BF20" s="268">
        <f t="shared" si="107"/>
        <v>8401.7705199999982</v>
      </c>
      <c r="BG20" s="268">
        <f t="shared" si="107"/>
        <v>11136.315666666667</v>
      </c>
      <c r="BH20" s="272">
        <f>SUM(AY20:BG20)</f>
        <v>108278.71340000001</v>
      </c>
      <c r="BI20" s="268">
        <f t="shared" ref="BI20:BT20" si="108">+BH18+BI16-BI18</f>
        <v>12134.017133333335</v>
      </c>
      <c r="BJ20" s="268">
        <f t="shared" si="108"/>
        <v>9436.710140000001</v>
      </c>
      <c r="BK20" s="268">
        <f t="shared" si="108"/>
        <v>12157.203153333334</v>
      </c>
      <c r="BL20" s="268">
        <f t="shared" si="108"/>
        <v>15132.74238666667</v>
      </c>
      <c r="BM20" s="268">
        <f t="shared" si="108"/>
        <v>15200.754712000005</v>
      </c>
      <c r="BN20" s="268">
        <f t="shared" si="108"/>
        <v>12259.221641333334</v>
      </c>
      <c r="BO20" s="268">
        <f t="shared" si="108"/>
        <v>12254.36361809524</v>
      </c>
      <c r="BP20" s="268">
        <f t="shared" si="108"/>
        <v>15248.120438571434</v>
      </c>
      <c r="BQ20" s="268">
        <f t="shared" si="108"/>
        <v>15260.265496666671</v>
      </c>
      <c r="BR20" s="268">
        <f t="shared" si="108"/>
        <v>12259.221641333334</v>
      </c>
      <c r="BS20" s="268">
        <f t="shared" si="108"/>
        <v>9241.9475720000009</v>
      </c>
      <c r="BT20" s="268">
        <f t="shared" si="108"/>
        <v>12249.947233333334</v>
      </c>
      <c r="BU20" s="272">
        <f>SUM(BL20:BT20)</f>
        <v>119106.58474000003</v>
      </c>
      <c r="BV20" s="268">
        <f t="shared" ref="BV20:CG20" si="109">+BU18+BV16-BV18</f>
        <v>-15848.627941813336</v>
      </c>
      <c r="BW20" s="287">
        <f t="shared" si="109"/>
        <v>14042.197741</v>
      </c>
      <c r="BX20" s="287">
        <f t="shared" si="109"/>
        <v>12169.904708866667</v>
      </c>
      <c r="BY20" s="287">
        <f t="shared" si="109"/>
        <v>14229.427044213331</v>
      </c>
      <c r="BZ20" s="287">
        <f t="shared" si="109"/>
        <v>15277.911142208002</v>
      </c>
      <c r="CA20" s="287">
        <f t="shared" si="109"/>
        <v>13742.630855858672</v>
      </c>
      <c r="CB20" s="287">
        <f t="shared" si="109"/>
        <v>13667.739134573334</v>
      </c>
      <c r="CC20" s="287">
        <f t="shared" si="109"/>
        <v>16008.105424739995</v>
      </c>
      <c r="CD20" s="287">
        <f t="shared" si="109"/>
        <v>16195.334727953334</v>
      </c>
      <c r="CE20" s="287">
        <f t="shared" si="109"/>
        <v>13742.630855858675</v>
      </c>
      <c r="CF20" s="287">
        <f t="shared" si="109"/>
        <v>11039.720551287995</v>
      </c>
      <c r="CG20" s="288">
        <f t="shared" si="109"/>
        <v>13599.655751586673</v>
      </c>
      <c r="CH20" s="272">
        <f>SUM(BY20:CG20)</f>
        <v>127503.15548828001</v>
      </c>
      <c r="CI20" s="268">
        <f t="shared" ref="CI20:CT20" si="110">+CH18+CI16-CI18</f>
        <v>12505.169943933332</v>
      </c>
      <c r="CJ20" s="287">
        <f t="shared" si="110"/>
        <v>15828.092280000001</v>
      </c>
      <c r="CK20" s="287">
        <f t="shared" si="110"/>
        <v>13717.67997600001</v>
      </c>
      <c r="CL20" s="287">
        <f t="shared" si="110"/>
        <v>16039.133510400003</v>
      </c>
      <c r="CM20" s="287">
        <f t="shared" si="110"/>
        <v>17220.964400640005</v>
      </c>
      <c r="CN20" s="287">
        <f t="shared" si="110"/>
        <v>15490.42631136001</v>
      </c>
      <c r="CO20" s="287">
        <f t="shared" si="110"/>
        <v>15406.009819200008</v>
      </c>
      <c r="CP20" s="287">
        <f t="shared" si="110"/>
        <v>18044.025199199998</v>
      </c>
      <c r="CQ20" s="287">
        <f t="shared" si="110"/>
        <v>18255.06642960001</v>
      </c>
      <c r="CR20" s="287">
        <f t="shared" si="110"/>
        <v>15490.426311360003</v>
      </c>
      <c r="CS20" s="287">
        <f t="shared" si="110"/>
        <v>12443.758367039998</v>
      </c>
      <c r="CT20" s="288">
        <f t="shared" si="110"/>
        <v>15329.26755360001</v>
      </c>
      <c r="CU20" s="272">
        <f>SUM(CL20:CT20)</f>
        <v>143719.07790240005</v>
      </c>
      <c r="CV20" s="268">
        <f t="shared" ref="CV20:DG20" si="111">+CU18+CV16-CV18</f>
        <v>16672.257201599998</v>
      </c>
      <c r="CW20" s="287">
        <f t="shared" si="111"/>
        <v>15828.092280000001</v>
      </c>
      <c r="CX20" s="287">
        <f t="shared" si="111"/>
        <v>13717.67997600001</v>
      </c>
      <c r="CY20" s="287">
        <f t="shared" si="111"/>
        <v>16039.133510400003</v>
      </c>
      <c r="CZ20" s="287">
        <f t="shared" si="111"/>
        <v>17220.964400640005</v>
      </c>
      <c r="DA20" s="287">
        <f t="shared" si="111"/>
        <v>15490.42631136001</v>
      </c>
      <c r="DB20" s="287">
        <f t="shared" si="111"/>
        <v>15406.009819200008</v>
      </c>
      <c r="DC20" s="287">
        <f t="shared" si="111"/>
        <v>18044.025199199998</v>
      </c>
      <c r="DD20" s="287">
        <f t="shared" si="111"/>
        <v>18255.06642960001</v>
      </c>
      <c r="DE20" s="287">
        <f t="shared" si="111"/>
        <v>15490.426311360003</v>
      </c>
      <c r="DF20" s="287">
        <f t="shared" si="111"/>
        <v>12443.758367039998</v>
      </c>
      <c r="DG20" s="288">
        <f t="shared" si="111"/>
        <v>15329.26755360001</v>
      </c>
      <c r="DH20" s="272">
        <f>SUM(CY20:DG20)</f>
        <v>143719.07790240005</v>
      </c>
      <c r="DI20" s="268">
        <f t="shared" ref="DI20:DT20" si="112">+DH18+DI16-DI18</f>
        <v>16672.257201599998</v>
      </c>
      <c r="DJ20" s="287">
        <f t="shared" si="112"/>
        <v>15828.092280000001</v>
      </c>
      <c r="DK20" s="287">
        <f t="shared" si="112"/>
        <v>13717.67997600001</v>
      </c>
      <c r="DL20" s="287">
        <f t="shared" si="112"/>
        <v>16039.133510400003</v>
      </c>
      <c r="DM20" s="287">
        <f t="shared" si="112"/>
        <v>17220.964400640005</v>
      </c>
      <c r="DN20" s="287">
        <f t="shared" si="112"/>
        <v>15490.42631136001</v>
      </c>
      <c r="DO20" s="287">
        <f t="shared" si="112"/>
        <v>15406.009819200008</v>
      </c>
      <c r="DP20" s="287">
        <f t="shared" si="112"/>
        <v>18044.025199199998</v>
      </c>
      <c r="DQ20" s="287">
        <f t="shared" si="112"/>
        <v>18255.06642960001</v>
      </c>
      <c r="DR20" s="287">
        <f t="shared" si="112"/>
        <v>15490.426311360003</v>
      </c>
      <c r="DS20" s="287">
        <f t="shared" si="112"/>
        <v>12443.758367039998</v>
      </c>
      <c r="DT20" s="288">
        <f t="shared" si="112"/>
        <v>15329.26755360001</v>
      </c>
      <c r="DU20" s="272">
        <f>SUM(DL20:DT20)</f>
        <v>143719.07790240005</v>
      </c>
      <c r="DV20" s="268">
        <f t="shared" ref="DV20:EG20" si="113">+DU18+DV16-DV18</f>
        <v>16672.257201599998</v>
      </c>
      <c r="DW20" s="287">
        <f t="shared" si="113"/>
        <v>15828.092280000001</v>
      </c>
      <c r="DX20" s="287">
        <f t="shared" si="113"/>
        <v>13717.67997600001</v>
      </c>
      <c r="DY20" s="287">
        <f t="shared" si="113"/>
        <v>16039.133510400003</v>
      </c>
      <c r="DZ20" s="287">
        <f t="shared" si="113"/>
        <v>17220.964400640005</v>
      </c>
      <c r="EA20" s="287">
        <f t="shared" si="113"/>
        <v>15490.42631136001</v>
      </c>
      <c r="EB20" s="287">
        <f t="shared" si="113"/>
        <v>15406.009819200008</v>
      </c>
      <c r="EC20" s="287">
        <f t="shared" si="113"/>
        <v>18044.025199199998</v>
      </c>
      <c r="ED20" s="287">
        <f t="shared" si="113"/>
        <v>18255.06642960001</v>
      </c>
      <c r="EE20" s="287">
        <f t="shared" si="113"/>
        <v>15490.426311360003</v>
      </c>
      <c r="EF20" s="287">
        <f t="shared" si="113"/>
        <v>12443.758367039998</v>
      </c>
      <c r="EG20" s="288">
        <f t="shared" si="113"/>
        <v>15329.26755360001</v>
      </c>
      <c r="EH20" s="272">
        <f>SUM(DY20:EG20)</f>
        <v>143719.07790240005</v>
      </c>
      <c r="EI20" s="21"/>
      <c r="EJ20" s="21"/>
      <c r="EK20" s="21"/>
      <c r="EL20" s="21"/>
      <c r="EM20" s="21"/>
    </row>
    <row r="21" spans="1:143" ht="13.5" customHeight="1">
      <c r="A21" s="21"/>
      <c r="B21" s="21"/>
      <c r="C21" s="21"/>
      <c r="D21" s="622">
        <f t="shared" si="63"/>
        <v>13</v>
      </c>
      <c r="E21" s="1625"/>
      <c r="F21" s="265" t="s">
        <v>579</v>
      </c>
      <c r="G21" s="266"/>
      <c r="H21" s="286"/>
      <c r="I21" s="268">
        <f>+IF(I5-$I$3&lt;1,H19*I4/$I$3,HLOOKUP(I5-$I$3,I5:T17,13,FALSE))</f>
        <v>0</v>
      </c>
      <c r="J21" s="268">
        <f>+IF(J5-$I$3&lt;1,H19*J4/$I$3,HLOOKUP(J5-$I$3,I5:T17,13,FALSE))</f>
        <v>0</v>
      </c>
      <c r="K21" s="833">
        <f>+IF(K5-$I$3&lt;1,H19*K4/$I$3,HLOOKUP(K5-$I$3,I5:T17,13,FALSE))</f>
        <v>0</v>
      </c>
      <c r="L21" s="833">
        <f>+IF(L5-$I$3&lt;1,H19*L4/$I$3,HLOOKUP(L5-$I$3,I5:T17,13,FALSE))</f>
        <v>0</v>
      </c>
      <c r="M21" s="833">
        <f>+IF(M5-$I$3&lt;1,H19*M4/$I$3,HLOOKUP(M5-$I$3,I5:T17,13,FALSE))</f>
        <v>0</v>
      </c>
      <c r="N21" s="833">
        <f>+IF(N5-$I$3&lt;1,H19*N4/$I$3,HLOOKUP(N5-$I$3,I5:T17,13,FALSE))</f>
        <v>0</v>
      </c>
      <c r="O21" s="833">
        <f>+IF(O5-$I$3&lt;1,H19*O4/$I$3,HLOOKUP(O5-$I$3,I5:T17,13,FALSE))</f>
        <v>550.75</v>
      </c>
      <c r="P21" s="833">
        <f>+IF(P5-$I$3&lt;1,H19*P4/$I$3,HLOOKUP(P5-$I$3,I5:T17,13,FALSE))</f>
        <v>550.75</v>
      </c>
      <c r="Q21" s="833">
        <f>+IF(Q5-$I$3&lt;1,H19*Q4/$I$3,HLOOKUP(Q5-$I$3,I5:T17,13,FALSE))</f>
        <v>550.75</v>
      </c>
      <c r="R21" s="833">
        <f>+IF(R5-$I$3&lt;1,H19*R4/$I$3,HLOOKUP(R5-$I$3,I5:T17,13,FALSE))</f>
        <v>550.75</v>
      </c>
      <c r="S21" s="833">
        <f>+IF(S5-$I$3&lt;1,H19*S4/$I$3,HLOOKUP(S5-$I$3,I5:T17,13,FALSE))</f>
        <v>0</v>
      </c>
      <c r="T21" s="833">
        <f>+IF(T5-$I$3&lt;1,H19*T4/$I$3,HLOOKUP(T5-$I$3,I5:T17,13,FALSE))</f>
        <v>0</v>
      </c>
      <c r="U21" s="272">
        <f t="shared" ref="U21:U30" si="114">SUM(I21:T21)</f>
        <v>2203</v>
      </c>
      <c r="V21" s="833">
        <f>+IF(V5-$I$3&lt;1,U19*V4/$I$3,HLOOKUP(V5-$I$3,V5:AG17,13,FALSE))</f>
        <v>0</v>
      </c>
      <c r="W21" s="833">
        <f>+IF(W5-$I$3&lt;1,U19*W4/$I$3,HLOOKUP(W5-$I$3,V5:AG17,13,FALSE))</f>
        <v>0</v>
      </c>
      <c r="X21" s="833">
        <f>+IF(X5-$I$3&lt;1,U19*X4/$I$3,HLOOKUP(X5-$I$3,V5:AG17,13,FALSE))</f>
        <v>0</v>
      </c>
      <c r="Y21" s="833">
        <f>+IF(Y5-$I$3&lt;1,U19*Y4/$I$3,HLOOKUP(Y5-$I$3,V5:AG17,13,FALSE))</f>
        <v>0</v>
      </c>
      <c r="Z21" s="833">
        <f>+IF(Z5-$I$3&lt;1,U19*Z4/$I$3,HLOOKUP(Z5-$I$3,V5:AG17,13,FALSE))</f>
        <v>0</v>
      </c>
      <c r="AA21" s="833">
        <f>+IF(AA5-$I$3&lt;1,U19*AA4/$I$3,HLOOKUP(AA5-$I$3,V5:AG17,13,FALSE))</f>
        <v>0</v>
      </c>
      <c r="AB21" s="833">
        <f>+IF(AB5-$I$3&lt;1,U19*AB4/$I$3,HLOOKUP(AB5-$I$3,V5:AG17,13,FALSE))</f>
        <v>0</v>
      </c>
      <c r="AC21" s="833">
        <f>+IF(AC5-$I$3&lt;1,U19*AC4/$I$3,HLOOKUP(AC5-$I$3,V5:AG17,13,FALSE))</f>
        <v>0</v>
      </c>
      <c r="AD21" s="833">
        <f>+IF(AD5-$I$3&lt;1,U19*AD4/$I$3,HLOOKUP(AD5-$I$3,V5:AG17,13,FALSE))</f>
        <v>0</v>
      </c>
      <c r="AE21" s="833">
        <f>+IF(AE5-$I$3&lt;1,U19*AE4/$I$3,HLOOKUP(AE5-$I$3,V5:AG17,13,FALSE))</f>
        <v>0</v>
      </c>
      <c r="AF21" s="833">
        <f>+IF(AF5-$I$3&lt;1,U19*AF4/$I$3,HLOOKUP(AF5-$I$3,V5:AG17,13,FALSE))</f>
        <v>0</v>
      </c>
      <c r="AG21" s="833">
        <f>+IF(AG5-$I$3&lt;1,U19*AG4/$I$3,HLOOKUP(AG5-$I$3,V5:AG17,13,FALSE))</f>
        <v>0</v>
      </c>
      <c r="AH21" s="272">
        <f t="shared" ref="AH21:AH30" si="115">SUM(V21:AG21)</f>
        <v>0</v>
      </c>
      <c r="AI21" s="833">
        <f>+IF(AI5-$I$3&lt;1,AH19*AI4/$I$3,HLOOKUP(AI5-$I$3,AI5:AT17,13,FALSE))</f>
        <v>0</v>
      </c>
      <c r="AJ21" s="833">
        <f>+IF(AJ5-$I$3&lt;1,AH19*AJ4/$I$3,HLOOKUP(AJ5-$I$3,AI5:AT17,13,FALSE))</f>
        <v>0</v>
      </c>
      <c r="AK21" s="833">
        <f>+IF(AK5-$I$3&lt;1,AH19*AK4/$I$3,HLOOKUP(AK5-$I$3,AI5:AT17,13,FALSE))</f>
        <v>0</v>
      </c>
      <c r="AL21" s="833">
        <f>+IF(AL5-$I$3&lt;1,AH19*AL4/$I$3,HLOOKUP(AL5-$I$3,AI5:AT17,13,FALSE))</f>
        <v>0</v>
      </c>
      <c r="AM21" s="833">
        <f>+IF(AM5-$I$3&lt;1,AH19*AM4/$I$3,HLOOKUP(AM5-$I$3,AI5:AT17,13,FALSE))</f>
        <v>0</v>
      </c>
      <c r="AN21" s="833">
        <f>+IF(AN5-$I$3&lt;1,AH19*AN4/$I$3,HLOOKUP(AN5-$I$3,AI5:AT17,13,FALSE))</f>
        <v>0</v>
      </c>
      <c r="AO21" s="833">
        <f>+IF(AO5-$I$3&lt;1,AH19*AO4/$I$3,HLOOKUP(AO5-$I$3,AI5:AT17,13,FALSE))</f>
        <v>0</v>
      </c>
      <c r="AP21" s="833">
        <f>+IF(AP5-$I$3&lt;1,AH19*AP4/$I$3,HLOOKUP(AP5-$I$3,AI5:AT17,13,FALSE))</f>
        <v>0</v>
      </c>
      <c r="AQ21" s="833">
        <f>+IF(AQ5-$I$3&lt;1,AH19*AQ4/$I$3,HLOOKUP(AQ5-$I$3,AI5:AT17,13,FALSE))</f>
        <v>0</v>
      </c>
      <c r="AR21" s="833">
        <f>+IF(AR5-$I$3&lt;1,AH19*AR4/$I$3,HLOOKUP(AR5-$I$3,AI5:AT17,13,FALSE))</f>
        <v>0</v>
      </c>
      <c r="AS21" s="833">
        <f>+IF(AS5-$I$3&lt;1,AH19*AS4/$I$3,HLOOKUP(AS5-$I$3,AI5:AT17,13,FALSE))</f>
        <v>0</v>
      </c>
      <c r="AT21" s="833">
        <f>+IF(AT5-$I$3&lt;1,AH19*AT4/$I$3,HLOOKUP(AT5-$I$3,AI5:AT17,13,FALSE))</f>
        <v>0</v>
      </c>
      <c r="AU21" s="272">
        <f t="shared" ref="AU21:AU30" si="116">SUM(AI21:AT21)</f>
        <v>0</v>
      </c>
      <c r="AV21" s="833">
        <f>+IF(AV5-$I$3&lt;1,AU19*AV4/$I$3,HLOOKUP(AV5-$I$3,AV5:BG17,13,FALSE))</f>
        <v>0</v>
      </c>
      <c r="AW21" s="833">
        <f>+IF(AW5-$I$3&lt;1,AU19*AW4/$I$3,HLOOKUP(AW5-$I$3,AV5:BG17,13,FALSE))</f>
        <v>0</v>
      </c>
      <c r="AX21" s="833">
        <f>+IF(AX5-$I$3&lt;1,AU19*AX4/$I$3,HLOOKUP(AX5-$I$3,AV5:BG17,13,FALSE))</f>
        <v>0</v>
      </c>
      <c r="AY21" s="833">
        <f>+IF(AY5-$I$3&lt;1,AU19*AY4/$I$3,HLOOKUP(AY5-$I$3,AV5:BG17,13,FALSE))</f>
        <v>0</v>
      </c>
      <c r="AZ21" s="833">
        <f>+IF(AZ5-$I$3&lt;1,AU19*AZ4/$I$3,HLOOKUP(AZ5-$I$3,AV5:BG17,13,FALSE))</f>
        <v>0</v>
      </c>
      <c r="BA21" s="833">
        <f>+IF(BA5-$I$3&lt;1,AU19*BA4/$I$3,HLOOKUP(BA5-$I$3,AV5:BG17,13,FALSE))</f>
        <v>0</v>
      </c>
      <c r="BB21" s="833">
        <f>+IF(BB5-$I$3&lt;1,AU19*BB4/$I$3,HLOOKUP(BB5-$I$3,AV5:BG17,13,FALSE))</f>
        <v>0</v>
      </c>
      <c r="BC21" s="833">
        <f>+IF(BC5-$I$3&lt;1,AU19*BC4/$I$3,HLOOKUP(BC5-$I$3,AV5:BG17,13,FALSE))</f>
        <v>0</v>
      </c>
      <c r="BD21" s="833">
        <f>+IF(BD5-$I$3&lt;1,AU19*BD4/$I$3,HLOOKUP(BD5-$I$3,AV5:BG17,13,FALSE))</f>
        <v>0</v>
      </c>
      <c r="BE21" s="833">
        <f>+IF(BE5-$I$3&lt;1,AU19*BE4/$I$3,HLOOKUP(BE5-$I$3,AV5:BG17,13,FALSE))</f>
        <v>0</v>
      </c>
      <c r="BF21" s="833">
        <f>+IF(BF5-$I$3&lt;1,AU19*BF4/$I$3,HLOOKUP(BF5-$I$3,AV5:BG17,13,FALSE))</f>
        <v>0</v>
      </c>
      <c r="BG21" s="833">
        <f>+IF(BG5-$I$3&lt;1,AU19*BG4/$I$3,HLOOKUP(BG5-$I$3,AV5:BG17,13,FALSE))</f>
        <v>0</v>
      </c>
      <c r="BH21" s="272">
        <f t="shared" ref="BH21:BH30" si="117">SUM(AV21:BG21)</f>
        <v>0</v>
      </c>
      <c r="BI21" s="833">
        <f>+IF(BI5-$I$3&lt;1,BH19*BI4/$I$3,HLOOKUP(BI5-$I$3,BI5:BT17,13,FALSE))</f>
        <v>0</v>
      </c>
      <c r="BJ21" s="833">
        <f>+IF(BJ5-$I$3&lt;1,BH19*BJ4/$I$3,HLOOKUP(BJ5-$I$3,BI5:BT17,13,FALSE))</f>
        <v>0</v>
      </c>
      <c r="BK21" s="833">
        <f>+IF(BK5-$I$3&lt;1,BH19*BK4/$I$3,HLOOKUP(BK5-$I$3,BI5:BT17,13,FALSE))</f>
        <v>0</v>
      </c>
      <c r="BL21" s="833">
        <f>+IF(BL5-$I$3&lt;1,BH19*BL4/$I$3,HLOOKUP(BL5-$I$3,BI5:BT17,13,FALSE))</f>
        <v>0</v>
      </c>
      <c r="BM21" s="833">
        <f>+IF(BM5-$I$3&lt;1,BH19*BM4/$I$3,HLOOKUP(BM5-$I$3,BI5:BT17,13,FALSE))</f>
        <v>0</v>
      </c>
      <c r="BN21" s="833">
        <f>+IF(BN5-$I$3&lt;1,BH19*BN4/$I$3,HLOOKUP(BN5-$I$3,BI5:BT17,13,FALSE))</f>
        <v>0</v>
      </c>
      <c r="BO21" s="833">
        <f>+IF(BO5-$I$3&lt;1,BH19*BO4/$I$3,HLOOKUP(BO5-$I$3,BI5:BT17,13,FALSE))</f>
        <v>0</v>
      </c>
      <c r="BP21" s="833">
        <f>+IF(BP5-$I$3&lt;1,BH19*BP4/$I$3,HLOOKUP(BP5-$I$3,BI5:BT17,13,FALSE))</f>
        <v>0</v>
      </c>
      <c r="BQ21" s="833">
        <f>+IF(BQ5-$I$3&lt;1,BH19*BQ4/$I$3,HLOOKUP(BQ5-$I$3,BI5:BT17,13,FALSE))</f>
        <v>0</v>
      </c>
      <c r="BR21" s="833">
        <f>+IF(BR5-$I$3&lt;1,BH19*BR4/$I$3,HLOOKUP(BR5-$I$3,BI5:BT17,13,FALSE))</f>
        <v>0</v>
      </c>
      <c r="BS21" s="833">
        <f>+IF(BS5-$I$3&lt;1,BH19*BS4/$I$3,HLOOKUP(BS5-$I$3,BI5:BT17,13,FALSE))</f>
        <v>0</v>
      </c>
      <c r="BT21" s="833">
        <f>+IF(BT5-$I$3&lt;1,BH19*BT4/$I$3,HLOOKUP(BT5-$I$3,BI5:BT17,13,FALSE))</f>
        <v>0</v>
      </c>
      <c r="BU21" s="272">
        <f t="shared" ref="BU21:BU30" si="118">SUM(BI21:BT21)</f>
        <v>0</v>
      </c>
      <c r="BV21" s="268">
        <f t="shared" ref="BV21:CG21" si="119">+IF(BV5-$I$3&lt;1,$BU$19*BV4/$I$3,HLOOKUP(BV5-$I$3,$BV$5:$CG$17,13,FALSE))</f>
        <v>0</v>
      </c>
      <c r="BW21" s="268">
        <f t="shared" si="119"/>
        <v>0</v>
      </c>
      <c r="BX21" s="268">
        <f t="shared" si="119"/>
        <v>0</v>
      </c>
      <c r="BY21" s="268">
        <f t="shared" si="119"/>
        <v>0</v>
      </c>
      <c r="BZ21" s="268">
        <f t="shared" si="119"/>
        <v>0</v>
      </c>
      <c r="CA21" s="268">
        <f t="shared" si="119"/>
        <v>0</v>
      </c>
      <c r="CB21" s="268">
        <f t="shared" si="119"/>
        <v>0</v>
      </c>
      <c r="CC21" s="268">
        <f t="shared" si="119"/>
        <v>0</v>
      </c>
      <c r="CD21" s="268">
        <f t="shared" si="119"/>
        <v>0</v>
      </c>
      <c r="CE21" s="268">
        <f t="shared" si="119"/>
        <v>0</v>
      </c>
      <c r="CF21" s="268">
        <f t="shared" si="119"/>
        <v>0</v>
      </c>
      <c r="CG21" s="268">
        <f t="shared" si="119"/>
        <v>0</v>
      </c>
      <c r="CH21" s="272">
        <f t="shared" ref="CH21:CH30" si="120">SUM(BV21:CG21)</f>
        <v>0</v>
      </c>
      <c r="CI21" s="268">
        <f t="shared" ref="CI21:CT21" si="121">+IF(CI5-$I$3&lt;1,$CH$19*CI4/$I$3,HLOOKUP(CI5-$I$3,$CI$5:$CT$17,13,FALSE))</f>
        <v>0</v>
      </c>
      <c r="CJ21" s="268">
        <f t="shared" si="121"/>
        <v>0</v>
      </c>
      <c r="CK21" s="268">
        <f t="shared" si="121"/>
        <v>0</v>
      </c>
      <c r="CL21" s="268">
        <f t="shared" si="121"/>
        <v>0</v>
      </c>
      <c r="CM21" s="268">
        <f t="shared" si="121"/>
        <v>0</v>
      </c>
      <c r="CN21" s="268">
        <f t="shared" si="121"/>
        <v>0</v>
      </c>
      <c r="CO21" s="268">
        <f t="shared" si="121"/>
        <v>0</v>
      </c>
      <c r="CP21" s="268">
        <f t="shared" si="121"/>
        <v>0</v>
      </c>
      <c r="CQ21" s="268">
        <f t="shared" si="121"/>
        <v>0</v>
      </c>
      <c r="CR21" s="268">
        <f t="shared" si="121"/>
        <v>0</v>
      </c>
      <c r="CS21" s="268">
        <f t="shared" si="121"/>
        <v>0</v>
      </c>
      <c r="CT21" s="268">
        <f t="shared" si="121"/>
        <v>0</v>
      </c>
      <c r="CU21" s="272">
        <f t="shared" ref="CU21:CU30" si="122">SUM(CI21:CT21)</f>
        <v>0</v>
      </c>
      <c r="CV21" s="268">
        <f t="shared" ref="CV21:DG21" si="123">+IF(CV5-$I$3&lt;1,$CU$19*CV4/$I$3,HLOOKUP(CV5-$I$3,$CV$5:$DG$17,13,FALSE))</f>
        <v>0</v>
      </c>
      <c r="CW21" s="268">
        <f t="shared" si="123"/>
        <v>0</v>
      </c>
      <c r="CX21" s="268">
        <f t="shared" si="123"/>
        <v>0</v>
      </c>
      <c r="CY21" s="268">
        <f t="shared" si="123"/>
        <v>0</v>
      </c>
      <c r="CZ21" s="268">
        <f t="shared" si="123"/>
        <v>0</v>
      </c>
      <c r="DA21" s="268">
        <f t="shared" si="123"/>
        <v>0</v>
      </c>
      <c r="DB21" s="268">
        <f t="shared" si="123"/>
        <v>0</v>
      </c>
      <c r="DC21" s="268">
        <f t="shared" si="123"/>
        <v>0</v>
      </c>
      <c r="DD21" s="268">
        <f t="shared" si="123"/>
        <v>0</v>
      </c>
      <c r="DE21" s="268">
        <f t="shared" si="123"/>
        <v>0</v>
      </c>
      <c r="DF21" s="268">
        <f t="shared" si="123"/>
        <v>0</v>
      </c>
      <c r="DG21" s="268">
        <f t="shared" si="123"/>
        <v>0</v>
      </c>
      <c r="DH21" s="272">
        <f t="shared" ref="DH21:DH30" si="124">SUM(CV21:DG21)</f>
        <v>0</v>
      </c>
      <c r="DI21" s="268">
        <f t="shared" ref="DI21:DT21" si="125">+IF(DI5-$I$3&lt;1,$DH$19*DI4/$I$3,HLOOKUP(DI5-$I$3,$DI$5:$DT$17,13,FALSE))</f>
        <v>0</v>
      </c>
      <c r="DJ21" s="268">
        <f t="shared" si="125"/>
        <v>0</v>
      </c>
      <c r="DK21" s="268">
        <f t="shared" si="125"/>
        <v>0</v>
      </c>
      <c r="DL21" s="268">
        <f t="shared" si="125"/>
        <v>0</v>
      </c>
      <c r="DM21" s="268">
        <f t="shared" si="125"/>
        <v>0</v>
      </c>
      <c r="DN21" s="268">
        <f t="shared" si="125"/>
        <v>0</v>
      </c>
      <c r="DO21" s="268">
        <f t="shared" si="125"/>
        <v>0</v>
      </c>
      <c r="DP21" s="268">
        <f t="shared" si="125"/>
        <v>0</v>
      </c>
      <c r="DQ21" s="268">
        <f t="shared" si="125"/>
        <v>0</v>
      </c>
      <c r="DR21" s="268">
        <f t="shared" si="125"/>
        <v>0</v>
      </c>
      <c r="DS21" s="268">
        <f t="shared" si="125"/>
        <v>0</v>
      </c>
      <c r="DT21" s="268">
        <f t="shared" si="125"/>
        <v>0</v>
      </c>
      <c r="DU21" s="272">
        <f t="shared" ref="DU21:DU30" si="126">SUM(DI21:DT21)</f>
        <v>0</v>
      </c>
      <c r="DV21" s="268">
        <f t="shared" ref="DV21:EG21" si="127">+IF(DV5-$I$3&lt;1,$DU$19*DV4/$I$3,HLOOKUP(DV5-$I$3,$DV$5:$EG$17,13,FALSE))</f>
        <v>0</v>
      </c>
      <c r="DW21" s="268">
        <f t="shared" si="127"/>
        <v>0</v>
      </c>
      <c r="DX21" s="268">
        <f t="shared" si="127"/>
        <v>0</v>
      </c>
      <c r="DY21" s="268">
        <f t="shared" si="127"/>
        <v>0</v>
      </c>
      <c r="DZ21" s="268">
        <f t="shared" si="127"/>
        <v>0</v>
      </c>
      <c r="EA21" s="268">
        <f t="shared" si="127"/>
        <v>0</v>
      </c>
      <c r="EB21" s="268">
        <f t="shared" si="127"/>
        <v>0</v>
      </c>
      <c r="EC21" s="268">
        <f t="shared" si="127"/>
        <v>0</v>
      </c>
      <c r="ED21" s="268">
        <f t="shared" si="127"/>
        <v>0</v>
      </c>
      <c r="EE21" s="268">
        <f t="shared" si="127"/>
        <v>0</v>
      </c>
      <c r="EF21" s="268">
        <f t="shared" si="127"/>
        <v>0</v>
      </c>
      <c r="EG21" s="268">
        <f t="shared" si="127"/>
        <v>0</v>
      </c>
      <c r="EH21" s="272">
        <f t="shared" ref="EH21:EH30" si="128">SUM(DV21:EG21)</f>
        <v>0</v>
      </c>
      <c r="EI21" s="21"/>
      <c r="EJ21" s="21"/>
      <c r="EK21" s="21"/>
      <c r="EL21" s="21"/>
      <c r="EM21" s="21"/>
    </row>
    <row r="22" spans="1:143" ht="13.5" customHeight="1">
      <c r="A22" s="21"/>
      <c r="B22" s="21"/>
      <c r="C22" s="21"/>
      <c r="D22" s="622">
        <f t="shared" si="63"/>
        <v>14</v>
      </c>
      <c r="E22" s="1625"/>
      <c r="F22" s="265" t="s">
        <v>580</v>
      </c>
      <c r="G22" s="266"/>
      <c r="H22" s="267"/>
      <c r="I22" s="268">
        <f>+'Purchase-Expenses-AP Schedule'!F84</f>
        <v>0</v>
      </c>
      <c r="J22" s="268">
        <f>+'Purchase-Expenses-AP Schedule'!G84</f>
        <v>0</v>
      </c>
      <c r="K22" s="268">
        <f>+'Purchase-Expenses-AP Schedule'!H84</f>
        <v>0</v>
      </c>
      <c r="L22" s="268">
        <f>+'Purchase-Expenses-AP Schedule'!I84</f>
        <v>0</v>
      </c>
      <c r="M22" s="268">
        <f>+'Purchase-Expenses-AP Schedule'!J84</f>
        <v>0</v>
      </c>
      <c r="N22" s="268">
        <f>+'Purchase-Expenses-AP Schedule'!K84</f>
        <v>0</v>
      </c>
      <c r="O22" s="268">
        <f>+'Purchase-Expenses-AP Schedule'!L84</f>
        <v>0</v>
      </c>
      <c r="P22" s="268">
        <f>+'Purchase-Expenses-AP Schedule'!M84</f>
        <v>0</v>
      </c>
      <c r="Q22" s="268">
        <f>+'Purchase-Expenses-AP Schedule'!N84</f>
        <v>0</v>
      </c>
      <c r="R22" s="268">
        <f>+'Purchase-Expenses-AP Schedule'!O84</f>
        <v>0</v>
      </c>
      <c r="S22" s="268">
        <f>+'Purchase-Expenses-AP Schedule'!P84</f>
        <v>0</v>
      </c>
      <c r="T22" s="270">
        <f>+'Purchase-Expenses-AP Schedule'!Q84</f>
        <v>0</v>
      </c>
      <c r="U22" s="272">
        <f t="shared" si="114"/>
        <v>0</v>
      </c>
      <c r="V22" s="268">
        <f>+'Purchase-Expenses-AP Schedule'!F86</f>
        <v>0</v>
      </c>
      <c r="W22" s="268">
        <f>+'Purchase-Expenses-AP Schedule'!G86</f>
        <v>0</v>
      </c>
      <c r="X22" s="268">
        <f>+'Purchase-Expenses-AP Schedule'!H86</f>
        <v>0</v>
      </c>
      <c r="Y22" s="268">
        <f>+'Purchase-Expenses-AP Schedule'!I86</f>
        <v>0</v>
      </c>
      <c r="Z22" s="268">
        <f>+'Purchase-Expenses-AP Schedule'!J86</f>
        <v>0</v>
      </c>
      <c r="AA22" s="268">
        <f>+'Purchase-Expenses-AP Schedule'!K86</f>
        <v>0</v>
      </c>
      <c r="AB22" s="268">
        <f>+'Purchase-Expenses-AP Schedule'!L86</f>
        <v>0</v>
      </c>
      <c r="AC22" s="268">
        <f>+'Purchase-Expenses-AP Schedule'!M86</f>
        <v>0</v>
      </c>
      <c r="AD22" s="268">
        <f>+'Purchase-Expenses-AP Schedule'!N86</f>
        <v>0</v>
      </c>
      <c r="AE22" s="268">
        <f>+'Purchase-Expenses-AP Schedule'!O86</f>
        <v>0</v>
      </c>
      <c r="AF22" s="268">
        <f>+'Purchase-Expenses-AP Schedule'!P86</f>
        <v>0</v>
      </c>
      <c r="AG22" s="270">
        <f>+'Purchase-Expenses-AP Schedule'!Q86</f>
        <v>0</v>
      </c>
      <c r="AH22" s="272">
        <f t="shared" si="115"/>
        <v>0</v>
      </c>
      <c r="AI22" s="268">
        <f>+'Purchase-Expenses-AP Schedule'!F88</f>
        <v>0</v>
      </c>
      <c r="AJ22" s="268">
        <f>+'Purchase-Expenses-AP Schedule'!G88</f>
        <v>0</v>
      </c>
      <c r="AK22" s="268">
        <f>+'Purchase-Expenses-AP Schedule'!H88</f>
        <v>0</v>
      </c>
      <c r="AL22" s="268">
        <f>+'Purchase-Expenses-AP Schedule'!I88</f>
        <v>0</v>
      </c>
      <c r="AM22" s="268">
        <f>+'Purchase-Expenses-AP Schedule'!J88</f>
        <v>0</v>
      </c>
      <c r="AN22" s="268">
        <f>+'Purchase-Expenses-AP Schedule'!K88</f>
        <v>0</v>
      </c>
      <c r="AO22" s="268">
        <f>+'Purchase-Expenses-AP Schedule'!L88</f>
        <v>0</v>
      </c>
      <c r="AP22" s="268">
        <f>+'Purchase-Expenses-AP Schedule'!M88</f>
        <v>0</v>
      </c>
      <c r="AQ22" s="268">
        <f>+'Purchase-Expenses-AP Schedule'!N88</f>
        <v>0</v>
      </c>
      <c r="AR22" s="268">
        <f>+'Purchase-Expenses-AP Schedule'!O88</f>
        <v>0</v>
      </c>
      <c r="AS22" s="268">
        <f>+'Purchase-Expenses-AP Schedule'!P88</f>
        <v>0</v>
      </c>
      <c r="AT22" s="270">
        <f>+'Purchase-Expenses-AP Schedule'!Q88</f>
        <v>0</v>
      </c>
      <c r="AU22" s="272">
        <f t="shared" si="116"/>
        <v>0</v>
      </c>
      <c r="AV22" s="268">
        <f>+'Purchase-Expenses-AP Schedule'!F90</f>
        <v>0</v>
      </c>
      <c r="AW22" s="268">
        <f>+'Purchase-Expenses-AP Schedule'!G90</f>
        <v>0</v>
      </c>
      <c r="AX22" s="268">
        <f>+'Purchase-Expenses-AP Schedule'!H90</f>
        <v>0</v>
      </c>
      <c r="AY22" s="268">
        <f>+'Purchase-Expenses-AP Schedule'!I90</f>
        <v>0</v>
      </c>
      <c r="AZ22" s="268">
        <f>+'Purchase-Expenses-AP Schedule'!J90</f>
        <v>0</v>
      </c>
      <c r="BA22" s="268">
        <f>+'Purchase-Expenses-AP Schedule'!K90</f>
        <v>0</v>
      </c>
      <c r="BB22" s="268">
        <f>+'Purchase-Expenses-AP Schedule'!L90</f>
        <v>0</v>
      </c>
      <c r="BC22" s="268">
        <f>+'Purchase-Expenses-AP Schedule'!M90</f>
        <v>0</v>
      </c>
      <c r="BD22" s="268">
        <f>+'Purchase-Expenses-AP Schedule'!N90</f>
        <v>0</v>
      </c>
      <c r="BE22" s="268">
        <f>+'Purchase-Expenses-AP Schedule'!O90</f>
        <v>0</v>
      </c>
      <c r="BF22" s="268">
        <f>+'Purchase-Expenses-AP Schedule'!P90</f>
        <v>0</v>
      </c>
      <c r="BG22" s="270">
        <f>+'Purchase-Expenses-AP Schedule'!Q90</f>
        <v>0</v>
      </c>
      <c r="BH22" s="272">
        <f t="shared" si="117"/>
        <v>0</v>
      </c>
      <c r="BI22" s="268">
        <f>+'Purchase-Expenses-AP Schedule'!F92</f>
        <v>0</v>
      </c>
      <c r="BJ22" s="268">
        <f>+'Purchase-Expenses-AP Schedule'!G92</f>
        <v>0</v>
      </c>
      <c r="BK22" s="268">
        <f>+'Purchase-Expenses-AP Schedule'!H92</f>
        <v>0</v>
      </c>
      <c r="BL22" s="268">
        <f>+'Purchase-Expenses-AP Schedule'!I92</f>
        <v>0</v>
      </c>
      <c r="BM22" s="268">
        <f>+'Purchase-Expenses-AP Schedule'!J92</f>
        <v>0</v>
      </c>
      <c r="BN22" s="268">
        <f>+'Purchase-Expenses-AP Schedule'!K92</f>
        <v>0</v>
      </c>
      <c r="BO22" s="268">
        <f>+'Purchase-Expenses-AP Schedule'!L92</f>
        <v>0</v>
      </c>
      <c r="BP22" s="268">
        <f>+'Purchase-Expenses-AP Schedule'!M92</f>
        <v>0</v>
      </c>
      <c r="BQ22" s="268">
        <f>+'Purchase-Expenses-AP Schedule'!N92</f>
        <v>0</v>
      </c>
      <c r="BR22" s="268">
        <f>+'Purchase-Expenses-AP Schedule'!O92</f>
        <v>0</v>
      </c>
      <c r="BS22" s="268">
        <f>+'Purchase-Expenses-AP Schedule'!P92</f>
        <v>0</v>
      </c>
      <c r="BT22" s="270">
        <f>+'Purchase-Expenses-AP Schedule'!Q92</f>
        <v>0</v>
      </c>
      <c r="BU22" s="272">
        <f t="shared" si="118"/>
        <v>0</v>
      </c>
      <c r="BV22" s="268">
        <f>+'Purchase-Expenses-AP Schedule'!F94</f>
        <v>0</v>
      </c>
      <c r="BW22" s="268">
        <f>+'Purchase-Expenses-AP Schedule'!G94</f>
        <v>0</v>
      </c>
      <c r="BX22" s="268">
        <f>+'Purchase-Expenses-AP Schedule'!H94</f>
        <v>0</v>
      </c>
      <c r="BY22" s="268">
        <f>+'Purchase-Expenses-AP Schedule'!I94</f>
        <v>0</v>
      </c>
      <c r="BZ22" s="268">
        <f>+'Purchase-Expenses-AP Schedule'!J94</f>
        <v>0</v>
      </c>
      <c r="CA22" s="268">
        <f>+'Purchase-Expenses-AP Schedule'!K94</f>
        <v>0</v>
      </c>
      <c r="CB22" s="268">
        <f>+'Purchase-Expenses-AP Schedule'!L94</f>
        <v>0</v>
      </c>
      <c r="CC22" s="268">
        <f>+'Purchase-Expenses-AP Schedule'!M94</f>
        <v>0</v>
      </c>
      <c r="CD22" s="268">
        <f>+'Purchase-Expenses-AP Schedule'!N94</f>
        <v>0</v>
      </c>
      <c r="CE22" s="268">
        <f>+'Purchase-Expenses-AP Schedule'!O94</f>
        <v>0</v>
      </c>
      <c r="CF22" s="268">
        <f>+'Purchase-Expenses-AP Schedule'!P94</f>
        <v>0</v>
      </c>
      <c r="CG22" s="270">
        <f>+'Purchase-Expenses-AP Schedule'!Q94</f>
        <v>0</v>
      </c>
      <c r="CH22" s="272">
        <f t="shared" si="120"/>
        <v>0</v>
      </c>
      <c r="CI22" s="268">
        <f>+'Purchase-Expenses-AP Schedule'!F96</f>
        <v>0</v>
      </c>
      <c r="CJ22" s="268">
        <f>+'Purchase-Expenses-AP Schedule'!G96</f>
        <v>0</v>
      </c>
      <c r="CK22" s="268">
        <f>+'Purchase-Expenses-AP Schedule'!H96</f>
        <v>0</v>
      </c>
      <c r="CL22" s="268">
        <f>+'Purchase-Expenses-AP Schedule'!I96</f>
        <v>0</v>
      </c>
      <c r="CM22" s="268">
        <f>+'Purchase-Expenses-AP Schedule'!J96</f>
        <v>0</v>
      </c>
      <c r="CN22" s="268">
        <f>+'Purchase-Expenses-AP Schedule'!K96</f>
        <v>0</v>
      </c>
      <c r="CO22" s="268">
        <f>+'Purchase-Expenses-AP Schedule'!L96</f>
        <v>0</v>
      </c>
      <c r="CP22" s="268">
        <f>+'Purchase-Expenses-AP Schedule'!M96</f>
        <v>0</v>
      </c>
      <c r="CQ22" s="268">
        <f>+'Purchase-Expenses-AP Schedule'!N96</f>
        <v>0</v>
      </c>
      <c r="CR22" s="268">
        <f>+'Purchase-Expenses-AP Schedule'!O96</f>
        <v>0</v>
      </c>
      <c r="CS22" s="268">
        <f>+'Purchase-Expenses-AP Schedule'!P96</f>
        <v>0</v>
      </c>
      <c r="CT22" s="270">
        <f>+'Purchase-Expenses-AP Schedule'!Q96</f>
        <v>0</v>
      </c>
      <c r="CU22" s="272">
        <f t="shared" si="122"/>
        <v>0</v>
      </c>
      <c r="CV22" s="268">
        <f>+'Purchase-Expenses-AP Schedule'!F98</f>
        <v>0</v>
      </c>
      <c r="CW22" s="268">
        <f>+'Purchase-Expenses-AP Schedule'!G98</f>
        <v>0</v>
      </c>
      <c r="CX22" s="268">
        <f>+'Purchase-Expenses-AP Schedule'!H98</f>
        <v>0</v>
      </c>
      <c r="CY22" s="268">
        <f>+'Purchase-Expenses-AP Schedule'!I98</f>
        <v>0</v>
      </c>
      <c r="CZ22" s="268">
        <f>+'Purchase-Expenses-AP Schedule'!J98</f>
        <v>0</v>
      </c>
      <c r="DA22" s="268">
        <f>+'Purchase-Expenses-AP Schedule'!K98</f>
        <v>0</v>
      </c>
      <c r="DB22" s="268">
        <f>+'Purchase-Expenses-AP Schedule'!L98</f>
        <v>0</v>
      </c>
      <c r="DC22" s="268">
        <f>+'Purchase-Expenses-AP Schedule'!M98</f>
        <v>0</v>
      </c>
      <c r="DD22" s="268">
        <f>+'Purchase-Expenses-AP Schedule'!N98</f>
        <v>0</v>
      </c>
      <c r="DE22" s="268">
        <f>+'Purchase-Expenses-AP Schedule'!O98</f>
        <v>0</v>
      </c>
      <c r="DF22" s="268">
        <f>+'Purchase-Expenses-AP Schedule'!P98</f>
        <v>0</v>
      </c>
      <c r="DG22" s="270">
        <f>+'Purchase-Expenses-AP Schedule'!Q98</f>
        <v>0</v>
      </c>
      <c r="DH22" s="272">
        <f t="shared" si="124"/>
        <v>0</v>
      </c>
      <c r="DI22" s="268">
        <f>+'Purchase-Expenses-AP Schedule'!F100</f>
        <v>0</v>
      </c>
      <c r="DJ22" s="268">
        <f>+'Purchase-Expenses-AP Schedule'!G100</f>
        <v>0</v>
      </c>
      <c r="DK22" s="268">
        <f>+'Purchase-Expenses-AP Schedule'!H100</f>
        <v>0</v>
      </c>
      <c r="DL22" s="268">
        <f>+'Purchase-Expenses-AP Schedule'!I100</f>
        <v>0</v>
      </c>
      <c r="DM22" s="268">
        <f>+'Purchase-Expenses-AP Schedule'!J100</f>
        <v>0</v>
      </c>
      <c r="DN22" s="268">
        <f>+'Purchase-Expenses-AP Schedule'!K100</f>
        <v>0</v>
      </c>
      <c r="DO22" s="268">
        <f>+'Purchase-Expenses-AP Schedule'!L100</f>
        <v>0</v>
      </c>
      <c r="DP22" s="268">
        <f>+'Purchase-Expenses-AP Schedule'!M100</f>
        <v>0</v>
      </c>
      <c r="DQ22" s="268">
        <f>+'Purchase-Expenses-AP Schedule'!N100</f>
        <v>0</v>
      </c>
      <c r="DR22" s="268">
        <f>+'Purchase-Expenses-AP Schedule'!O100</f>
        <v>0</v>
      </c>
      <c r="DS22" s="268">
        <f>+'Purchase-Expenses-AP Schedule'!P100</f>
        <v>0</v>
      </c>
      <c r="DT22" s="270">
        <f>+'Purchase-Expenses-AP Schedule'!Q100</f>
        <v>0</v>
      </c>
      <c r="DU22" s="272">
        <f t="shared" si="126"/>
        <v>0</v>
      </c>
      <c r="DV22" s="268">
        <f>+'Purchase-Expenses-AP Schedule'!F102</f>
        <v>0</v>
      </c>
      <c r="DW22" s="268">
        <f>+'Purchase-Expenses-AP Schedule'!G102</f>
        <v>0</v>
      </c>
      <c r="DX22" s="268">
        <f>+'Purchase-Expenses-AP Schedule'!H102</f>
        <v>0</v>
      </c>
      <c r="DY22" s="268">
        <f>+'Purchase-Expenses-AP Schedule'!I102</f>
        <v>0</v>
      </c>
      <c r="DZ22" s="268">
        <f>+'Purchase-Expenses-AP Schedule'!J102</f>
        <v>0</v>
      </c>
      <c r="EA22" s="268">
        <f>+'Purchase-Expenses-AP Schedule'!K102</f>
        <v>0</v>
      </c>
      <c r="EB22" s="268">
        <f>+'Purchase-Expenses-AP Schedule'!L102</f>
        <v>0</v>
      </c>
      <c r="EC22" s="268">
        <f>+'Purchase-Expenses-AP Schedule'!M102</f>
        <v>0</v>
      </c>
      <c r="ED22" s="268">
        <f>+'Purchase-Expenses-AP Schedule'!N102</f>
        <v>0</v>
      </c>
      <c r="EE22" s="268">
        <f>+'Purchase-Expenses-AP Schedule'!O102</f>
        <v>0</v>
      </c>
      <c r="EF22" s="268">
        <f>+'Purchase-Expenses-AP Schedule'!P102</f>
        <v>0</v>
      </c>
      <c r="EG22" s="270">
        <f>+'Purchase-Expenses-AP Schedule'!Q102</f>
        <v>0</v>
      </c>
      <c r="EH22" s="272">
        <f t="shared" si="128"/>
        <v>0</v>
      </c>
      <c r="EI22" s="21"/>
      <c r="EJ22" s="21"/>
      <c r="EK22" s="21"/>
      <c r="EL22" s="21"/>
      <c r="EM22" s="21"/>
    </row>
    <row r="23" spans="1:143" ht="13.5" customHeight="1">
      <c r="A23" s="21"/>
      <c r="B23" s="21"/>
      <c r="C23" s="21"/>
      <c r="D23" s="622">
        <f t="shared" si="63"/>
        <v>15</v>
      </c>
      <c r="E23" s="1625"/>
      <c r="F23" s="265" t="s">
        <v>581</v>
      </c>
      <c r="G23" s="266"/>
      <c r="H23" s="267"/>
      <c r="I23" s="268">
        <f>+'Purchase-Expenses-AP Schedule'!F107</f>
        <v>0</v>
      </c>
      <c r="J23" s="268">
        <f>+'Purchase-Expenses-AP Schedule'!G107</f>
        <v>0</v>
      </c>
      <c r="K23" s="268">
        <f>+'Purchase-Expenses-AP Schedule'!H107</f>
        <v>0</v>
      </c>
      <c r="L23" s="268">
        <f>+'Purchase-Expenses-AP Schedule'!I107</f>
        <v>0</v>
      </c>
      <c r="M23" s="268">
        <f>+'Purchase-Expenses-AP Schedule'!J107</f>
        <v>0</v>
      </c>
      <c r="N23" s="268">
        <f>+'Purchase-Expenses-AP Schedule'!K107</f>
        <v>0</v>
      </c>
      <c r="O23" s="268">
        <f>+'Purchase-Expenses-AP Schedule'!L107</f>
        <v>0</v>
      </c>
      <c r="P23" s="268">
        <f>+'Purchase-Expenses-AP Schedule'!M107</f>
        <v>0</v>
      </c>
      <c r="Q23" s="268">
        <f>+'Purchase-Expenses-AP Schedule'!N107</f>
        <v>0</v>
      </c>
      <c r="R23" s="268">
        <f>+'Purchase-Expenses-AP Schedule'!O107</f>
        <v>0</v>
      </c>
      <c r="S23" s="268">
        <f>+'Purchase-Expenses-AP Schedule'!P107</f>
        <v>0</v>
      </c>
      <c r="T23" s="270">
        <f>+'Purchase-Expenses-AP Schedule'!Q107</f>
        <v>0</v>
      </c>
      <c r="U23" s="272">
        <f t="shared" si="114"/>
        <v>0</v>
      </c>
      <c r="V23" s="268">
        <f>+'Purchase-Expenses-AP Schedule'!F109</f>
        <v>0</v>
      </c>
      <c r="W23" s="268">
        <f>+'Purchase-Expenses-AP Schedule'!G109</f>
        <v>0</v>
      </c>
      <c r="X23" s="268">
        <f>+'Purchase-Expenses-AP Schedule'!H109</f>
        <v>0</v>
      </c>
      <c r="Y23" s="268">
        <f>+'Purchase-Expenses-AP Schedule'!I109</f>
        <v>0</v>
      </c>
      <c r="Z23" s="268">
        <f>+'Purchase-Expenses-AP Schedule'!J109</f>
        <v>0</v>
      </c>
      <c r="AA23" s="268">
        <f>+'Purchase-Expenses-AP Schedule'!K109</f>
        <v>0</v>
      </c>
      <c r="AB23" s="268">
        <f>+'Purchase-Expenses-AP Schedule'!L109</f>
        <v>0</v>
      </c>
      <c r="AC23" s="268">
        <f>+'Purchase-Expenses-AP Schedule'!M109</f>
        <v>0</v>
      </c>
      <c r="AD23" s="268">
        <f>+'Purchase-Expenses-AP Schedule'!N109</f>
        <v>0</v>
      </c>
      <c r="AE23" s="268">
        <f>+'Purchase-Expenses-AP Schedule'!O109</f>
        <v>0</v>
      </c>
      <c r="AF23" s="268">
        <f>+'Purchase-Expenses-AP Schedule'!P109</f>
        <v>0</v>
      </c>
      <c r="AG23" s="270">
        <f>+'Purchase-Expenses-AP Schedule'!Q109</f>
        <v>0</v>
      </c>
      <c r="AH23" s="272">
        <f t="shared" si="115"/>
        <v>0</v>
      </c>
      <c r="AI23" s="268">
        <f>+'Purchase-Expenses-AP Schedule'!F111</f>
        <v>0</v>
      </c>
      <c r="AJ23" s="268">
        <f>+'Purchase-Expenses-AP Schedule'!G111</f>
        <v>0</v>
      </c>
      <c r="AK23" s="268">
        <f>+'Purchase-Expenses-AP Schedule'!H111</f>
        <v>0</v>
      </c>
      <c r="AL23" s="268">
        <f>+'Purchase-Expenses-AP Schedule'!I111</f>
        <v>0</v>
      </c>
      <c r="AM23" s="268">
        <f>+'Purchase-Expenses-AP Schedule'!J111</f>
        <v>0</v>
      </c>
      <c r="AN23" s="268">
        <f>+'Purchase-Expenses-AP Schedule'!K111</f>
        <v>0</v>
      </c>
      <c r="AO23" s="268">
        <f>+'Purchase-Expenses-AP Schedule'!L111</f>
        <v>0</v>
      </c>
      <c r="AP23" s="268">
        <f>+'Purchase-Expenses-AP Schedule'!M111</f>
        <v>0</v>
      </c>
      <c r="AQ23" s="268">
        <f>+'Purchase-Expenses-AP Schedule'!N111</f>
        <v>0</v>
      </c>
      <c r="AR23" s="268">
        <f>+'Purchase-Expenses-AP Schedule'!O111</f>
        <v>0</v>
      </c>
      <c r="AS23" s="268">
        <f>+'Purchase-Expenses-AP Schedule'!P111</f>
        <v>0</v>
      </c>
      <c r="AT23" s="270">
        <f>+'Purchase-Expenses-AP Schedule'!Q111</f>
        <v>0</v>
      </c>
      <c r="AU23" s="272">
        <f t="shared" si="116"/>
        <v>0</v>
      </c>
      <c r="AV23" s="268">
        <f>+'Purchase-Expenses-AP Schedule'!F113</f>
        <v>0</v>
      </c>
      <c r="AW23" s="268">
        <f>+'Purchase-Expenses-AP Schedule'!G113</f>
        <v>0</v>
      </c>
      <c r="AX23" s="268">
        <f>+'Purchase-Expenses-AP Schedule'!H113</f>
        <v>0</v>
      </c>
      <c r="AY23" s="268">
        <f>+'Purchase-Expenses-AP Schedule'!I113</f>
        <v>0</v>
      </c>
      <c r="AZ23" s="268">
        <f>+'Purchase-Expenses-AP Schedule'!J113</f>
        <v>0</v>
      </c>
      <c r="BA23" s="268">
        <f>+'Purchase-Expenses-AP Schedule'!K113</f>
        <v>0</v>
      </c>
      <c r="BB23" s="268">
        <f>+'Purchase-Expenses-AP Schedule'!L113</f>
        <v>0</v>
      </c>
      <c r="BC23" s="268">
        <f>+'Purchase-Expenses-AP Schedule'!M113</f>
        <v>0</v>
      </c>
      <c r="BD23" s="268">
        <f>+'Purchase-Expenses-AP Schedule'!N113</f>
        <v>0</v>
      </c>
      <c r="BE23" s="268">
        <f>+'Purchase-Expenses-AP Schedule'!O113</f>
        <v>0</v>
      </c>
      <c r="BF23" s="268">
        <f>+'Purchase-Expenses-AP Schedule'!P113</f>
        <v>0</v>
      </c>
      <c r="BG23" s="270">
        <f>+'Purchase-Expenses-AP Schedule'!Q113</f>
        <v>0</v>
      </c>
      <c r="BH23" s="272">
        <f t="shared" si="117"/>
        <v>0</v>
      </c>
      <c r="BI23" s="268">
        <f>+'Purchase-Expenses-AP Schedule'!F115</f>
        <v>0</v>
      </c>
      <c r="BJ23" s="268">
        <f>+'Purchase-Expenses-AP Schedule'!G115</f>
        <v>0</v>
      </c>
      <c r="BK23" s="268">
        <f>+'Purchase-Expenses-AP Schedule'!H115</f>
        <v>0</v>
      </c>
      <c r="BL23" s="268">
        <f>+'Purchase-Expenses-AP Schedule'!I115</f>
        <v>0</v>
      </c>
      <c r="BM23" s="268">
        <f>+'Purchase-Expenses-AP Schedule'!J115</f>
        <v>0</v>
      </c>
      <c r="BN23" s="268">
        <f>+'Purchase-Expenses-AP Schedule'!K115</f>
        <v>0</v>
      </c>
      <c r="BO23" s="268">
        <f>+'Purchase-Expenses-AP Schedule'!L115</f>
        <v>0</v>
      </c>
      <c r="BP23" s="268">
        <f>+'Purchase-Expenses-AP Schedule'!M115</f>
        <v>0</v>
      </c>
      <c r="BQ23" s="268">
        <f>+'Purchase-Expenses-AP Schedule'!N115</f>
        <v>0</v>
      </c>
      <c r="BR23" s="268">
        <f>+'Purchase-Expenses-AP Schedule'!O115</f>
        <v>0</v>
      </c>
      <c r="BS23" s="268">
        <f>+'Purchase-Expenses-AP Schedule'!P115</f>
        <v>0</v>
      </c>
      <c r="BT23" s="270">
        <f>+'Purchase-Expenses-AP Schedule'!Q115</f>
        <v>0</v>
      </c>
      <c r="BU23" s="272">
        <f t="shared" si="118"/>
        <v>0</v>
      </c>
      <c r="BV23" s="268">
        <f>+'Purchase-Expenses-AP Schedule'!F117</f>
        <v>0</v>
      </c>
      <c r="BW23" s="268">
        <f>+'Purchase-Expenses-AP Schedule'!G117</f>
        <v>0</v>
      </c>
      <c r="BX23" s="268">
        <f>+'Purchase-Expenses-AP Schedule'!H117</f>
        <v>0</v>
      </c>
      <c r="BY23" s="268">
        <f>+'Purchase-Expenses-AP Schedule'!I117</f>
        <v>0</v>
      </c>
      <c r="BZ23" s="268">
        <f>+'Purchase-Expenses-AP Schedule'!J117</f>
        <v>0</v>
      </c>
      <c r="CA23" s="268">
        <f>+'Purchase-Expenses-AP Schedule'!K117</f>
        <v>0</v>
      </c>
      <c r="CB23" s="268">
        <f>+'Purchase-Expenses-AP Schedule'!L117</f>
        <v>0</v>
      </c>
      <c r="CC23" s="268">
        <f>+'Purchase-Expenses-AP Schedule'!M117</f>
        <v>0</v>
      </c>
      <c r="CD23" s="268">
        <f>+'Purchase-Expenses-AP Schedule'!N117</f>
        <v>0</v>
      </c>
      <c r="CE23" s="268">
        <f>+'Purchase-Expenses-AP Schedule'!O117</f>
        <v>0</v>
      </c>
      <c r="CF23" s="268">
        <f>+'Purchase-Expenses-AP Schedule'!P117</f>
        <v>0</v>
      </c>
      <c r="CG23" s="270">
        <f>+'Purchase-Expenses-AP Schedule'!Q117</f>
        <v>0</v>
      </c>
      <c r="CH23" s="272">
        <f t="shared" si="120"/>
        <v>0</v>
      </c>
      <c r="CI23" s="268">
        <f>+'Purchase-Expenses-AP Schedule'!F119</f>
        <v>0</v>
      </c>
      <c r="CJ23" s="268">
        <f>+'Purchase-Expenses-AP Schedule'!G119</f>
        <v>0</v>
      </c>
      <c r="CK23" s="268">
        <f>+'Purchase-Expenses-AP Schedule'!H119</f>
        <v>0</v>
      </c>
      <c r="CL23" s="268">
        <f>+'Purchase-Expenses-AP Schedule'!I119</f>
        <v>0</v>
      </c>
      <c r="CM23" s="268">
        <f>+'Purchase-Expenses-AP Schedule'!J119</f>
        <v>0</v>
      </c>
      <c r="CN23" s="268">
        <f>+'Purchase-Expenses-AP Schedule'!K119</f>
        <v>0</v>
      </c>
      <c r="CO23" s="268">
        <f>+'Purchase-Expenses-AP Schedule'!L119</f>
        <v>0</v>
      </c>
      <c r="CP23" s="268">
        <f>+'Purchase-Expenses-AP Schedule'!M119</f>
        <v>0</v>
      </c>
      <c r="CQ23" s="268">
        <f>+'Purchase-Expenses-AP Schedule'!N119</f>
        <v>0</v>
      </c>
      <c r="CR23" s="268">
        <f>+'Purchase-Expenses-AP Schedule'!O119</f>
        <v>0</v>
      </c>
      <c r="CS23" s="268">
        <f>+'Purchase-Expenses-AP Schedule'!P119</f>
        <v>0</v>
      </c>
      <c r="CT23" s="270">
        <f>+'Purchase-Expenses-AP Schedule'!Q119</f>
        <v>0</v>
      </c>
      <c r="CU23" s="272">
        <f t="shared" si="122"/>
        <v>0</v>
      </c>
      <c r="CV23" s="268">
        <f>+'Purchase-Expenses-AP Schedule'!F121</f>
        <v>0</v>
      </c>
      <c r="CW23" s="268">
        <f>+'Purchase-Expenses-AP Schedule'!G121</f>
        <v>0</v>
      </c>
      <c r="CX23" s="268">
        <f>+'Purchase-Expenses-AP Schedule'!H121</f>
        <v>0</v>
      </c>
      <c r="CY23" s="268">
        <f>+'Purchase-Expenses-AP Schedule'!I121</f>
        <v>0</v>
      </c>
      <c r="CZ23" s="268">
        <f>+'Purchase-Expenses-AP Schedule'!J121</f>
        <v>0</v>
      </c>
      <c r="DA23" s="268">
        <f>+'Purchase-Expenses-AP Schedule'!K121</f>
        <v>0</v>
      </c>
      <c r="DB23" s="268">
        <f>+'Purchase-Expenses-AP Schedule'!L121</f>
        <v>0</v>
      </c>
      <c r="DC23" s="268">
        <f>+'Purchase-Expenses-AP Schedule'!M121</f>
        <v>0</v>
      </c>
      <c r="DD23" s="268">
        <f>+'Purchase-Expenses-AP Schedule'!N121</f>
        <v>0</v>
      </c>
      <c r="DE23" s="268">
        <f>+'Purchase-Expenses-AP Schedule'!O121</f>
        <v>0</v>
      </c>
      <c r="DF23" s="268">
        <f>+'Purchase-Expenses-AP Schedule'!P121</f>
        <v>0</v>
      </c>
      <c r="DG23" s="270">
        <f>+'Purchase-Expenses-AP Schedule'!Q121</f>
        <v>0</v>
      </c>
      <c r="DH23" s="272">
        <f t="shared" si="124"/>
        <v>0</v>
      </c>
      <c r="DI23" s="268">
        <f>+'Purchase-Expenses-AP Schedule'!F123</f>
        <v>0</v>
      </c>
      <c r="DJ23" s="268">
        <f>+'Purchase-Expenses-AP Schedule'!G123</f>
        <v>0</v>
      </c>
      <c r="DK23" s="268">
        <f>+'Purchase-Expenses-AP Schedule'!H123</f>
        <v>0</v>
      </c>
      <c r="DL23" s="268">
        <f>+'Purchase-Expenses-AP Schedule'!I123</f>
        <v>0</v>
      </c>
      <c r="DM23" s="268">
        <f>+'Purchase-Expenses-AP Schedule'!J123</f>
        <v>0</v>
      </c>
      <c r="DN23" s="268">
        <f>+'Purchase-Expenses-AP Schedule'!K123</f>
        <v>0</v>
      </c>
      <c r="DO23" s="268">
        <f>+'Purchase-Expenses-AP Schedule'!L123</f>
        <v>0</v>
      </c>
      <c r="DP23" s="268">
        <f>+'Purchase-Expenses-AP Schedule'!M123</f>
        <v>0</v>
      </c>
      <c r="DQ23" s="268">
        <f>+'Purchase-Expenses-AP Schedule'!N123</f>
        <v>0</v>
      </c>
      <c r="DR23" s="268">
        <f>+'Purchase-Expenses-AP Schedule'!O123</f>
        <v>0</v>
      </c>
      <c r="DS23" s="268">
        <f>+'Purchase-Expenses-AP Schedule'!P123</f>
        <v>0</v>
      </c>
      <c r="DT23" s="270">
        <f>+'Purchase-Expenses-AP Schedule'!Q123</f>
        <v>0</v>
      </c>
      <c r="DU23" s="272">
        <f t="shared" si="126"/>
        <v>0</v>
      </c>
      <c r="DV23" s="268">
        <f>+'Purchase-Expenses-AP Schedule'!F125</f>
        <v>0</v>
      </c>
      <c r="DW23" s="268">
        <f>+'Purchase-Expenses-AP Schedule'!G125</f>
        <v>0</v>
      </c>
      <c r="DX23" s="268">
        <f>+'Purchase-Expenses-AP Schedule'!H125</f>
        <v>0</v>
      </c>
      <c r="DY23" s="268">
        <f>+'Purchase-Expenses-AP Schedule'!I125</f>
        <v>0</v>
      </c>
      <c r="DZ23" s="268">
        <f>+'Purchase-Expenses-AP Schedule'!J125</f>
        <v>0</v>
      </c>
      <c r="EA23" s="268">
        <f>+'Purchase-Expenses-AP Schedule'!K125</f>
        <v>0</v>
      </c>
      <c r="EB23" s="268">
        <f>+'Purchase-Expenses-AP Schedule'!L125</f>
        <v>0</v>
      </c>
      <c r="EC23" s="268">
        <f>+'Purchase-Expenses-AP Schedule'!M125</f>
        <v>0</v>
      </c>
      <c r="ED23" s="268">
        <f>+'Purchase-Expenses-AP Schedule'!N125</f>
        <v>0</v>
      </c>
      <c r="EE23" s="268">
        <f>+'Purchase-Expenses-AP Schedule'!O125</f>
        <v>0</v>
      </c>
      <c r="EF23" s="268">
        <f>+'Purchase-Expenses-AP Schedule'!P125</f>
        <v>0</v>
      </c>
      <c r="EG23" s="270">
        <f>+'Purchase-Expenses-AP Schedule'!Q125</f>
        <v>0</v>
      </c>
      <c r="EH23" s="272">
        <f t="shared" si="128"/>
        <v>0</v>
      </c>
      <c r="EI23" s="21"/>
      <c r="EJ23" s="21"/>
      <c r="EK23" s="21"/>
      <c r="EL23" s="21"/>
      <c r="EM23" s="21"/>
    </row>
    <row r="24" spans="1:143" ht="13.5" customHeight="1">
      <c r="A24" s="21"/>
      <c r="B24" s="21"/>
      <c r="C24" s="21"/>
      <c r="D24" s="622">
        <f t="shared" si="63"/>
        <v>16</v>
      </c>
      <c r="E24" s="1625"/>
      <c r="F24" s="265" t="s">
        <v>582</v>
      </c>
      <c r="G24" s="266"/>
      <c r="H24" s="290"/>
      <c r="I24" s="268">
        <f>+'Purchase-Expenses-AP Schedule'!F130</f>
        <v>0</v>
      </c>
      <c r="J24" s="268">
        <f>+'Purchase-Expenses-AP Schedule'!G130</f>
        <v>0</v>
      </c>
      <c r="K24" s="268">
        <f>+'Purchase-Expenses-AP Schedule'!H130</f>
        <v>0</v>
      </c>
      <c r="L24" s="268">
        <f>+'Purchase-Expenses-AP Schedule'!I130</f>
        <v>0</v>
      </c>
      <c r="M24" s="268">
        <f>+'Purchase-Expenses-AP Schedule'!J130</f>
        <v>0</v>
      </c>
      <c r="N24" s="268">
        <f>+'Purchase-Expenses-AP Schedule'!K130</f>
        <v>0</v>
      </c>
      <c r="O24" s="268">
        <f>+'Purchase-Expenses-AP Schedule'!L130</f>
        <v>-66.666666666666671</v>
      </c>
      <c r="P24" s="268">
        <f>+'Purchase-Expenses-AP Schedule'!M130</f>
        <v>-66.666666666666671</v>
      </c>
      <c r="Q24" s="268">
        <f>+'Purchase-Expenses-AP Schedule'!N130</f>
        <v>-66.666666666666671</v>
      </c>
      <c r="R24" s="268">
        <f>+'Purchase-Expenses-AP Schedule'!O130</f>
        <v>-66.666666666666671</v>
      </c>
      <c r="S24" s="268">
        <f>+'Purchase-Expenses-AP Schedule'!P130</f>
        <v>-66.666666666666671</v>
      </c>
      <c r="T24" s="270">
        <f>+'Purchase-Expenses-AP Schedule'!Q130</f>
        <v>-66.666666666666671</v>
      </c>
      <c r="U24" s="272">
        <f t="shared" si="114"/>
        <v>-400.00000000000006</v>
      </c>
      <c r="V24" s="268">
        <f>+'Purchase-Expenses-AP Schedule'!F132</f>
        <v>655.41666666666663</v>
      </c>
      <c r="W24" s="268">
        <f>+'Purchase-Expenses-AP Schedule'!G132</f>
        <v>655.41666666666663</v>
      </c>
      <c r="X24" s="268">
        <f>+'Purchase-Expenses-AP Schedule'!H132</f>
        <v>655.41666666666663</v>
      </c>
      <c r="Y24" s="268">
        <f>+'Purchase-Expenses-AP Schedule'!I132</f>
        <v>655.41666666666663</v>
      </c>
      <c r="Z24" s="268">
        <f>+'Purchase-Expenses-AP Schedule'!J132</f>
        <v>655.41666666666663</v>
      </c>
      <c r="AA24" s="268">
        <f>+'Purchase-Expenses-AP Schedule'!K132</f>
        <v>655.41666666666663</v>
      </c>
      <c r="AB24" s="268">
        <f>+'Purchase-Expenses-AP Schedule'!L132</f>
        <v>655.41666666666663</v>
      </c>
      <c r="AC24" s="268">
        <f>+'Purchase-Expenses-AP Schedule'!M132</f>
        <v>655.41666666666663</v>
      </c>
      <c r="AD24" s="268">
        <f>+'Purchase-Expenses-AP Schedule'!N132</f>
        <v>655.41666666666663</v>
      </c>
      <c r="AE24" s="268">
        <f>+'Purchase-Expenses-AP Schedule'!O132</f>
        <v>655.41666666666663</v>
      </c>
      <c r="AF24" s="268">
        <f>+'Purchase-Expenses-AP Schedule'!P132</f>
        <v>655.41666666666663</v>
      </c>
      <c r="AG24" s="270">
        <f>+'Purchase-Expenses-AP Schedule'!Q132</f>
        <v>655.41666666666663</v>
      </c>
      <c r="AH24" s="272">
        <f t="shared" si="115"/>
        <v>7865.0000000000009</v>
      </c>
      <c r="AI24" s="268">
        <f>+'Purchase-Expenses-AP Schedule'!F134</f>
        <v>720.95833333333337</v>
      </c>
      <c r="AJ24" s="268">
        <f>+'Purchase-Expenses-AP Schedule'!G134</f>
        <v>720.95833333333337</v>
      </c>
      <c r="AK24" s="268">
        <f>+'Purchase-Expenses-AP Schedule'!H134</f>
        <v>720.95833333333337</v>
      </c>
      <c r="AL24" s="268">
        <f>+'Purchase-Expenses-AP Schedule'!I134</f>
        <v>720.95833333333337</v>
      </c>
      <c r="AM24" s="268">
        <f>+'Purchase-Expenses-AP Schedule'!J134</f>
        <v>720.95833333333337</v>
      </c>
      <c r="AN24" s="268">
        <f>+'Purchase-Expenses-AP Schedule'!K134</f>
        <v>720.95833333333337</v>
      </c>
      <c r="AO24" s="268">
        <f>+'Purchase-Expenses-AP Schedule'!L134</f>
        <v>720.95833333333337</v>
      </c>
      <c r="AP24" s="268">
        <f>+'Purchase-Expenses-AP Schedule'!M134</f>
        <v>720.95833333333337</v>
      </c>
      <c r="AQ24" s="268">
        <f>+'Purchase-Expenses-AP Schedule'!N134</f>
        <v>720.95833333333337</v>
      </c>
      <c r="AR24" s="268">
        <f>+'Purchase-Expenses-AP Schedule'!O134</f>
        <v>720.95833333333337</v>
      </c>
      <c r="AS24" s="268">
        <f>+'Purchase-Expenses-AP Schedule'!P134</f>
        <v>720.95833333333337</v>
      </c>
      <c r="AT24" s="270">
        <f>+'Purchase-Expenses-AP Schedule'!Q134</f>
        <v>720.95833333333337</v>
      </c>
      <c r="AU24" s="272">
        <f t="shared" si="116"/>
        <v>8651.4999999999982</v>
      </c>
      <c r="AV24" s="268">
        <f>+'Purchase-Expenses-AP Schedule'!F136</f>
        <v>793.05416666666679</v>
      </c>
      <c r="AW24" s="268">
        <f>+'Purchase-Expenses-AP Schedule'!G136</f>
        <v>793.05416666666679</v>
      </c>
      <c r="AX24" s="268">
        <f>+'Purchase-Expenses-AP Schedule'!H136</f>
        <v>793.05416666666679</v>
      </c>
      <c r="AY24" s="268">
        <f>+'Purchase-Expenses-AP Schedule'!I136</f>
        <v>793.05416666666679</v>
      </c>
      <c r="AZ24" s="268">
        <f>+'Purchase-Expenses-AP Schedule'!J136</f>
        <v>793.05416666666679</v>
      </c>
      <c r="BA24" s="268">
        <f>+'Purchase-Expenses-AP Schedule'!K136</f>
        <v>793.05416666666679</v>
      </c>
      <c r="BB24" s="268">
        <f>+'Purchase-Expenses-AP Schedule'!L136</f>
        <v>793.05416666666679</v>
      </c>
      <c r="BC24" s="268">
        <f>+'Purchase-Expenses-AP Schedule'!M136</f>
        <v>793.05416666666679</v>
      </c>
      <c r="BD24" s="268">
        <f>+'Purchase-Expenses-AP Schedule'!N136</f>
        <v>793.05416666666679</v>
      </c>
      <c r="BE24" s="268">
        <f>+'Purchase-Expenses-AP Schedule'!O136</f>
        <v>793.05416666666679</v>
      </c>
      <c r="BF24" s="268">
        <f>+'Purchase-Expenses-AP Schedule'!P136</f>
        <v>793.05416666666679</v>
      </c>
      <c r="BG24" s="270">
        <f>+'Purchase-Expenses-AP Schedule'!Q136</f>
        <v>793.05416666666679</v>
      </c>
      <c r="BH24" s="272">
        <f t="shared" si="117"/>
        <v>9516.6500000000015</v>
      </c>
      <c r="BI24" s="268">
        <f>+'Purchase-Expenses-AP Schedule'!F138</f>
        <v>872.35958333333349</v>
      </c>
      <c r="BJ24" s="268">
        <f>+'Purchase-Expenses-AP Schedule'!G138</f>
        <v>872.35958333333349</v>
      </c>
      <c r="BK24" s="268">
        <f>+'Purchase-Expenses-AP Schedule'!H138</f>
        <v>872.35958333333349</v>
      </c>
      <c r="BL24" s="268">
        <f>+'Purchase-Expenses-AP Schedule'!I138</f>
        <v>872.35958333333349</v>
      </c>
      <c r="BM24" s="268">
        <f>+'Purchase-Expenses-AP Schedule'!J138</f>
        <v>872.35958333333349</v>
      </c>
      <c r="BN24" s="268">
        <f>+'Purchase-Expenses-AP Schedule'!K138</f>
        <v>872.35958333333349</v>
      </c>
      <c r="BO24" s="268">
        <f>+'Purchase-Expenses-AP Schedule'!L138</f>
        <v>872.35958333333349</v>
      </c>
      <c r="BP24" s="268">
        <f>+'Purchase-Expenses-AP Schedule'!M138</f>
        <v>872.35958333333349</v>
      </c>
      <c r="BQ24" s="268">
        <f>+'Purchase-Expenses-AP Schedule'!N138</f>
        <v>872.35958333333349</v>
      </c>
      <c r="BR24" s="268">
        <f>+'Purchase-Expenses-AP Schedule'!O138</f>
        <v>872.35958333333349</v>
      </c>
      <c r="BS24" s="268">
        <f>+'Purchase-Expenses-AP Schedule'!P138</f>
        <v>872.35958333333349</v>
      </c>
      <c r="BT24" s="270">
        <f>+'Purchase-Expenses-AP Schedule'!Q138</f>
        <v>872.35958333333349</v>
      </c>
      <c r="BU24" s="272">
        <f t="shared" si="118"/>
        <v>10468.315000000002</v>
      </c>
      <c r="BV24" s="268">
        <f>+'Purchase-Expenses-AP Schedule'!F140</f>
        <v>304.24506533511192</v>
      </c>
      <c r="BW24" s="268">
        <f>+'Purchase-Expenses-AP Schedule'!G140</f>
        <v>304.24506533511192</v>
      </c>
      <c r="BX24" s="268">
        <f>+'Purchase-Expenses-AP Schedule'!H140</f>
        <v>304.24506533511192</v>
      </c>
      <c r="BY24" s="268">
        <f>+'Purchase-Expenses-AP Schedule'!I140</f>
        <v>304.24506533511192</v>
      </c>
      <c r="BZ24" s="268">
        <f>+'Purchase-Expenses-AP Schedule'!J140</f>
        <v>304.24506533511192</v>
      </c>
      <c r="CA24" s="268">
        <f>+'Purchase-Expenses-AP Schedule'!K140</f>
        <v>304.24506533511192</v>
      </c>
      <c r="CB24" s="268">
        <f>+'Purchase-Expenses-AP Schedule'!L140</f>
        <v>304.24506533511192</v>
      </c>
      <c r="CC24" s="268">
        <f>+'Purchase-Expenses-AP Schedule'!M140</f>
        <v>304.24506533511192</v>
      </c>
      <c r="CD24" s="268">
        <f>+'Purchase-Expenses-AP Schedule'!N140</f>
        <v>304.24506533511192</v>
      </c>
      <c r="CE24" s="268">
        <f>+'Purchase-Expenses-AP Schedule'!O140</f>
        <v>304.24506533511192</v>
      </c>
      <c r="CF24" s="268">
        <f>+'Purchase-Expenses-AP Schedule'!P140</f>
        <v>304.24506533511192</v>
      </c>
      <c r="CG24" s="270">
        <f>+'Purchase-Expenses-AP Schedule'!Q140</f>
        <v>304.24506533511192</v>
      </c>
      <c r="CH24" s="272">
        <f t="shared" si="120"/>
        <v>3650.9407840213439</v>
      </c>
      <c r="CI24" s="268">
        <f>+'Purchase-Expenses-AP Schedule'!F142</f>
        <v>304.24506533511192</v>
      </c>
      <c r="CJ24" s="268">
        <f>+'Purchase-Expenses-AP Schedule'!G142</f>
        <v>304.24506533511192</v>
      </c>
      <c r="CK24" s="268">
        <f>+'Purchase-Expenses-AP Schedule'!H142</f>
        <v>304.24506533511192</v>
      </c>
      <c r="CL24" s="268">
        <f>+'Purchase-Expenses-AP Schedule'!I142</f>
        <v>304.24506533511192</v>
      </c>
      <c r="CM24" s="268">
        <f>+'Purchase-Expenses-AP Schedule'!J142</f>
        <v>304.24506533511192</v>
      </c>
      <c r="CN24" s="268">
        <f>+'Purchase-Expenses-AP Schedule'!K142</f>
        <v>304.24506533511192</v>
      </c>
      <c r="CO24" s="268">
        <f>+'Purchase-Expenses-AP Schedule'!L142</f>
        <v>304.24506533511192</v>
      </c>
      <c r="CP24" s="268">
        <f>+'Purchase-Expenses-AP Schedule'!M142</f>
        <v>304.24506533511192</v>
      </c>
      <c r="CQ24" s="268">
        <f>+'Purchase-Expenses-AP Schedule'!N142</f>
        <v>304.24506533511192</v>
      </c>
      <c r="CR24" s="268">
        <f>+'Purchase-Expenses-AP Schedule'!O142</f>
        <v>304.24506533511192</v>
      </c>
      <c r="CS24" s="268">
        <f>+'Purchase-Expenses-AP Schedule'!P142</f>
        <v>304.24506533511192</v>
      </c>
      <c r="CT24" s="270">
        <f>+'Purchase-Expenses-AP Schedule'!Q142</f>
        <v>304.24506533511192</v>
      </c>
      <c r="CU24" s="272">
        <f t="shared" si="122"/>
        <v>3650.9407840213439</v>
      </c>
      <c r="CV24" s="268">
        <f>+'Purchase-Expenses-AP Schedule'!F144</f>
        <v>304.24506533511192</v>
      </c>
      <c r="CW24" s="268">
        <f>+'Purchase-Expenses-AP Schedule'!G144</f>
        <v>304.24506533511192</v>
      </c>
      <c r="CX24" s="268">
        <f>+'Purchase-Expenses-AP Schedule'!H144</f>
        <v>304.24506533511192</v>
      </c>
      <c r="CY24" s="268">
        <f>+'Purchase-Expenses-AP Schedule'!I144</f>
        <v>304.24506533511192</v>
      </c>
      <c r="CZ24" s="268">
        <f>+'Purchase-Expenses-AP Schedule'!J144</f>
        <v>304.24506533511192</v>
      </c>
      <c r="DA24" s="268">
        <f>+'Purchase-Expenses-AP Schedule'!K144</f>
        <v>304.24506533511192</v>
      </c>
      <c r="DB24" s="268">
        <f>+'Purchase-Expenses-AP Schedule'!L144</f>
        <v>304.24506533511192</v>
      </c>
      <c r="DC24" s="268">
        <f>+'Purchase-Expenses-AP Schedule'!M144</f>
        <v>304.24506533511192</v>
      </c>
      <c r="DD24" s="268">
        <f>+'Purchase-Expenses-AP Schedule'!N144</f>
        <v>304.24506533511192</v>
      </c>
      <c r="DE24" s="268">
        <f>+'Purchase-Expenses-AP Schedule'!O144</f>
        <v>304.24506533511192</v>
      </c>
      <c r="DF24" s="268">
        <f>+'Purchase-Expenses-AP Schedule'!P144</f>
        <v>304.24506533511192</v>
      </c>
      <c r="DG24" s="270">
        <f>+'Purchase-Expenses-AP Schedule'!Q144</f>
        <v>304.24506533511192</v>
      </c>
      <c r="DH24" s="272">
        <f t="shared" si="124"/>
        <v>3650.9407840213439</v>
      </c>
      <c r="DI24" s="268">
        <f>+'Purchase-Expenses-AP Schedule'!F146</f>
        <v>304.24506533511192</v>
      </c>
      <c r="DJ24" s="268">
        <f>+'Purchase-Expenses-AP Schedule'!G146</f>
        <v>304.24506533511192</v>
      </c>
      <c r="DK24" s="268">
        <f>+'Purchase-Expenses-AP Schedule'!H146</f>
        <v>304.24506533511192</v>
      </c>
      <c r="DL24" s="268">
        <f>+'Purchase-Expenses-AP Schedule'!I146</f>
        <v>304.24506533511192</v>
      </c>
      <c r="DM24" s="268">
        <f>+'Purchase-Expenses-AP Schedule'!J146</f>
        <v>304.24506533511192</v>
      </c>
      <c r="DN24" s="268">
        <f>+'Purchase-Expenses-AP Schedule'!K146</f>
        <v>304.24506533511192</v>
      </c>
      <c r="DO24" s="268">
        <f>+'Purchase-Expenses-AP Schedule'!L146</f>
        <v>304.24506533511192</v>
      </c>
      <c r="DP24" s="268">
        <f>+'Purchase-Expenses-AP Schedule'!M146</f>
        <v>304.24506533511192</v>
      </c>
      <c r="DQ24" s="268">
        <f>+'Purchase-Expenses-AP Schedule'!N146</f>
        <v>304.24506533511192</v>
      </c>
      <c r="DR24" s="268">
        <f>+'Purchase-Expenses-AP Schedule'!O146</f>
        <v>304.24506533511192</v>
      </c>
      <c r="DS24" s="268">
        <f>+'Purchase-Expenses-AP Schedule'!P146</f>
        <v>304.24506533511192</v>
      </c>
      <c r="DT24" s="270">
        <f>+'Purchase-Expenses-AP Schedule'!Q146</f>
        <v>304.24506533511192</v>
      </c>
      <c r="DU24" s="272">
        <f t="shared" si="126"/>
        <v>3650.9407840213439</v>
      </c>
      <c r="DV24" s="268">
        <f>+'Purchase-Expenses-AP Schedule'!F148</f>
        <v>304.24506533511192</v>
      </c>
      <c r="DW24" s="268">
        <f>+'Purchase-Expenses-AP Schedule'!G148</f>
        <v>304.24506533511192</v>
      </c>
      <c r="DX24" s="268">
        <f>+'Purchase-Expenses-AP Schedule'!H148</f>
        <v>304.24506533511192</v>
      </c>
      <c r="DY24" s="268">
        <f>+'Purchase-Expenses-AP Schedule'!I148</f>
        <v>304.24506533511192</v>
      </c>
      <c r="DZ24" s="268">
        <f>+'Purchase-Expenses-AP Schedule'!J148</f>
        <v>304.24506533511192</v>
      </c>
      <c r="EA24" s="268">
        <f>+'Purchase-Expenses-AP Schedule'!K148</f>
        <v>304.24506533511192</v>
      </c>
      <c r="EB24" s="268">
        <f>+'Purchase-Expenses-AP Schedule'!L148</f>
        <v>304.24506533511192</v>
      </c>
      <c r="EC24" s="268">
        <f>+'Purchase-Expenses-AP Schedule'!M148</f>
        <v>304.24506533511192</v>
      </c>
      <c r="ED24" s="268">
        <f>+'Purchase-Expenses-AP Schedule'!N148</f>
        <v>304.24506533511192</v>
      </c>
      <c r="EE24" s="268">
        <f>+'Purchase-Expenses-AP Schedule'!O148</f>
        <v>304.24506533511192</v>
      </c>
      <c r="EF24" s="268">
        <f>+'Purchase-Expenses-AP Schedule'!P148</f>
        <v>304.24506533511192</v>
      </c>
      <c r="EG24" s="270">
        <f>+'Purchase-Expenses-AP Schedule'!Q148</f>
        <v>304.24506533511192</v>
      </c>
      <c r="EH24" s="272">
        <f t="shared" si="128"/>
        <v>3650.9407840213439</v>
      </c>
      <c r="EI24" s="21"/>
      <c r="EJ24" s="21"/>
      <c r="EK24" s="21"/>
      <c r="EL24" s="21"/>
      <c r="EM24" s="21"/>
    </row>
    <row r="25" spans="1:143" ht="13.5" customHeight="1">
      <c r="A25" s="21"/>
      <c r="B25" s="21"/>
      <c r="C25" s="21"/>
      <c r="D25" s="622">
        <f t="shared" si="63"/>
        <v>17</v>
      </c>
      <c r="E25" s="1625"/>
      <c r="F25" s="265" t="s">
        <v>583</v>
      </c>
      <c r="G25" s="743">
        <f>Assumption!G198</f>
        <v>0.01</v>
      </c>
      <c r="H25" s="267"/>
      <c r="I25" s="628">
        <f>+$G$25*I17</f>
        <v>0</v>
      </c>
      <c r="J25" s="628">
        <f t="shared" ref="J25:T25" si="129">+$G$25*J17</f>
        <v>0</v>
      </c>
      <c r="K25" s="628">
        <f t="shared" si="129"/>
        <v>0</v>
      </c>
      <c r="L25" s="628">
        <f t="shared" si="129"/>
        <v>0</v>
      </c>
      <c r="M25" s="628">
        <f t="shared" si="129"/>
        <v>0</v>
      </c>
      <c r="N25" s="628">
        <f t="shared" si="129"/>
        <v>0</v>
      </c>
      <c r="O25" s="628">
        <f t="shared" si="129"/>
        <v>0</v>
      </c>
      <c r="P25" s="628">
        <f t="shared" si="129"/>
        <v>0</v>
      </c>
      <c r="Q25" s="628">
        <f t="shared" si="129"/>
        <v>0</v>
      </c>
      <c r="R25" s="628">
        <f t="shared" si="129"/>
        <v>0</v>
      </c>
      <c r="S25" s="628">
        <f t="shared" si="129"/>
        <v>0</v>
      </c>
      <c r="T25" s="629">
        <f t="shared" si="129"/>
        <v>0</v>
      </c>
      <c r="U25" s="272">
        <f t="shared" si="114"/>
        <v>0</v>
      </c>
      <c r="V25" s="628">
        <f t="shared" ref="V25:AG25" si="130">+$G$25*V17</f>
        <v>0</v>
      </c>
      <c r="W25" s="628">
        <f t="shared" si="130"/>
        <v>0</v>
      </c>
      <c r="X25" s="628">
        <f t="shared" si="130"/>
        <v>0</v>
      </c>
      <c r="Y25" s="628">
        <f t="shared" si="130"/>
        <v>0</v>
      </c>
      <c r="Z25" s="628">
        <f t="shared" si="130"/>
        <v>0</v>
      </c>
      <c r="AA25" s="628">
        <f t="shared" si="130"/>
        <v>0</v>
      </c>
      <c r="AB25" s="628">
        <f t="shared" si="130"/>
        <v>0</v>
      </c>
      <c r="AC25" s="628">
        <f t="shared" si="130"/>
        <v>0</v>
      </c>
      <c r="AD25" s="628">
        <f t="shared" si="130"/>
        <v>0</v>
      </c>
      <c r="AE25" s="628">
        <f t="shared" si="130"/>
        <v>0</v>
      </c>
      <c r="AF25" s="628">
        <f t="shared" si="130"/>
        <v>0</v>
      </c>
      <c r="AG25" s="629">
        <f t="shared" si="130"/>
        <v>0</v>
      </c>
      <c r="AH25" s="272">
        <f t="shared" si="115"/>
        <v>0</v>
      </c>
      <c r="AI25" s="628">
        <f t="shared" ref="AI25:AT25" si="131">+$G$25*AI17</f>
        <v>0</v>
      </c>
      <c r="AJ25" s="628">
        <f t="shared" si="131"/>
        <v>0</v>
      </c>
      <c r="AK25" s="628">
        <f t="shared" si="131"/>
        <v>0</v>
      </c>
      <c r="AL25" s="628">
        <f t="shared" si="131"/>
        <v>0</v>
      </c>
      <c r="AM25" s="628">
        <f t="shared" si="131"/>
        <v>0</v>
      </c>
      <c r="AN25" s="628">
        <f t="shared" si="131"/>
        <v>0</v>
      </c>
      <c r="AO25" s="628">
        <f t="shared" si="131"/>
        <v>0</v>
      </c>
      <c r="AP25" s="628">
        <f t="shared" si="131"/>
        <v>0</v>
      </c>
      <c r="AQ25" s="628">
        <f t="shared" si="131"/>
        <v>0</v>
      </c>
      <c r="AR25" s="628">
        <f t="shared" si="131"/>
        <v>0</v>
      </c>
      <c r="AS25" s="628">
        <f t="shared" si="131"/>
        <v>0</v>
      </c>
      <c r="AT25" s="629">
        <f t="shared" si="131"/>
        <v>0</v>
      </c>
      <c r="AU25" s="272">
        <f t="shared" si="116"/>
        <v>0</v>
      </c>
      <c r="AV25" s="628">
        <f t="shared" ref="AV25:BG25" si="132">+$G$25*AV17</f>
        <v>0</v>
      </c>
      <c r="AW25" s="628">
        <f t="shared" si="132"/>
        <v>0</v>
      </c>
      <c r="AX25" s="628">
        <f t="shared" si="132"/>
        <v>0</v>
      </c>
      <c r="AY25" s="628">
        <f t="shared" si="132"/>
        <v>0</v>
      </c>
      <c r="AZ25" s="628">
        <f t="shared" si="132"/>
        <v>0</v>
      </c>
      <c r="BA25" s="628">
        <f t="shared" si="132"/>
        <v>0</v>
      </c>
      <c r="BB25" s="628">
        <f t="shared" si="132"/>
        <v>0</v>
      </c>
      <c r="BC25" s="628">
        <f t="shared" si="132"/>
        <v>0</v>
      </c>
      <c r="BD25" s="628">
        <f t="shared" si="132"/>
        <v>0</v>
      </c>
      <c r="BE25" s="628">
        <f t="shared" si="132"/>
        <v>0</v>
      </c>
      <c r="BF25" s="628">
        <f t="shared" si="132"/>
        <v>0</v>
      </c>
      <c r="BG25" s="629">
        <f t="shared" si="132"/>
        <v>0</v>
      </c>
      <c r="BH25" s="272">
        <f t="shared" si="117"/>
        <v>0</v>
      </c>
      <c r="BI25" s="628">
        <f t="shared" ref="BI25:BT25" si="133">+$G$25*BI17</f>
        <v>0</v>
      </c>
      <c r="BJ25" s="628">
        <f t="shared" si="133"/>
        <v>0</v>
      </c>
      <c r="BK25" s="628">
        <f t="shared" si="133"/>
        <v>0</v>
      </c>
      <c r="BL25" s="628">
        <f t="shared" si="133"/>
        <v>0</v>
      </c>
      <c r="BM25" s="628">
        <f t="shared" si="133"/>
        <v>0</v>
      </c>
      <c r="BN25" s="628">
        <f t="shared" si="133"/>
        <v>0</v>
      </c>
      <c r="BO25" s="628">
        <f t="shared" si="133"/>
        <v>0</v>
      </c>
      <c r="BP25" s="628">
        <f t="shared" si="133"/>
        <v>0</v>
      </c>
      <c r="BQ25" s="628">
        <f t="shared" si="133"/>
        <v>0</v>
      </c>
      <c r="BR25" s="628">
        <f t="shared" si="133"/>
        <v>0</v>
      </c>
      <c r="BS25" s="628">
        <f t="shared" si="133"/>
        <v>0</v>
      </c>
      <c r="BT25" s="629">
        <f t="shared" si="133"/>
        <v>0</v>
      </c>
      <c r="BU25" s="272">
        <f t="shared" si="118"/>
        <v>0</v>
      </c>
      <c r="BV25" s="628">
        <f t="shared" ref="BV25:CG25" si="134">+$G$25*BV17</f>
        <v>0</v>
      </c>
      <c r="BW25" s="628">
        <f t="shared" si="134"/>
        <v>0</v>
      </c>
      <c r="BX25" s="628">
        <f t="shared" si="134"/>
        <v>0</v>
      </c>
      <c r="BY25" s="628">
        <f t="shared" si="134"/>
        <v>0</v>
      </c>
      <c r="BZ25" s="628">
        <f t="shared" si="134"/>
        <v>0</v>
      </c>
      <c r="CA25" s="628">
        <f t="shared" si="134"/>
        <v>0</v>
      </c>
      <c r="CB25" s="628">
        <f t="shared" si="134"/>
        <v>0</v>
      </c>
      <c r="CC25" s="628">
        <f t="shared" si="134"/>
        <v>0</v>
      </c>
      <c r="CD25" s="628">
        <f t="shared" si="134"/>
        <v>0</v>
      </c>
      <c r="CE25" s="628">
        <f t="shared" si="134"/>
        <v>0</v>
      </c>
      <c r="CF25" s="628">
        <f t="shared" si="134"/>
        <v>0</v>
      </c>
      <c r="CG25" s="629">
        <f t="shared" si="134"/>
        <v>0</v>
      </c>
      <c r="CH25" s="272">
        <f t="shared" si="120"/>
        <v>0</v>
      </c>
      <c r="CI25" s="628">
        <f t="shared" ref="CI25:CT25" si="135">+$G$25*CI17</f>
        <v>0</v>
      </c>
      <c r="CJ25" s="628">
        <f t="shared" si="135"/>
        <v>0</v>
      </c>
      <c r="CK25" s="628">
        <f t="shared" si="135"/>
        <v>0</v>
      </c>
      <c r="CL25" s="628">
        <f t="shared" si="135"/>
        <v>0</v>
      </c>
      <c r="CM25" s="628">
        <f t="shared" si="135"/>
        <v>0</v>
      </c>
      <c r="CN25" s="628">
        <f t="shared" si="135"/>
        <v>0</v>
      </c>
      <c r="CO25" s="628">
        <f t="shared" si="135"/>
        <v>0</v>
      </c>
      <c r="CP25" s="628">
        <f t="shared" si="135"/>
        <v>0</v>
      </c>
      <c r="CQ25" s="628">
        <f t="shared" si="135"/>
        <v>0</v>
      </c>
      <c r="CR25" s="628">
        <f t="shared" si="135"/>
        <v>0</v>
      </c>
      <c r="CS25" s="628">
        <f t="shared" si="135"/>
        <v>0</v>
      </c>
      <c r="CT25" s="629">
        <f t="shared" si="135"/>
        <v>0</v>
      </c>
      <c r="CU25" s="272">
        <f t="shared" si="122"/>
        <v>0</v>
      </c>
      <c r="CV25" s="628">
        <f t="shared" ref="CV25:DG25" si="136">+$G$25*CV17</f>
        <v>0</v>
      </c>
      <c r="CW25" s="628">
        <f t="shared" si="136"/>
        <v>0</v>
      </c>
      <c r="CX25" s="628">
        <f t="shared" si="136"/>
        <v>0</v>
      </c>
      <c r="CY25" s="628">
        <f t="shared" si="136"/>
        <v>0</v>
      </c>
      <c r="CZ25" s="628">
        <f t="shared" si="136"/>
        <v>0</v>
      </c>
      <c r="DA25" s="628">
        <f t="shared" si="136"/>
        <v>0</v>
      </c>
      <c r="DB25" s="628">
        <f t="shared" si="136"/>
        <v>0</v>
      </c>
      <c r="DC25" s="628">
        <f t="shared" si="136"/>
        <v>0</v>
      </c>
      <c r="DD25" s="628">
        <f t="shared" si="136"/>
        <v>0</v>
      </c>
      <c r="DE25" s="628">
        <f t="shared" si="136"/>
        <v>0</v>
      </c>
      <c r="DF25" s="628">
        <f t="shared" si="136"/>
        <v>0</v>
      </c>
      <c r="DG25" s="629">
        <f t="shared" si="136"/>
        <v>0</v>
      </c>
      <c r="DH25" s="272">
        <f t="shared" si="124"/>
        <v>0</v>
      </c>
      <c r="DI25" s="628">
        <f t="shared" ref="DI25:DT25" si="137">+$G$25*DI17</f>
        <v>0</v>
      </c>
      <c r="DJ25" s="628">
        <f t="shared" si="137"/>
        <v>0</v>
      </c>
      <c r="DK25" s="628">
        <f t="shared" si="137"/>
        <v>0</v>
      </c>
      <c r="DL25" s="628">
        <f t="shared" si="137"/>
        <v>0</v>
      </c>
      <c r="DM25" s="628">
        <f t="shared" si="137"/>
        <v>0</v>
      </c>
      <c r="DN25" s="628">
        <f t="shared" si="137"/>
        <v>0</v>
      </c>
      <c r="DO25" s="628">
        <f t="shared" si="137"/>
        <v>0</v>
      </c>
      <c r="DP25" s="628">
        <f t="shared" si="137"/>
        <v>0</v>
      </c>
      <c r="DQ25" s="628">
        <f t="shared" si="137"/>
        <v>0</v>
      </c>
      <c r="DR25" s="628">
        <f t="shared" si="137"/>
        <v>0</v>
      </c>
      <c r="DS25" s="628">
        <f t="shared" si="137"/>
        <v>0</v>
      </c>
      <c r="DT25" s="629">
        <f t="shared" si="137"/>
        <v>0</v>
      </c>
      <c r="DU25" s="272">
        <f t="shared" si="126"/>
        <v>0</v>
      </c>
      <c r="DV25" s="628">
        <f t="shared" ref="DV25:EG25" si="138">+$G$25*DV17</f>
        <v>0</v>
      </c>
      <c r="DW25" s="628">
        <f t="shared" si="138"/>
        <v>0</v>
      </c>
      <c r="DX25" s="628">
        <f t="shared" si="138"/>
        <v>0</v>
      </c>
      <c r="DY25" s="628">
        <f t="shared" si="138"/>
        <v>0</v>
      </c>
      <c r="DZ25" s="628">
        <f t="shared" si="138"/>
        <v>0</v>
      </c>
      <c r="EA25" s="628">
        <f t="shared" si="138"/>
        <v>0</v>
      </c>
      <c r="EB25" s="628">
        <f t="shared" si="138"/>
        <v>0</v>
      </c>
      <c r="EC25" s="628">
        <f t="shared" si="138"/>
        <v>0</v>
      </c>
      <c r="ED25" s="628">
        <f t="shared" si="138"/>
        <v>0</v>
      </c>
      <c r="EE25" s="628">
        <f t="shared" si="138"/>
        <v>0</v>
      </c>
      <c r="EF25" s="628">
        <f t="shared" si="138"/>
        <v>0</v>
      </c>
      <c r="EG25" s="629">
        <f t="shared" si="138"/>
        <v>0</v>
      </c>
      <c r="EH25" s="272">
        <f t="shared" si="128"/>
        <v>0</v>
      </c>
      <c r="EI25" s="21"/>
      <c r="EJ25" s="21"/>
      <c r="EK25" s="21"/>
      <c r="EL25" s="21"/>
      <c r="EM25" s="21"/>
    </row>
    <row r="26" spans="1:143" s="537" customFormat="1" ht="13.5" customHeight="1">
      <c r="A26" s="758"/>
      <c r="B26" s="758"/>
      <c r="C26" s="758"/>
      <c r="D26" s="841"/>
      <c r="E26" s="1625"/>
      <c r="F26" s="842" t="s">
        <v>584</v>
      </c>
      <c r="G26" s="743">
        <f>Assumption!G199</f>
        <v>0.1</v>
      </c>
      <c r="H26" s="843"/>
      <c r="I26" s="844">
        <f>(Assumption!$K$198/Assumption!$K$199)*(CF!$G$26/12)*CF!H19</f>
        <v>13.768750000000001</v>
      </c>
      <c r="J26" s="844">
        <f>(Assumption!$K$198/Assumption!$K$199)*(CF!$G$26/12)*CF!I19</f>
        <v>13.768750000000001</v>
      </c>
      <c r="K26" s="844">
        <f>(Assumption!$K$198/Assumption!$K$199)*(CF!$G$26/12)*CF!J19</f>
        <v>13.768750000000001</v>
      </c>
      <c r="L26" s="844">
        <f>(Assumption!$K$198/Assumption!$K$199)*(CF!$G$26/12)*CF!K19</f>
        <v>13.768750000000001</v>
      </c>
      <c r="M26" s="844">
        <f>(Assumption!$K$198/Assumption!$K$199)*(CF!$G$26/12)*CF!L19</f>
        <v>13.768750000000001</v>
      </c>
      <c r="N26" s="844">
        <f>(Assumption!$K$198/Assumption!$K$199)*(CF!$G$26/12)*CF!M19</f>
        <v>13.768750000000001</v>
      </c>
      <c r="O26" s="844">
        <f>(Assumption!$K$198/Assumption!$K$199)*(CF!$G$26/12)*CF!N19</f>
        <v>13.768750000000001</v>
      </c>
      <c r="P26" s="844">
        <f>(Assumption!$K$198/Assumption!$K$199)*(CF!$G$26/12)*CF!O19</f>
        <v>10.326562500000001</v>
      </c>
      <c r="Q26" s="844">
        <f>(Assumption!$K$198/Assumption!$K$199)*(CF!$G$26/12)*CF!P19</f>
        <v>6.8843750000000004</v>
      </c>
      <c r="R26" s="844">
        <f>(Assumption!$K$198/Assumption!$K$199)*(CF!$G$26/12)*CF!Q19</f>
        <v>3.4421875000000002</v>
      </c>
      <c r="S26" s="844">
        <f>(Assumption!$K$198/Assumption!$K$199)*(CF!$G$26/12)*CF!R19</f>
        <v>0</v>
      </c>
      <c r="T26" s="845">
        <f>(Assumption!$K$198/Assumption!$K$199)*(CF!$G$26/12)*CF!S19</f>
        <v>0</v>
      </c>
      <c r="U26" s="846">
        <f t="shared" si="114"/>
        <v>117.034375</v>
      </c>
      <c r="V26" s="844">
        <f>(Assumption!$K$198/Assumption!$K$199)*(CF!$G$26/12)*CF!U19</f>
        <v>0</v>
      </c>
      <c r="W26" s="844">
        <f>(Assumption!$K$198/Assumption!$K$199)*(CF!$G$26/12)*CF!V19</f>
        <v>0</v>
      </c>
      <c r="X26" s="844">
        <f>(Assumption!$K$198/Assumption!$K$199)*(CF!$G$26/12)*CF!W19</f>
        <v>0</v>
      </c>
      <c r="Y26" s="844">
        <f>(Assumption!$K$198/Assumption!$K$199)*(CF!$G$26/12)*CF!X19</f>
        <v>0</v>
      </c>
      <c r="Z26" s="844">
        <f>(Assumption!$K$198/Assumption!$K$199)*(CF!$G$26/12)*CF!Y19</f>
        <v>0</v>
      </c>
      <c r="AA26" s="844">
        <f>(Assumption!$K$198/Assumption!$K$199)*(CF!$G$26/12)*CF!Z19</f>
        <v>0</v>
      </c>
      <c r="AB26" s="844">
        <f>(Assumption!$K$198/Assumption!$K$199)*(CF!$G$26/12)*CF!AA19</f>
        <v>0</v>
      </c>
      <c r="AC26" s="844">
        <f>(Assumption!$K$198/Assumption!$K$199)*(CF!$G$26/12)*CF!AB19</f>
        <v>0</v>
      </c>
      <c r="AD26" s="844">
        <f>(Assumption!$K$198/Assumption!$K$199)*(CF!$G$26/12)*CF!AC19</f>
        <v>0</v>
      </c>
      <c r="AE26" s="844">
        <f>(Assumption!$K$198/Assumption!$K$199)*(CF!$G$26/12)*CF!AD19</f>
        <v>0</v>
      </c>
      <c r="AF26" s="844">
        <f>(Assumption!$K$198/Assumption!$K$199)*(CF!$G$26/12)*CF!AE19</f>
        <v>0</v>
      </c>
      <c r="AG26" s="845">
        <f>(Assumption!$K$198/Assumption!$K$199)*(CF!$G$26/12)*CF!AF19</f>
        <v>0</v>
      </c>
      <c r="AH26" s="846">
        <f t="shared" si="115"/>
        <v>0</v>
      </c>
      <c r="AI26" s="844">
        <f>(Assumption!$K$198/Assumption!$K$199)*(CF!$G$26/12)*CF!AH19</f>
        <v>0</v>
      </c>
      <c r="AJ26" s="844">
        <f>(Assumption!$K$198/Assumption!$K$199)*(CF!$G$26/12)*CF!AI19</f>
        <v>0</v>
      </c>
      <c r="AK26" s="844">
        <f>(Assumption!$K$198/Assumption!$K$199)*(CF!$G$26/12)*CF!AJ19</f>
        <v>0</v>
      </c>
      <c r="AL26" s="844">
        <f>(Assumption!$K$198/Assumption!$K$199)*(CF!$G$26/12)*CF!AK19</f>
        <v>0</v>
      </c>
      <c r="AM26" s="844">
        <f>(Assumption!$K$198/Assumption!$K$199)*(CF!$G$26/12)*CF!AL19</f>
        <v>0</v>
      </c>
      <c r="AN26" s="844">
        <f>(Assumption!$K$198/Assumption!$K$199)*(CF!$G$26/12)*CF!AM19</f>
        <v>0</v>
      </c>
      <c r="AO26" s="844">
        <f>(Assumption!$K$198/Assumption!$K$199)*(CF!$G$26/12)*CF!AN19</f>
        <v>0</v>
      </c>
      <c r="AP26" s="844">
        <f>(Assumption!$K$198/Assumption!$K$199)*(CF!$G$26/12)*CF!AO19</f>
        <v>0</v>
      </c>
      <c r="AQ26" s="844">
        <f>(Assumption!$K$198/Assumption!$K$199)*(CF!$G$26/12)*CF!AP19</f>
        <v>0</v>
      </c>
      <c r="AR26" s="844">
        <f>(Assumption!$K$198/Assumption!$K$199)*(CF!$G$26/12)*CF!AQ19</f>
        <v>0</v>
      </c>
      <c r="AS26" s="844">
        <f>(Assumption!$K$198/Assumption!$K$199)*(CF!$G$26/12)*CF!AR19</f>
        <v>0</v>
      </c>
      <c r="AT26" s="845">
        <f>(Assumption!$K$198/Assumption!$K$199)*(CF!$G$26/12)*CF!AS19</f>
        <v>0</v>
      </c>
      <c r="AU26" s="846">
        <f t="shared" si="116"/>
        <v>0</v>
      </c>
      <c r="AV26" s="844">
        <f>(Assumption!$K$198/Assumption!$K$199)*(CF!$G$26/12)*CF!AU19</f>
        <v>0</v>
      </c>
      <c r="AW26" s="844">
        <f>(Assumption!$K$198/Assumption!$K$199)*(CF!$G$26/12)*CF!AV19</f>
        <v>0</v>
      </c>
      <c r="AX26" s="844">
        <f>(Assumption!$K$198/Assumption!$K$199)*(CF!$G$26/12)*CF!AW19</f>
        <v>0</v>
      </c>
      <c r="AY26" s="844">
        <f>(Assumption!$K$198/Assumption!$K$199)*(CF!$G$26/12)*CF!AX19</f>
        <v>0</v>
      </c>
      <c r="AZ26" s="844">
        <f>(Assumption!$K$198/Assumption!$K$199)*(CF!$G$26/12)*CF!AY19</f>
        <v>0</v>
      </c>
      <c r="BA26" s="844">
        <f>(Assumption!$K$198/Assumption!$K$199)*(CF!$G$26/12)*CF!AZ19</f>
        <v>0</v>
      </c>
      <c r="BB26" s="844">
        <f>(Assumption!$K$198/Assumption!$K$199)*(CF!$G$26/12)*CF!BA19</f>
        <v>0</v>
      </c>
      <c r="BC26" s="844">
        <f>(Assumption!$K$198/Assumption!$K$199)*(CF!$G$26/12)*CF!BB19</f>
        <v>0</v>
      </c>
      <c r="BD26" s="844">
        <f>(Assumption!$K$198/Assumption!$K$199)*(CF!$G$26/12)*CF!BC19</f>
        <v>0</v>
      </c>
      <c r="BE26" s="844">
        <f>(Assumption!$K$198/Assumption!$K$199)*(CF!$G$26/12)*CF!BD19</f>
        <v>0</v>
      </c>
      <c r="BF26" s="844">
        <f>(Assumption!$K$198/Assumption!$K$199)*(CF!$G$26/12)*CF!BE19</f>
        <v>0</v>
      </c>
      <c r="BG26" s="845">
        <f>(Assumption!$K$198/Assumption!$K$199)*(CF!$G$26/12)*CF!BF19</f>
        <v>0</v>
      </c>
      <c r="BH26" s="846">
        <f t="shared" si="117"/>
        <v>0</v>
      </c>
      <c r="BI26" s="844">
        <f>(Assumption!$K$198/Assumption!$K$199)*(CF!$G$26/12)*CF!BH19</f>
        <v>0</v>
      </c>
      <c r="BJ26" s="844">
        <f>(Assumption!$K$198/Assumption!$K$199)*(CF!$G$26/12)*CF!BI19</f>
        <v>0</v>
      </c>
      <c r="BK26" s="844">
        <f>(Assumption!$K$198/Assumption!$K$199)*(CF!$G$26/12)*CF!BJ19</f>
        <v>0</v>
      </c>
      <c r="BL26" s="844">
        <f>(Assumption!$K$198/Assumption!$K$199)*(CF!$G$26/12)*CF!BK19</f>
        <v>0</v>
      </c>
      <c r="BM26" s="844">
        <f>(Assumption!$K$198/Assumption!$K$199)*(CF!$G$26/12)*CF!BL19</f>
        <v>0</v>
      </c>
      <c r="BN26" s="844">
        <f>(Assumption!$K$198/Assumption!$K$199)*(CF!$G$26/12)*CF!BM19</f>
        <v>0</v>
      </c>
      <c r="BO26" s="844">
        <f>(Assumption!$K$198/Assumption!$K$199)*(CF!$G$26/12)*CF!BN19</f>
        <v>0</v>
      </c>
      <c r="BP26" s="844">
        <f>(Assumption!$K$198/Assumption!$K$199)*(CF!$G$26/12)*CF!BO19</f>
        <v>0</v>
      </c>
      <c r="BQ26" s="844">
        <f>(Assumption!$K$198/Assumption!$K$199)*(CF!$G$26/12)*CF!BP19</f>
        <v>0</v>
      </c>
      <c r="BR26" s="844">
        <f>(Assumption!$K$198/Assumption!$K$199)*(CF!$G$26/12)*CF!BQ19</f>
        <v>0</v>
      </c>
      <c r="BS26" s="844">
        <f>(Assumption!$K$198/Assumption!$K$199)*(CF!$G$26/12)*CF!BR19</f>
        <v>0</v>
      </c>
      <c r="BT26" s="845">
        <f>(Assumption!$K$198/Assumption!$K$199)*(CF!$G$26/12)*CF!BS19</f>
        <v>0</v>
      </c>
      <c r="BU26" s="846">
        <f t="shared" si="118"/>
        <v>0</v>
      </c>
      <c r="BV26" s="844"/>
      <c r="BW26" s="844"/>
      <c r="BX26" s="844"/>
      <c r="BY26" s="844"/>
      <c r="BZ26" s="844"/>
      <c r="CA26" s="844"/>
      <c r="CB26" s="844"/>
      <c r="CC26" s="844"/>
      <c r="CD26" s="844"/>
      <c r="CE26" s="844"/>
      <c r="CF26" s="844"/>
      <c r="CG26" s="845"/>
      <c r="CH26" s="846"/>
      <c r="CI26" s="844"/>
      <c r="CJ26" s="844"/>
      <c r="CK26" s="844"/>
      <c r="CL26" s="844"/>
      <c r="CM26" s="844"/>
      <c r="CN26" s="844"/>
      <c r="CO26" s="844"/>
      <c r="CP26" s="844"/>
      <c r="CQ26" s="844"/>
      <c r="CR26" s="844"/>
      <c r="CS26" s="844"/>
      <c r="CT26" s="845"/>
      <c r="CU26" s="846"/>
      <c r="CV26" s="844"/>
      <c r="CW26" s="844"/>
      <c r="CX26" s="844"/>
      <c r="CY26" s="844"/>
      <c r="CZ26" s="844"/>
      <c r="DA26" s="844"/>
      <c r="DB26" s="844"/>
      <c r="DC26" s="844"/>
      <c r="DD26" s="844"/>
      <c r="DE26" s="844"/>
      <c r="DF26" s="844"/>
      <c r="DG26" s="845"/>
      <c r="DH26" s="846"/>
      <c r="DI26" s="844"/>
      <c r="DJ26" s="844"/>
      <c r="DK26" s="844"/>
      <c r="DL26" s="844"/>
      <c r="DM26" s="844"/>
      <c r="DN26" s="844"/>
      <c r="DO26" s="844"/>
      <c r="DP26" s="844"/>
      <c r="DQ26" s="844"/>
      <c r="DR26" s="844"/>
      <c r="DS26" s="844"/>
      <c r="DT26" s="845"/>
      <c r="DU26" s="846"/>
      <c r="DV26" s="844"/>
      <c r="DW26" s="844"/>
      <c r="DX26" s="844"/>
      <c r="DY26" s="844"/>
      <c r="DZ26" s="844"/>
      <c r="EA26" s="844"/>
      <c r="EB26" s="844"/>
      <c r="EC26" s="844"/>
      <c r="ED26" s="844"/>
      <c r="EE26" s="844"/>
      <c r="EF26" s="844"/>
      <c r="EG26" s="845"/>
      <c r="EH26" s="846"/>
      <c r="EI26" s="758"/>
      <c r="EJ26" s="758"/>
      <c r="EK26" s="758"/>
      <c r="EL26" s="758"/>
      <c r="EM26" s="758"/>
    </row>
    <row r="27" spans="1:143" ht="13.5" customHeight="1">
      <c r="A27" s="21"/>
      <c r="B27" s="66">
        <f>IF(Assumption!K199=0,0,+Assumption!K198/Assumption!K199)</f>
        <v>0.75</v>
      </c>
      <c r="C27" s="21"/>
      <c r="D27" s="622">
        <f>D25+1</f>
        <v>18</v>
      </c>
      <c r="E27" s="1625"/>
      <c r="F27" s="265" t="s">
        <v>585</v>
      </c>
      <c r="G27" s="291"/>
      <c r="H27" s="267"/>
      <c r="I27" s="628">
        <f>+I218</f>
        <v>0</v>
      </c>
      <c r="J27" s="628">
        <f t="shared" ref="J27:T27" si="139">+J218</f>
        <v>0</v>
      </c>
      <c r="K27" s="628">
        <f t="shared" si="139"/>
        <v>0</v>
      </c>
      <c r="L27" s="628">
        <f t="shared" si="139"/>
        <v>0</v>
      </c>
      <c r="M27" s="628">
        <f t="shared" si="139"/>
        <v>0</v>
      </c>
      <c r="N27" s="628">
        <f t="shared" si="139"/>
        <v>0</v>
      </c>
      <c r="O27" s="628">
        <f t="shared" si="139"/>
        <v>37.721666666666664</v>
      </c>
      <c r="P27" s="628">
        <f t="shared" si="139"/>
        <v>433.55696875000007</v>
      </c>
      <c r="Q27" s="628">
        <f t="shared" si="139"/>
        <v>460.3855953993056</v>
      </c>
      <c r="R27" s="628">
        <f t="shared" si="139"/>
        <v>493.93661830078128</v>
      </c>
      <c r="S27" s="628">
        <f t="shared" si="139"/>
        <v>525.82967686763971</v>
      </c>
      <c r="T27" s="628">
        <f t="shared" si="139"/>
        <v>549.15406356880942</v>
      </c>
      <c r="U27" s="272">
        <f t="shared" si="114"/>
        <v>2500.5845895532025</v>
      </c>
      <c r="V27" s="628">
        <f t="shared" ref="V27:AG27" si="140">+V218</f>
        <v>586.0144265564619</v>
      </c>
      <c r="W27" s="628">
        <f t="shared" si="140"/>
        <v>610.21538937035837</v>
      </c>
      <c r="X27" s="628">
        <f t="shared" si="140"/>
        <v>564.5575453928891</v>
      </c>
      <c r="Y27" s="628">
        <f t="shared" si="140"/>
        <v>562.09541382671875</v>
      </c>
      <c r="Z27" s="628">
        <f t="shared" si="140"/>
        <v>571.77112560860803</v>
      </c>
      <c r="AA27" s="628">
        <f t="shared" si="140"/>
        <v>563.47542943312419</v>
      </c>
      <c r="AB27" s="628">
        <f t="shared" si="140"/>
        <v>553.65426356728915</v>
      </c>
      <c r="AC27" s="628">
        <f t="shared" si="140"/>
        <v>544.09501338273083</v>
      </c>
      <c r="AD27" s="628">
        <f t="shared" si="140"/>
        <v>532.21703531965045</v>
      </c>
      <c r="AE27" s="628">
        <f t="shared" si="140"/>
        <v>541.35898283620304</v>
      </c>
      <c r="AF27" s="628">
        <f t="shared" si="140"/>
        <v>554.20570769317135</v>
      </c>
      <c r="AG27" s="628">
        <f t="shared" si="140"/>
        <v>526.15271636839225</v>
      </c>
      <c r="AH27" s="272">
        <f t="shared" si="115"/>
        <v>6709.8130493555973</v>
      </c>
      <c r="AI27" s="628">
        <f t="shared" ref="AI27:AT27" si="141">+AI218</f>
        <v>493.90404456035111</v>
      </c>
      <c r="AJ27" s="628">
        <f t="shared" si="141"/>
        <v>502.72645495441338</v>
      </c>
      <c r="AK27" s="628">
        <f t="shared" si="141"/>
        <v>447.81355487953738</v>
      </c>
      <c r="AL27" s="628">
        <f t="shared" si="141"/>
        <v>437.32419452625953</v>
      </c>
      <c r="AM27" s="628">
        <f t="shared" si="141"/>
        <v>442.72389783670445</v>
      </c>
      <c r="AN27" s="628">
        <f t="shared" si="141"/>
        <v>428.30597811918079</v>
      </c>
      <c r="AO27" s="628">
        <f t="shared" si="141"/>
        <v>412.39852518178895</v>
      </c>
      <c r="AP27" s="628">
        <f t="shared" si="141"/>
        <v>396.73702886674414</v>
      </c>
      <c r="AQ27" s="628">
        <f t="shared" si="141"/>
        <v>378.24532762208992</v>
      </c>
      <c r="AR27" s="628">
        <f t="shared" si="141"/>
        <v>382.82936815277776</v>
      </c>
      <c r="AS27" s="628">
        <f t="shared" si="141"/>
        <v>391.6803573545547</v>
      </c>
      <c r="AT27" s="628">
        <f t="shared" si="141"/>
        <v>355.73623313301317</v>
      </c>
      <c r="AU27" s="272">
        <f t="shared" si="116"/>
        <v>5070.4249651874161</v>
      </c>
      <c r="AV27" s="628">
        <f t="shared" ref="AV27:BG27" si="142">+AV218</f>
        <v>314.89663398740328</v>
      </c>
      <c r="AW27" s="628">
        <f t="shared" si="142"/>
        <v>323.16386017029669</v>
      </c>
      <c r="AX27" s="628">
        <f t="shared" si="142"/>
        <v>261.47832184915865</v>
      </c>
      <c r="AY27" s="628">
        <f t="shared" si="142"/>
        <v>251.76931043090011</v>
      </c>
      <c r="AZ27" s="628">
        <f t="shared" si="142"/>
        <v>256.43220197304493</v>
      </c>
      <c r="BA27" s="628">
        <f t="shared" si="142"/>
        <v>239.28506833359646</v>
      </c>
      <c r="BB27" s="628">
        <f t="shared" si="142"/>
        <v>220.48871963604148</v>
      </c>
      <c r="BC27" s="628">
        <f t="shared" si="142"/>
        <v>201.95210530251484</v>
      </c>
      <c r="BD27" s="628">
        <f t="shared" si="142"/>
        <v>180.29135747652631</v>
      </c>
      <c r="BE27" s="628">
        <f t="shared" si="142"/>
        <v>184.00292663294024</v>
      </c>
      <c r="BF27" s="628">
        <f t="shared" si="142"/>
        <v>192.39704869899097</v>
      </c>
      <c r="BG27" s="628">
        <f t="shared" si="142"/>
        <v>151.50536294892541</v>
      </c>
      <c r="BH27" s="272">
        <f t="shared" si="117"/>
        <v>2777.6629174403392</v>
      </c>
      <c r="BI27" s="628">
        <f t="shared" ref="BI27:BT27" si="143">+BI218</f>
        <v>105.21737853983156</v>
      </c>
      <c r="BJ27" s="628">
        <f t="shared" si="143"/>
        <v>112.88069143661893</v>
      </c>
      <c r="BK27" s="628">
        <f t="shared" si="143"/>
        <v>43.584041413101758</v>
      </c>
      <c r="BL27" s="628">
        <f t="shared" si="143"/>
        <v>31.449549667166391</v>
      </c>
      <c r="BM27" s="628">
        <f t="shared" si="143"/>
        <v>35.112029684459358</v>
      </c>
      <c r="BN27" s="628">
        <f t="shared" si="143"/>
        <v>21.029999999999998</v>
      </c>
      <c r="BO27" s="628">
        <f t="shared" si="143"/>
        <v>21.029999999999998</v>
      </c>
      <c r="BP27" s="628">
        <f t="shared" si="143"/>
        <v>21.029999999999998</v>
      </c>
      <c r="BQ27" s="628">
        <f t="shared" si="143"/>
        <v>21.029999999999998</v>
      </c>
      <c r="BR27" s="628">
        <f t="shared" si="143"/>
        <v>21.029999999999998</v>
      </c>
      <c r="BS27" s="628">
        <f t="shared" si="143"/>
        <v>21.029999999999998</v>
      </c>
      <c r="BT27" s="628">
        <f t="shared" si="143"/>
        <v>21.029999999999998</v>
      </c>
      <c r="BU27" s="272">
        <f t="shared" si="118"/>
        <v>475.45369074117775</v>
      </c>
      <c r="BV27" s="628">
        <f t="shared" ref="BV27:CG27" si="144">+BV218</f>
        <v>21.029999999999998</v>
      </c>
      <c r="BW27" s="628">
        <f t="shared" si="144"/>
        <v>21.029999999999998</v>
      </c>
      <c r="BX27" s="628">
        <f t="shared" si="144"/>
        <v>21.029999999999998</v>
      </c>
      <c r="BY27" s="628">
        <f t="shared" si="144"/>
        <v>21.029999999999998</v>
      </c>
      <c r="BZ27" s="628">
        <f t="shared" si="144"/>
        <v>21.029999999999998</v>
      </c>
      <c r="CA27" s="628">
        <f t="shared" si="144"/>
        <v>21.029999999999998</v>
      </c>
      <c r="CB27" s="628">
        <f t="shared" si="144"/>
        <v>21.029999999999998</v>
      </c>
      <c r="CC27" s="628">
        <f t="shared" si="144"/>
        <v>21.029999999999998</v>
      </c>
      <c r="CD27" s="628">
        <f t="shared" si="144"/>
        <v>21.029999999999998</v>
      </c>
      <c r="CE27" s="628">
        <f t="shared" si="144"/>
        <v>21.029999999999998</v>
      </c>
      <c r="CF27" s="628">
        <f t="shared" si="144"/>
        <v>21.029999999999998</v>
      </c>
      <c r="CG27" s="628">
        <f t="shared" si="144"/>
        <v>21.029999999999998</v>
      </c>
      <c r="CH27" s="272">
        <f t="shared" si="120"/>
        <v>252.35999999999999</v>
      </c>
      <c r="CI27" s="628">
        <f t="shared" ref="CI27:CT27" si="145">+CI218</f>
        <v>21.029999999999998</v>
      </c>
      <c r="CJ27" s="628">
        <f t="shared" si="145"/>
        <v>21.029999999999998</v>
      </c>
      <c r="CK27" s="628">
        <f t="shared" si="145"/>
        <v>21.029999999999998</v>
      </c>
      <c r="CL27" s="628">
        <f t="shared" si="145"/>
        <v>21.029999999999998</v>
      </c>
      <c r="CM27" s="628">
        <f t="shared" si="145"/>
        <v>21.029999999999998</v>
      </c>
      <c r="CN27" s="628">
        <f t="shared" si="145"/>
        <v>21.029999999999998</v>
      </c>
      <c r="CO27" s="628">
        <f t="shared" si="145"/>
        <v>21.029999999999998</v>
      </c>
      <c r="CP27" s="628">
        <f t="shared" si="145"/>
        <v>21.029999999999998</v>
      </c>
      <c r="CQ27" s="628">
        <f t="shared" si="145"/>
        <v>21.029999999999998</v>
      </c>
      <c r="CR27" s="628">
        <f t="shared" si="145"/>
        <v>21.029999999999998</v>
      </c>
      <c r="CS27" s="628">
        <f t="shared" si="145"/>
        <v>21.029999999999998</v>
      </c>
      <c r="CT27" s="628">
        <f t="shared" si="145"/>
        <v>21.029999999999998</v>
      </c>
      <c r="CU27" s="272">
        <f t="shared" si="122"/>
        <v>252.35999999999999</v>
      </c>
      <c r="CV27" s="628">
        <f t="shared" ref="CV27:DG27" si="146">+CV218</f>
        <v>21.029999999999998</v>
      </c>
      <c r="CW27" s="628">
        <f t="shared" si="146"/>
        <v>21.029999999999998</v>
      </c>
      <c r="CX27" s="628">
        <f t="shared" si="146"/>
        <v>21.029999999999998</v>
      </c>
      <c r="CY27" s="628">
        <f t="shared" si="146"/>
        <v>21.029999999999998</v>
      </c>
      <c r="CZ27" s="628">
        <f t="shared" si="146"/>
        <v>21.029999999999998</v>
      </c>
      <c r="DA27" s="628">
        <f t="shared" si="146"/>
        <v>21.029999999999998</v>
      </c>
      <c r="DB27" s="628">
        <f t="shared" si="146"/>
        <v>21.029999999999998</v>
      </c>
      <c r="DC27" s="628">
        <f t="shared" si="146"/>
        <v>21.029999999999998</v>
      </c>
      <c r="DD27" s="628">
        <f t="shared" si="146"/>
        <v>21.029999999999998</v>
      </c>
      <c r="DE27" s="628">
        <f t="shared" si="146"/>
        <v>21.029999999999998</v>
      </c>
      <c r="DF27" s="628">
        <f t="shared" si="146"/>
        <v>21.029999999999998</v>
      </c>
      <c r="DG27" s="628">
        <f t="shared" si="146"/>
        <v>21.029999999999998</v>
      </c>
      <c r="DH27" s="272">
        <f t="shared" si="124"/>
        <v>252.35999999999999</v>
      </c>
      <c r="DI27" s="628">
        <f t="shared" ref="DI27:DT27" si="147">+DI218</f>
        <v>21.029999999999998</v>
      </c>
      <c r="DJ27" s="628">
        <f t="shared" si="147"/>
        <v>21.029999999999998</v>
      </c>
      <c r="DK27" s="628">
        <f t="shared" si="147"/>
        <v>21.029999999999998</v>
      </c>
      <c r="DL27" s="628">
        <f t="shared" si="147"/>
        <v>21.029999999999998</v>
      </c>
      <c r="DM27" s="628">
        <f t="shared" si="147"/>
        <v>21.029999999999998</v>
      </c>
      <c r="DN27" s="628">
        <f t="shared" si="147"/>
        <v>21.029999999999998</v>
      </c>
      <c r="DO27" s="628">
        <f t="shared" si="147"/>
        <v>21.029999999999998</v>
      </c>
      <c r="DP27" s="628">
        <f t="shared" si="147"/>
        <v>21.029999999999998</v>
      </c>
      <c r="DQ27" s="628">
        <f t="shared" si="147"/>
        <v>21.029999999999998</v>
      </c>
      <c r="DR27" s="628">
        <f t="shared" si="147"/>
        <v>21.029999999999998</v>
      </c>
      <c r="DS27" s="628">
        <f t="shared" si="147"/>
        <v>21.029999999999998</v>
      </c>
      <c r="DT27" s="628">
        <f t="shared" si="147"/>
        <v>21.029999999999998</v>
      </c>
      <c r="DU27" s="272">
        <f t="shared" si="126"/>
        <v>252.35999999999999</v>
      </c>
      <c r="DV27" s="628">
        <f t="shared" ref="DV27:EG27" si="148">+DV218</f>
        <v>21.029999999999998</v>
      </c>
      <c r="DW27" s="628">
        <f t="shared" si="148"/>
        <v>21.029999999999998</v>
      </c>
      <c r="DX27" s="628">
        <f t="shared" si="148"/>
        <v>21.029999999999998</v>
      </c>
      <c r="DY27" s="628">
        <f t="shared" si="148"/>
        <v>21.029999999999998</v>
      </c>
      <c r="DZ27" s="628">
        <f t="shared" si="148"/>
        <v>21.029999999999998</v>
      </c>
      <c r="EA27" s="628">
        <f t="shared" si="148"/>
        <v>21.029999999999998</v>
      </c>
      <c r="EB27" s="628">
        <f t="shared" si="148"/>
        <v>21.029999999999998</v>
      </c>
      <c r="EC27" s="628">
        <f t="shared" si="148"/>
        <v>21.029999999999998</v>
      </c>
      <c r="ED27" s="628">
        <f t="shared" si="148"/>
        <v>21.029999999999998</v>
      </c>
      <c r="EE27" s="628">
        <f t="shared" si="148"/>
        <v>21.029999999999998</v>
      </c>
      <c r="EF27" s="628">
        <f t="shared" si="148"/>
        <v>21.029999999999998</v>
      </c>
      <c r="EG27" s="628">
        <f t="shared" si="148"/>
        <v>21.029999999999998</v>
      </c>
      <c r="EH27" s="272">
        <f t="shared" si="128"/>
        <v>252.35999999999999</v>
      </c>
      <c r="EI27" s="21"/>
      <c r="EJ27" s="21"/>
      <c r="EK27" s="21"/>
      <c r="EL27" s="21"/>
      <c r="EM27" s="21"/>
    </row>
    <row r="28" spans="1:143" ht="14.25" customHeight="1">
      <c r="A28" s="21"/>
      <c r="B28" s="21"/>
      <c r="C28" s="21"/>
      <c r="D28" s="622">
        <f t="shared" si="63"/>
        <v>19</v>
      </c>
      <c r="E28" s="1625"/>
      <c r="F28" s="265" t="s">
        <v>586</v>
      </c>
      <c r="G28" s="291"/>
      <c r="H28" s="267"/>
      <c r="I28" s="631">
        <f t="shared" ref="I28:T28" si="149">+I257</f>
        <v>0</v>
      </c>
      <c r="J28" s="631">
        <f t="shared" si="149"/>
        <v>0</v>
      </c>
      <c r="K28" s="631">
        <f t="shared" si="149"/>
        <v>0</v>
      </c>
      <c r="L28" s="631">
        <f t="shared" si="149"/>
        <v>0</v>
      </c>
      <c r="M28" s="631">
        <f t="shared" si="149"/>
        <v>0</v>
      </c>
      <c r="N28" s="631">
        <f t="shared" si="149"/>
        <v>0</v>
      </c>
      <c r="O28" s="631">
        <f t="shared" si="149"/>
        <v>341.12333333333328</v>
      </c>
      <c r="P28" s="631">
        <f t="shared" si="149"/>
        <v>341.12333333333328</v>
      </c>
      <c r="Q28" s="631">
        <f t="shared" si="149"/>
        <v>341.12333333333328</v>
      </c>
      <c r="R28" s="631">
        <f t="shared" si="149"/>
        <v>341.12333333333328</v>
      </c>
      <c r="S28" s="631">
        <f t="shared" si="149"/>
        <v>341.12333333333328</v>
      </c>
      <c r="T28" s="631">
        <f t="shared" si="149"/>
        <v>341.12333333333328</v>
      </c>
      <c r="U28" s="272">
        <f t="shared" si="114"/>
        <v>2046.7399999999996</v>
      </c>
      <c r="V28" s="631">
        <f t="shared" ref="V28:AG28" si="150">+V257</f>
        <v>340.50666666666666</v>
      </c>
      <c r="W28" s="631">
        <f t="shared" si="150"/>
        <v>340.50666666666666</v>
      </c>
      <c r="X28" s="631">
        <f t="shared" si="150"/>
        <v>340.50666666666666</v>
      </c>
      <c r="Y28" s="631">
        <f t="shared" si="150"/>
        <v>340.50666666666666</v>
      </c>
      <c r="Z28" s="631">
        <f t="shared" si="150"/>
        <v>340.50666666666666</v>
      </c>
      <c r="AA28" s="631">
        <f t="shared" si="150"/>
        <v>340.50666666666666</v>
      </c>
      <c r="AB28" s="631">
        <f t="shared" si="150"/>
        <v>340.50666666666666</v>
      </c>
      <c r="AC28" s="631">
        <f t="shared" si="150"/>
        <v>340.50666666666666</v>
      </c>
      <c r="AD28" s="631">
        <f t="shared" si="150"/>
        <v>340.50666666666666</v>
      </c>
      <c r="AE28" s="631">
        <f t="shared" si="150"/>
        <v>340.50666666666666</v>
      </c>
      <c r="AF28" s="631">
        <f t="shared" si="150"/>
        <v>340.50666666666666</v>
      </c>
      <c r="AG28" s="631">
        <f t="shared" si="150"/>
        <v>340.50666666666666</v>
      </c>
      <c r="AH28" s="272">
        <f t="shared" si="115"/>
        <v>4086.08</v>
      </c>
      <c r="AI28" s="631">
        <f t="shared" ref="AI28:AT28" si="151">+AI257</f>
        <v>340.50666666666666</v>
      </c>
      <c r="AJ28" s="631">
        <f t="shared" si="151"/>
        <v>340.50666666666666</v>
      </c>
      <c r="AK28" s="631"/>
      <c r="AL28" s="631">
        <f t="shared" si="151"/>
        <v>340.50666666666666</v>
      </c>
      <c r="AM28" s="631">
        <f t="shared" si="151"/>
        <v>340.50666666666666</v>
      </c>
      <c r="AN28" s="631">
        <f t="shared" si="151"/>
        <v>340.50666666666666</v>
      </c>
      <c r="AO28" s="631">
        <f t="shared" si="151"/>
        <v>340.50666666666666</v>
      </c>
      <c r="AP28" s="631">
        <f t="shared" si="151"/>
        <v>340.50666666666666</v>
      </c>
      <c r="AQ28" s="631">
        <f t="shared" si="151"/>
        <v>340.50666666666666</v>
      </c>
      <c r="AR28" s="631">
        <f t="shared" si="151"/>
        <v>340.50666666666666</v>
      </c>
      <c r="AS28" s="631">
        <f t="shared" si="151"/>
        <v>340.50666666666666</v>
      </c>
      <c r="AT28" s="631">
        <f t="shared" si="151"/>
        <v>340.50666666666666</v>
      </c>
      <c r="AU28" s="272">
        <f t="shared" si="116"/>
        <v>3745.5733333333333</v>
      </c>
      <c r="AV28" s="631">
        <f t="shared" ref="AV28:BG28" si="152">+AV257</f>
        <v>340.50666666666666</v>
      </c>
      <c r="AW28" s="631">
        <f t="shared" si="152"/>
        <v>340.50666666666666</v>
      </c>
      <c r="AX28" s="631">
        <f t="shared" si="152"/>
        <v>340.50666666666666</v>
      </c>
      <c r="AY28" s="631">
        <f t="shared" si="152"/>
        <v>340.50666666666666</v>
      </c>
      <c r="AZ28" s="631">
        <f t="shared" si="152"/>
        <v>340.50666666666666</v>
      </c>
      <c r="BA28" s="631">
        <f t="shared" si="152"/>
        <v>340.50666666666666</v>
      </c>
      <c r="BB28" s="631">
        <f t="shared" si="152"/>
        <v>340.50666666666666</v>
      </c>
      <c r="BC28" s="631">
        <f t="shared" si="152"/>
        <v>340.50666666666666</v>
      </c>
      <c r="BD28" s="631">
        <f t="shared" si="152"/>
        <v>340.50666666666666</v>
      </c>
      <c r="BE28" s="631">
        <f t="shared" si="152"/>
        <v>340.50666666666666</v>
      </c>
      <c r="BF28" s="631">
        <f t="shared" si="152"/>
        <v>340.50666666666666</v>
      </c>
      <c r="BG28" s="631">
        <f t="shared" si="152"/>
        <v>340.50666666666666</v>
      </c>
      <c r="BH28" s="292">
        <f t="shared" si="117"/>
        <v>4086.08</v>
      </c>
      <c r="BI28" s="631">
        <f t="shared" ref="BI28:BT28" si="153">+BI257</f>
        <v>340.50666666666666</v>
      </c>
      <c r="BJ28" s="631">
        <f t="shared" si="153"/>
        <v>340.50666666666666</v>
      </c>
      <c r="BK28" s="631">
        <f t="shared" si="153"/>
        <v>340.50666666666666</v>
      </c>
      <c r="BL28" s="631">
        <f t="shared" si="153"/>
        <v>340.50666666666666</v>
      </c>
      <c r="BM28" s="631">
        <f t="shared" si="153"/>
        <v>340.50666666666666</v>
      </c>
      <c r="BN28" s="631">
        <f t="shared" si="153"/>
        <v>340.50666666666666</v>
      </c>
      <c r="BO28" s="631">
        <f t="shared" si="153"/>
        <v>340.50666666666666</v>
      </c>
      <c r="BP28" s="631">
        <f t="shared" si="153"/>
        <v>340.50666666666666</v>
      </c>
      <c r="BQ28" s="631">
        <f t="shared" si="153"/>
        <v>340.50666666666666</v>
      </c>
      <c r="BR28" s="631">
        <f t="shared" si="153"/>
        <v>340.50666666666666</v>
      </c>
      <c r="BS28" s="631">
        <f t="shared" si="153"/>
        <v>340.50666666666666</v>
      </c>
      <c r="BT28" s="631">
        <f t="shared" si="153"/>
        <v>340.50666666666666</v>
      </c>
      <c r="BU28" s="272">
        <f t="shared" si="118"/>
        <v>4086.08</v>
      </c>
      <c r="BV28" s="631">
        <f t="shared" ref="BV28:CG28" si="154">+BV257</f>
        <v>340.50666666666666</v>
      </c>
      <c r="BW28" s="631">
        <f t="shared" si="154"/>
        <v>340.50666666666666</v>
      </c>
      <c r="BX28" s="631">
        <f t="shared" si="154"/>
        <v>340.50666666666666</v>
      </c>
      <c r="BY28" s="631">
        <f t="shared" si="154"/>
        <v>340.50666666666666</v>
      </c>
      <c r="BZ28" s="631">
        <f t="shared" si="154"/>
        <v>340.50666666666666</v>
      </c>
      <c r="CA28" s="631">
        <f t="shared" si="154"/>
        <v>340.50666666666666</v>
      </c>
      <c r="CB28" s="631">
        <f t="shared" si="154"/>
        <v>340.50666666666666</v>
      </c>
      <c r="CC28" s="631">
        <f t="shared" si="154"/>
        <v>340.50666666666666</v>
      </c>
      <c r="CD28" s="631">
        <f t="shared" si="154"/>
        <v>340.50666666666666</v>
      </c>
      <c r="CE28" s="631">
        <f t="shared" si="154"/>
        <v>340.50666666666666</v>
      </c>
      <c r="CF28" s="631">
        <f t="shared" si="154"/>
        <v>340.50666666666666</v>
      </c>
      <c r="CG28" s="631">
        <f t="shared" si="154"/>
        <v>340.50666666666666</v>
      </c>
      <c r="CH28" s="272">
        <f t="shared" si="120"/>
        <v>4086.08</v>
      </c>
      <c r="CI28" s="631">
        <f t="shared" ref="CI28:CT28" si="155">+CI257</f>
        <v>340.50666666666666</v>
      </c>
      <c r="CJ28" s="631">
        <f t="shared" si="155"/>
        <v>340.50666666666666</v>
      </c>
      <c r="CK28" s="631">
        <f t="shared" si="155"/>
        <v>340.50666666666666</v>
      </c>
      <c r="CL28" s="631">
        <f t="shared" si="155"/>
        <v>340.50666666666666</v>
      </c>
      <c r="CM28" s="631">
        <f t="shared" si="155"/>
        <v>340.50666666666666</v>
      </c>
      <c r="CN28" s="631">
        <f t="shared" si="155"/>
        <v>340.50666666666666</v>
      </c>
      <c r="CO28" s="631">
        <f t="shared" si="155"/>
        <v>340.50666666666666</v>
      </c>
      <c r="CP28" s="631">
        <f t="shared" si="155"/>
        <v>340.50666666666666</v>
      </c>
      <c r="CQ28" s="631">
        <f t="shared" si="155"/>
        <v>340.50666666666666</v>
      </c>
      <c r="CR28" s="631">
        <f t="shared" si="155"/>
        <v>340.50666666666666</v>
      </c>
      <c r="CS28" s="631">
        <f t="shared" si="155"/>
        <v>340.50666666666666</v>
      </c>
      <c r="CT28" s="631">
        <f t="shared" si="155"/>
        <v>340.50666666666666</v>
      </c>
      <c r="CU28" s="272">
        <f t="shared" si="122"/>
        <v>4086.08</v>
      </c>
      <c r="CV28" s="631">
        <f t="shared" ref="CV28:DG28" si="156">+CV257</f>
        <v>340.50666666666666</v>
      </c>
      <c r="CW28" s="631">
        <f t="shared" si="156"/>
        <v>340.50666666666666</v>
      </c>
      <c r="CX28" s="631">
        <f t="shared" si="156"/>
        <v>340.50666666666666</v>
      </c>
      <c r="CY28" s="631">
        <f t="shared" si="156"/>
        <v>340.50666666666666</v>
      </c>
      <c r="CZ28" s="631">
        <f t="shared" si="156"/>
        <v>340.50666666666666</v>
      </c>
      <c r="DA28" s="631">
        <f t="shared" si="156"/>
        <v>340.50666666666666</v>
      </c>
      <c r="DB28" s="631">
        <f t="shared" si="156"/>
        <v>340.50666666666666</v>
      </c>
      <c r="DC28" s="631">
        <f t="shared" si="156"/>
        <v>340.50666666666666</v>
      </c>
      <c r="DD28" s="631">
        <f t="shared" si="156"/>
        <v>340.50666666666666</v>
      </c>
      <c r="DE28" s="631">
        <f t="shared" si="156"/>
        <v>340.50666666666666</v>
      </c>
      <c r="DF28" s="631">
        <f t="shared" si="156"/>
        <v>340.50666666666666</v>
      </c>
      <c r="DG28" s="631">
        <f t="shared" si="156"/>
        <v>340.50666666666666</v>
      </c>
      <c r="DH28" s="272">
        <f t="shared" si="124"/>
        <v>4086.08</v>
      </c>
      <c r="DI28" s="631">
        <f t="shared" ref="DI28:DT28" si="157">+DI257</f>
        <v>340.50666666666666</v>
      </c>
      <c r="DJ28" s="631">
        <f t="shared" si="157"/>
        <v>340.50666666666666</v>
      </c>
      <c r="DK28" s="631">
        <f t="shared" si="157"/>
        <v>340.50666666666666</v>
      </c>
      <c r="DL28" s="631">
        <f t="shared" si="157"/>
        <v>340.50666666666666</v>
      </c>
      <c r="DM28" s="631">
        <f t="shared" si="157"/>
        <v>340.50666666666666</v>
      </c>
      <c r="DN28" s="631">
        <f t="shared" si="157"/>
        <v>340.50666666666666</v>
      </c>
      <c r="DO28" s="631">
        <f t="shared" si="157"/>
        <v>340.50666666666666</v>
      </c>
      <c r="DP28" s="631">
        <f t="shared" si="157"/>
        <v>340.50666666666666</v>
      </c>
      <c r="DQ28" s="631">
        <f t="shared" si="157"/>
        <v>340.50666666666666</v>
      </c>
      <c r="DR28" s="631">
        <f t="shared" si="157"/>
        <v>340.50666666666666</v>
      </c>
      <c r="DS28" s="631">
        <f t="shared" si="157"/>
        <v>340.50666666666666</v>
      </c>
      <c r="DT28" s="631">
        <f t="shared" si="157"/>
        <v>340.50666666666666</v>
      </c>
      <c r="DU28" s="272">
        <f t="shared" si="126"/>
        <v>4086.08</v>
      </c>
      <c r="DV28" s="631">
        <f t="shared" ref="DV28:EG28" si="158">+DV257</f>
        <v>340.50666666666666</v>
      </c>
      <c r="DW28" s="631">
        <f t="shared" si="158"/>
        <v>340.50666666666666</v>
      </c>
      <c r="DX28" s="631">
        <f t="shared" si="158"/>
        <v>340.50666666666666</v>
      </c>
      <c r="DY28" s="631">
        <f t="shared" si="158"/>
        <v>340.50666666666666</v>
      </c>
      <c r="DZ28" s="631">
        <f t="shared" si="158"/>
        <v>340.50666666666666</v>
      </c>
      <c r="EA28" s="631">
        <f t="shared" si="158"/>
        <v>340.50666666666666</v>
      </c>
      <c r="EB28" s="631">
        <f t="shared" si="158"/>
        <v>340.50666666666666</v>
      </c>
      <c r="EC28" s="631">
        <f t="shared" si="158"/>
        <v>340.50666666666666</v>
      </c>
      <c r="ED28" s="631">
        <f t="shared" si="158"/>
        <v>340.50666666666666</v>
      </c>
      <c r="EE28" s="631">
        <f t="shared" si="158"/>
        <v>340.50666666666666</v>
      </c>
      <c r="EF28" s="631">
        <f t="shared" si="158"/>
        <v>340.50666666666666</v>
      </c>
      <c r="EG28" s="631">
        <f t="shared" si="158"/>
        <v>340.50666666666666</v>
      </c>
      <c r="EH28" s="272">
        <f t="shared" si="128"/>
        <v>4086.08</v>
      </c>
      <c r="EI28" s="21"/>
      <c r="EJ28" s="21"/>
      <c r="EK28" s="21"/>
      <c r="EL28" s="21"/>
      <c r="EM28" s="21"/>
    </row>
    <row r="29" spans="1:143" ht="13.5" customHeight="1">
      <c r="A29" s="21"/>
      <c r="B29" s="21"/>
      <c r="C29" s="21"/>
      <c r="D29" s="622">
        <f t="shared" si="63"/>
        <v>20</v>
      </c>
      <c r="E29" s="1625"/>
      <c r="F29" s="265" t="s">
        <v>587</v>
      </c>
      <c r="G29" s="291"/>
      <c r="H29" s="267"/>
      <c r="I29" s="293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5">
        <v>10</v>
      </c>
      <c r="U29" s="264">
        <f t="shared" si="114"/>
        <v>10</v>
      </c>
      <c r="V29" s="293"/>
      <c r="W29" s="294"/>
      <c r="X29" s="294"/>
      <c r="Y29" s="294"/>
      <c r="Z29" s="294"/>
      <c r="AA29" s="294"/>
      <c r="AB29" s="294"/>
      <c r="AC29" s="294"/>
      <c r="AD29" s="294"/>
      <c r="AE29" s="294"/>
      <c r="AF29" s="294"/>
      <c r="AG29" s="295"/>
      <c r="AH29" s="272">
        <f t="shared" si="115"/>
        <v>0</v>
      </c>
      <c r="AI29" s="294"/>
      <c r="AJ29" s="294"/>
      <c r="AK29" s="294"/>
      <c r="AL29" s="294"/>
      <c r="AM29" s="294"/>
      <c r="AN29" s="294"/>
      <c r="AO29" s="294"/>
      <c r="AP29" s="294">
        <v>0</v>
      </c>
      <c r="AQ29" s="294"/>
      <c r="AR29" s="294"/>
      <c r="AS29" s="294"/>
      <c r="AT29" s="295"/>
      <c r="AU29" s="272">
        <f t="shared" si="116"/>
        <v>0</v>
      </c>
      <c r="AV29" s="294"/>
      <c r="AW29" s="294"/>
      <c r="AX29" s="294"/>
      <c r="AY29" s="294"/>
      <c r="AZ29" s="294"/>
      <c r="BA29" s="294"/>
      <c r="BB29" s="294"/>
      <c r="BC29" s="294"/>
      <c r="BD29" s="294"/>
      <c r="BE29" s="294"/>
      <c r="BF29" s="294"/>
      <c r="BG29" s="295"/>
      <c r="BH29" s="272">
        <f t="shared" si="117"/>
        <v>0</v>
      </c>
      <c r="BI29" s="294"/>
      <c r="BJ29" s="294"/>
      <c r="BK29" s="294"/>
      <c r="BL29" s="294"/>
      <c r="BM29" s="294"/>
      <c r="BN29" s="294"/>
      <c r="BO29" s="294"/>
      <c r="BP29" s="294"/>
      <c r="BQ29" s="294"/>
      <c r="BR29" s="294"/>
      <c r="BS29" s="294"/>
      <c r="BT29" s="295"/>
      <c r="BU29" s="272">
        <f t="shared" si="118"/>
        <v>0</v>
      </c>
      <c r="BV29" s="294"/>
      <c r="BW29" s="294"/>
      <c r="BX29" s="294"/>
      <c r="BY29" s="294"/>
      <c r="BZ29" s="294"/>
      <c r="CA29" s="294"/>
      <c r="CB29" s="294"/>
      <c r="CC29" s="294"/>
      <c r="CD29" s="294"/>
      <c r="CE29" s="294"/>
      <c r="CF29" s="294"/>
      <c r="CG29" s="295"/>
      <c r="CH29" s="272">
        <f t="shared" si="120"/>
        <v>0</v>
      </c>
      <c r="CI29" s="294"/>
      <c r="CJ29" s="294"/>
      <c r="CK29" s="294"/>
      <c r="CL29" s="294"/>
      <c r="CM29" s="294"/>
      <c r="CN29" s="294"/>
      <c r="CO29" s="294"/>
      <c r="CP29" s="294"/>
      <c r="CQ29" s="294"/>
      <c r="CR29" s="294"/>
      <c r="CS29" s="294"/>
      <c r="CT29" s="295"/>
      <c r="CU29" s="272">
        <f t="shared" si="122"/>
        <v>0</v>
      </c>
      <c r="CV29" s="294"/>
      <c r="CW29" s="294"/>
      <c r="CX29" s="294"/>
      <c r="CY29" s="294"/>
      <c r="CZ29" s="294"/>
      <c r="DA29" s="294"/>
      <c r="DB29" s="294"/>
      <c r="DC29" s="294"/>
      <c r="DD29" s="294"/>
      <c r="DE29" s="294"/>
      <c r="DF29" s="294"/>
      <c r="DG29" s="295"/>
      <c r="DH29" s="272">
        <f t="shared" si="124"/>
        <v>0</v>
      </c>
      <c r="DI29" s="294"/>
      <c r="DJ29" s="294"/>
      <c r="DK29" s="294"/>
      <c r="DL29" s="294"/>
      <c r="DM29" s="294"/>
      <c r="DN29" s="294"/>
      <c r="DO29" s="294"/>
      <c r="DP29" s="294"/>
      <c r="DQ29" s="294"/>
      <c r="DR29" s="294"/>
      <c r="DS29" s="294"/>
      <c r="DT29" s="295"/>
      <c r="DU29" s="272">
        <f t="shared" si="126"/>
        <v>0</v>
      </c>
      <c r="DV29" s="293"/>
      <c r="DW29" s="294"/>
      <c r="DX29" s="294"/>
      <c r="DY29" s="294"/>
      <c r="DZ29" s="294"/>
      <c r="EA29" s="294"/>
      <c r="EB29" s="294"/>
      <c r="EC29" s="294"/>
      <c r="ED29" s="294"/>
      <c r="EE29" s="294"/>
      <c r="EF29" s="294"/>
      <c r="EG29" s="295"/>
      <c r="EH29" s="272">
        <f t="shared" si="128"/>
        <v>0</v>
      </c>
      <c r="EI29" s="21"/>
      <c r="EJ29" s="21"/>
      <c r="EK29" s="21"/>
      <c r="EL29" s="21"/>
      <c r="EM29" s="21"/>
    </row>
    <row r="30" spans="1:143" ht="13.5" customHeight="1">
      <c r="A30" s="21"/>
      <c r="B30" s="21"/>
      <c r="C30" s="21"/>
      <c r="D30" s="622">
        <f t="shared" si="63"/>
        <v>21</v>
      </c>
      <c r="E30" s="1625"/>
      <c r="F30" s="265" t="s">
        <v>588</v>
      </c>
      <c r="G30" s="296"/>
      <c r="H30" s="297">
        <f>25%*(Historical!K105-Historical!K105)</f>
        <v>0</v>
      </c>
      <c r="I30" s="298">
        <f>+IF(I10=0,0,Historical!$K$120/SUM($I$4:$T$4))</f>
        <v>0</v>
      </c>
      <c r="J30" s="298">
        <f>+IF(J10=0,0,Historical!$K$120/SUM($I$4:$T$4))</f>
        <v>0</v>
      </c>
      <c r="K30" s="298">
        <f>+IF(K10=0,0,Historical!$K$120/SUM($I$4:$T$4))</f>
        <v>0</v>
      </c>
      <c r="L30" s="298">
        <f>+IF(L10=0,0,Historical!$K$120/SUM($I$4:$T$4))</f>
        <v>0</v>
      </c>
      <c r="M30" s="298">
        <f>+IF(M10=0,0,Historical!$K$120/SUM($I$4:$T$4))</f>
        <v>0</v>
      </c>
      <c r="N30" s="298">
        <f>+IF(N10=0,0,Historical!$K$120/SUM($I$4:$T$4))</f>
        <v>0</v>
      </c>
      <c r="O30" s="298">
        <f>+IF(O10=0,0,Historical!$K$120/SUM($I$4:$T$4))</f>
        <v>1500</v>
      </c>
      <c r="P30" s="298">
        <f>+IF(P10=0,0,Historical!$K$120/SUM($I$4:$T$4))</f>
        <v>1500</v>
      </c>
      <c r="Q30" s="298">
        <f>+IF(Q10=0,0,Historical!$K$120/SUM($I$4:$T$4))</f>
        <v>1500</v>
      </c>
      <c r="R30" s="298">
        <f>+IF(R10=0,0,Historical!$K$120/SUM($I$4:$T$4))</f>
        <v>1500</v>
      </c>
      <c r="S30" s="298">
        <f>+IF(S10=0,0,Historical!$K$120/SUM($I$4:$T$4))</f>
        <v>1500</v>
      </c>
      <c r="T30" s="632">
        <f>+IF(T10=0,0,Historical!$K$120/SUM($I$4:$T$4))</f>
        <v>1500</v>
      </c>
      <c r="U30" s="272">
        <f t="shared" si="114"/>
        <v>9000</v>
      </c>
      <c r="V30" s="633">
        <f>+Projection!L89/12</f>
        <v>750</v>
      </c>
      <c r="W30" s="298">
        <f>+Projection!L89/12</f>
        <v>750</v>
      </c>
      <c r="X30" s="298">
        <f>+Projection!L89/12</f>
        <v>750</v>
      </c>
      <c r="Y30" s="298">
        <f>+Projection!L89/12</f>
        <v>750</v>
      </c>
      <c r="Z30" s="298">
        <f>+Projection!L89/12</f>
        <v>750</v>
      </c>
      <c r="AA30" s="298">
        <f>+Projection!L89/12</f>
        <v>750</v>
      </c>
      <c r="AB30" s="298">
        <f>+Projection!L89/12</f>
        <v>750</v>
      </c>
      <c r="AC30" s="298">
        <f>+Projection!L89/12</f>
        <v>750</v>
      </c>
      <c r="AD30" s="298">
        <f>+Projection!L89/12</f>
        <v>750</v>
      </c>
      <c r="AE30" s="298">
        <f>+Projection!L89/12</f>
        <v>750</v>
      </c>
      <c r="AF30" s="298">
        <f>+Projection!L89/12</f>
        <v>750</v>
      </c>
      <c r="AG30" s="632">
        <f>+Projection!L89/12</f>
        <v>750</v>
      </c>
      <c r="AH30" s="264">
        <f t="shared" si="115"/>
        <v>9000</v>
      </c>
      <c r="AI30" s="633">
        <f>+Projection!N89/12</f>
        <v>554.38853606046177</v>
      </c>
      <c r="AJ30" s="298">
        <f>+Projection!N89/12</f>
        <v>554.38853606046177</v>
      </c>
      <c r="AK30" s="298">
        <f>+Projection!N89/12</f>
        <v>554.38853606046177</v>
      </c>
      <c r="AL30" s="298">
        <f>+Projection!N89/12</f>
        <v>554.38853606046177</v>
      </c>
      <c r="AM30" s="298">
        <f>+Projection!N89/12</f>
        <v>554.38853606046177</v>
      </c>
      <c r="AN30" s="298">
        <f>+Projection!N89/12</f>
        <v>554.38853606046177</v>
      </c>
      <c r="AO30" s="298">
        <f>+Projection!N89/12</f>
        <v>554.38853606046177</v>
      </c>
      <c r="AP30" s="298">
        <f>+Projection!N89/12</f>
        <v>554.38853606046177</v>
      </c>
      <c r="AQ30" s="298">
        <f>+Projection!N89/12</f>
        <v>554.38853606046177</v>
      </c>
      <c r="AR30" s="298">
        <f>+Projection!N89/12</f>
        <v>554.38853606046177</v>
      </c>
      <c r="AS30" s="298">
        <f>+Projection!N89/12</f>
        <v>554.38853606046177</v>
      </c>
      <c r="AT30" s="632">
        <f>+Projection!N89/12</f>
        <v>554.38853606046177</v>
      </c>
      <c r="AU30" s="264">
        <f t="shared" si="116"/>
        <v>6652.6624327255413</v>
      </c>
      <c r="AV30" s="633">
        <f>+Projection!P89/12</f>
        <v>719.9515079598109</v>
      </c>
      <c r="AW30" s="298">
        <f>+Projection!P89/12</f>
        <v>719.9515079598109</v>
      </c>
      <c r="AX30" s="298">
        <f>+Projection!P89/12</f>
        <v>719.9515079598109</v>
      </c>
      <c r="AY30" s="298">
        <f>+Projection!P89/12</f>
        <v>719.9515079598109</v>
      </c>
      <c r="AZ30" s="298">
        <f>+Projection!P89/12</f>
        <v>719.9515079598109</v>
      </c>
      <c r="BA30" s="298">
        <f>+Projection!P89/12</f>
        <v>719.9515079598109</v>
      </c>
      <c r="BB30" s="298">
        <f>+Projection!P89/12</f>
        <v>719.9515079598109</v>
      </c>
      <c r="BC30" s="298">
        <f>+Projection!P89/12</f>
        <v>719.9515079598109</v>
      </c>
      <c r="BD30" s="298">
        <f>+Projection!P89/12</f>
        <v>719.9515079598109</v>
      </c>
      <c r="BE30" s="298">
        <f>+Projection!P89/12</f>
        <v>719.9515079598109</v>
      </c>
      <c r="BF30" s="298">
        <f>+Projection!P89/12</f>
        <v>719.9515079598109</v>
      </c>
      <c r="BG30" s="298">
        <f>+Projection!P89/12</f>
        <v>719.9515079598109</v>
      </c>
      <c r="BH30" s="264">
        <f t="shared" si="117"/>
        <v>8639.4180955177326</v>
      </c>
      <c r="BI30" s="298">
        <f>+Projection!R89/12</f>
        <v>895.48993574132476</v>
      </c>
      <c r="BJ30" s="298">
        <f>+Projection!R89/12</f>
        <v>895.48993574132476</v>
      </c>
      <c r="BK30" s="298">
        <f>+Projection!R89/12</f>
        <v>895.48993574132476</v>
      </c>
      <c r="BL30" s="298">
        <f>+Projection!R89/12</f>
        <v>895.48993574132476</v>
      </c>
      <c r="BM30" s="298">
        <f>+Projection!R89/12</f>
        <v>895.48993574132476</v>
      </c>
      <c r="BN30" s="298">
        <f>+Projection!R89/12</f>
        <v>895.48993574132476</v>
      </c>
      <c r="BO30" s="298">
        <f>+Projection!R89/12</f>
        <v>895.48993574132476</v>
      </c>
      <c r="BP30" s="298">
        <f>+Projection!R89/12</f>
        <v>895.48993574132476</v>
      </c>
      <c r="BQ30" s="298">
        <f>+Projection!R89/12</f>
        <v>895.48993574132476</v>
      </c>
      <c r="BR30" s="298">
        <f>+Projection!R89/12</f>
        <v>895.48993574132476</v>
      </c>
      <c r="BS30" s="298">
        <f>+Projection!R89/12</f>
        <v>895.48993574132476</v>
      </c>
      <c r="BT30" s="632">
        <f>+Projection!R89/12</f>
        <v>895.48993574132476</v>
      </c>
      <c r="BU30" s="264">
        <f t="shared" si="118"/>
        <v>10745.879228895899</v>
      </c>
      <c r="BV30" s="633">
        <f>+Projection!T89/12</f>
        <v>1093.0951152700502</v>
      </c>
      <c r="BW30" s="298">
        <f t="shared" ref="BW30:CG30" si="159">+BV30</f>
        <v>1093.0951152700502</v>
      </c>
      <c r="BX30" s="298">
        <f t="shared" si="159"/>
        <v>1093.0951152700502</v>
      </c>
      <c r="BY30" s="298">
        <f t="shared" si="159"/>
        <v>1093.0951152700502</v>
      </c>
      <c r="BZ30" s="298">
        <f t="shared" si="159"/>
        <v>1093.0951152700502</v>
      </c>
      <c r="CA30" s="298">
        <f t="shared" si="159"/>
        <v>1093.0951152700502</v>
      </c>
      <c r="CB30" s="298">
        <f t="shared" si="159"/>
        <v>1093.0951152700502</v>
      </c>
      <c r="CC30" s="298">
        <f t="shared" si="159"/>
        <v>1093.0951152700502</v>
      </c>
      <c r="CD30" s="298">
        <f t="shared" si="159"/>
        <v>1093.0951152700502</v>
      </c>
      <c r="CE30" s="298">
        <f t="shared" si="159"/>
        <v>1093.0951152700502</v>
      </c>
      <c r="CF30" s="298">
        <f t="shared" si="159"/>
        <v>1093.0951152700502</v>
      </c>
      <c r="CG30" s="632">
        <f t="shared" si="159"/>
        <v>1093.0951152700502</v>
      </c>
      <c r="CH30" s="264">
        <f t="shared" si="120"/>
        <v>13117.141383240605</v>
      </c>
      <c r="CI30" s="633">
        <f>Projection!Z89/12</f>
        <v>217.78488779066731</v>
      </c>
      <c r="CJ30" s="298">
        <f t="shared" ref="CJ30:CT30" si="160">+CI30</f>
        <v>217.78488779066731</v>
      </c>
      <c r="CK30" s="298">
        <f t="shared" si="160"/>
        <v>217.78488779066731</v>
      </c>
      <c r="CL30" s="298">
        <f t="shared" si="160"/>
        <v>217.78488779066731</v>
      </c>
      <c r="CM30" s="298">
        <f t="shared" si="160"/>
        <v>217.78488779066731</v>
      </c>
      <c r="CN30" s="298">
        <f t="shared" si="160"/>
        <v>217.78488779066731</v>
      </c>
      <c r="CO30" s="298">
        <f t="shared" si="160"/>
        <v>217.78488779066731</v>
      </c>
      <c r="CP30" s="298">
        <f t="shared" si="160"/>
        <v>217.78488779066731</v>
      </c>
      <c r="CQ30" s="298">
        <f t="shared" si="160"/>
        <v>217.78488779066731</v>
      </c>
      <c r="CR30" s="298">
        <f t="shared" si="160"/>
        <v>217.78488779066731</v>
      </c>
      <c r="CS30" s="298">
        <f t="shared" si="160"/>
        <v>217.78488779066731</v>
      </c>
      <c r="CT30" s="632">
        <f t="shared" si="160"/>
        <v>217.78488779066731</v>
      </c>
      <c r="CU30" s="264">
        <f t="shared" si="122"/>
        <v>2613.4186534880068</v>
      </c>
      <c r="CV30" s="633">
        <f>Projection!AB89/12</f>
        <v>217.78488779066731</v>
      </c>
      <c r="CW30" s="298">
        <f t="shared" ref="CW30:DG30" si="161">+CV30</f>
        <v>217.78488779066731</v>
      </c>
      <c r="CX30" s="298">
        <f t="shared" si="161"/>
        <v>217.78488779066731</v>
      </c>
      <c r="CY30" s="298">
        <f t="shared" si="161"/>
        <v>217.78488779066731</v>
      </c>
      <c r="CZ30" s="298">
        <f t="shared" si="161"/>
        <v>217.78488779066731</v>
      </c>
      <c r="DA30" s="298">
        <f t="shared" si="161"/>
        <v>217.78488779066731</v>
      </c>
      <c r="DB30" s="298">
        <f t="shared" si="161"/>
        <v>217.78488779066731</v>
      </c>
      <c r="DC30" s="298">
        <f t="shared" si="161"/>
        <v>217.78488779066731</v>
      </c>
      <c r="DD30" s="298">
        <f t="shared" si="161"/>
        <v>217.78488779066731</v>
      </c>
      <c r="DE30" s="298">
        <f t="shared" si="161"/>
        <v>217.78488779066731</v>
      </c>
      <c r="DF30" s="298">
        <f t="shared" si="161"/>
        <v>217.78488779066731</v>
      </c>
      <c r="DG30" s="632">
        <f t="shared" si="161"/>
        <v>217.78488779066731</v>
      </c>
      <c r="DH30" s="264">
        <f t="shared" si="124"/>
        <v>2613.4186534880068</v>
      </c>
      <c r="DI30" s="633">
        <f>Projection!AD89/12</f>
        <v>217.78488779066731</v>
      </c>
      <c r="DJ30" s="298">
        <f t="shared" ref="DJ30:DT30" si="162">+DI30</f>
        <v>217.78488779066731</v>
      </c>
      <c r="DK30" s="298">
        <f t="shared" si="162"/>
        <v>217.78488779066731</v>
      </c>
      <c r="DL30" s="298">
        <f t="shared" si="162"/>
        <v>217.78488779066731</v>
      </c>
      <c r="DM30" s="298">
        <f t="shared" si="162"/>
        <v>217.78488779066731</v>
      </c>
      <c r="DN30" s="298">
        <f t="shared" si="162"/>
        <v>217.78488779066731</v>
      </c>
      <c r="DO30" s="298">
        <f t="shared" si="162"/>
        <v>217.78488779066731</v>
      </c>
      <c r="DP30" s="298">
        <f t="shared" si="162"/>
        <v>217.78488779066731</v>
      </c>
      <c r="DQ30" s="298">
        <f t="shared" si="162"/>
        <v>217.78488779066731</v>
      </c>
      <c r="DR30" s="298">
        <f t="shared" si="162"/>
        <v>217.78488779066731</v>
      </c>
      <c r="DS30" s="298">
        <f t="shared" si="162"/>
        <v>217.78488779066731</v>
      </c>
      <c r="DT30" s="632">
        <f t="shared" si="162"/>
        <v>217.78488779066731</v>
      </c>
      <c r="DU30" s="264">
        <f t="shared" si="126"/>
        <v>2613.4186534880068</v>
      </c>
      <c r="DV30" s="633">
        <f>Projection!AF89/12</f>
        <v>217.78488779066731</v>
      </c>
      <c r="DW30" s="298">
        <f t="shared" ref="DW30:EG30" si="163">+DV30</f>
        <v>217.78488779066731</v>
      </c>
      <c r="DX30" s="298">
        <f t="shared" si="163"/>
        <v>217.78488779066731</v>
      </c>
      <c r="DY30" s="298">
        <f t="shared" si="163"/>
        <v>217.78488779066731</v>
      </c>
      <c r="DZ30" s="298">
        <f t="shared" si="163"/>
        <v>217.78488779066731</v>
      </c>
      <c r="EA30" s="298">
        <f t="shared" si="163"/>
        <v>217.78488779066731</v>
      </c>
      <c r="EB30" s="298">
        <f t="shared" si="163"/>
        <v>217.78488779066731</v>
      </c>
      <c r="EC30" s="298">
        <f t="shared" si="163"/>
        <v>217.78488779066731</v>
      </c>
      <c r="ED30" s="298">
        <f t="shared" si="163"/>
        <v>217.78488779066731</v>
      </c>
      <c r="EE30" s="298">
        <f t="shared" si="163"/>
        <v>217.78488779066731</v>
      </c>
      <c r="EF30" s="298">
        <f t="shared" si="163"/>
        <v>217.78488779066731</v>
      </c>
      <c r="EG30" s="632">
        <f t="shared" si="163"/>
        <v>217.78488779066731</v>
      </c>
      <c r="EH30" s="264">
        <f t="shared" si="128"/>
        <v>2613.4186534880068</v>
      </c>
      <c r="EI30" s="21"/>
      <c r="EJ30" s="21"/>
      <c r="EK30" s="21"/>
      <c r="EL30" s="21"/>
      <c r="EM30" s="21"/>
    </row>
    <row r="31" spans="1:143" ht="13.5" customHeight="1">
      <c r="A31" s="21"/>
      <c r="B31" s="21"/>
      <c r="C31" s="21"/>
      <c r="D31" s="622">
        <f t="shared" si="63"/>
        <v>22</v>
      </c>
      <c r="E31" s="1625"/>
      <c r="F31" s="263" t="str">
        <f>+" (Payments of) / Additions to "&amp;Historical!C21</f>
        <v xml:space="preserve"> (Payments of) / Additions to Prepaid Taxes</v>
      </c>
      <c r="G31" s="634"/>
      <c r="H31" s="299">
        <f>Historical!K21</f>
        <v>603</v>
      </c>
      <c r="I31" s="298"/>
      <c r="J31" s="298"/>
      <c r="K31" s="298"/>
      <c r="L31" s="298"/>
      <c r="M31" s="298"/>
      <c r="N31" s="298"/>
      <c r="O31" s="298"/>
      <c r="P31" s="298"/>
      <c r="Q31" s="298"/>
      <c r="R31" s="298"/>
      <c r="S31" s="298"/>
      <c r="T31" s="632">
        <v>20</v>
      </c>
      <c r="U31" s="264">
        <f t="shared" ref="U31:U34" si="164">(SUM(I31:T31))</f>
        <v>20</v>
      </c>
      <c r="V31" s="633"/>
      <c r="W31" s="298"/>
      <c r="X31" s="298"/>
      <c r="Y31" s="298"/>
      <c r="Z31" s="298"/>
      <c r="AA31" s="298"/>
      <c r="AB31" s="298"/>
      <c r="AC31" s="298"/>
      <c r="AD31" s="298"/>
      <c r="AE31" s="298"/>
      <c r="AF31" s="298"/>
      <c r="AG31" s="632"/>
      <c r="AH31" s="264">
        <f t="shared" ref="AH31:AH34" si="165">(SUM(V31:AG31))</f>
        <v>0</v>
      </c>
      <c r="AI31" s="633"/>
      <c r="AJ31" s="298"/>
      <c r="AK31" s="298"/>
      <c r="AL31" s="298"/>
      <c r="AM31" s="298"/>
      <c r="AN31" s="298"/>
      <c r="AO31" s="298"/>
      <c r="AP31" s="298"/>
      <c r="AQ31" s="298"/>
      <c r="AR31" s="298"/>
      <c r="AS31" s="298"/>
      <c r="AT31" s="632"/>
      <c r="AU31" s="264">
        <f t="shared" ref="AU31:AU34" si="166">(SUM(AI31:AT31))</f>
        <v>0</v>
      </c>
      <c r="AV31" s="633"/>
      <c r="AW31" s="298"/>
      <c r="AX31" s="298"/>
      <c r="AY31" s="298"/>
      <c r="AZ31" s="298"/>
      <c r="BA31" s="298"/>
      <c r="BB31" s="298"/>
      <c r="BC31" s="298"/>
      <c r="BD31" s="298"/>
      <c r="BE31" s="298"/>
      <c r="BF31" s="298"/>
      <c r="BG31" s="632"/>
      <c r="BH31" s="264">
        <f t="shared" ref="BH31:BH34" si="167">(SUM(AV31:BG31))</f>
        <v>0</v>
      </c>
      <c r="BI31" s="633"/>
      <c r="BJ31" s="298"/>
      <c r="BK31" s="298"/>
      <c r="BL31" s="298"/>
      <c r="BM31" s="298"/>
      <c r="BN31" s="298"/>
      <c r="BO31" s="298"/>
      <c r="BP31" s="298"/>
      <c r="BQ31" s="298"/>
      <c r="BR31" s="298"/>
      <c r="BS31" s="298"/>
      <c r="BT31" s="632"/>
      <c r="BU31" s="264">
        <f t="shared" ref="BU31:BU34" si="168">(SUM(BI31:BT31))</f>
        <v>0</v>
      </c>
      <c r="BV31" s="633"/>
      <c r="BW31" s="298"/>
      <c r="BX31" s="298"/>
      <c r="BY31" s="298"/>
      <c r="BZ31" s="298"/>
      <c r="CA31" s="298"/>
      <c r="CB31" s="298"/>
      <c r="CC31" s="298"/>
      <c r="CD31" s="298"/>
      <c r="CE31" s="298"/>
      <c r="CF31" s="298"/>
      <c r="CG31" s="632"/>
      <c r="CH31" s="264">
        <f t="shared" ref="CH31:CH34" si="169">(SUM(BV31:CG31))</f>
        <v>0</v>
      </c>
      <c r="CI31" s="633"/>
      <c r="CJ31" s="298"/>
      <c r="CK31" s="298"/>
      <c r="CL31" s="298"/>
      <c r="CM31" s="298"/>
      <c r="CN31" s="298"/>
      <c r="CO31" s="298"/>
      <c r="CP31" s="298"/>
      <c r="CQ31" s="298"/>
      <c r="CR31" s="298"/>
      <c r="CS31" s="298"/>
      <c r="CT31" s="632"/>
      <c r="CU31" s="264">
        <f t="shared" ref="CU31:CU34" si="170">(SUM(CI31:CT31))</f>
        <v>0</v>
      </c>
      <c r="CV31" s="633"/>
      <c r="CW31" s="298"/>
      <c r="CX31" s="298"/>
      <c r="CY31" s="298"/>
      <c r="CZ31" s="298"/>
      <c r="DA31" s="298"/>
      <c r="DB31" s="298"/>
      <c r="DC31" s="298"/>
      <c r="DD31" s="298"/>
      <c r="DE31" s="298"/>
      <c r="DF31" s="298"/>
      <c r="DG31" s="632"/>
      <c r="DH31" s="264">
        <f t="shared" ref="DH31:DH34" si="171">(SUM(CV31:DG31))</f>
        <v>0</v>
      </c>
      <c r="DI31" s="633"/>
      <c r="DJ31" s="298"/>
      <c r="DK31" s="298"/>
      <c r="DL31" s="298"/>
      <c r="DM31" s="298"/>
      <c r="DN31" s="298"/>
      <c r="DO31" s="298"/>
      <c r="DP31" s="298"/>
      <c r="DQ31" s="298"/>
      <c r="DR31" s="298"/>
      <c r="DS31" s="298"/>
      <c r="DT31" s="632"/>
      <c r="DU31" s="264">
        <f t="shared" ref="DU31:DU34" si="172">(SUM(DI31:DT31))</f>
        <v>0</v>
      </c>
      <c r="DV31" s="633"/>
      <c r="DW31" s="298"/>
      <c r="DX31" s="298"/>
      <c r="DY31" s="298"/>
      <c r="DZ31" s="298"/>
      <c r="EA31" s="298"/>
      <c r="EB31" s="298"/>
      <c r="EC31" s="298"/>
      <c r="ED31" s="298"/>
      <c r="EE31" s="298"/>
      <c r="EF31" s="298"/>
      <c r="EG31" s="632"/>
      <c r="EH31" s="264">
        <f t="shared" ref="EH31:EH34" si="173">(SUM(DV31:EG31))</f>
        <v>0</v>
      </c>
      <c r="EI31" s="21"/>
      <c r="EJ31" s="21"/>
      <c r="EK31" s="21"/>
      <c r="EL31" s="21"/>
      <c r="EM31" s="21"/>
    </row>
    <row r="32" spans="1:143" ht="13.5" customHeight="1">
      <c r="A32" s="21"/>
      <c r="B32" s="21"/>
      <c r="C32" s="21"/>
      <c r="D32" s="622">
        <f t="shared" si="63"/>
        <v>23</v>
      </c>
      <c r="E32" s="1625"/>
      <c r="F32" s="263" t="str">
        <f>+" (Payments of) / Additions to "&amp;Historical!C22</f>
        <v xml:space="preserve"> (Payments of) / Additions to Prepaid Expenses</v>
      </c>
      <c r="G32" s="296"/>
      <c r="H32" s="300"/>
      <c r="I32" s="301"/>
      <c r="J32" s="301"/>
      <c r="K32" s="301"/>
      <c r="L32" s="301"/>
      <c r="M32" s="301"/>
      <c r="N32" s="298"/>
      <c r="O32" s="301"/>
      <c r="P32" s="301"/>
      <c r="Q32" s="301"/>
      <c r="R32" s="301"/>
      <c r="S32" s="301"/>
      <c r="T32" s="302">
        <v>30</v>
      </c>
      <c r="U32" s="264">
        <f t="shared" si="164"/>
        <v>30</v>
      </c>
      <c r="V32" s="303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2"/>
      <c r="AH32" s="264">
        <f t="shared" si="165"/>
        <v>0</v>
      </c>
      <c r="AI32" s="303"/>
      <c r="AJ32" s="301"/>
      <c r="AK32" s="301"/>
      <c r="AL32" s="301"/>
      <c r="AM32" s="301"/>
      <c r="AN32" s="301"/>
      <c r="AO32" s="301"/>
      <c r="AP32" s="301"/>
      <c r="AQ32" s="301"/>
      <c r="AR32" s="301"/>
      <c r="AS32" s="301"/>
      <c r="AT32" s="302"/>
      <c r="AU32" s="264">
        <f t="shared" si="166"/>
        <v>0</v>
      </c>
      <c r="AV32" s="303"/>
      <c r="AW32" s="301"/>
      <c r="AX32" s="301"/>
      <c r="AY32" s="301"/>
      <c r="AZ32" s="301"/>
      <c r="BA32" s="301"/>
      <c r="BB32" s="301"/>
      <c r="BC32" s="301"/>
      <c r="BD32" s="301"/>
      <c r="BE32" s="301"/>
      <c r="BF32" s="301"/>
      <c r="BG32" s="302"/>
      <c r="BH32" s="264">
        <f t="shared" si="167"/>
        <v>0</v>
      </c>
      <c r="BI32" s="303"/>
      <c r="BJ32" s="301"/>
      <c r="BK32" s="301"/>
      <c r="BL32" s="301"/>
      <c r="BM32" s="301"/>
      <c r="BN32" s="301"/>
      <c r="BO32" s="301"/>
      <c r="BP32" s="301"/>
      <c r="BQ32" s="301"/>
      <c r="BR32" s="301"/>
      <c r="BS32" s="301"/>
      <c r="BT32" s="302"/>
      <c r="BU32" s="264">
        <f t="shared" si="168"/>
        <v>0</v>
      </c>
      <c r="BV32" s="303"/>
      <c r="BW32" s="301"/>
      <c r="BX32" s="301"/>
      <c r="BY32" s="301"/>
      <c r="BZ32" s="301"/>
      <c r="CA32" s="301"/>
      <c r="CB32" s="301"/>
      <c r="CC32" s="301"/>
      <c r="CD32" s="301"/>
      <c r="CE32" s="301"/>
      <c r="CF32" s="301"/>
      <c r="CG32" s="302"/>
      <c r="CH32" s="264">
        <f t="shared" si="169"/>
        <v>0</v>
      </c>
      <c r="CI32" s="303"/>
      <c r="CJ32" s="301"/>
      <c r="CK32" s="301"/>
      <c r="CL32" s="301"/>
      <c r="CM32" s="301"/>
      <c r="CN32" s="301"/>
      <c r="CO32" s="301"/>
      <c r="CP32" s="301"/>
      <c r="CQ32" s="301"/>
      <c r="CR32" s="301"/>
      <c r="CS32" s="301"/>
      <c r="CT32" s="302"/>
      <c r="CU32" s="264">
        <f t="shared" si="170"/>
        <v>0</v>
      </c>
      <c r="CV32" s="303"/>
      <c r="CW32" s="301"/>
      <c r="CX32" s="301"/>
      <c r="CY32" s="301"/>
      <c r="CZ32" s="301"/>
      <c r="DA32" s="301"/>
      <c r="DB32" s="301"/>
      <c r="DC32" s="301"/>
      <c r="DD32" s="301"/>
      <c r="DE32" s="301"/>
      <c r="DF32" s="301"/>
      <c r="DG32" s="302"/>
      <c r="DH32" s="264">
        <f t="shared" si="171"/>
        <v>0</v>
      </c>
      <c r="DI32" s="303"/>
      <c r="DJ32" s="301"/>
      <c r="DK32" s="301"/>
      <c r="DL32" s="301"/>
      <c r="DM32" s="301"/>
      <c r="DN32" s="301"/>
      <c r="DO32" s="301"/>
      <c r="DP32" s="301"/>
      <c r="DQ32" s="301"/>
      <c r="DR32" s="301"/>
      <c r="DS32" s="301"/>
      <c r="DT32" s="302"/>
      <c r="DU32" s="264">
        <f t="shared" si="172"/>
        <v>0</v>
      </c>
      <c r="DV32" s="303"/>
      <c r="DW32" s="301"/>
      <c r="DX32" s="301"/>
      <c r="DY32" s="301"/>
      <c r="DZ32" s="301"/>
      <c r="EA32" s="301"/>
      <c r="EB32" s="301"/>
      <c r="EC32" s="301"/>
      <c r="ED32" s="301"/>
      <c r="EE32" s="301"/>
      <c r="EF32" s="301"/>
      <c r="EG32" s="302"/>
      <c r="EH32" s="264">
        <f t="shared" si="173"/>
        <v>0</v>
      </c>
      <c r="EI32" s="21"/>
      <c r="EJ32" s="21"/>
      <c r="EK32" s="21"/>
      <c r="EL32" s="21"/>
      <c r="EM32" s="21"/>
    </row>
    <row r="33" spans="1:143" ht="13.5" customHeight="1">
      <c r="A33" s="21"/>
      <c r="B33" s="21"/>
      <c r="C33" s="21"/>
      <c r="D33" s="622">
        <f t="shared" si="63"/>
        <v>24</v>
      </c>
      <c r="E33" s="1625"/>
      <c r="F33" s="263" t="str">
        <f>+" (Payments of) / Additions to "&amp;Historical!C23</f>
        <v xml:space="preserve"> (Payments of) / Additions to Advance Payments</v>
      </c>
      <c r="G33" s="296"/>
      <c r="H33" s="304">
        <f>Historical!K23</f>
        <v>803</v>
      </c>
      <c r="I33" s="301"/>
      <c r="J33" s="301"/>
      <c r="K33" s="301"/>
      <c r="L33" s="301"/>
      <c r="M33" s="301"/>
      <c r="N33" s="298"/>
      <c r="O33" s="301"/>
      <c r="P33" s="301"/>
      <c r="Q33" s="301"/>
      <c r="R33" s="301"/>
      <c r="S33" s="301"/>
      <c r="T33" s="302">
        <v>40</v>
      </c>
      <c r="U33" s="264">
        <f t="shared" si="164"/>
        <v>40</v>
      </c>
      <c r="V33" s="303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2"/>
      <c r="AH33" s="264">
        <f t="shared" si="165"/>
        <v>0</v>
      </c>
      <c r="AI33" s="303"/>
      <c r="AJ33" s="301"/>
      <c r="AK33" s="301"/>
      <c r="AL33" s="301"/>
      <c r="AM33" s="301"/>
      <c r="AN33" s="301"/>
      <c r="AO33" s="301"/>
      <c r="AP33" s="301"/>
      <c r="AQ33" s="301"/>
      <c r="AR33" s="301"/>
      <c r="AS33" s="301"/>
      <c r="AT33" s="302"/>
      <c r="AU33" s="264">
        <f t="shared" si="166"/>
        <v>0</v>
      </c>
      <c r="AV33" s="303"/>
      <c r="AW33" s="301"/>
      <c r="AX33" s="301"/>
      <c r="AY33" s="301"/>
      <c r="AZ33" s="301"/>
      <c r="BA33" s="301"/>
      <c r="BB33" s="301"/>
      <c r="BC33" s="301"/>
      <c r="BD33" s="301"/>
      <c r="BE33" s="301"/>
      <c r="BF33" s="301"/>
      <c r="BG33" s="302"/>
      <c r="BH33" s="264">
        <f t="shared" si="167"/>
        <v>0</v>
      </c>
      <c r="BI33" s="303"/>
      <c r="BJ33" s="301"/>
      <c r="BK33" s="301"/>
      <c r="BL33" s="301"/>
      <c r="BM33" s="301"/>
      <c r="BN33" s="301"/>
      <c r="BO33" s="301"/>
      <c r="BP33" s="301"/>
      <c r="BQ33" s="301"/>
      <c r="BR33" s="301"/>
      <c r="BS33" s="301"/>
      <c r="BT33" s="302"/>
      <c r="BU33" s="264">
        <f t="shared" si="168"/>
        <v>0</v>
      </c>
      <c r="BV33" s="303"/>
      <c r="BW33" s="301"/>
      <c r="BX33" s="301"/>
      <c r="BY33" s="301"/>
      <c r="BZ33" s="301"/>
      <c r="CA33" s="301"/>
      <c r="CB33" s="301"/>
      <c r="CC33" s="301"/>
      <c r="CD33" s="301"/>
      <c r="CE33" s="301"/>
      <c r="CF33" s="301"/>
      <c r="CG33" s="302"/>
      <c r="CH33" s="264">
        <f t="shared" si="169"/>
        <v>0</v>
      </c>
      <c r="CI33" s="303"/>
      <c r="CJ33" s="301"/>
      <c r="CK33" s="301"/>
      <c r="CL33" s="301"/>
      <c r="CM33" s="301"/>
      <c r="CN33" s="301"/>
      <c r="CO33" s="301"/>
      <c r="CP33" s="301"/>
      <c r="CQ33" s="301"/>
      <c r="CR33" s="301"/>
      <c r="CS33" s="301"/>
      <c r="CT33" s="302"/>
      <c r="CU33" s="264">
        <f t="shared" si="170"/>
        <v>0</v>
      </c>
      <c r="CV33" s="303"/>
      <c r="CW33" s="301"/>
      <c r="CX33" s="301"/>
      <c r="CY33" s="301"/>
      <c r="CZ33" s="301"/>
      <c r="DA33" s="301"/>
      <c r="DB33" s="301"/>
      <c r="DC33" s="301"/>
      <c r="DD33" s="301"/>
      <c r="DE33" s="301"/>
      <c r="DF33" s="301"/>
      <c r="DG33" s="302"/>
      <c r="DH33" s="264">
        <f t="shared" si="171"/>
        <v>0</v>
      </c>
      <c r="DI33" s="303"/>
      <c r="DJ33" s="301"/>
      <c r="DK33" s="301"/>
      <c r="DL33" s="301"/>
      <c r="DM33" s="301"/>
      <c r="DN33" s="301"/>
      <c r="DO33" s="301"/>
      <c r="DP33" s="301"/>
      <c r="DQ33" s="301"/>
      <c r="DR33" s="301"/>
      <c r="DS33" s="301"/>
      <c r="DT33" s="302"/>
      <c r="DU33" s="264">
        <f t="shared" si="172"/>
        <v>0</v>
      </c>
      <c r="DV33" s="303"/>
      <c r="DW33" s="301"/>
      <c r="DX33" s="301"/>
      <c r="DY33" s="301"/>
      <c r="DZ33" s="301"/>
      <c r="EA33" s="301"/>
      <c r="EB33" s="301"/>
      <c r="EC33" s="301"/>
      <c r="ED33" s="301"/>
      <c r="EE33" s="301"/>
      <c r="EF33" s="301"/>
      <c r="EG33" s="302"/>
      <c r="EH33" s="264">
        <f t="shared" si="173"/>
        <v>0</v>
      </c>
      <c r="EI33" s="21"/>
      <c r="EJ33" s="21"/>
      <c r="EK33" s="21"/>
      <c r="EL33" s="21"/>
      <c r="EM33" s="21"/>
    </row>
    <row r="34" spans="1:143" ht="13.5" customHeight="1">
      <c r="A34" s="21"/>
      <c r="B34" s="21"/>
      <c r="C34" s="21"/>
      <c r="D34" s="622">
        <f t="shared" si="63"/>
        <v>25</v>
      </c>
      <c r="E34" s="1625"/>
      <c r="F34" s="263" t="str">
        <f>+" (Payments of) / Additions to "&amp;Historical!C24</f>
        <v xml:space="preserve"> (Payments of) / Additions to Other Current Assets</v>
      </c>
      <c r="G34" s="296"/>
      <c r="H34" s="304">
        <f>Historical!K24</f>
        <v>903</v>
      </c>
      <c r="I34" s="301"/>
      <c r="J34" s="301"/>
      <c r="K34" s="301"/>
      <c r="L34" s="301"/>
      <c r="M34" s="301"/>
      <c r="N34" s="298"/>
      <c r="O34" s="301"/>
      <c r="P34" s="301"/>
      <c r="Q34" s="301"/>
      <c r="R34" s="301"/>
      <c r="S34" s="301"/>
      <c r="T34" s="302">
        <v>50</v>
      </c>
      <c r="U34" s="264">
        <f t="shared" si="164"/>
        <v>50</v>
      </c>
      <c r="V34" s="303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264">
        <f t="shared" si="165"/>
        <v>0</v>
      </c>
      <c r="AI34" s="303"/>
      <c r="AJ34" s="301"/>
      <c r="AK34" s="301"/>
      <c r="AL34" s="301"/>
      <c r="AM34" s="301"/>
      <c r="AN34" s="301"/>
      <c r="AO34" s="301"/>
      <c r="AP34" s="301"/>
      <c r="AQ34" s="301"/>
      <c r="AR34" s="301"/>
      <c r="AS34" s="301"/>
      <c r="AT34" s="301"/>
      <c r="AU34" s="264">
        <f t="shared" si="166"/>
        <v>0</v>
      </c>
      <c r="AV34" s="303"/>
      <c r="AW34" s="301"/>
      <c r="AX34" s="301"/>
      <c r="AY34" s="301"/>
      <c r="AZ34" s="301"/>
      <c r="BA34" s="301"/>
      <c r="BB34" s="301"/>
      <c r="BC34" s="301"/>
      <c r="BD34" s="301"/>
      <c r="BE34" s="301"/>
      <c r="BF34" s="301"/>
      <c r="BG34" s="301"/>
      <c r="BH34" s="264">
        <f t="shared" si="167"/>
        <v>0</v>
      </c>
      <c r="BI34" s="303"/>
      <c r="BJ34" s="301"/>
      <c r="BK34" s="301"/>
      <c r="BL34" s="301"/>
      <c r="BM34" s="301"/>
      <c r="BN34" s="301"/>
      <c r="BO34" s="301"/>
      <c r="BP34" s="301"/>
      <c r="BQ34" s="301"/>
      <c r="BR34" s="301"/>
      <c r="BS34" s="301"/>
      <c r="BT34" s="301"/>
      <c r="BU34" s="264">
        <f t="shared" si="168"/>
        <v>0</v>
      </c>
      <c r="BV34" s="303"/>
      <c r="BW34" s="301"/>
      <c r="BX34" s="301"/>
      <c r="BY34" s="301"/>
      <c r="BZ34" s="301"/>
      <c r="CA34" s="301"/>
      <c r="CB34" s="301"/>
      <c r="CC34" s="301"/>
      <c r="CD34" s="301"/>
      <c r="CE34" s="301"/>
      <c r="CF34" s="301"/>
      <c r="CG34" s="302"/>
      <c r="CH34" s="264">
        <f t="shared" si="169"/>
        <v>0</v>
      </c>
      <c r="CI34" s="303"/>
      <c r="CJ34" s="301"/>
      <c r="CK34" s="301"/>
      <c r="CL34" s="301"/>
      <c r="CM34" s="301"/>
      <c r="CN34" s="301"/>
      <c r="CO34" s="301"/>
      <c r="CP34" s="301"/>
      <c r="CQ34" s="301"/>
      <c r="CR34" s="301"/>
      <c r="CS34" s="301"/>
      <c r="CT34" s="302"/>
      <c r="CU34" s="264">
        <f t="shared" si="170"/>
        <v>0</v>
      </c>
      <c r="CV34" s="303"/>
      <c r="CW34" s="301"/>
      <c r="CX34" s="301"/>
      <c r="CY34" s="301"/>
      <c r="CZ34" s="301"/>
      <c r="DA34" s="301"/>
      <c r="DB34" s="301"/>
      <c r="DC34" s="301"/>
      <c r="DD34" s="301"/>
      <c r="DE34" s="301"/>
      <c r="DF34" s="301"/>
      <c r="DG34" s="302"/>
      <c r="DH34" s="264">
        <f t="shared" si="171"/>
        <v>0</v>
      </c>
      <c r="DI34" s="303"/>
      <c r="DJ34" s="301"/>
      <c r="DK34" s="301"/>
      <c r="DL34" s="301"/>
      <c r="DM34" s="301"/>
      <c r="DN34" s="301"/>
      <c r="DO34" s="301"/>
      <c r="DP34" s="301"/>
      <c r="DQ34" s="301"/>
      <c r="DR34" s="301"/>
      <c r="DS34" s="301"/>
      <c r="DT34" s="302"/>
      <c r="DU34" s="264">
        <f t="shared" si="172"/>
        <v>0</v>
      </c>
      <c r="DV34" s="303"/>
      <c r="DW34" s="301"/>
      <c r="DX34" s="301"/>
      <c r="DY34" s="301"/>
      <c r="DZ34" s="301"/>
      <c r="EA34" s="301"/>
      <c r="EB34" s="301"/>
      <c r="EC34" s="301"/>
      <c r="ED34" s="301"/>
      <c r="EE34" s="301"/>
      <c r="EF34" s="301"/>
      <c r="EG34" s="302"/>
      <c r="EH34" s="264">
        <f t="shared" si="173"/>
        <v>0</v>
      </c>
      <c r="EI34" s="21"/>
      <c r="EJ34" s="21"/>
      <c r="EK34" s="21"/>
      <c r="EL34" s="21"/>
      <c r="EM34" s="21"/>
    </row>
    <row r="35" spans="1:143" ht="13.5" customHeight="1">
      <c r="A35" s="21"/>
      <c r="B35" s="21"/>
      <c r="C35" s="21"/>
      <c r="D35" s="622">
        <f t="shared" si="63"/>
        <v>26</v>
      </c>
      <c r="E35" s="1625"/>
      <c r="F35" s="263" t="str">
        <f>+" (Payments of) / Additions to "&amp;Historical!C41</f>
        <v xml:space="preserve"> (Payments of) / Additions to Shareholder &amp; Related Parties Loans- Short Term</v>
      </c>
      <c r="G35" s="296"/>
      <c r="H35" s="304">
        <f>+Historical!K41</f>
        <v>2603</v>
      </c>
      <c r="I35" s="301"/>
      <c r="J35" s="301"/>
      <c r="K35" s="301"/>
      <c r="L35" s="301"/>
      <c r="M35" s="301"/>
      <c r="N35" s="298"/>
      <c r="O35" s="301"/>
      <c r="P35" s="301"/>
      <c r="Q35" s="301"/>
      <c r="R35" s="301"/>
      <c r="S35" s="301"/>
      <c r="T35" s="302">
        <v>10</v>
      </c>
      <c r="U35" s="264">
        <f t="shared" ref="U35:U38" si="174">-1*(SUM(I35:T35))</f>
        <v>-10</v>
      </c>
      <c r="V35" s="303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2"/>
      <c r="AH35" s="264">
        <f t="shared" ref="AH35:AH38" si="175">-1*(SUM(V35:AG35))</f>
        <v>0</v>
      </c>
      <c r="AI35" s="303"/>
      <c r="AJ35" s="301"/>
      <c r="AK35" s="301"/>
      <c r="AL35" s="301"/>
      <c r="AM35" s="301"/>
      <c r="AN35" s="301"/>
      <c r="AO35" s="301"/>
      <c r="AP35" s="301"/>
      <c r="AQ35" s="301"/>
      <c r="AR35" s="301"/>
      <c r="AS35" s="301"/>
      <c r="AT35" s="302"/>
      <c r="AU35" s="264">
        <f t="shared" ref="AU35:AU38" si="176">-1*(SUM(AI35:AT35))</f>
        <v>0</v>
      </c>
      <c r="AV35" s="303"/>
      <c r="AW35" s="301"/>
      <c r="AX35" s="301"/>
      <c r="AY35" s="301"/>
      <c r="AZ35" s="301"/>
      <c r="BA35" s="301"/>
      <c r="BB35" s="301"/>
      <c r="BC35" s="301"/>
      <c r="BD35" s="301"/>
      <c r="BE35" s="301"/>
      <c r="BF35" s="301"/>
      <c r="BG35" s="302"/>
      <c r="BH35" s="264">
        <f t="shared" ref="BH35:BH38" si="177">-1*(SUM(AV35:BG35))</f>
        <v>0</v>
      </c>
      <c r="BI35" s="303"/>
      <c r="BJ35" s="301"/>
      <c r="BK35" s="301"/>
      <c r="BL35" s="301"/>
      <c r="BM35" s="301"/>
      <c r="BN35" s="301"/>
      <c r="BO35" s="301"/>
      <c r="BP35" s="301"/>
      <c r="BQ35" s="301"/>
      <c r="BR35" s="301"/>
      <c r="BS35" s="301"/>
      <c r="BT35" s="302"/>
      <c r="BU35" s="264">
        <f t="shared" ref="BU35:BU38" si="178">-1*(SUM(BI35:BT35))</f>
        <v>0</v>
      </c>
      <c r="BV35" s="303"/>
      <c r="BW35" s="301"/>
      <c r="BX35" s="301"/>
      <c r="BY35" s="301"/>
      <c r="BZ35" s="301"/>
      <c r="CA35" s="301"/>
      <c r="CB35" s="301"/>
      <c r="CC35" s="301"/>
      <c r="CD35" s="301"/>
      <c r="CE35" s="301"/>
      <c r="CF35" s="301"/>
      <c r="CG35" s="302"/>
      <c r="CH35" s="264">
        <f t="shared" ref="CH35:CH38" si="179">-1*(SUM(BV35:CG35))</f>
        <v>0</v>
      </c>
      <c r="CI35" s="303"/>
      <c r="CJ35" s="301"/>
      <c r="CK35" s="301"/>
      <c r="CL35" s="301"/>
      <c r="CM35" s="301"/>
      <c r="CN35" s="301"/>
      <c r="CO35" s="301"/>
      <c r="CP35" s="301"/>
      <c r="CQ35" s="301"/>
      <c r="CR35" s="301"/>
      <c r="CS35" s="301"/>
      <c r="CT35" s="302"/>
      <c r="CU35" s="264">
        <f t="shared" ref="CU35:CU38" si="180">-1*(SUM(CI35:CT35))</f>
        <v>0</v>
      </c>
      <c r="CV35" s="303"/>
      <c r="CW35" s="301"/>
      <c r="CX35" s="301"/>
      <c r="CY35" s="301"/>
      <c r="CZ35" s="301"/>
      <c r="DA35" s="301"/>
      <c r="DB35" s="301"/>
      <c r="DC35" s="301"/>
      <c r="DD35" s="301"/>
      <c r="DE35" s="301"/>
      <c r="DF35" s="301"/>
      <c r="DG35" s="302"/>
      <c r="DH35" s="264">
        <f t="shared" ref="DH35:DH38" si="181">-1*(SUM(CV35:DG35))</f>
        <v>0</v>
      </c>
      <c r="DI35" s="303"/>
      <c r="DJ35" s="301"/>
      <c r="DK35" s="301"/>
      <c r="DL35" s="301"/>
      <c r="DM35" s="301"/>
      <c r="DN35" s="301"/>
      <c r="DO35" s="301"/>
      <c r="DP35" s="301"/>
      <c r="DQ35" s="301"/>
      <c r="DR35" s="301"/>
      <c r="DS35" s="301"/>
      <c r="DT35" s="302"/>
      <c r="DU35" s="264">
        <f t="shared" ref="DU35:DU38" si="182">-1*(SUM(DI35:DT35))</f>
        <v>0</v>
      </c>
      <c r="DV35" s="303"/>
      <c r="DW35" s="301"/>
      <c r="DX35" s="301"/>
      <c r="DY35" s="301"/>
      <c r="DZ35" s="301"/>
      <c r="EA35" s="301"/>
      <c r="EB35" s="301"/>
      <c r="EC35" s="301"/>
      <c r="ED35" s="301"/>
      <c r="EE35" s="301"/>
      <c r="EF35" s="301"/>
      <c r="EG35" s="302"/>
      <c r="EH35" s="264">
        <f t="shared" ref="EH35:EH38" si="183">-1*(SUM(DV35:EG35))</f>
        <v>0</v>
      </c>
      <c r="EI35" s="21"/>
      <c r="EJ35" s="21"/>
      <c r="EK35" s="21"/>
      <c r="EL35" s="21"/>
      <c r="EM35" s="21"/>
    </row>
    <row r="36" spans="1:143" ht="13.5" customHeight="1">
      <c r="A36" s="21"/>
      <c r="B36" s="21"/>
      <c r="C36" s="21"/>
      <c r="D36" s="622">
        <f t="shared" si="63"/>
        <v>27</v>
      </c>
      <c r="E36" s="1625"/>
      <c r="F36" s="263" t="str">
        <f>+" (Payments of) / Additions to "&amp;Historical!C42</f>
        <v xml:space="preserve"> (Payments of) / Additions to Accrued Expenses</v>
      </c>
      <c r="G36" s="296"/>
      <c r="H36" s="304">
        <f>+Historical!K42</f>
        <v>2703</v>
      </c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>
        <v>20</v>
      </c>
      <c r="U36" s="264">
        <f t="shared" si="174"/>
        <v>-20</v>
      </c>
      <c r="V36" s="303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264">
        <f t="shared" si="175"/>
        <v>0</v>
      </c>
      <c r="AI36" s="303"/>
      <c r="AJ36" s="301"/>
      <c r="AK36" s="301"/>
      <c r="AL36" s="301"/>
      <c r="AM36" s="301"/>
      <c r="AN36" s="301"/>
      <c r="AO36" s="301"/>
      <c r="AP36" s="301"/>
      <c r="AQ36" s="301"/>
      <c r="AR36" s="301"/>
      <c r="AS36" s="301"/>
      <c r="AT36" s="301"/>
      <c r="AU36" s="264">
        <f t="shared" si="176"/>
        <v>0</v>
      </c>
      <c r="AV36" s="303"/>
      <c r="AW36" s="301"/>
      <c r="AX36" s="301"/>
      <c r="AY36" s="301"/>
      <c r="AZ36" s="301"/>
      <c r="BA36" s="301"/>
      <c r="BB36" s="301"/>
      <c r="BC36" s="301"/>
      <c r="BD36" s="301"/>
      <c r="BE36" s="301"/>
      <c r="BF36" s="301"/>
      <c r="BG36" s="301"/>
      <c r="BH36" s="264">
        <f t="shared" si="177"/>
        <v>0</v>
      </c>
      <c r="BI36" s="303"/>
      <c r="BJ36" s="301"/>
      <c r="BK36" s="301"/>
      <c r="BL36" s="301"/>
      <c r="BM36" s="301"/>
      <c r="BN36" s="301"/>
      <c r="BO36" s="301"/>
      <c r="BP36" s="301"/>
      <c r="BQ36" s="301"/>
      <c r="BR36" s="301"/>
      <c r="BS36" s="301"/>
      <c r="BT36" s="301"/>
      <c r="BU36" s="264">
        <f t="shared" si="178"/>
        <v>0</v>
      </c>
      <c r="BV36" s="303"/>
      <c r="BW36" s="301"/>
      <c r="BX36" s="301"/>
      <c r="BY36" s="301"/>
      <c r="BZ36" s="301"/>
      <c r="CA36" s="301"/>
      <c r="CB36" s="301"/>
      <c r="CC36" s="301"/>
      <c r="CD36" s="301"/>
      <c r="CE36" s="301"/>
      <c r="CF36" s="301"/>
      <c r="CG36" s="302"/>
      <c r="CH36" s="264">
        <f t="shared" si="179"/>
        <v>0</v>
      </c>
      <c r="CI36" s="303"/>
      <c r="CJ36" s="301"/>
      <c r="CK36" s="301"/>
      <c r="CL36" s="301"/>
      <c r="CM36" s="301"/>
      <c r="CN36" s="301"/>
      <c r="CO36" s="301"/>
      <c r="CP36" s="301"/>
      <c r="CQ36" s="301"/>
      <c r="CR36" s="301"/>
      <c r="CS36" s="301"/>
      <c r="CT36" s="302"/>
      <c r="CU36" s="264">
        <f t="shared" si="180"/>
        <v>0</v>
      </c>
      <c r="CV36" s="303"/>
      <c r="CW36" s="301"/>
      <c r="CX36" s="301"/>
      <c r="CY36" s="301"/>
      <c r="CZ36" s="301"/>
      <c r="DA36" s="301"/>
      <c r="DB36" s="301"/>
      <c r="DC36" s="301"/>
      <c r="DD36" s="301"/>
      <c r="DE36" s="301"/>
      <c r="DF36" s="301"/>
      <c r="DG36" s="302"/>
      <c r="DH36" s="264">
        <f t="shared" si="181"/>
        <v>0</v>
      </c>
      <c r="DI36" s="303"/>
      <c r="DJ36" s="301"/>
      <c r="DK36" s="301"/>
      <c r="DL36" s="301"/>
      <c r="DM36" s="301"/>
      <c r="DN36" s="301"/>
      <c r="DO36" s="301"/>
      <c r="DP36" s="301"/>
      <c r="DQ36" s="301"/>
      <c r="DR36" s="301"/>
      <c r="DS36" s="301"/>
      <c r="DT36" s="302"/>
      <c r="DU36" s="264">
        <f t="shared" si="182"/>
        <v>0</v>
      </c>
      <c r="DV36" s="303"/>
      <c r="DW36" s="301"/>
      <c r="DX36" s="301"/>
      <c r="DY36" s="301"/>
      <c r="DZ36" s="301"/>
      <c r="EA36" s="301"/>
      <c r="EB36" s="301"/>
      <c r="EC36" s="301"/>
      <c r="ED36" s="301"/>
      <c r="EE36" s="301"/>
      <c r="EF36" s="301"/>
      <c r="EG36" s="302"/>
      <c r="EH36" s="264">
        <f t="shared" si="183"/>
        <v>0</v>
      </c>
      <c r="EI36" s="21"/>
      <c r="EJ36" s="21"/>
      <c r="EK36" s="21"/>
      <c r="EL36" s="21"/>
      <c r="EM36" s="21"/>
    </row>
    <row r="37" spans="1:143" ht="13.5" customHeight="1">
      <c r="A37" s="21"/>
      <c r="B37" s="21"/>
      <c r="C37" s="21"/>
      <c r="D37" s="622">
        <f t="shared" si="63"/>
        <v>28</v>
      </c>
      <c r="E37" s="1625"/>
      <c r="F37" s="263" t="str">
        <f>+" (Payments of) / Additions to "&amp;Historical!C43</f>
        <v xml:space="preserve"> (Payments of) / Additions to Customer Advances</v>
      </c>
      <c r="G37" s="296"/>
      <c r="H37" s="300"/>
      <c r="I37" s="301"/>
      <c r="J37" s="301"/>
      <c r="K37" s="301"/>
      <c r="L37" s="301"/>
      <c r="M37" s="301"/>
      <c r="N37" s="298"/>
      <c r="O37" s="301"/>
      <c r="P37" s="301"/>
      <c r="Q37" s="301"/>
      <c r="R37" s="301"/>
      <c r="S37" s="301"/>
      <c r="T37" s="302">
        <v>30</v>
      </c>
      <c r="U37" s="264">
        <f t="shared" si="174"/>
        <v>-30</v>
      </c>
      <c r="V37" s="303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2"/>
      <c r="AH37" s="264">
        <f t="shared" si="175"/>
        <v>0</v>
      </c>
      <c r="AI37" s="303"/>
      <c r="AJ37" s="301"/>
      <c r="AK37" s="301"/>
      <c r="AL37" s="301"/>
      <c r="AM37" s="301"/>
      <c r="AN37" s="301"/>
      <c r="AO37" s="301"/>
      <c r="AP37" s="301"/>
      <c r="AQ37" s="301"/>
      <c r="AR37" s="301"/>
      <c r="AS37" s="301"/>
      <c r="AT37" s="302"/>
      <c r="AU37" s="264">
        <f t="shared" si="176"/>
        <v>0</v>
      </c>
      <c r="AV37" s="303"/>
      <c r="AW37" s="301"/>
      <c r="AX37" s="301"/>
      <c r="AY37" s="301"/>
      <c r="AZ37" s="301"/>
      <c r="BA37" s="301"/>
      <c r="BB37" s="301"/>
      <c r="BC37" s="301"/>
      <c r="BD37" s="301"/>
      <c r="BE37" s="301"/>
      <c r="BF37" s="301"/>
      <c r="BG37" s="302"/>
      <c r="BH37" s="264">
        <f t="shared" si="177"/>
        <v>0</v>
      </c>
      <c r="BI37" s="303"/>
      <c r="BJ37" s="301"/>
      <c r="BK37" s="301"/>
      <c r="BL37" s="301"/>
      <c r="BM37" s="301"/>
      <c r="BN37" s="301"/>
      <c r="BO37" s="301"/>
      <c r="BP37" s="301"/>
      <c r="BQ37" s="301"/>
      <c r="BR37" s="301"/>
      <c r="BS37" s="301"/>
      <c r="BT37" s="302"/>
      <c r="BU37" s="264">
        <f t="shared" si="178"/>
        <v>0</v>
      </c>
      <c r="BV37" s="303"/>
      <c r="BW37" s="301"/>
      <c r="BX37" s="301"/>
      <c r="BY37" s="301"/>
      <c r="BZ37" s="301"/>
      <c r="CA37" s="301"/>
      <c r="CB37" s="301"/>
      <c r="CC37" s="301"/>
      <c r="CD37" s="301"/>
      <c r="CE37" s="301"/>
      <c r="CF37" s="301"/>
      <c r="CG37" s="302"/>
      <c r="CH37" s="264">
        <f t="shared" si="179"/>
        <v>0</v>
      </c>
      <c r="CI37" s="303"/>
      <c r="CJ37" s="301"/>
      <c r="CK37" s="301"/>
      <c r="CL37" s="301"/>
      <c r="CM37" s="301"/>
      <c r="CN37" s="301"/>
      <c r="CO37" s="301"/>
      <c r="CP37" s="301"/>
      <c r="CQ37" s="301"/>
      <c r="CR37" s="301"/>
      <c r="CS37" s="301"/>
      <c r="CT37" s="302"/>
      <c r="CU37" s="264">
        <f t="shared" si="180"/>
        <v>0</v>
      </c>
      <c r="CV37" s="303"/>
      <c r="CW37" s="301"/>
      <c r="CX37" s="301"/>
      <c r="CY37" s="301"/>
      <c r="CZ37" s="301"/>
      <c r="DA37" s="301"/>
      <c r="DB37" s="301"/>
      <c r="DC37" s="301"/>
      <c r="DD37" s="301"/>
      <c r="DE37" s="301"/>
      <c r="DF37" s="301"/>
      <c r="DG37" s="302"/>
      <c r="DH37" s="264">
        <f t="shared" si="181"/>
        <v>0</v>
      </c>
      <c r="DI37" s="303"/>
      <c r="DJ37" s="301"/>
      <c r="DK37" s="301"/>
      <c r="DL37" s="301"/>
      <c r="DM37" s="301"/>
      <c r="DN37" s="301"/>
      <c r="DO37" s="301"/>
      <c r="DP37" s="301"/>
      <c r="DQ37" s="301"/>
      <c r="DR37" s="301"/>
      <c r="DS37" s="301"/>
      <c r="DT37" s="302"/>
      <c r="DU37" s="264">
        <f t="shared" si="182"/>
        <v>0</v>
      </c>
      <c r="DV37" s="303"/>
      <c r="DW37" s="301"/>
      <c r="DX37" s="301"/>
      <c r="DY37" s="301"/>
      <c r="DZ37" s="301"/>
      <c r="EA37" s="301"/>
      <c r="EB37" s="301"/>
      <c r="EC37" s="301"/>
      <c r="ED37" s="301"/>
      <c r="EE37" s="301"/>
      <c r="EF37" s="301"/>
      <c r="EG37" s="302"/>
      <c r="EH37" s="264">
        <f t="shared" si="183"/>
        <v>0</v>
      </c>
      <c r="EI37" s="21"/>
      <c r="EJ37" s="21"/>
      <c r="EK37" s="21"/>
      <c r="EL37" s="21"/>
      <c r="EM37" s="21"/>
    </row>
    <row r="38" spans="1:143" ht="14.25" customHeight="1">
      <c r="A38" s="21"/>
      <c r="B38" s="21"/>
      <c r="C38" s="21"/>
      <c r="D38" s="622">
        <f t="shared" si="63"/>
        <v>29</v>
      </c>
      <c r="E38" s="1625"/>
      <c r="F38" s="263" t="str">
        <f>+" (Payments of) / Additions to "&amp;Historical!C44</f>
        <v xml:space="preserve"> (Payments of) / Additions to Deferred Liabilities</v>
      </c>
      <c r="G38" s="296"/>
      <c r="H38" s="300"/>
      <c r="I38" s="305"/>
      <c r="J38" s="305"/>
      <c r="K38" s="305"/>
      <c r="L38" s="305"/>
      <c r="M38" s="305"/>
      <c r="N38" s="306"/>
      <c r="O38" s="305"/>
      <c r="P38" s="305"/>
      <c r="Q38" s="305"/>
      <c r="R38" s="305"/>
      <c r="S38" s="305"/>
      <c r="T38" s="307">
        <v>40</v>
      </c>
      <c r="U38" s="264">
        <f t="shared" si="174"/>
        <v>-40</v>
      </c>
      <c r="V38" s="308"/>
      <c r="W38" s="305"/>
      <c r="X38" s="305"/>
      <c r="Y38" s="305"/>
      <c r="Z38" s="305"/>
      <c r="AA38" s="305"/>
      <c r="AB38" s="305"/>
      <c r="AC38" s="305"/>
      <c r="AD38" s="305"/>
      <c r="AE38" s="305"/>
      <c r="AF38" s="305"/>
      <c r="AG38" s="307"/>
      <c r="AH38" s="264">
        <f t="shared" si="175"/>
        <v>0</v>
      </c>
      <c r="AI38" s="308"/>
      <c r="AJ38" s="305"/>
      <c r="AK38" s="305"/>
      <c r="AL38" s="305"/>
      <c r="AM38" s="305"/>
      <c r="AN38" s="305"/>
      <c r="AO38" s="305"/>
      <c r="AP38" s="305"/>
      <c r="AQ38" s="305"/>
      <c r="AR38" s="305"/>
      <c r="AS38" s="305"/>
      <c r="AT38" s="307"/>
      <c r="AU38" s="264">
        <f t="shared" si="176"/>
        <v>0</v>
      </c>
      <c r="AV38" s="308"/>
      <c r="AW38" s="305"/>
      <c r="AX38" s="305"/>
      <c r="AY38" s="305"/>
      <c r="AZ38" s="305"/>
      <c r="BA38" s="305"/>
      <c r="BB38" s="305"/>
      <c r="BC38" s="305"/>
      <c r="BD38" s="305"/>
      <c r="BE38" s="305"/>
      <c r="BF38" s="305"/>
      <c r="BG38" s="307"/>
      <c r="BH38" s="264">
        <f t="shared" si="177"/>
        <v>0</v>
      </c>
      <c r="BI38" s="308"/>
      <c r="BJ38" s="305"/>
      <c r="BK38" s="305"/>
      <c r="BL38" s="305"/>
      <c r="BM38" s="305"/>
      <c r="BN38" s="305"/>
      <c r="BO38" s="305"/>
      <c r="BP38" s="305"/>
      <c r="BQ38" s="305"/>
      <c r="BR38" s="305"/>
      <c r="BS38" s="305"/>
      <c r="BT38" s="307"/>
      <c r="BU38" s="264">
        <f t="shared" si="178"/>
        <v>0</v>
      </c>
      <c r="BV38" s="308"/>
      <c r="BW38" s="305"/>
      <c r="BX38" s="305"/>
      <c r="BY38" s="305"/>
      <c r="BZ38" s="305"/>
      <c r="CA38" s="305"/>
      <c r="CB38" s="305"/>
      <c r="CC38" s="305"/>
      <c r="CD38" s="305"/>
      <c r="CE38" s="305"/>
      <c r="CF38" s="305"/>
      <c r="CG38" s="307"/>
      <c r="CH38" s="264">
        <f t="shared" si="179"/>
        <v>0</v>
      </c>
      <c r="CI38" s="308"/>
      <c r="CJ38" s="305"/>
      <c r="CK38" s="305"/>
      <c r="CL38" s="305"/>
      <c r="CM38" s="305"/>
      <c r="CN38" s="305"/>
      <c r="CO38" s="305"/>
      <c r="CP38" s="305"/>
      <c r="CQ38" s="305"/>
      <c r="CR38" s="305"/>
      <c r="CS38" s="305"/>
      <c r="CT38" s="307"/>
      <c r="CU38" s="264">
        <f t="shared" si="180"/>
        <v>0</v>
      </c>
      <c r="CV38" s="308"/>
      <c r="CW38" s="305"/>
      <c r="CX38" s="305"/>
      <c r="CY38" s="305"/>
      <c r="CZ38" s="305"/>
      <c r="DA38" s="305"/>
      <c r="DB38" s="305"/>
      <c r="DC38" s="305"/>
      <c r="DD38" s="305"/>
      <c r="DE38" s="305"/>
      <c r="DF38" s="305"/>
      <c r="DG38" s="307"/>
      <c r="DH38" s="264">
        <f t="shared" si="181"/>
        <v>0</v>
      </c>
      <c r="DI38" s="308"/>
      <c r="DJ38" s="305"/>
      <c r="DK38" s="305"/>
      <c r="DL38" s="305"/>
      <c r="DM38" s="305"/>
      <c r="DN38" s="305"/>
      <c r="DO38" s="305"/>
      <c r="DP38" s="305"/>
      <c r="DQ38" s="305"/>
      <c r="DR38" s="305"/>
      <c r="DS38" s="305"/>
      <c r="DT38" s="307"/>
      <c r="DU38" s="264">
        <f t="shared" si="182"/>
        <v>0</v>
      </c>
      <c r="DV38" s="308"/>
      <c r="DW38" s="305"/>
      <c r="DX38" s="305"/>
      <c r="DY38" s="305"/>
      <c r="DZ38" s="305"/>
      <c r="EA38" s="305"/>
      <c r="EB38" s="305"/>
      <c r="EC38" s="305"/>
      <c r="ED38" s="305"/>
      <c r="EE38" s="305"/>
      <c r="EF38" s="305"/>
      <c r="EG38" s="307"/>
      <c r="EH38" s="264">
        <f t="shared" si="183"/>
        <v>0</v>
      </c>
      <c r="EI38" s="21"/>
      <c r="EJ38" s="21"/>
      <c r="EK38" s="21"/>
      <c r="EL38" s="21"/>
      <c r="EM38" s="21"/>
    </row>
    <row r="39" spans="1:143" s="767" customFormat="1" ht="14.25" customHeight="1">
      <c r="A39" s="25"/>
      <c r="B39" s="25"/>
      <c r="C39" s="25"/>
      <c r="D39" s="826">
        <f t="shared" si="63"/>
        <v>30</v>
      </c>
      <c r="E39" s="827"/>
      <c r="F39" s="828" t="s">
        <v>589</v>
      </c>
      <c r="G39" s="829"/>
      <c r="H39" s="830"/>
      <c r="I39" s="831">
        <f>SUM(I20:I38)</f>
        <v>2416.7687500000002</v>
      </c>
      <c r="J39" s="831">
        <f t="shared" ref="J39:EH39" si="184">SUM(J20:J38)</f>
        <v>13.768750000000001</v>
      </c>
      <c r="K39" s="831">
        <f t="shared" si="184"/>
        <v>13.768750000000001</v>
      </c>
      <c r="L39" s="831">
        <f t="shared" si="184"/>
        <v>13.768750000000001</v>
      </c>
      <c r="M39" s="831">
        <f t="shared" si="184"/>
        <v>13.768750000000001</v>
      </c>
      <c r="N39" s="831">
        <f t="shared" si="184"/>
        <v>13.768750000000001</v>
      </c>
      <c r="O39" s="831">
        <f t="shared" si="184"/>
        <v>3416.5094642857139</v>
      </c>
      <c r="P39" s="831">
        <f t="shared" si="184"/>
        <v>7037.1494836309521</v>
      </c>
      <c r="Q39" s="831">
        <f t="shared" si="184"/>
        <v>7017.7227481770815</v>
      </c>
      <c r="R39" s="831">
        <f t="shared" si="184"/>
        <v>6216.3670280230026</v>
      </c>
      <c r="S39" s="831">
        <f t="shared" si="184"/>
        <v>4867.071858685822</v>
      </c>
      <c r="T39" s="831">
        <f t="shared" si="184"/>
        <v>5923.8981039728505</v>
      </c>
      <c r="U39" s="832">
        <f>SUM(U20:U38)</f>
        <v>34361.331186775424</v>
      </c>
      <c r="V39" s="831">
        <f t="shared" si="184"/>
        <v>11617.765537667572</v>
      </c>
      <c r="W39" s="831">
        <f t="shared" si="184"/>
        <v>9527.4787227036923</v>
      </c>
      <c r="X39" s="831">
        <f t="shared" si="184"/>
        <v>11549.234212059555</v>
      </c>
      <c r="Y39" s="831">
        <f t="shared" si="184"/>
        <v>13808.005413826719</v>
      </c>
      <c r="Z39" s="831">
        <f t="shared" si="184"/>
        <v>13869.36645894194</v>
      </c>
      <c r="AA39" s="831">
        <f t="shared" si="184"/>
        <v>11625.680096099792</v>
      </c>
      <c r="AB39" s="831">
        <f t="shared" si="184"/>
        <v>11612.167120710144</v>
      </c>
      <c r="AC39" s="831">
        <f t="shared" si="184"/>
        <v>13877.685489573207</v>
      </c>
      <c r="AD39" s="831">
        <f t="shared" si="184"/>
        <v>13875.03703531965</v>
      </c>
      <c r="AE39" s="831">
        <f t="shared" si="184"/>
        <v>11603.563649502868</v>
      </c>
      <c r="AF39" s="831">
        <f t="shared" si="184"/>
        <v>9323.4610410265032</v>
      </c>
      <c r="AG39" s="831">
        <f t="shared" si="184"/>
        <v>11581.309383035061</v>
      </c>
      <c r="AH39" s="832">
        <f t="shared" si="184"/>
        <v>118174.8330493556</v>
      </c>
      <c r="AI39" s="831">
        <f t="shared" si="184"/>
        <v>12156.204247287478</v>
      </c>
      <c r="AJ39" s="831">
        <f t="shared" si="184"/>
        <v>9917.5139910148737</v>
      </c>
      <c r="AK39" s="831">
        <f t="shared" si="184"/>
        <v>11770.435757606665</v>
      </c>
      <c r="AL39" s="831">
        <f t="shared" si="184"/>
        <v>14559.576397253388</v>
      </c>
      <c r="AM39" s="831">
        <f t="shared" si="184"/>
        <v>14621.184633897165</v>
      </c>
      <c r="AN39" s="831">
        <f t="shared" si="184"/>
        <v>12175.747647512973</v>
      </c>
      <c r="AO39" s="831">
        <f t="shared" si="184"/>
        <v>12155.825299337486</v>
      </c>
      <c r="AP39" s="831">
        <f t="shared" si="184"/>
        <v>14614.342993498634</v>
      </c>
      <c r="AQ39" s="831">
        <f t="shared" si="184"/>
        <v>14605.888530349215</v>
      </c>
      <c r="AR39" s="831">
        <f t="shared" si="184"/>
        <v>12130.271037546572</v>
      </c>
      <c r="AS39" s="831">
        <f t="shared" si="184"/>
        <v>9645.5070934150135</v>
      </c>
      <c r="AT39" s="831">
        <f t="shared" si="184"/>
        <v>12095.513102526807</v>
      </c>
      <c r="AU39" s="832">
        <f t="shared" si="184"/>
        <v>122555.35473124628</v>
      </c>
      <c r="AV39" s="831">
        <f t="shared" si="184"/>
        <v>13199.333641947214</v>
      </c>
      <c r="AW39" s="831">
        <f t="shared" si="184"/>
        <v>10755.503601463441</v>
      </c>
      <c r="AX39" s="831">
        <f t="shared" si="184"/>
        <v>13166.993529808969</v>
      </c>
      <c r="AY39" s="831">
        <f t="shared" si="184"/>
        <v>15862.320185057379</v>
      </c>
      <c r="AZ39" s="831">
        <f t="shared" si="184"/>
        <v>15928.812463266189</v>
      </c>
      <c r="BA39" s="831">
        <f t="shared" si="184"/>
        <v>13237.544356293409</v>
      </c>
      <c r="BB39" s="831">
        <f t="shared" si="184"/>
        <v>13214.331622833948</v>
      </c>
      <c r="BC39" s="831">
        <f t="shared" si="184"/>
        <v>15917.392118024231</v>
      </c>
      <c r="BD39" s="831">
        <f t="shared" si="184"/>
        <v>15906.772332103004</v>
      </c>
      <c r="BE39" s="831">
        <f t="shared" si="184"/>
        <v>13182.262214592753</v>
      </c>
      <c r="BF39" s="831">
        <f t="shared" si="184"/>
        <v>10447.679909992134</v>
      </c>
      <c r="BG39" s="831">
        <f t="shared" si="184"/>
        <v>13141.333370908736</v>
      </c>
      <c r="BH39" s="832">
        <f t="shared" si="184"/>
        <v>133298.52441295807</v>
      </c>
      <c r="BI39" s="831">
        <f t="shared" si="184"/>
        <v>14347.590697614491</v>
      </c>
      <c r="BJ39" s="831">
        <f t="shared" si="184"/>
        <v>11657.947017177945</v>
      </c>
      <c r="BK39" s="831">
        <f t="shared" si="184"/>
        <v>14309.14338048776</v>
      </c>
      <c r="BL39" s="831">
        <f t="shared" si="184"/>
        <v>17272.548122075161</v>
      </c>
      <c r="BM39" s="831">
        <f t="shared" si="184"/>
        <v>17344.222927425788</v>
      </c>
      <c r="BN39" s="831">
        <f t="shared" si="184"/>
        <v>14388.607827074658</v>
      </c>
      <c r="BO39" s="831">
        <f t="shared" si="184"/>
        <v>14383.749803836565</v>
      </c>
      <c r="BP39" s="831">
        <f t="shared" si="184"/>
        <v>17377.506624312759</v>
      </c>
      <c r="BQ39" s="831">
        <f t="shared" si="184"/>
        <v>17389.651682407995</v>
      </c>
      <c r="BR39" s="831">
        <f t="shared" si="184"/>
        <v>14388.607827074658</v>
      </c>
      <c r="BS39" s="831">
        <f t="shared" si="184"/>
        <v>11371.333757741326</v>
      </c>
      <c r="BT39" s="831">
        <f t="shared" si="184"/>
        <v>14379.333419074659</v>
      </c>
      <c r="BU39" s="832">
        <f t="shared" si="184"/>
        <v>144882.31265963713</v>
      </c>
      <c r="BV39" s="831">
        <f t="shared" si="184"/>
        <v>-14089.751094541507</v>
      </c>
      <c r="BW39" s="831">
        <f t="shared" si="184"/>
        <v>15801.074588271829</v>
      </c>
      <c r="BX39" s="831">
        <f t="shared" si="184"/>
        <v>13928.781556138496</v>
      </c>
      <c r="BY39" s="831">
        <f t="shared" si="184"/>
        <v>15988.30389148516</v>
      </c>
      <c r="BZ39" s="831">
        <f t="shared" si="184"/>
        <v>17036.787989479832</v>
      </c>
      <c r="CA39" s="831">
        <f t="shared" si="184"/>
        <v>15501.507703130501</v>
      </c>
      <c r="CB39" s="831">
        <f t="shared" si="184"/>
        <v>15426.615981845163</v>
      </c>
      <c r="CC39" s="831">
        <f t="shared" si="184"/>
        <v>17766.982272011825</v>
      </c>
      <c r="CD39" s="831">
        <f t="shared" si="184"/>
        <v>17954.211575225163</v>
      </c>
      <c r="CE39" s="831">
        <f t="shared" si="184"/>
        <v>15501.507703130505</v>
      </c>
      <c r="CF39" s="831">
        <f t="shared" si="184"/>
        <v>12798.597398559825</v>
      </c>
      <c r="CG39" s="831">
        <f t="shared" si="184"/>
        <v>15358.532598858503</v>
      </c>
      <c r="CH39" s="832">
        <f t="shared" si="184"/>
        <v>148609.67765554195</v>
      </c>
      <c r="CI39" s="831">
        <f t="shared" si="184"/>
        <v>13388.736563725777</v>
      </c>
      <c r="CJ39" s="831">
        <f t="shared" si="184"/>
        <v>16711.658899792448</v>
      </c>
      <c r="CK39" s="831">
        <f t="shared" si="184"/>
        <v>14601.246595792456</v>
      </c>
      <c r="CL39" s="831">
        <f t="shared" si="184"/>
        <v>16922.70013019245</v>
      </c>
      <c r="CM39" s="831">
        <f t="shared" si="184"/>
        <v>18104.531020432452</v>
      </c>
      <c r="CN39" s="831">
        <f t="shared" si="184"/>
        <v>16373.992931152456</v>
      </c>
      <c r="CO39" s="831">
        <f t="shared" si="184"/>
        <v>16289.576438992453</v>
      </c>
      <c r="CP39" s="831">
        <f t="shared" si="184"/>
        <v>18927.591818992445</v>
      </c>
      <c r="CQ39" s="831">
        <f t="shared" si="184"/>
        <v>19138.633049392458</v>
      </c>
      <c r="CR39" s="831">
        <f t="shared" si="184"/>
        <v>16373.992931152448</v>
      </c>
      <c r="CS39" s="831">
        <f t="shared" si="184"/>
        <v>13327.324986832444</v>
      </c>
      <c r="CT39" s="831">
        <f t="shared" si="184"/>
        <v>16212.834173392455</v>
      </c>
      <c r="CU39" s="832">
        <f t="shared" si="184"/>
        <v>154321.87733990938</v>
      </c>
      <c r="CV39" s="831">
        <f t="shared" si="184"/>
        <v>17555.823821392445</v>
      </c>
      <c r="CW39" s="831">
        <f t="shared" si="184"/>
        <v>16711.658899792448</v>
      </c>
      <c r="CX39" s="831">
        <f t="shared" si="184"/>
        <v>14601.246595792456</v>
      </c>
      <c r="CY39" s="831">
        <f t="shared" si="184"/>
        <v>16922.70013019245</v>
      </c>
      <c r="CZ39" s="831">
        <f t="shared" si="184"/>
        <v>18104.531020432452</v>
      </c>
      <c r="DA39" s="831">
        <f t="shared" si="184"/>
        <v>16373.992931152456</v>
      </c>
      <c r="DB39" s="831">
        <f t="shared" si="184"/>
        <v>16289.576438992453</v>
      </c>
      <c r="DC39" s="831">
        <f t="shared" si="184"/>
        <v>18927.591818992445</v>
      </c>
      <c r="DD39" s="831">
        <f t="shared" si="184"/>
        <v>19138.633049392458</v>
      </c>
      <c r="DE39" s="831">
        <f t="shared" si="184"/>
        <v>16373.992931152448</v>
      </c>
      <c r="DF39" s="831">
        <f t="shared" si="184"/>
        <v>13327.324986832444</v>
      </c>
      <c r="DG39" s="831">
        <f t="shared" si="184"/>
        <v>16212.834173392455</v>
      </c>
      <c r="DH39" s="832">
        <f t="shared" si="184"/>
        <v>154321.87733990938</v>
      </c>
      <c r="DI39" s="831">
        <f t="shared" si="184"/>
        <v>17555.823821392445</v>
      </c>
      <c r="DJ39" s="831">
        <f t="shared" si="184"/>
        <v>16711.658899792448</v>
      </c>
      <c r="DK39" s="831">
        <f t="shared" si="184"/>
        <v>14601.246595792456</v>
      </c>
      <c r="DL39" s="831">
        <f t="shared" si="184"/>
        <v>16922.70013019245</v>
      </c>
      <c r="DM39" s="831">
        <f t="shared" si="184"/>
        <v>18104.531020432452</v>
      </c>
      <c r="DN39" s="831">
        <f t="shared" si="184"/>
        <v>16373.992931152456</v>
      </c>
      <c r="DO39" s="831">
        <f t="shared" si="184"/>
        <v>16289.576438992453</v>
      </c>
      <c r="DP39" s="831">
        <f t="shared" si="184"/>
        <v>18927.591818992445</v>
      </c>
      <c r="DQ39" s="831">
        <f t="shared" si="184"/>
        <v>19138.633049392458</v>
      </c>
      <c r="DR39" s="831">
        <f t="shared" si="184"/>
        <v>16373.992931152448</v>
      </c>
      <c r="DS39" s="831">
        <f t="shared" si="184"/>
        <v>13327.324986832444</v>
      </c>
      <c r="DT39" s="831">
        <f t="shared" si="184"/>
        <v>16212.834173392455</v>
      </c>
      <c r="DU39" s="832">
        <f t="shared" si="184"/>
        <v>154321.87733990938</v>
      </c>
      <c r="DV39" s="831">
        <f t="shared" si="184"/>
        <v>17555.823821392445</v>
      </c>
      <c r="DW39" s="831">
        <f t="shared" si="184"/>
        <v>16711.658899792448</v>
      </c>
      <c r="DX39" s="831">
        <f t="shared" si="184"/>
        <v>14601.246595792456</v>
      </c>
      <c r="DY39" s="831">
        <f t="shared" si="184"/>
        <v>16922.70013019245</v>
      </c>
      <c r="DZ39" s="831">
        <f t="shared" si="184"/>
        <v>18104.531020432452</v>
      </c>
      <c r="EA39" s="831">
        <f t="shared" si="184"/>
        <v>16373.992931152456</v>
      </c>
      <c r="EB39" s="831">
        <f t="shared" si="184"/>
        <v>16289.576438992453</v>
      </c>
      <c r="EC39" s="831">
        <f t="shared" si="184"/>
        <v>18927.591818992445</v>
      </c>
      <c r="ED39" s="831">
        <f t="shared" si="184"/>
        <v>19138.633049392458</v>
      </c>
      <c r="EE39" s="831">
        <f t="shared" si="184"/>
        <v>16373.992931152448</v>
      </c>
      <c r="EF39" s="831">
        <f t="shared" si="184"/>
        <v>13327.324986832444</v>
      </c>
      <c r="EG39" s="831">
        <f t="shared" si="184"/>
        <v>16212.834173392455</v>
      </c>
      <c r="EH39" s="832">
        <f t="shared" si="184"/>
        <v>154321.87733990938</v>
      </c>
      <c r="EI39" s="25"/>
      <c r="EJ39" s="25"/>
      <c r="EK39" s="25"/>
      <c r="EL39" s="25"/>
      <c r="EM39" s="25"/>
    </row>
    <row r="40" spans="1:143" ht="14.25" customHeight="1">
      <c r="A40" s="21"/>
      <c r="B40" s="21"/>
      <c r="C40" s="21"/>
      <c r="D40" s="622">
        <f t="shared" si="63"/>
        <v>31</v>
      </c>
      <c r="E40" s="1460" t="s">
        <v>590</v>
      </c>
      <c r="F40" s="258" t="str">
        <f>+" Sales of "&amp;Historical!C18</f>
        <v xml:space="preserve"> Sales of Short Term Investments</v>
      </c>
      <c r="G40" s="310"/>
      <c r="H40" s="260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311">
        <v>10</v>
      </c>
      <c r="U40" s="262">
        <f t="shared" ref="U40:U58" si="185">SUM(I40:T40)</f>
        <v>10</v>
      </c>
      <c r="V40" s="294"/>
      <c r="W40" s="294"/>
      <c r="X40" s="294"/>
      <c r="Y40" s="294"/>
      <c r="Z40" s="294"/>
      <c r="AA40" s="294"/>
      <c r="AB40" s="294"/>
      <c r="AC40" s="294"/>
      <c r="AD40" s="294"/>
      <c r="AE40" s="294"/>
      <c r="AF40" s="294"/>
      <c r="AG40" s="311"/>
      <c r="AH40" s="262">
        <f t="shared" ref="AH40:AH58" si="186">SUM(V40:AG40)</f>
        <v>0</v>
      </c>
      <c r="AI40" s="294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311"/>
      <c r="AU40" s="262">
        <f t="shared" ref="AU40:AU58" si="187">SUM(AI40:AT40)</f>
        <v>0</v>
      </c>
      <c r="AV40" s="294"/>
      <c r="AW40" s="294"/>
      <c r="AX40" s="294"/>
      <c r="AY40" s="294"/>
      <c r="AZ40" s="294"/>
      <c r="BA40" s="294"/>
      <c r="BB40" s="294"/>
      <c r="BC40" s="294"/>
      <c r="BD40" s="294"/>
      <c r="BE40" s="294"/>
      <c r="BF40" s="294"/>
      <c r="BG40" s="311"/>
      <c r="BH40" s="262">
        <f t="shared" ref="BH40:BH58" si="188">SUM(AV40:BG40)</f>
        <v>0</v>
      </c>
      <c r="BI40" s="294"/>
      <c r="BJ40" s="294"/>
      <c r="BK40" s="294"/>
      <c r="BL40" s="294"/>
      <c r="BM40" s="294"/>
      <c r="BN40" s="294"/>
      <c r="BO40" s="294"/>
      <c r="BP40" s="294"/>
      <c r="BQ40" s="294"/>
      <c r="BR40" s="294"/>
      <c r="BS40" s="294"/>
      <c r="BT40" s="311"/>
      <c r="BU40" s="262">
        <f t="shared" ref="BU40:BU58" si="189">SUM(BI40:BT40)</f>
        <v>0</v>
      </c>
      <c r="BV40" s="294"/>
      <c r="BW40" s="294"/>
      <c r="BX40" s="294"/>
      <c r="BY40" s="294"/>
      <c r="BZ40" s="294"/>
      <c r="CA40" s="294"/>
      <c r="CB40" s="294"/>
      <c r="CC40" s="294"/>
      <c r="CD40" s="294"/>
      <c r="CE40" s="294"/>
      <c r="CF40" s="294"/>
      <c r="CG40" s="311"/>
      <c r="CH40" s="262">
        <f t="shared" ref="CH40:CH58" si="190">SUM(BV40:CG40)</f>
        <v>0</v>
      </c>
      <c r="CI40" s="294"/>
      <c r="CJ40" s="294"/>
      <c r="CK40" s="294"/>
      <c r="CL40" s="294"/>
      <c r="CM40" s="294"/>
      <c r="CN40" s="294"/>
      <c r="CO40" s="294"/>
      <c r="CP40" s="294"/>
      <c r="CQ40" s="294"/>
      <c r="CR40" s="294"/>
      <c r="CS40" s="294"/>
      <c r="CT40" s="311"/>
      <c r="CU40" s="262">
        <f t="shared" ref="CU40:CU58" si="191">SUM(CI40:CT40)</f>
        <v>0</v>
      </c>
      <c r="CV40" s="294"/>
      <c r="CW40" s="294"/>
      <c r="CX40" s="294"/>
      <c r="CY40" s="294"/>
      <c r="CZ40" s="294"/>
      <c r="DA40" s="294"/>
      <c r="DB40" s="294"/>
      <c r="DC40" s="294"/>
      <c r="DD40" s="294"/>
      <c r="DE40" s="294"/>
      <c r="DF40" s="294"/>
      <c r="DG40" s="311"/>
      <c r="DH40" s="262">
        <f t="shared" ref="DH40:DH58" si="192">SUM(CV40:DG40)</f>
        <v>0</v>
      </c>
      <c r="DI40" s="294"/>
      <c r="DJ40" s="294"/>
      <c r="DK40" s="294"/>
      <c r="DL40" s="294"/>
      <c r="DM40" s="294"/>
      <c r="DN40" s="294"/>
      <c r="DO40" s="294"/>
      <c r="DP40" s="294"/>
      <c r="DQ40" s="294"/>
      <c r="DR40" s="294"/>
      <c r="DS40" s="294"/>
      <c r="DT40" s="311"/>
      <c r="DU40" s="262">
        <f t="shared" ref="DU40:DU58" si="193">SUM(DI40:DT40)</f>
        <v>0</v>
      </c>
      <c r="DV40" s="294"/>
      <c r="DW40" s="294"/>
      <c r="DX40" s="294"/>
      <c r="DY40" s="294"/>
      <c r="DZ40" s="294"/>
      <c r="EA40" s="294"/>
      <c r="EB40" s="294"/>
      <c r="EC40" s="294"/>
      <c r="ED40" s="294"/>
      <c r="EE40" s="294"/>
      <c r="EF40" s="294"/>
      <c r="EG40" s="311"/>
      <c r="EH40" s="262">
        <f t="shared" ref="EH40:EH58" si="194">SUM(DV40:EG40)</f>
        <v>0</v>
      </c>
      <c r="EI40" s="21"/>
      <c r="EJ40" s="21"/>
      <c r="EK40" s="21"/>
      <c r="EL40" s="21"/>
      <c r="EM40" s="21"/>
    </row>
    <row r="41" spans="1:143" ht="13.5" customHeight="1">
      <c r="A41" s="21"/>
      <c r="B41" s="21"/>
      <c r="C41" s="21"/>
      <c r="D41" s="622">
        <f t="shared" si="63"/>
        <v>32</v>
      </c>
      <c r="E41" s="1625"/>
      <c r="F41" s="265" t="str">
        <f>+" Sales of "&amp;Historical!C26</f>
        <v xml:space="preserve"> Sales of Fixed Assets</v>
      </c>
      <c r="G41" s="296"/>
      <c r="H41" s="267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12">
        <v>20</v>
      </c>
      <c r="U41" s="272">
        <f t="shared" si="185"/>
        <v>20</v>
      </c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12"/>
      <c r="AH41" s="272">
        <f t="shared" si="186"/>
        <v>0</v>
      </c>
      <c r="AI41" s="301"/>
      <c r="AJ41" s="301"/>
      <c r="AK41" s="301"/>
      <c r="AL41" s="301"/>
      <c r="AM41" s="301"/>
      <c r="AN41" s="301"/>
      <c r="AO41" s="301"/>
      <c r="AP41" s="301"/>
      <c r="AQ41" s="301"/>
      <c r="AR41" s="301"/>
      <c r="AS41" s="301"/>
      <c r="AT41" s="312"/>
      <c r="AU41" s="272">
        <f t="shared" si="187"/>
        <v>0</v>
      </c>
      <c r="AV41" s="301"/>
      <c r="AW41" s="301"/>
      <c r="AX41" s="301"/>
      <c r="AY41" s="301"/>
      <c r="AZ41" s="301"/>
      <c r="BA41" s="301"/>
      <c r="BB41" s="301"/>
      <c r="BC41" s="301"/>
      <c r="BD41" s="301"/>
      <c r="BE41" s="301"/>
      <c r="BF41" s="301"/>
      <c r="BG41" s="312"/>
      <c r="BH41" s="272">
        <f t="shared" si="188"/>
        <v>0</v>
      </c>
      <c r="BI41" s="301"/>
      <c r="BJ41" s="301"/>
      <c r="BK41" s="301"/>
      <c r="BL41" s="301"/>
      <c r="BM41" s="301"/>
      <c r="BN41" s="301"/>
      <c r="BO41" s="301"/>
      <c r="BP41" s="301"/>
      <c r="BQ41" s="301"/>
      <c r="BR41" s="301"/>
      <c r="BS41" s="301"/>
      <c r="BT41" s="312"/>
      <c r="BU41" s="272">
        <f t="shared" si="189"/>
        <v>0</v>
      </c>
      <c r="BV41" s="301"/>
      <c r="BW41" s="301"/>
      <c r="BX41" s="301"/>
      <c r="BY41" s="301"/>
      <c r="BZ41" s="301"/>
      <c r="CA41" s="301"/>
      <c r="CB41" s="301"/>
      <c r="CC41" s="301"/>
      <c r="CD41" s="301"/>
      <c r="CE41" s="301"/>
      <c r="CF41" s="301"/>
      <c r="CG41" s="312"/>
      <c r="CH41" s="272">
        <f t="shared" si="190"/>
        <v>0</v>
      </c>
      <c r="CI41" s="301"/>
      <c r="CJ41" s="301"/>
      <c r="CK41" s="301"/>
      <c r="CL41" s="301"/>
      <c r="CM41" s="301"/>
      <c r="CN41" s="301"/>
      <c r="CO41" s="301"/>
      <c r="CP41" s="301"/>
      <c r="CQ41" s="301"/>
      <c r="CR41" s="301"/>
      <c r="CS41" s="301"/>
      <c r="CT41" s="312"/>
      <c r="CU41" s="272">
        <f t="shared" si="191"/>
        <v>0</v>
      </c>
      <c r="CV41" s="301"/>
      <c r="CW41" s="301"/>
      <c r="CX41" s="301"/>
      <c r="CY41" s="301"/>
      <c r="CZ41" s="301"/>
      <c r="DA41" s="301"/>
      <c r="DB41" s="301"/>
      <c r="DC41" s="301"/>
      <c r="DD41" s="301"/>
      <c r="DE41" s="301"/>
      <c r="DF41" s="301"/>
      <c r="DG41" s="312"/>
      <c r="DH41" s="272">
        <f t="shared" si="192"/>
        <v>0</v>
      </c>
      <c r="DI41" s="301"/>
      <c r="DJ41" s="301"/>
      <c r="DK41" s="301"/>
      <c r="DL41" s="301"/>
      <c r="DM41" s="301"/>
      <c r="DN41" s="301"/>
      <c r="DO41" s="301"/>
      <c r="DP41" s="301"/>
      <c r="DQ41" s="301"/>
      <c r="DR41" s="301"/>
      <c r="DS41" s="301"/>
      <c r="DT41" s="312"/>
      <c r="DU41" s="272">
        <f t="shared" si="193"/>
        <v>0</v>
      </c>
      <c r="DV41" s="301"/>
      <c r="DW41" s="301"/>
      <c r="DX41" s="301"/>
      <c r="DY41" s="301"/>
      <c r="DZ41" s="301"/>
      <c r="EA41" s="301"/>
      <c r="EB41" s="301"/>
      <c r="EC41" s="301"/>
      <c r="ED41" s="301"/>
      <c r="EE41" s="301"/>
      <c r="EF41" s="301"/>
      <c r="EG41" s="312"/>
      <c r="EH41" s="272">
        <f t="shared" si="194"/>
        <v>0</v>
      </c>
      <c r="EI41" s="21"/>
      <c r="EJ41" s="21"/>
      <c r="EK41" s="21"/>
      <c r="EL41" s="21"/>
      <c r="EM41" s="21"/>
    </row>
    <row r="42" spans="1:143" ht="13.5" customHeight="1">
      <c r="A42" s="21"/>
      <c r="B42" s="21"/>
      <c r="C42" s="21"/>
      <c r="D42" s="622">
        <f t="shared" si="63"/>
        <v>33</v>
      </c>
      <c r="E42" s="1625"/>
      <c r="F42" s="265" t="str">
        <f>+" Sales of "&amp;Historical!C27</f>
        <v xml:space="preserve"> Sales of Investment in Associates</v>
      </c>
      <c r="G42" s="296"/>
      <c r="H42" s="267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12">
        <v>30</v>
      </c>
      <c r="U42" s="272">
        <f t="shared" si="185"/>
        <v>30</v>
      </c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12"/>
      <c r="AH42" s="272">
        <f t="shared" si="186"/>
        <v>0</v>
      </c>
      <c r="AI42" s="301"/>
      <c r="AJ42" s="301"/>
      <c r="AK42" s="301"/>
      <c r="AL42" s="301"/>
      <c r="AM42" s="301"/>
      <c r="AN42" s="301"/>
      <c r="AO42" s="301"/>
      <c r="AP42" s="301"/>
      <c r="AQ42" s="301"/>
      <c r="AR42" s="301"/>
      <c r="AS42" s="301"/>
      <c r="AT42" s="312"/>
      <c r="AU42" s="272">
        <f t="shared" si="187"/>
        <v>0</v>
      </c>
      <c r="AV42" s="301"/>
      <c r="AW42" s="301"/>
      <c r="AX42" s="301"/>
      <c r="AY42" s="301"/>
      <c r="AZ42" s="301"/>
      <c r="BA42" s="301"/>
      <c r="BB42" s="301"/>
      <c r="BC42" s="301"/>
      <c r="BD42" s="301"/>
      <c r="BE42" s="301"/>
      <c r="BF42" s="301"/>
      <c r="BG42" s="312"/>
      <c r="BH42" s="272">
        <f t="shared" si="188"/>
        <v>0</v>
      </c>
      <c r="BI42" s="301"/>
      <c r="BJ42" s="301"/>
      <c r="BK42" s="301"/>
      <c r="BL42" s="301"/>
      <c r="BM42" s="301"/>
      <c r="BN42" s="301"/>
      <c r="BO42" s="301"/>
      <c r="BP42" s="301"/>
      <c r="BQ42" s="301"/>
      <c r="BR42" s="301"/>
      <c r="BS42" s="301"/>
      <c r="BT42" s="312"/>
      <c r="BU42" s="272">
        <f t="shared" si="189"/>
        <v>0</v>
      </c>
      <c r="BV42" s="301"/>
      <c r="BW42" s="301"/>
      <c r="BX42" s="301"/>
      <c r="BY42" s="301"/>
      <c r="BZ42" s="301"/>
      <c r="CA42" s="301"/>
      <c r="CB42" s="301"/>
      <c r="CC42" s="301"/>
      <c r="CD42" s="301"/>
      <c r="CE42" s="301"/>
      <c r="CF42" s="301"/>
      <c r="CG42" s="312"/>
      <c r="CH42" s="272">
        <f t="shared" si="190"/>
        <v>0</v>
      </c>
      <c r="CI42" s="301"/>
      <c r="CJ42" s="301"/>
      <c r="CK42" s="301"/>
      <c r="CL42" s="301"/>
      <c r="CM42" s="301"/>
      <c r="CN42" s="301"/>
      <c r="CO42" s="301"/>
      <c r="CP42" s="301"/>
      <c r="CQ42" s="301"/>
      <c r="CR42" s="301"/>
      <c r="CS42" s="301"/>
      <c r="CT42" s="312"/>
      <c r="CU42" s="272">
        <f t="shared" si="191"/>
        <v>0</v>
      </c>
      <c r="CV42" s="301"/>
      <c r="CW42" s="301"/>
      <c r="CX42" s="301"/>
      <c r="CY42" s="301"/>
      <c r="CZ42" s="301"/>
      <c r="DA42" s="301"/>
      <c r="DB42" s="301"/>
      <c r="DC42" s="301"/>
      <c r="DD42" s="301"/>
      <c r="DE42" s="301"/>
      <c r="DF42" s="301"/>
      <c r="DG42" s="312"/>
      <c r="DH42" s="272">
        <f t="shared" si="192"/>
        <v>0</v>
      </c>
      <c r="DI42" s="301"/>
      <c r="DJ42" s="301"/>
      <c r="DK42" s="301"/>
      <c r="DL42" s="301"/>
      <c r="DM42" s="301"/>
      <c r="DN42" s="301"/>
      <c r="DO42" s="301"/>
      <c r="DP42" s="301"/>
      <c r="DQ42" s="301"/>
      <c r="DR42" s="301"/>
      <c r="DS42" s="301"/>
      <c r="DT42" s="312"/>
      <c r="DU42" s="272">
        <f t="shared" si="193"/>
        <v>0</v>
      </c>
      <c r="DV42" s="301"/>
      <c r="DW42" s="301"/>
      <c r="DX42" s="301"/>
      <c r="DY42" s="301"/>
      <c r="DZ42" s="301"/>
      <c r="EA42" s="301"/>
      <c r="EB42" s="301"/>
      <c r="EC42" s="301"/>
      <c r="ED42" s="301"/>
      <c r="EE42" s="301"/>
      <c r="EF42" s="301"/>
      <c r="EG42" s="312"/>
      <c r="EH42" s="272">
        <f t="shared" si="194"/>
        <v>0</v>
      </c>
      <c r="EI42" s="21"/>
      <c r="EJ42" s="21"/>
      <c r="EK42" s="21"/>
      <c r="EL42" s="21"/>
      <c r="EM42" s="21"/>
    </row>
    <row r="43" spans="1:143" ht="13.5" customHeight="1">
      <c r="A43" s="21"/>
      <c r="B43" s="21"/>
      <c r="C43" s="21"/>
      <c r="D43" s="622">
        <f t="shared" si="63"/>
        <v>34</v>
      </c>
      <c r="E43" s="1625"/>
      <c r="F43" s="842" t="str">
        <f>+" Sales of "&amp;Historical!C28</f>
        <v xml:space="preserve"> Sales of Investment in Joint Venture</v>
      </c>
      <c r="G43" s="296"/>
      <c r="H43" s="267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12">
        <v>40</v>
      </c>
      <c r="U43" s="272">
        <f t="shared" si="185"/>
        <v>40</v>
      </c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12"/>
      <c r="AH43" s="272">
        <f t="shared" si="186"/>
        <v>0</v>
      </c>
      <c r="AI43" s="301"/>
      <c r="AJ43" s="301"/>
      <c r="AK43" s="301"/>
      <c r="AL43" s="301"/>
      <c r="AM43" s="301"/>
      <c r="AN43" s="301"/>
      <c r="AO43" s="301"/>
      <c r="AP43" s="301"/>
      <c r="AQ43" s="301"/>
      <c r="AR43" s="301"/>
      <c r="AS43" s="301"/>
      <c r="AT43" s="312"/>
      <c r="AU43" s="272">
        <f t="shared" si="187"/>
        <v>0</v>
      </c>
      <c r="AV43" s="301"/>
      <c r="AW43" s="301"/>
      <c r="AX43" s="301"/>
      <c r="AY43" s="301"/>
      <c r="AZ43" s="301"/>
      <c r="BA43" s="301"/>
      <c r="BB43" s="301"/>
      <c r="BC43" s="301"/>
      <c r="BD43" s="301"/>
      <c r="BE43" s="301"/>
      <c r="BF43" s="301"/>
      <c r="BG43" s="312"/>
      <c r="BH43" s="272">
        <f t="shared" si="188"/>
        <v>0</v>
      </c>
      <c r="BI43" s="301"/>
      <c r="BJ43" s="301"/>
      <c r="BK43" s="301"/>
      <c r="BL43" s="301"/>
      <c r="BM43" s="301"/>
      <c r="BN43" s="301"/>
      <c r="BO43" s="301"/>
      <c r="BP43" s="301"/>
      <c r="BQ43" s="301"/>
      <c r="BR43" s="301"/>
      <c r="BS43" s="301"/>
      <c r="BT43" s="312"/>
      <c r="BU43" s="272">
        <f t="shared" si="189"/>
        <v>0</v>
      </c>
      <c r="BV43" s="301"/>
      <c r="BW43" s="301"/>
      <c r="BX43" s="301"/>
      <c r="BY43" s="301"/>
      <c r="BZ43" s="301"/>
      <c r="CA43" s="301"/>
      <c r="CB43" s="301"/>
      <c r="CC43" s="301"/>
      <c r="CD43" s="301"/>
      <c r="CE43" s="301"/>
      <c r="CF43" s="301"/>
      <c r="CG43" s="312"/>
      <c r="CH43" s="272"/>
      <c r="CI43" s="301"/>
      <c r="CJ43" s="301"/>
      <c r="CK43" s="301"/>
      <c r="CL43" s="301"/>
      <c r="CM43" s="301"/>
      <c r="CN43" s="301"/>
      <c r="CO43" s="301"/>
      <c r="CP43" s="301"/>
      <c r="CQ43" s="301"/>
      <c r="CR43" s="301"/>
      <c r="CS43" s="301"/>
      <c r="CT43" s="312"/>
      <c r="CU43" s="272"/>
      <c r="CV43" s="301"/>
      <c r="CW43" s="301"/>
      <c r="CX43" s="301"/>
      <c r="CY43" s="301"/>
      <c r="CZ43" s="301"/>
      <c r="DA43" s="301"/>
      <c r="DB43" s="301"/>
      <c r="DC43" s="301"/>
      <c r="DD43" s="301"/>
      <c r="DE43" s="301"/>
      <c r="DF43" s="301"/>
      <c r="DG43" s="312"/>
      <c r="DH43" s="272"/>
      <c r="DI43" s="301"/>
      <c r="DJ43" s="301"/>
      <c r="DK43" s="301"/>
      <c r="DL43" s="301"/>
      <c r="DM43" s="301"/>
      <c r="DN43" s="301"/>
      <c r="DO43" s="301"/>
      <c r="DP43" s="301"/>
      <c r="DQ43" s="301"/>
      <c r="DR43" s="301"/>
      <c r="DS43" s="301"/>
      <c r="DT43" s="312"/>
      <c r="DU43" s="272"/>
      <c r="DV43" s="301"/>
      <c r="DW43" s="301"/>
      <c r="DX43" s="301"/>
      <c r="DY43" s="301"/>
      <c r="DZ43" s="301"/>
      <c r="EA43" s="301"/>
      <c r="EB43" s="301"/>
      <c r="EC43" s="301"/>
      <c r="ED43" s="301"/>
      <c r="EE43" s="301"/>
      <c r="EF43" s="301"/>
      <c r="EG43" s="312"/>
      <c r="EH43" s="272"/>
      <c r="EI43" s="21"/>
      <c r="EJ43" s="21"/>
      <c r="EK43" s="21"/>
      <c r="EL43" s="21"/>
      <c r="EM43" s="21"/>
    </row>
    <row r="44" spans="1:143" ht="13.5" customHeight="1">
      <c r="A44" s="21"/>
      <c r="B44" s="21"/>
      <c r="C44" s="21"/>
      <c r="D44" s="622">
        <f t="shared" si="63"/>
        <v>35</v>
      </c>
      <c r="E44" s="1625"/>
      <c r="F44" s="265" t="str">
        <f>+" Sales of "&amp;Historical!C30</f>
        <v xml:space="preserve"> Sales of Deferred Taxes</v>
      </c>
      <c r="G44" s="296"/>
      <c r="H44" s="267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12">
        <v>50</v>
      </c>
      <c r="U44" s="272">
        <f t="shared" si="185"/>
        <v>50</v>
      </c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12"/>
      <c r="AH44" s="272">
        <f t="shared" si="186"/>
        <v>0</v>
      </c>
      <c r="AI44" s="301"/>
      <c r="AJ44" s="301"/>
      <c r="AK44" s="301"/>
      <c r="AL44" s="301"/>
      <c r="AM44" s="301"/>
      <c r="AN44" s="301"/>
      <c r="AO44" s="301"/>
      <c r="AP44" s="301"/>
      <c r="AQ44" s="301"/>
      <c r="AR44" s="301"/>
      <c r="AS44" s="301"/>
      <c r="AT44" s="312"/>
      <c r="AU44" s="272">
        <f t="shared" si="187"/>
        <v>0</v>
      </c>
      <c r="AV44" s="301"/>
      <c r="AW44" s="301"/>
      <c r="AX44" s="301"/>
      <c r="AY44" s="301"/>
      <c r="AZ44" s="301"/>
      <c r="BA44" s="301"/>
      <c r="BB44" s="301"/>
      <c r="BC44" s="301"/>
      <c r="BD44" s="301"/>
      <c r="BE44" s="301"/>
      <c r="BF44" s="301"/>
      <c r="BG44" s="312"/>
      <c r="BH44" s="272">
        <f t="shared" si="188"/>
        <v>0</v>
      </c>
      <c r="BI44" s="301"/>
      <c r="BJ44" s="301"/>
      <c r="BK44" s="301"/>
      <c r="BL44" s="301"/>
      <c r="BM44" s="301"/>
      <c r="BN44" s="301"/>
      <c r="BO44" s="301"/>
      <c r="BP44" s="301"/>
      <c r="BQ44" s="301"/>
      <c r="BR44" s="301"/>
      <c r="BS44" s="301"/>
      <c r="BT44" s="312"/>
      <c r="BU44" s="272">
        <f t="shared" si="189"/>
        <v>0</v>
      </c>
      <c r="BV44" s="301"/>
      <c r="BW44" s="301"/>
      <c r="BX44" s="301"/>
      <c r="BY44" s="301"/>
      <c r="BZ44" s="301"/>
      <c r="CA44" s="301"/>
      <c r="CB44" s="301"/>
      <c r="CC44" s="301"/>
      <c r="CD44" s="301"/>
      <c r="CE44" s="301"/>
      <c r="CF44" s="301"/>
      <c r="CG44" s="312"/>
      <c r="CH44" s="272">
        <f t="shared" si="190"/>
        <v>0</v>
      </c>
      <c r="CI44" s="301"/>
      <c r="CJ44" s="301"/>
      <c r="CK44" s="301"/>
      <c r="CL44" s="301"/>
      <c r="CM44" s="301"/>
      <c r="CN44" s="301"/>
      <c r="CO44" s="301"/>
      <c r="CP44" s="301"/>
      <c r="CQ44" s="301"/>
      <c r="CR44" s="301"/>
      <c r="CS44" s="301"/>
      <c r="CT44" s="312"/>
      <c r="CU44" s="272">
        <f t="shared" si="191"/>
        <v>0</v>
      </c>
      <c r="CV44" s="301"/>
      <c r="CW44" s="301"/>
      <c r="CX44" s="301"/>
      <c r="CY44" s="301"/>
      <c r="CZ44" s="301"/>
      <c r="DA44" s="301"/>
      <c r="DB44" s="301"/>
      <c r="DC44" s="301"/>
      <c r="DD44" s="301"/>
      <c r="DE44" s="301"/>
      <c r="DF44" s="301"/>
      <c r="DG44" s="312"/>
      <c r="DH44" s="272">
        <f t="shared" si="192"/>
        <v>0</v>
      </c>
      <c r="DI44" s="301"/>
      <c r="DJ44" s="301"/>
      <c r="DK44" s="301"/>
      <c r="DL44" s="301"/>
      <c r="DM44" s="301"/>
      <c r="DN44" s="301"/>
      <c r="DO44" s="301"/>
      <c r="DP44" s="301"/>
      <c r="DQ44" s="301"/>
      <c r="DR44" s="301"/>
      <c r="DS44" s="301"/>
      <c r="DT44" s="312"/>
      <c r="DU44" s="272">
        <f t="shared" si="193"/>
        <v>0</v>
      </c>
      <c r="DV44" s="301"/>
      <c r="DW44" s="301"/>
      <c r="DX44" s="301"/>
      <c r="DY44" s="301"/>
      <c r="DZ44" s="301"/>
      <c r="EA44" s="301"/>
      <c r="EB44" s="301"/>
      <c r="EC44" s="301"/>
      <c r="ED44" s="301"/>
      <c r="EE44" s="301"/>
      <c r="EF44" s="301"/>
      <c r="EG44" s="312"/>
      <c r="EH44" s="272">
        <f t="shared" si="194"/>
        <v>0</v>
      </c>
      <c r="EI44" s="21"/>
      <c r="EJ44" s="21"/>
      <c r="EK44" s="21"/>
      <c r="EL44" s="21"/>
      <c r="EM44" s="21"/>
    </row>
    <row r="45" spans="1:143" ht="13.5" customHeight="1">
      <c r="A45" s="21"/>
      <c r="B45" s="21"/>
      <c r="C45" s="21"/>
      <c r="D45" s="622">
        <f t="shared" si="63"/>
        <v>36</v>
      </c>
      <c r="E45" s="1625"/>
      <c r="F45" s="265" t="str">
        <f>+" Sales of "&amp;Historical!C31</f>
        <v xml:space="preserve"> Sales of Other Non-Current Assets</v>
      </c>
      <c r="G45" s="296"/>
      <c r="H45" s="267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12">
        <v>10</v>
      </c>
      <c r="U45" s="272">
        <f t="shared" si="185"/>
        <v>10</v>
      </c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12"/>
      <c r="AH45" s="272">
        <f t="shared" si="186"/>
        <v>0</v>
      </c>
      <c r="AI45" s="301"/>
      <c r="AJ45" s="301"/>
      <c r="AK45" s="301"/>
      <c r="AL45" s="301"/>
      <c r="AM45" s="301"/>
      <c r="AN45" s="301"/>
      <c r="AO45" s="301"/>
      <c r="AP45" s="301"/>
      <c r="AQ45" s="301"/>
      <c r="AR45" s="301"/>
      <c r="AS45" s="301"/>
      <c r="AT45" s="312"/>
      <c r="AU45" s="272">
        <f t="shared" si="187"/>
        <v>0</v>
      </c>
      <c r="AV45" s="301"/>
      <c r="AW45" s="301"/>
      <c r="AX45" s="301"/>
      <c r="AY45" s="301"/>
      <c r="AZ45" s="301"/>
      <c r="BA45" s="301"/>
      <c r="BB45" s="301"/>
      <c r="BC45" s="301"/>
      <c r="BD45" s="301"/>
      <c r="BE45" s="301"/>
      <c r="BF45" s="301"/>
      <c r="BG45" s="312"/>
      <c r="BH45" s="272">
        <f t="shared" si="188"/>
        <v>0</v>
      </c>
      <c r="BI45" s="301"/>
      <c r="BJ45" s="301"/>
      <c r="BK45" s="301"/>
      <c r="BL45" s="301"/>
      <c r="BM45" s="301"/>
      <c r="BN45" s="301"/>
      <c r="BO45" s="301"/>
      <c r="BP45" s="301"/>
      <c r="BQ45" s="301"/>
      <c r="BR45" s="301"/>
      <c r="BS45" s="301"/>
      <c r="BT45" s="312"/>
      <c r="BU45" s="272">
        <f t="shared" si="189"/>
        <v>0</v>
      </c>
      <c r="BV45" s="301"/>
      <c r="BW45" s="301"/>
      <c r="BX45" s="301"/>
      <c r="BY45" s="301"/>
      <c r="BZ45" s="301"/>
      <c r="CA45" s="301"/>
      <c r="CB45" s="301"/>
      <c r="CC45" s="301"/>
      <c r="CD45" s="301"/>
      <c r="CE45" s="301"/>
      <c r="CF45" s="301"/>
      <c r="CG45" s="312"/>
      <c r="CH45" s="272">
        <f t="shared" si="190"/>
        <v>0</v>
      </c>
      <c r="CI45" s="301"/>
      <c r="CJ45" s="301"/>
      <c r="CK45" s="301"/>
      <c r="CL45" s="301"/>
      <c r="CM45" s="301"/>
      <c r="CN45" s="301"/>
      <c r="CO45" s="301"/>
      <c r="CP45" s="301"/>
      <c r="CQ45" s="301"/>
      <c r="CR45" s="301"/>
      <c r="CS45" s="301"/>
      <c r="CT45" s="312"/>
      <c r="CU45" s="272">
        <f t="shared" si="191"/>
        <v>0</v>
      </c>
      <c r="CV45" s="301"/>
      <c r="CW45" s="301"/>
      <c r="CX45" s="301"/>
      <c r="CY45" s="301"/>
      <c r="CZ45" s="301"/>
      <c r="DA45" s="301"/>
      <c r="DB45" s="301"/>
      <c r="DC45" s="301"/>
      <c r="DD45" s="301"/>
      <c r="DE45" s="301"/>
      <c r="DF45" s="301"/>
      <c r="DG45" s="312"/>
      <c r="DH45" s="272">
        <f t="shared" si="192"/>
        <v>0</v>
      </c>
      <c r="DI45" s="301"/>
      <c r="DJ45" s="301"/>
      <c r="DK45" s="301"/>
      <c r="DL45" s="301"/>
      <c r="DM45" s="301"/>
      <c r="DN45" s="301"/>
      <c r="DO45" s="301"/>
      <c r="DP45" s="301"/>
      <c r="DQ45" s="301"/>
      <c r="DR45" s="301"/>
      <c r="DS45" s="301"/>
      <c r="DT45" s="312"/>
      <c r="DU45" s="272">
        <f t="shared" si="193"/>
        <v>0</v>
      </c>
      <c r="DV45" s="301"/>
      <c r="DW45" s="301"/>
      <c r="DX45" s="301"/>
      <c r="DY45" s="301"/>
      <c r="DZ45" s="301"/>
      <c r="EA45" s="301"/>
      <c r="EB45" s="301"/>
      <c r="EC45" s="301"/>
      <c r="ED45" s="301"/>
      <c r="EE45" s="301"/>
      <c r="EF45" s="301"/>
      <c r="EG45" s="312"/>
      <c r="EH45" s="272">
        <f t="shared" si="194"/>
        <v>0</v>
      </c>
      <c r="EI45" s="21"/>
      <c r="EJ45" s="21"/>
      <c r="EK45" s="21"/>
      <c r="EL45" s="21"/>
      <c r="EM45" s="21"/>
    </row>
    <row r="46" spans="1:143" ht="13.5" customHeight="1">
      <c r="A46" s="21"/>
      <c r="B46" s="21"/>
      <c r="C46" s="21"/>
      <c r="D46" s="622">
        <f t="shared" si="63"/>
        <v>37</v>
      </c>
      <c r="E46" s="1625"/>
      <c r="F46" s="265" t="str">
        <f>+" Sales of "&amp;Historical!C32</f>
        <v xml:space="preserve"> Sales of Investments</v>
      </c>
      <c r="G46" s="296"/>
      <c r="H46" s="267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12">
        <v>20</v>
      </c>
      <c r="U46" s="272">
        <f t="shared" si="185"/>
        <v>20</v>
      </c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12"/>
      <c r="AH46" s="272">
        <f t="shared" si="186"/>
        <v>0</v>
      </c>
      <c r="AI46" s="301"/>
      <c r="AJ46" s="301"/>
      <c r="AK46" s="301"/>
      <c r="AL46" s="301"/>
      <c r="AM46" s="301"/>
      <c r="AN46" s="301"/>
      <c r="AO46" s="301"/>
      <c r="AP46" s="301"/>
      <c r="AQ46" s="301"/>
      <c r="AR46" s="301"/>
      <c r="AS46" s="301"/>
      <c r="AT46" s="312"/>
      <c r="AU46" s="272">
        <f t="shared" si="187"/>
        <v>0</v>
      </c>
      <c r="AV46" s="301"/>
      <c r="AW46" s="301"/>
      <c r="AX46" s="301"/>
      <c r="AY46" s="301"/>
      <c r="AZ46" s="301"/>
      <c r="BA46" s="301"/>
      <c r="BB46" s="301"/>
      <c r="BC46" s="301"/>
      <c r="BD46" s="301"/>
      <c r="BE46" s="301"/>
      <c r="BF46" s="301"/>
      <c r="BG46" s="312"/>
      <c r="BH46" s="272">
        <f t="shared" si="188"/>
        <v>0</v>
      </c>
      <c r="BI46" s="301"/>
      <c r="BJ46" s="301"/>
      <c r="BK46" s="301"/>
      <c r="BL46" s="301"/>
      <c r="BM46" s="301"/>
      <c r="BN46" s="301"/>
      <c r="BO46" s="301"/>
      <c r="BP46" s="301"/>
      <c r="BQ46" s="301"/>
      <c r="BR46" s="301"/>
      <c r="BS46" s="301"/>
      <c r="BT46" s="312"/>
      <c r="BU46" s="272">
        <f t="shared" si="189"/>
        <v>0</v>
      </c>
      <c r="BV46" s="301"/>
      <c r="BW46" s="301"/>
      <c r="BX46" s="301"/>
      <c r="BY46" s="301"/>
      <c r="BZ46" s="301"/>
      <c r="CA46" s="301"/>
      <c r="CB46" s="301"/>
      <c r="CC46" s="301"/>
      <c r="CD46" s="301"/>
      <c r="CE46" s="301"/>
      <c r="CF46" s="301"/>
      <c r="CG46" s="312"/>
      <c r="CH46" s="272">
        <f t="shared" si="190"/>
        <v>0</v>
      </c>
      <c r="CI46" s="301"/>
      <c r="CJ46" s="301"/>
      <c r="CK46" s="301"/>
      <c r="CL46" s="301"/>
      <c r="CM46" s="301"/>
      <c r="CN46" s="301"/>
      <c r="CO46" s="301"/>
      <c r="CP46" s="301"/>
      <c r="CQ46" s="301"/>
      <c r="CR46" s="301"/>
      <c r="CS46" s="301"/>
      <c r="CT46" s="312"/>
      <c r="CU46" s="272">
        <f t="shared" si="191"/>
        <v>0</v>
      </c>
      <c r="CV46" s="301"/>
      <c r="CW46" s="301"/>
      <c r="CX46" s="301"/>
      <c r="CY46" s="301"/>
      <c r="CZ46" s="301"/>
      <c r="DA46" s="301"/>
      <c r="DB46" s="301"/>
      <c r="DC46" s="301"/>
      <c r="DD46" s="301"/>
      <c r="DE46" s="301"/>
      <c r="DF46" s="301"/>
      <c r="DG46" s="312"/>
      <c r="DH46" s="272">
        <f t="shared" si="192"/>
        <v>0</v>
      </c>
      <c r="DI46" s="301"/>
      <c r="DJ46" s="301"/>
      <c r="DK46" s="301"/>
      <c r="DL46" s="301"/>
      <c r="DM46" s="301"/>
      <c r="DN46" s="301"/>
      <c r="DO46" s="301"/>
      <c r="DP46" s="301"/>
      <c r="DQ46" s="301"/>
      <c r="DR46" s="301"/>
      <c r="DS46" s="301"/>
      <c r="DT46" s="312"/>
      <c r="DU46" s="272">
        <f t="shared" si="193"/>
        <v>0</v>
      </c>
      <c r="DV46" s="301"/>
      <c r="DW46" s="301"/>
      <c r="DX46" s="301"/>
      <c r="DY46" s="301"/>
      <c r="DZ46" s="301"/>
      <c r="EA46" s="301"/>
      <c r="EB46" s="301"/>
      <c r="EC46" s="301"/>
      <c r="ED46" s="301"/>
      <c r="EE46" s="301"/>
      <c r="EF46" s="301"/>
      <c r="EG46" s="312"/>
      <c r="EH46" s="272">
        <f t="shared" si="194"/>
        <v>0</v>
      </c>
      <c r="EI46" s="21"/>
      <c r="EJ46" s="21"/>
      <c r="EK46" s="21"/>
      <c r="EL46" s="21"/>
      <c r="EM46" s="21"/>
    </row>
    <row r="47" spans="1:143" ht="13.5" customHeight="1">
      <c r="A47" s="21"/>
      <c r="B47" s="21"/>
      <c r="C47" s="21"/>
      <c r="D47" s="622">
        <f t="shared" si="63"/>
        <v>38</v>
      </c>
      <c r="E47" s="1625"/>
      <c r="F47" s="265" t="str">
        <f>+" Additions to "&amp;Historical!C55</f>
        <v xml:space="preserve"> Additions to Employee Benefit Liabilities</v>
      </c>
      <c r="G47" s="313"/>
      <c r="H47" s="267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12">
        <v>30</v>
      </c>
      <c r="U47" s="272">
        <f t="shared" si="185"/>
        <v>30</v>
      </c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12"/>
      <c r="AH47" s="272">
        <f t="shared" si="186"/>
        <v>0</v>
      </c>
      <c r="AI47" s="301"/>
      <c r="AJ47" s="301"/>
      <c r="AK47" s="301"/>
      <c r="AL47" s="301"/>
      <c r="AM47" s="301"/>
      <c r="AN47" s="301"/>
      <c r="AO47" s="301"/>
      <c r="AP47" s="301"/>
      <c r="AQ47" s="301"/>
      <c r="AR47" s="301"/>
      <c r="AS47" s="301"/>
      <c r="AT47" s="312"/>
      <c r="AU47" s="272">
        <f t="shared" si="187"/>
        <v>0</v>
      </c>
      <c r="AV47" s="301"/>
      <c r="AW47" s="301"/>
      <c r="AX47" s="301"/>
      <c r="AY47" s="301"/>
      <c r="AZ47" s="301"/>
      <c r="BA47" s="301"/>
      <c r="BB47" s="301"/>
      <c r="BC47" s="301"/>
      <c r="BD47" s="301"/>
      <c r="BE47" s="301"/>
      <c r="BF47" s="301"/>
      <c r="BG47" s="312"/>
      <c r="BH47" s="272">
        <f t="shared" si="188"/>
        <v>0</v>
      </c>
      <c r="BI47" s="301"/>
      <c r="BJ47" s="301"/>
      <c r="BK47" s="301"/>
      <c r="BL47" s="301"/>
      <c r="BM47" s="301"/>
      <c r="BN47" s="301"/>
      <c r="BO47" s="301"/>
      <c r="BP47" s="301"/>
      <c r="BQ47" s="301"/>
      <c r="BR47" s="301"/>
      <c r="BS47" s="301"/>
      <c r="BT47" s="312"/>
      <c r="BU47" s="272">
        <f t="shared" si="189"/>
        <v>0</v>
      </c>
      <c r="BV47" s="301"/>
      <c r="BW47" s="301"/>
      <c r="BX47" s="301"/>
      <c r="BY47" s="301"/>
      <c r="BZ47" s="301"/>
      <c r="CA47" s="301"/>
      <c r="CB47" s="301"/>
      <c r="CC47" s="301"/>
      <c r="CD47" s="301"/>
      <c r="CE47" s="301"/>
      <c r="CF47" s="301"/>
      <c r="CG47" s="312"/>
      <c r="CH47" s="272">
        <f t="shared" si="190"/>
        <v>0</v>
      </c>
      <c r="CI47" s="301"/>
      <c r="CJ47" s="301"/>
      <c r="CK47" s="301"/>
      <c r="CL47" s="301"/>
      <c r="CM47" s="301"/>
      <c r="CN47" s="301"/>
      <c r="CO47" s="301"/>
      <c r="CP47" s="301"/>
      <c r="CQ47" s="301"/>
      <c r="CR47" s="301"/>
      <c r="CS47" s="301"/>
      <c r="CT47" s="312"/>
      <c r="CU47" s="272">
        <f t="shared" si="191"/>
        <v>0</v>
      </c>
      <c r="CV47" s="301"/>
      <c r="CW47" s="301"/>
      <c r="CX47" s="301"/>
      <c r="CY47" s="301"/>
      <c r="CZ47" s="301"/>
      <c r="DA47" s="301"/>
      <c r="DB47" s="301"/>
      <c r="DC47" s="301"/>
      <c r="DD47" s="301"/>
      <c r="DE47" s="301"/>
      <c r="DF47" s="301"/>
      <c r="DG47" s="312"/>
      <c r="DH47" s="272">
        <f t="shared" si="192"/>
        <v>0</v>
      </c>
      <c r="DI47" s="301"/>
      <c r="DJ47" s="301"/>
      <c r="DK47" s="301"/>
      <c r="DL47" s="301"/>
      <c r="DM47" s="301"/>
      <c r="DN47" s="301"/>
      <c r="DO47" s="301"/>
      <c r="DP47" s="301"/>
      <c r="DQ47" s="301"/>
      <c r="DR47" s="301"/>
      <c r="DS47" s="301"/>
      <c r="DT47" s="312"/>
      <c r="DU47" s="272">
        <f t="shared" si="193"/>
        <v>0</v>
      </c>
      <c r="DV47" s="301"/>
      <c r="DW47" s="301"/>
      <c r="DX47" s="301"/>
      <c r="DY47" s="301"/>
      <c r="DZ47" s="301"/>
      <c r="EA47" s="301"/>
      <c r="EB47" s="301"/>
      <c r="EC47" s="301"/>
      <c r="ED47" s="301"/>
      <c r="EE47" s="301"/>
      <c r="EF47" s="301"/>
      <c r="EG47" s="312"/>
      <c r="EH47" s="272">
        <f t="shared" si="194"/>
        <v>0</v>
      </c>
      <c r="EI47" s="21"/>
      <c r="EJ47" s="21"/>
      <c r="EK47" s="21"/>
      <c r="EL47" s="21"/>
      <c r="EM47" s="21"/>
    </row>
    <row r="48" spans="1:143" ht="13.5" customHeight="1">
      <c r="A48" s="21"/>
      <c r="B48" s="21"/>
      <c r="C48" s="21"/>
      <c r="D48" s="622">
        <f t="shared" si="63"/>
        <v>39</v>
      </c>
      <c r="E48" s="1625"/>
      <c r="F48" s="265" t="str">
        <f>+" Additions to "&amp;Historical!C56</f>
        <v xml:space="preserve"> Additions to Long Term Tax Payables</v>
      </c>
      <c r="G48" s="296"/>
      <c r="H48" s="267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12">
        <v>40</v>
      </c>
      <c r="U48" s="272">
        <f t="shared" si="185"/>
        <v>40</v>
      </c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12"/>
      <c r="AH48" s="272">
        <f t="shared" si="186"/>
        <v>0</v>
      </c>
      <c r="AI48" s="301"/>
      <c r="AJ48" s="301"/>
      <c r="AK48" s="301"/>
      <c r="AL48" s="301"/>
      <c r="AM48" s="301"/>
      <c r="AN48" s="301"/>
      <c r="AO48" s="301"/>
      <c r="AP48" s="301"/>
      <c r="AQ48" s="301"/>
      <c r="AR48" s="301"/>
      <c r="AS48" s="301"/>
      <c r="AT48" s="312"/>
      <c r="AU48" s="272">
        <f t="shared" si="187"/>
        <v>0</v>
      </c>
      <c r="AV48" s="301"/>
      <c r="AW48" s="301"/>
      <c r="AX48" s="301"/>
      <c r="AY48" s="301"/>
      <c r="AZ48" s="301"/>
      <c r="BA48" s="301"/>
      <c r="BB48" s="301"/>
      <c r="BC48" s="301"/>
      <c r="BD48" s="301"/>
      <c r="BE48" s="301"/>
      <c r="BF48" s="301"/>
      <c r="BG48" s="312"/>
      <c r="BH48" s="272">
        <f t="shared" si="188"/>
        <v>0</v>
      </c>
      <c r="BI48" s="301"/>
      <c r="BJ48" s="301"/>
      <c r="BK48" s="301"/>
      <c r="BL48" s="301"/>
      <c r="BM48" s="301"/>
      <c r="BN48" s="301"/>
      <c r="BO48" s="301"/>
      <c r="BP48" s="301"/>
      <c r="BQ48" s="301"/>
      <c r="BR48" s="301"/>
      <c r="BS48" s="301"/>
      <c r="BT48" s="312"/>
      <c r="BU48" s="272">
        <f t="shared" si="189"/>
        <v>0</v>
      </c>
      <c r="BV48" s="301"/>
      <c r="BW48" s="301"/>
      <c r="BX48" s="301"/>
      <c r="BY48" s="301"/>
      <c r="BZ48" s="301"/>
      <c r="CA48" s="301"/>
      <c r="CB48" s="301"/>
      <c r="CC48" s="301"/>
      <c r="CD48" s="301"/>
      <c r="CE48" s="301"/>
      <c r="CF48" s="301"/>
      <c r="CG48" s="312"/>
      <c r="CH48" s="272">
        <f t="shared" si="190"/>
        <v>0</v>
      </c>
      <c r="CI48" s="301"/>
      <c r="CJ48" s="301"/>
      <c r="CK48" s="301"/>
      <c r="CL48" s="301"/>
      <c r="CM48" s="301"/>
      <c r="CN48" s="301"/>
      <c r="CO48" s="301"/>
      <c r="CP48" s="301"/>
      <c r="CQ48" s="301"/>
      <c r="CR48" s="301"/>
      <c r="CS48" s="301"/>
      <c r="CT48" s="312"/>
      <c r="CU48" s="272">
        <f t="shared" si="191"/>
        <v>0</v>
      </c>
      <c r="CV48" s="301"/>
      <c r="CW48" s="301"/>
      <c r="CX48" s="301"/>
      <c r="CY48" s="301"/>
      <c r="CZ48" s="301"/>
      <c r="DA48" s="301"/>
      <c r="DB48" s="301"/>
      <c r="DC48" s="301"/>
      <c r="DD48" s="301"/>
      <c r="DE48" s="301"/>
      <c r="DF48" s="301"/>
      <c r="DG48" s="312"/>
      <c r="DH48" s="272">
        <f t="shared" si="192"/>
        <v>0</v>
      </c>
      <c r="DI48" s="301"/>
      <c r="DJ48" s="301"/>
      <c r="DK48" s="301"/>
      <c r="DL48" s="301"/>
      <c r="DM48" s="301"/>
      <c r="DN48" s="301"/>
      <c r="DO48" s="301"/>
      <c r="DP48" s="301"/>
      <c r="DQ48" s="301"/>
      <c r="DR48" s="301"/>
      <c r="DS48" s="301"/>
      <c r="DT48" s="312"/>
      <c r="DU48" s="272">
        <f t="shared" si="193"/>
        <v>0</v>
      </c>
      <c r="DV48" s="301"/>
      <c r="DW48" s="301"/>
      <c r="DX48" s="301"/>
      <c r="DY48" s="301"/>
      <c r="DZ48" s="301"/>
      <c r="EA48" s="301"/>
      <c r="EB48" s="301"/>
      <c r="EC48" s="301"/>
      <c r="ED48" s="301"/>
      <c r="EE48" s="301"/>
      <c r="EF48" s="301"/>
      <c r="EG48" s="312"/>
      <c r="EH48" s="272">
        <f t="shared" si="194"/>
        <v>0</v>
      </c>
      <c r="EI48" s="21"/>
      <c r="EJ48" s="21"/>
      <c r="EK48" s="21"/>
      <c r="EL48" s="21"/>
      <c r="EM48" s="21"/>
    </row>
    <row r="49" spans="1:143" ht="13.5" customHeight="1">
      <c r="A49" s="21"/>
      <c r="B49" s="21"/>
      <c r="C49" s="21"/>
      <c r="D49" s="622">
        <f t="shared" si="63"/>
        <v>40</v>
      </c>
      <c r="E49" s="1625"/>
      <c r="F49" s="265" t="str">
        <f>+" Additions to "&amp;Historical!C57</f>
        <v xml:space="preserve"> Additions to Shareholders &amp; Related Parties Loan- Long Term</v>
      </c>
      <c r="G49" s="296"/>
      <c r="H49" s="267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12">
        <v>50</v>
      </c>
      <c r="U49" s="272">
        <f t="shared" si="185"/>
        <v>50</v>
      </c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12"/>
      <c r="AH49" s="272">
        <f t="shared" si="186"/>
        <v>0</v>
      </c>
      <c r="AI49" s="301"/>
      <c r="AJ49" s="301"/>
      <c r="AK49" s="301"/>
      <c r="AL49" s="301"/>
      <c r="AM49" s="301"/>
      <c r="AN49" s="301"/>
      <c r="AO49" s="301"/>
      <c r="AP49" s="301"/>
      <c r="AQ49" s="301"/>
      <c r="AR49" s="301"/>
      <c r="AS49" s="301"/>
      <c r="AT49" s="312"/>
      <c r="AU49" s="272">
        <f t="shared" si="187"/>
        <v>0</v>
      </c>
      <c r="AV49" s="301"/>
      <c r="AW49" s="301"/>
      <c r="AX49" s="301"/>
      <c r="AY49" s="301"/>
      <c r="AZ49" s="301"/>
      <c r="BA49" s="301"/>
      <c r="BB49" s="301"/>
      <c r="BC49" s="301"/>
      <c r="BD49" s="301"/>
      <c r="BE49" s="301"/>
      <c r="BF49" s="301"/>
      <c r="BG49" s="312"/>
      <c r="BH49" s="272">
        <f t="shared" si="188"/>
        <v>0</v>
      </c>
      <c r="BI49" s="301"/>
      <c r="BJ49" s="301"/>
      <c r="BK49" s="301"/>
      <c r="BL49" s="301"/>
      <c r="BM49" s="301"/>
      <c r="BN49" s="301"/>
      <c r="BO49" s="301"/>
      <c r="BP49" s="301"/>
      <c r="BQ49" s="301"/>
      <c r="BR49" s="301"/>
      <c r="BS49" s="301"/>
      <c r="BT49" s="312"/>
      <c r="BU49" s="272">
        <f t="shared" si="189"/>
        <v>0</v>
      </c>
      <c r="BV49" s="301"/>
      <c r="BW49" s="301"/>
      <c r="BX49" s="301"/>
      <c r="BY49" s="301"/>
      <c r="BZ49" s="301"/>
      <c r="CA49" s="301"/>
      <c r="CB49" s="301"/>
      <c r="CC49" s="301"/>
      <c r="CD49" s="301"/>
      <c r="CE49" s="301"/>
      <c r="CF49" s="301"/>
      <c r="CG49" s="312"/>
      <c r="CH49" s="272">
        <f t="shared" si="190"/>
        <v>0</v>
      </c>
      <c r="CI49" s="301"/>
      <c r="CJ49" s="301"/>
      <c r="CK49" s="301"/>
      <c r="CL49" s="301"/>
      <c r="CM49" s="301"/>
      <c r="CN49" s="301"/>
      <c r="CO49" s="301"/>
      <c r="CP49" s="301"/>
      <c r="CQ49" s="301"/>
      <c r="CR49" s="301"/>
      <c r="CS49" s="301"/>
      <c r="CT49" s="312"/>
      <c r="CU49" s="272">
        <f t="shared" si="191"/>
        <v>0</v>
      </c>
      <c r="CV49" s="301"/>
      <c r="CW49" s="301"/>
      <c r="CX49" s="301"/>
      <c r="CY49" s="301"/>
      <c r="CZ49" s="301"/>
      <c r="DA49" s="301"/>
      <c r="DB49" s="301"/>
      <c r="DC49" s="301"/>
      <c r="DD49" s="301"/>
      <c r="DE49" s="301"/>
      <c r="DF49" s="301"/>
      <c r="DG49" s="312"/>
      <c r="DH49" s="272">
        <f t="shared" si="192"/>
        <v>0</v>
      </c>
      <c r="DI49" s="301"/>
      <c r="DJ49" s="301"/>
      <c r="DK49" s="301"/>
      <c r="DL49" s="301"/>
      <c r="DM49" s="301"/>
      <c r="DN49" s="301"/>
      <c r="DO49" s="301"/>
      <c r="DP49" s="301"/>
      <c r="DQ49" s="301"/>
      <c r="DR49" s="301"/>
      <c r="DS49" s="301"/>
      <c r="DT49" s="312"/>
      <c r="DU49" s="272">
        <f t="shared" si="193"/>
        <v>0</v>
      </c>
      <c r="DV49" s="301"/>
      <c r="DW49" s="301"/>
      <c r="DX49" s="301"/>
      <c r="DY49" s="301"/>
      <c r="DZ49" s="301"/>
      <c r="EA49" s="301"/>
      <c r="EB49" s="301"/>
      <c r="EC49" s="301"/>
      <c r="ED49" s="301"/>
      <c r="EE49" s="301"/>
      <c r="EF49" s="301"/>
      <c r="EG49" s="312"/>
      <c r="EH49" s="272">
        <f t="shared" si="194"/>
        <v>0</v>
      </c>
      <c r="EI49" s="21"/>
      <c r="EJ49" s="21"/>
      <c r="EK49" s="21"/>
      <c r="EL49" s="21"/>
      <c r="EM49" s="21"/>
    </row>
    <row r="50" spans="1:143" ht="14.25" customHeight="1">
      <c r="A50" s="21"/>
      <c r="B50" s="21"/>
      <c r="C50" s="21"/>
      <c r="D50" s="622">
        <f t="shared" si="63"/>
        <v>41</v>
      </c>
      <c r="E50" s="1625"/>
      <c r="F50" s="916" t="str">
        <f>+" Additions to "&amp;Historical!C58</f>
        <v xml:space="preserve"> Additions to Other Non-Current Liabilities</v>
      </c>
      <c r="G50" s="296"/>
      <c r="H50" s="267"/>
      <c r="I50" s="301"/>
      <c r="J50" s="301"/>
      <c r="K50" s="301">
        <v>0</v>
      </c>
      <c r="L50" s="301"/>
      <c r="M50" s="301"/>
      <c r="N50" s="301"/>
      <c r="O50" s="301"/>
      <c r="P50" s="301"/>
      <c r="Q50" s="301"/>
      <c r="R50" s="301"/>
      <c r="S50" s="301"/>
      <c r="T50" s="301">
        <v>10</v>
      </c>
      <c r="U50" s="272">
        <f t="shared" si="185"/>
        <v>10</v>
      </c>
      <c r="V50" s="301"/>
      <c r="W50" s="301"/>
      <c r="X50" s="301"/>
      <c r="Y50" s="301"/>
      <c r="Z50" s="301"/>
      <c r="AA50" s="301"/>
      <c r="AB50" s="301"/>
      <c r="AC50" s="301"/>
      <c r="AD50" s="301"/>
      <c r="AE50" s="301"/>
      <c r="AF50" s="301"/>
      <c r="AG50" s="312"/>
      <c r="AH50" s="272">
        <f t="shared" si="186"/>
        <v>0</v>
      </c>
      <c r="AI50" s="301"/>
      <c r="AJ50" s="301"/>
      <c r="AK50" s="301"/>
      <c r="AL50" s="301"/>
      <c r="AM50" s="301"/>
      <c r="AN50" s="301"/>
      <c r="AO50" s="301"/>
      <c r="AP50" s="301"/>
      <c r="AQ50" s="301"/>
      <c r="AR50" s="301"/>
      <c r="AS50" s="301"/>
      <c r="AT50" s="312"/>
      <c r="AU50" s="272">
        <f t="shared" si="187"/>
        <v>0</v>
      </c>
      <c r="AV50" s="301"/>
      <c r="AW50" s="301"/>
      <c r="AX50" s="301"/>
      <c r="AY50" s="301"/>
      <c r="AZ50" s="301"/>
      <c r="BA50" s="301"/>
      <c r="BB50" s="301"/>
      <c r="BC50" s="301"/>
      <c r="BD50" s="301"/>
      <c r="BE50" s="301"/>
      <c r="BF50" s="301"/>
      <c r="BG50" s="312"/>
      <c r="BH50" s="272">
        <f t="shared" si="188"/>
        <v>0</v>
      </c>
      <c r="BI50" s="301"/>
      <c r="BJ50" s="301"/>
      <c r="BK50" s="301"/>
      <c r="BL50" s="301"/>
      <c r="BM50" s="301"/>
      <c r="BN50" s="301"/>
      <c r="BO50" s="301"/>
      <c r="BP50" s="301"/>
      <c r="BQ50" s="301"/>
      <c r="BR50" s="301"/>
      <c r="BS50" s="301"/>
      <c r="BT50" s="312"/>
      <c r="BU50" s="272">
        <f t="shared" si="189"/>
        <v>0</v>
      </c>
      <c r="BV50" s="301"/>
      <c r="BW50" s="301"/>
      <c r="BX50" s="301"/>
      <c r="BY50" s="301"/>
      <c r="BZ50" s="301"/>
      <c r="CA50" s="301"/>
      <c r="CB50" s="301"/>
      <c r="CC50" s="301"/>
      <c r="CD50" s="301"/>
      <c r="CE50" s="301"/>
      <c r="CF50" s="301"/>
      <c r="CG50" s="312"/>
      <c r="CH50" s="272">
        <f t="shared" si="190"/>
        <v>0</v>
      </c>
      <c r="CI50" s="301"/>
      <c r="CJ50" s="301"/>
      <c r="CK50" s="301"/>
      <c r="CL50" s="301"/>
      <c r="CM50" s="301"/>
      <c r="CN50" s="301"/>
      <c r="CO50" s="301"/>
      <c r="CP50" s="301"/>
      <c r="CQ50" s="301"/>
      <c r="CR50" s="301"/>
      <c r="CS50" s="301"/>
      <c r="CT50" s="312"/>
      <c r="CU50" s="272">
        <f t="shared" si="191"/>
        <v>0</v>
      </c>
      <c r="CV50" s="301"/>
      <c r="CW50" s="301"/>
      <c r="CX50" s="301"/>
      <c r="CY50" s="301"/>
      <c r="CZ50" s="301"/>
      <c r="DA50" s="301"/>
      <c r="DB50" s="301"/>
      <c r="DC50" s="301"/>
      <c r="DD50" s="301"/>
      <c r="DE50" s="301"/>
      <c r="DF50" s="301"/>
      <c r="DG50" s="312"/>
      <c r="DH50" s="272">
        <f t="shared" si="192"/>
        <v>0</v>
      </c>
      <c r="DI50" s="301"/>
      <c r="DJ50" s="301"/>
      <c r="DK50" s="301"/>
      <c r="DL50" s="301"/>
      <c r="DM50" s="301"/>
      <c r="DN50" s="301"/>
      <c r="DO50" s="301"/>
      <c r="DP50" s="301"/>
      <c r="DQ50" s="301"/>
      <c r="DR50" s="301"/>
      <c r="DS50" s="301"/>
      <c r="DT50" s="312"/>
      <c r="DU50" s="272">
        <f t="shared" si="193"/>
        <v>0</v>
      </c>
      <c r="DV50" s="301"/>
      <c r="DW50" s="301"/>
      <c r="DX50" s="301"/>
      <c r="DY50" s="301"/>
      <c r="DZ50" s="301"/>
      <c r="EA50" s="301"/>
      <c r="EB50" s="301"/>
      <c r="EC50" s="301"/>
      <c r="ED50" s="301"/>
      <c r="EE50" s="301"/>
      <c r="EF50" s="301"/>
      <c r="EG50" s="312"/>
      <c r="EH50" s="272">
        <f t="shared" si="194"/>
        <v>0</v>
      </c>
      <c r="EI50" s="21"/>
      <c r="EJ50" s="21"/>
      <c r="EK50" s="21"/>
      <c r="EL50" s="21"/>
      <c r="EM50" s="21"/>
    </row>
    <row r="51" spans="1:143" ht="15" customHeight="1">
      <c r="A51" s="21"/>
      <c r="B51" s="21"/>
      <c r="C51" s="21"/>
      <c r="D51" s="622">
        <f t="shared" si="63"/>
        <v>42</v>
      </c>
      <c r="E51" s="1625"/>
      <c r="F51" s="265" t="s">
        <v>591</v>
      </c>
      <c r="G51" s="296"/>
      <c r="H51" s="267"/>
      <c r="I51" s="301">
        <f>SUM(I140:I149)</f>
        <v>0</v>
      </c>
      <c r="J51" s="301">
        <f t="shared" ref="J51:S51" si="195">SUM(J140:J149)</f>
        <v>0</v>
      </c>
      <c r="K51" s="301">
        <f t="shared" si="195"/>
        <v>0</v>
      </c>
      <c r="L51" s="301">
        <f t="shared" si="195"/>
        <v>0</v>
      </c>
      <c r="M51" s="301">
        <f t="shared" si="195"/>
        <v>0</v>
      </c>
      <c r="N51" s="301">
        <f t="shared" si="195"/>
        <v>0</v>
      </c>
      <c r="O51" s="301">
        <f t="shared" si="195"/>
        <v>0</v>
      </c>
      <c r="P51" s="301">
        <f t="shared" si="195"/>
        <v>0</v>
      </c>
      <c r="Q51" s="301">
        <f t="shared" si="195"/>
        <v>0</v>
      </c>
      <c r="R51" s="301">
        <f t="shared" si="195"/>
        <v>0</v>
      </c>
      <c r="S51" s="301">
        <f t="shared" si="195"/>
        <v>0</v>
      </c>
      <c r="T51" s="301">
        <f>SUM(T140:T149)</f>
        <v>300</v>
      </c>
      <c r="U51" s="272">
        <f t="shared" si="185"/>
        <v>300</v>
      </c>
      <c r="V51" s="301">
        <f>SUM(V140:V149)</f>
        <v>0</v>
      </c>
      <c r="W51" s="301">
        <f t="shared" ref="W51:BT51" si="196">SUM(W140:W149)</f>
        <v>0</v>
      </c>
      <c r="X51" s="301">
        <f t="shared" si="196"/>
        <v>0</v>
      </c>
      <c r="Y51" s="301">
        <f t="shared" si="196"/>
        <v>0</v>
      </c>
      <c r="Z51" s="301">
        <f t="shared" si="196"/>
        <v>0</v>
      </c>
      <c r="AA51" s="301">
        <f t="shared" si="196"/>
        <v>0</v>
      </c>
      <c r="AB51" s="301">
        <f t="shared" si="196"/>
        <v>0</v>
      </c>
      <c r="AC51" s="301">
        <f t="shared" si="196"/>
        <v>0</v>
      </c>
      <c r="AD51" s="301">
        <f t="shared" si="196"/>
        <v>0</v>
      </c>
      <c r="AE51" s="301">
        <f t="shared" si="196"/>
        <v>0</v>
      </c>
      <c r="AF51" s="301">
        <f t="shared" si="196"/>
        <v>0</v>
      </c>
      <c r="AG51" s="301">
        <f t="shared" si="196"/>
        <v>0</v>
      </c>
      <c r="AH51" s="272">
        <f t="shared" si="186"/>
        <v>0</v>
      </c>
      <c r="AI51" s="301">
        <f t="shared" si="196"/>
        <v>0</v>
      </c>
      <c r="AJ51" s="301">
        <f t="shared" si="196"/>
        <v>0</v>
      </c>
      <c r="AK51" s="301">
        <f t="shared" si="196"/>
        <v>0</v>
      </c>
      <c r="AL51" s="301">
        <f t="shared" si="196"/>
        <v>0</v>
      </c>
      <c r="AM51" s="301">
        <f t="shared" si="196"/>
        <v>0</v>
      </c>
      <c r="AN51" s="301">
        <f t="shared" si="196"/>
        <v>0</v>
      </c>
      <c r="AO51" s="301">
        <f t="shared" si="196"/>
        <v>0</v>
      </c>
      <c r="AP51" s="301">
        <f t="shared" si="196"/>
        <v>0</v>
      </c>
      <c r="AQ51" s="301">
        <f t="shared" si="196"/>
        <v>0</v>
      </c>
      <c r="AR51" s="301">
        <f t="shared" si="196"/>
        <v>0</v>
      </c>
      <c r="AS51" s="301">
        <f t="shared" si="196"/>
        <v>0</v>
      </c>
      <c r="AT51" s="301">
        <f t="shared" si="196"/>
        <v>0</v>
      </c>
      <c r="AU51" s="272">
        <f t="shared" si="187"/>
        <v>0</v>
      </c>
      <c r="AV51" s="301">
        <f t="shared" si="196"/>
        <v>0</v>
      </c>
      <c r="AW51" s="301">
        <f t="shared" si="196"/>
        <v>0</v>
      </c>
      <c r="AX51" s="301">
        <f t="shared" si="196"/>
        <v>0</v>
      </c>
      <c r="AY51" s="301">
        <f t="shared" si="196"/>
        <v>0</v>
      </c>
      <c r="AZ51" s="301">
        <f t="shared" si="196"/>
        <v>0</v>
      </c>
      <c r="BA51" s="301">
        <f t="shared" si="196"/>
        <v>0</v>
      </c>
      <c r="BB51" s="301">
        <f t="shared" si="196"/>
        <v>0</v>
      </c>
      <c r="BC51" s="301">
        <f t="shared" si="196"/>
        <v>0</v>
      </c>
      <c r="BD51" s="301">
        <f t="shared" si="196"/>
        <v>0</v>
      </c>
      <c r="BE51" s="301">
        <f t="shared" si="196"/>
        <v>0</v>
      </c>
      <c r="BF51" s="301">
        <f t="shared" si="196"/>
        <v>0</v>
      </c>
      <c r="BG51" s="301">
        <f t="shared" si="196"/>
        <v>0</v>
      </c>
      <c r="BH51" s="272">
        <f t="shared" si="188"/>
        <v>0</v>
      </c>
      <c r="BI51" s="301">
        <f t="shared" si="196"/>
        <v>0</v>
      </c>
      <c r="BJ51" s="301">
        <f t="shared" si="196"/>
        <v>0</v>
      </c>
      <c r="BK51" s="301">
        <f t="shared" si="196"/>
        <v>0</v>
      </c>
      <c r="BL51" s="301">
        <f t="shared" si="196"/>
        <v>0</v>
      </c>
      <c r="BM51" s="301">
        <f t="shared" si="196"/>
        <v>0</v>
      </c>
      <c r="BN51" s="301">
        <f t="shared" si="196"/>
        <v>0</v>
      </c>
      <c r="BO51" s="301">
        <f t="shared" si="196"/>
        <v>0</v>
      </c>
      <c r="BP51" s="301">
        <f t="shared" si="196"/>
        <v>0</v>
      </c>
      <c r="BQ51" s="301">
        <f t="shared" si="196"/>
        <v>0</v>
      </c>
      <c r="BR51" s="301">
        <f t="shared" si="196"/>
        <v>0</v>
      </c>
      <c r="BS51" s="301">
        <f t="shared" si="196"/>
        <v>0</v>
      </c>
      <c r="BT51" s="301">
        <f t="shared" si="196"/>
        <v>0</v>
      </c>
      <c r="BU51" s="272">
        <f t="shared" si="189"/>
        <v>0</v>
      </c>
      <c r="BV51" s="301"/>
      <c r="BW51" s="301"/>
      <c r="BX51" s="301"/>
      <c r="BY51" s="301"/>
      <c r="BZ51" s="301"/>
      <c r="CA51" s="301"/>
      <c r="CB51" s="301"/>
      <c r="CC51" s="301"/>
      <c r="CD51" s="301"/>
      <c r="CE51" s="301"/>
      <c r="CF51" s="301"/>
      <c r="CG51" s="312"/>
      <c r="CH51" s="272">
        <f t="shared" si="190"/>
        <v>0</v>
      </c>
      <c r="CI51" s="301"/>
      <c r="CJ51" s="301"/>
      <c r="CK51" s="301"/>
      <c r="CL51" s="301"/>
      <c r="CM51" s="301"/>
      <c r="CN51" s="301"/>
      <c r="CO51" s="301"/>
      <c r="CP51" s="301"/>
      <c r="CQ51" s="301"/>
      <c r="CR51" s="301"/>
      <c r="CS51" s="301"/>
      <c r="CT51" s="312"/>
      <c r="CU51" s="272">
        <f t="shared" si="191"/>
        <v>0</v>
      </c>
      <c r="CV51" s="301"/>
      <c r="CW51" s="301"/>
      <c r="CX51" s="301"/>
      <c r="CY51" s="301"/>
      <c r="CZ51" s="301"/>
      <c r="DA51" s="301"/>
      <c r="DB51" s="301"/>
      <c r="DC51" s="301"/>
      <c r="DD51" s="301"/>
      <c r="DE51" s="301"/>
      <c r="DF51" s="301"/>
      <c r="DG51" s="312"/>
      <c r="DH51" s="272">
        <f t="shared" si="192"/>
        <v>0</v>
      </c>
      <c r="DI51" s="301"/>
      <c r="DJ51" s="301"/>
      <c r="DK51" s="301"/>
      <c r="DL51" s="301"/>
      <c r="DM51" s="301"/>
      <c r="DN51" s="301"/>
      <c r="DO51" s="301"/>
      <c r="DP51" s="301"/>
      <c r="DQ51" s="301"/>
      <c r="DR51" s="301"/>
      <c r="DS51" s="301"/>
      <c r="DT51" s="312"/>
      <c r="DU51" s="272">
        <f t="shared" si="193"/>
        <v>0</v>
      </c>
      <c r="DV51" s="301"/>
      <c r="DW51" s="301"/>
      <c r="DX51" s="301"/>
      <c r="DY51" s="301"/>
      <c r="DZ51" s="301"/>
      <c r="EA51" s="301"/>
      <c r="EB51" s="301"/>
      <c r="EC51" s="301"/>
      <c r="ED51" s="301"/>
      <c r="EE51" s="301"/>
      <c r="EF51" s="301"/>
      <c r="EG51" s="312"/>
      <c r="EH51" s="272">
        <f t="shared" si="194"/>
        <v>0</v>
      </c>
      <c r="EI51" s="21"/>
      <c r="EJ51" s="21"/>
      <c r="EK51" s="21"/>
      <c r="EL51" s="21"/>
      <c r="EM51" s="21"/>
    </row>
    <row r="52" spans="1:143" ht="14.25" customHeight="1">
      <c r="A52" s="21"/>
      <c r="B52" s="21"/>
      <c r="C52" s="21"/>
      <c r="D52" s="622">
        <f t="shared" si="63"/>
        <v>43</v>
      </c>
      <c r="E52" s="1625"/>
      <c r="F52" s="265" t="str">
        <f>+" Additions to "&amp;Historical!C66</f>
        <v xml:space="preserve"> Additions to Subordinated Shareholders &amp; Related Parties Loan</v>
      </c>
      <c r="G52" s="744">
        <f>+Assumption!H258</f>
        <v>0.25</v>
      </c>
      <c r="H52" s="267"/>
      <c r="I52" s="637">
        <f t="shared" ref="I52:T52" si="197">+I211</f>
        <v>10000</v>
      </c>
      <c r="J52" s="638">
        <f t="shared" si="197"/>
        <v>0</v>
      </c>
      <c r="K52" s="638">
        <f t="shared" si="197"/>
        <v>0</v>
      </c>
      <c r="L52" s="638">
        <f t="shared" si="197"/>
        <v>0</v>
      </c>
      <c r="M52" s="638">
        <f t="shared" si="197"/>
        <v>0</v>
      </c>
      <c r="N52" s="638">
        <f t="shared" si="197"/>
        <v>0</v>
      </c>
      <c r="O52" s="638">
        <f t="shared" si="197"/>
        <v>0</v>
      </c>
      <c r="P52" s="638">
        <f t="shared" si="197"/>
        <v>0</v>
      </c>
      <c r="Q52" s="638">
        <f t="shared" si="197"/>
        <v>0</v>
      </c>
      <c r="R52" s="638">
        <f t="shared" si="197"/>
        <v>0</v>
      </c>
      <c r="S52" s="638">
        <f t="shared" si="197"/>
        <v>0</v>
      </c>
      <c r="T52" s="639">
        <f t="shared" si="197"/>
        <v>2</v>
      </c>
      <c r="U52" s="272">
        <f t="shared" si="185"/>
        <v>10002</v>
      </c>
      <c r="V52" s="640">
        <f t="shared" ref="V52:AG52" si="198">+$G$52*V61</f>
        <v>0</v>
      </c>
      <c r="W52" s="638">
        <f t="shared" si="198"/>
        <v>0</v>
      </c>
      <c r="X52" s="638">
        <f t="shared" si="198"/>
        <v>0</v>
      </c>
      <c r="Y52" s="638">
        <f t="shared" si="198"/>
        <v>0</v>
      </c>
      <c r="Z52" s="638">
        <f t="shared" si="198"/>
        <v>0</v>
      </c>
      <c r="AA52" s="638">
        <f t="shared" si="198"/>
        <v>0</v>
      </c>
      <c r="AB52" s="638">
        <f t="shared" si="198"/>
        <v>0</v>
      </c>
      <c r="AC52" s="638">
        <f t="shared" si="198"/>
        <v>0</v>
      </c>
      <c r="AD52" s="638">
        <f t="shared" si="198"/>
        <v>0</v>
      </c>
      <c r="AE52" s="638">
        <f t="shared" si="198"/>
        <v>0</v>
      </c>
      <c r="AF52" s="638">
        <f t="shared" si="198"/>
        <v>0</v>
      </c>
      <c r="AG52" s="639">
        <f t="shared" si="198"/>
        <v>0</v>
      </c>
      <c r="AH52" s="272">
        <f t="shared" si="186"/>
        <v>0</v>
      </c>
      <c r="AI52" s="640">
        <f t="shared" ref="AI52:AT52" si="199">+$G$52*AI61</f>
        <v>0</v>
      </c>
      <c r="AJ52" s="638">
        <f t="shared" si="199"/>
        <v>0</v>
      </c>
      <c r="AK52" s="638">
        <f t="shared" si="199"/>
        <v>0</v>
      </c>
      <c r="AL52" s="638">
        <f t="shared" si="199"/>
        <v>0</v>
      </c>
      <c r="AM52" s="638">
        <f t="shared" si="199"/>
        <v>0</v>
      </c>
      <c r="AN52" s="638">
        <f t="shared" si="199"/>
        <v>0</v>
      </c>
      <c r="AO52" s="638">
        <f t="shared" si="199"/>
        <v>0</v>
      </c>
      <c r="AP52" s="638">
        <f t="shared" si="199"/>
        <v>0</v>
      </c>
      <c r="AQ52" s="638">
        <f t="shared" si="199"/>
        <v>0</v>
      </c>
      <c r="AR52" s="638">
        <f t="shared" si="199"/>
        <v>0</v>
      </c>
      <c r="AS52" s="638">
        <f t="shared" si="199"/>
        <v>0</v>
      </c>
      <c r="AT52" s="639">
        <f t="shared" si="199"/>
        <v>0</v>
      </c>
      <c r="AU52" s="272">
        <f t="shared" si="187"/>
        <v>0</v>
      </c>
      <c r="AV52" s="640">
        <f t="shared" ref="AV52:BG52" si="200">+$G$52*AV61</f>
        <v>0</v>
      </c>
      <c r="AW52" s="638">
        <f t="shared" si="200"/>
        <v>0</v>
      </c>
      <c r="AX52" s="638">
        <f t="shared" si="200"/>
        <v>0</v>
      </c>
      <c r="AY52" s="638">
        <f t="shared" si="200"/>
        <v>0</v>
      </c>
      <c r="AZ52" s="638">
        <f t="shared" si="200"/>
        <v>0</v>
      </c>
      <c r="BA52" s="638">
        <f t="shared" si="200"/>
        <v>0</v>
      </c>
      <c r="BB52" s="638">
        <f t="shared" si="200"/>
        <v>0</v>
      </c>
      <c r="BC52" s="638">
        <f t="shared" si="200"/>
        <v>0</v>
      </c>
      <c r="BD52" s="638">
        <f t="shared" si="200"/>
        <v>0</v>
      </c>
      <c r="BE52" s="638">
        <f t="shared" si="200"/>
        <v>0</v>
      </c>
      <c r="BF52" s="638">
        <f t="shared" si="200"/>
        <v>0</v>
      </c>
      <c r="BG52" s="639">
        <f t="shared" si="200"/>
        <v>0</v>
      </c>
      <c r="BH52" s="272">
        <f t="shared" si="188"/>
        <v>0</v>
      </c>
      <c r="BI52" s="640">
        <f t="shared" ref="BI52:BT52" si="201">+$G$52*BI61</f>
        <v>0</v>
      </c>
      <c r="BJ52" s="638">
        <f t="shared" si="201"/>
        <v>0</v>
      </c>
      <c r="BK52" s="638">
        <f t="shared" si="201"/>
        <v>0</v>
      </c>
      <c r="BL52" s="638">
        <f t="shared" si="201"/>
        <v>0</v>
      </c>
      <c r="BM52" s="638">
        <f t="shared" si="201"/>
        <v>0</v>
      </c>
      <c r="BN52" s="638">
        <f t="shared" si="201"/>
        <v>0</v>
      </c>
      <c r="BO52" s="638">
        <f t="shared" si="201"/>
        <v>0</v>
      </c>
      <c r="BP52" s="638">
        <f t="shared" si="201"/>
        <v>0</v>
      </c>
      <c r="BQ52" s="638">
        <f t="shared" si="201"/>
        <v>0</v>
      </c>
      <c r="BR52" s="638">
        <f t="shared" si="201"/>
        <v>0</v>
      </c>
      <c r="BS52" s="638">
        <f t="shared" si="201"/>
        <v>0</v>
      </c>
      <c r="BT52" s="639">
        <f t="shared" si="201"/>
        <v>0</v>
      </c>
      <c r="BU52" s="272">
        <f t="shared" si="189"/>
        <v>0</v>
      </c>
      <c r="BV52" s="640">
        <f t="shared" ref="BV52:CG52" si="202">+BT52*$I$61</f>
        <v>0</v>
      </c>
      <c r="BW52" s="638">
        <f t="shared" si="202"/>
        <v>0</v>
      </c>
      <c r="BX52" s="638">
        <f t="shared" si="202"/>
        <v>0</v>
      </c>
      <c r="BY52" s="638">
        <f t="shared" si="202"/>
        <v>0</v>
      </c>
      <c r="BZ52" s="638">
        <f t="shared" si="202"/>
        <v>0</v>
      </c>
      <c r="CA52" s="638">
        <f t="shared" si="202"/>
        <v>0</v>
      </c>
      <c r="CB52" s="638">
        <f t="shared" si="202"/>
        <v>0</v>
      </c>
      <c r="CC52" s="638">
        <f t="shared" si="202"/>
        <v>0</v>
      </c>
      <c r="CD52" s="638">
        <f t="shared" si="202"/>
        <v>0</v>
      </c>
      <c r="CE52" s="638">
        <f t="shared" si="202"/>
        <v>0</v>
      </c>
      <c r="CF52" s="638">
        <f t="shared" si="202"/>
        <v>0</v>
      </c>
      <c r="CG52" s="639">
        <f t="shared" si="202"/>
        <v>0</v>
      </c>
      <c r="CH52" s="272">
        <f t="shared" si="190"/>
        <v>0</v>
      </c>
      <c r="CI52" s="640">
        <f t="shared" ref="CI52:CT52" si="203">+$G$52*CI61</f>
        <v>0</v>
      </c>
      <c r="CJ52" s="638">
        <f t="shared" si="203"/>
        <v>0</v>
      </c>
      <c r="CK52" s="638">
        <f t="shared" si="203"/>
        <v>0</v>
      </c>
      <c r="CL52" s="638">
        <f t="shared" si="203"/>
        <v>0</v>
      </c>
      <c r="CM52" s="638">
        <f t="shared" si="203"/>
        <v>0</v>
      </c>
      <c r="CN52" s="638">
        <f t="shared" si="203"/>
        <v>0</v>
      </c>
      <c r="CO52" s="638">
        <f t="shared" si="203"/>
        <v>0</v>
      </c>
      <c r="CP52" s="638">
        <f t="shared" si="203"/>
        <v>0</v>
      </c>
      <c r="CQ52" s="638">
        <f t="shared" si="203"/>
        <v>0</v>
      </c>
      <c r="CR52" s="638">
        <f t="shared" si="203"/>
        <v>0</v>
      </c>
      <c r="CS52" s="638">
        <f t="shared" si="203"/>
        <v>0</v>
      </c>
      <c r="CT52" s="639">
        <f t="shared" si="203"/>
        <v>0</v>
      </c>
      <c r="CU52" s="272">
        <f t="shared" si="191"/>
        <v>0</v>
      </c>
      <c r="CV52" s="640">
        <f t="shared" ref="CV52:DG52" si="204">+$G$52*CV61</f>
        <v>0</v>
      </c>
      <c r="CW52" s="638">
        <f t="shared" si="204"/>
        <v>0</v>
      </c>
      <c r="CX52" s="638">
        <f t="shared" si="204"/>
        <v>0</v>
      </c>
      <c r="CY52" s="638">
        <f t="shared" si="204"/>
        <v>0</v>
      </c>
      <c r="CZ52" s="638">
        <f t="shared" si="204"/>
        <v>0</v>
      </c>
      <c r="DA52" s="638">
        <f t="shared" si="204"/>
        <v>0</v>
      </c>
      <c r="DB52" s="638">
        <f t="shared" si="204"/>
        <v>0</v>
      </c>
      <c r="DC52" s="638">
        <f t="shared" si="204"/>
        <v>0</v>
      </c>
      <c r="DD52" s="638">
        <f t="shared" si="204"/>
        <v>0</v>
      </c>
      <c r="DE52" s="638">
        <f t="shared" si="204"/>
        <v>0</v>
      </c>
      <c r="DF52" s="638">
        <f t="shared" si="204"/>
        <v>0</v>
      </c>
      <c r="DG52" s="639">
        <f t="shared" si="204"/>
        <v>0</v>
      </c>
      <c r="DH52" s="272">
        <f t="shared" si="192"/>
        <v>0</v>
      </c>
      <c r="DI52" s="640">
        <f t="shared" ref="DI52:DT52" si="205">+$G$52*DI61</f>
        <v>0</v>
      </c>
      <c r="DJ52" s="638">
        <f t="shared" si="205"/>
        <v>0</v>
      </c>
      <c r="DK52" s="638">
        <f t="shared" si="205"/>
        <v>0</v>
      </c>
      <c r="DL52" s="638">
        <f t="shared" si="205"/>
        <v>0</v>
      </c>
      <c r="DM52" s="638">
        <f t="shared" si="205"/>
        <v>0</v>
      </c>
      <c r="DN52" s="638">
        <f t="shared" si="205"/>
        <v>0</v>
      </c>
      <c r="DO52" s="638">
        <f t="shared" si="205"/>
        <v>0</v>
      </c>
      <c r="DP52" s="638">
        <f t="shared" si="205"/>
        <v>0</v>
      </c>
      <c r="DQ52" s="638">
        <f t="shared" si="205"/>
        <v>0</v>
      </c>
      <c r="DR52" s="638">
        <f t="shared" si="205"/>
        <v>0</v>
      </c>
      <c r="DS52" s="638">
        <f t="shared" si="205"/>
        <v>0</v>
      </c>
      <c r="DT52" s="639">
        <f t="shared" si="205"/>
        <v>0</v>
      </c>
      <c r="DU52" s="272">
        <f t="shared" si="193"/>
        <v>0</v>
      </c>
      <c r="DV52" s="640">
        <f t="shared" ref="DV52:EG52" si="206">+$G$52*DV61</f>
        <v>0</v>
      </c>
      <c r="DW52" s="638">
        <f t="shared" si="206"/>
        <v>0</v>
      </c>
      <c r="DX52" s="638">
        <f t="shared" si="206"/>
        <v>0</v>
      </c>
      <c r="DY52" s="638">
        <f t="shared" si="206"/>
        <v>0</v>
      </c>
      <c r="DZ52" s="638">
        <f t="shared" si="206"/>
        <v>0</v>
      </c>
      <c r="EA52" s="638">
        <f t="shared" si="206"/>
        <v>0</v>
      </c>
      <c r="EB52" s="638">
        <f t="shared" si="206"/>
        <v>0</v>
      </c>
      <c r="EC52" s="638">
        <f t="shared" si="206"/>
        <v>0</v>
      </c>
      <c r="ED52" s="638">
        <f t="shared" si="206"/>
        <v>0</v>
      </c>
      <c r="EE52" s="638">
        <f t="shared" si="206"/>
        <v>0</v>
      </c>
      <c r="EF52" s="638">
        <f t="shared" si="206"/>
        <v>0</v>
      </c>
      <c r="EG52" s="639">
        <f t="shared" si="206"/>
        <v>0</v>
      </c>
      <c r="EH52" s="272">
        <f t="shared" si="194"/>
        <v>0</v>
      </c>
      <c r="EI52" s="21"/>
      <c r="EJ52" s="21"/>
      <c r="EK52" s="21"/>
      <c r="EL52" s="21"/>
      <c r="EM52" s="21"/>
    </row>
    <row r="53" spans="1:143" ht="14.25" customHeight="1">
      <c r="A53" s="21"/>
      <c r="B53" s="21"/>
      <c r="C53" s="21"/>
      <c r="D53" s="622">
        <f t="shared" si="63"/>
        <v>44</v>
      </c>
      <c r="E53" s="1625"/>
      <c r="F53" s="265" t="str">
        <f>+" Additions to "&amp;Historical!C65</f>
        <v xml:space="preserve"> Additions to Additional Paid-In Capital</v>
      </c>
      <c r="G53" s="314">
        <f>+Assumption!H260*Assumption!H253</f>
        <v>0.16000000000000003</v>
      </c>
      <c r="H53" s="267"/>
      <c r="I53" s="315">
        <f t="shared" ref="I53:T53" si="207">+I212</f>
        <v>16000</v>
      </c>
      <c r="J53" s="316">
        <f t="shared" si="207"/>
        <v>0</v>
      </c>
      <c r="K53" s="316">
        <f t="shared" si="207"/>
        <v>0</v>
      </c>
      <c r="L53" s="316">
        <f t="shared" si="207"/>
        <v>0</v>
      </c>
      <c r="M53" s="316">
        <f t="shared" si="207"/>
        <v>0</v>
      </c>
      <c r="N53" s="316">
        <f t="shared" si="207"/>
        <v>0</v>
      </c>
      <c r="O53" s="316">
        <f t="shared" si="207"/>
        <v>0</v>
      </c>
      <c r="P53" s="316">
        <f t="shared" si="207"/>
        <v>0</v>
      </c>
      <c r="Q53" s="316">
        <f t="shared" si="207"/>
        <v>0</v>
      </c>
      <c r="R53" s="316">
        <f t="shared" si="207"/>
        <v>0</v>
      </c>
      <c r="S53" s="316">
        <f t="shared" si="207"/>
        <v>0</v>
      </c>
      <c r="T53" s="317">
        <f t="shared" si="207"/>
        <v>3.2</v>
      </c>
      <c r="U53" s="272">
        <f t="shared" si="185"/>
        <v>16003.2</v>
      </c>
      <c r="V53" s="315">
        <f t="shared" ref="V53:AG53" si="208">+$G$53*V61</f>
        <v>0</v>
      </c>
      <c r="W53" s="316">
        <f t="shared" si="208"/>
        <v>0</v>
      </c>
      <c r="X53" s="316">
        <f t="shared" si="208"/>
        <v>0</v>
      </c>
      <c r="Y53" s="316">
        <f t="shared" si="208"/>
        <v>0</v>
      </c>
      <c r="Z53" s="316">
        <f t="shared" si="208"/>
        <v>0</v>
      </c>
      <c r="AA53" s="316">
        <f t="shared" si="208"/>
        <v>0</v>
      </c>
      <c r="AB53" s="316">
        <f t="shared" si="208"/>
        <v>0</v>
      </c>
      <c r="AC53" s="316">
        <f t="shared" si="208"/>
        <v>0</v>
      </c>
      <c r="AD53" s="316">
        <f t="shared" si="208"/>
        <v>0</v>
      </c>
      <c r="AE53" s="316">
        <f t="shared" si="208"/>
        <v>0</v>
      </c>
      <c r="AF53" s="316">
        <f t="shared" si="208"/>
        <v>0</v>
      </c>
      <c r="AG53" s="317">
        <f t="shared" si="208"/>
        <v>0</v>
      </c>
      <c r="AH53" s="272">
        <f t="shared" si="186"/>
        <v>0</v>
      </c>
      <c r="AI53" s="315">
        <f t="shared" ref="AI53:AT53" si="209">+$G$53*AI61</f>
        <v>0</v>
      </c>
      <c r="AJ53" s="316">
        <f t="shared" si="209"/>
        <v>0</v>
      </c>
      <c r="AK53" s="316">
        <f t="shared" si="209"/>
        <v>0</v>
      </c>
      <c r="AL53" s="316">
        <f t="shared" si="209"/>
        <v>0</v>
      </c>
      <c r="AM53" s="316">
        <f t="shared" si="209"/>
        <v>0</v>
      </c>
      <c r="AN53" s="316">
        <f t="shared" si="209"/>
        <v>0</v>
      </c>
      <c r="AO53" s="316">
        <f t="shared" si="209"/>
        <v>0</v>
      </c>
      <c r="AP53" s="316">
        <f t="shared" si="209"/>
        <v>0</v>
      </c>
      <c r="AQ53" s="316">
        <f t="shared" si="209"/>
        <v>0</v>
      </c>
      <c r="AR53" s="316">
        <f t="shared" si="209"/>
        <v>0</v>
      </c>
      <c r="AS53" s="316">
        <f t="shared" si="209"/>
        <v>0</v>
      </c>
      <c r="AT53" s="317">
        <f t="shared" si="209"/>
        <v>0</v>
      </c>
      <c r="AU53" s="272">
        <f t="shared" si="187"/>
        <v>0</v>
      </c>
      <c r="AV53" s="315">
        <f t="shared" ref="AV53:BG53" si="210">+$G$53*AV61</f>
        <v>0</v>
      </c>
      <c r="AW53" s="316">
        <f t="shared" si="210"/>
        <v>0</v>
      </c>
      <c r="AX53" s="316">
        <f t="shared" si="210"/>
        <v>0</v>
      </c>
      <c r="AY53" s="316">
        <f t="shared" si="210"/>
        <v>0</v>
      </c>
      <c r="AZ53" s="316">
        <f t="shared" si="210"/>
        <v>0</v>
      </c>
      <c r="BA53" s="316">
        <f t="shared" si="210"/>
        <v>0</v>
      </c>
      <c r="BB53" s="316">
        <f t="shared" si="210"/>
        <v>0</v>
      </c>
      <c r="BC53" s="316">
        <f t="shared" si="210"/>
        <v>0</v>
      </c>
      <c r="BD53" s="316">
        <f t="shared" si="210"/>
        <v>0</v>
      </c>
      <c r="BE53" s="316">
        <f t="shared" si="210"/>
        <v>0</v>
      </c>
      <c r="BF53" s="316">
        <f t="shared" si="210"/>
        <v>0</v>
      </c>
      <c r="BG53" s="317">
        <f t="shared" si="210"/>
        <v>0</v>
      </c>
      <c r="BH53" s="272">
        <f t="shared" si="188"/>
        <v>0</v>
      </c>
      <c r="BI53" s="315">
        <f t="shared" ref="BI53:BT53" si="211">+$G$53*BI61</f>
        <v>0</v>
      </c>
      <c r="BJ53" s="316">
        <f t="shared" si="211"/>
        <v>0</v>
      </c>
      <c r="BK53" s="316">
        <f t="shared" si="211"/>
        <v>0</v>
      </c>
      <c r="BL53" s="316">
        <f t="shared" si="211"/>
        <v>0</v>
      </c>
      <c r="BM53" s="316">
        <f t="shared" si="211"/>
        <v>0</v>
      </c>
      <c r="BN53" s="316">
        <f t="shared" si="211"/>
        <v>0</v>
      </c>
      <c r="BO53" s="316">
        <f t="shared" si="211"/>
        <v>0</v>
      </c>
      <c r="BP53" s="316">
        <f t="shared" si="211"/>
        <v>0</v>
      </c>
      <c r="BQ53" s="316">
        <f t="shared" si="211"/>
        <v>0</v>
      </c>
      <c r="BR53" s="316">
        <f t="shared" si="211"/>
        <v>0</v>
      </c>
      <c r="BS53" s="316">
        <f t="shared" si="211"/>
        <v>0</v>
      </c>
      <c r="BT53" s="317">
        <f t="shared" si="211"/>
        <v>0</v>
      </c>
      <c r="BU53" s="272">
        <f t="shared" si="189"/>
        <v>0</v>
      </c>
      <c r="BV53" s="315">
        <f t="shared" ref="BV53:CG53" si="212">+$G$53*BV61</f>
        <v>0</v>
      </c>
      <c r="BW53" s="316">
        <f t="shared" si="212"/>
        <v>0</v>
      </c>
      <c r="BX53" s="316">
        <f t="shared" si="212"/>
        <v>0</v>
      </c>
      <c r="BY53" s="316">
        <f t="shared" si="212"/>
        <v>0</v>
      </c>
      <c r="BZ53" s="316">
        <f t="shared" si="212"/>
        <v>0</v>
      </c>
      <c r="CA53" s="316">
        <f t="shared" si="212"/>
        <v>0</v>
      </c>
      <c r="CB53" s="316">
        <f t="shared" si="212"/>
        <v>0</v>
      </c>
      <c r="CC53" s="316">
        <f t="shared" si="212"/>
        <v>0</v>
      </c>
      <c r="CD53" s="316">
        <f t="shared" si="212"/>
        <v>0</v>
      </c>
      <c r="CE53" s="316">
        <f t="shared" si="212"/>
        <v>0</v>
      </c>
      <c r="CF53" s="316">
        <f t="shared" si="212"/>
        <v>0</v>
      </c>
      <c r="CG53" s="317">
        <f t="shared" si="212"/>
        <v>0</v>
      </c>
      <c r="CH53" s="272">
        <f t="shared" si="190"/>
        <v>0</v>
      </c>
      <c r="CI53" s="315">
        <f t="shared" ref="CI53:CT53" si="213">+$G$53*CI61</f>
        <v>0</v>
      </c>
      <c r="CJ53" s="316">
        <f t="shared" si="213"/>
        <v>0</v>
      </c>
      <c r="CK53" s="316">
        <f t="shared" si="213"/>
        <v>0</v>
      </c>
      <c r="CL53" s="316">
        <f t="shared" si="213"/>
        <v>0</v>
      </c>
      <c r="CM53" s="316">
        <f t="shared" si="213"/>
        <v>0</v>
      </c>
      <c r="CN53" s="316">
        <f t="shared" si="213"/>
        <v>0</v>
      </c>
      <c r="CO53" s="316">
        <f t="shared" si="213"/>
        <v>0</v>
      </c>
      <c r="CP53" s="316">
        <f t="shared" si="213"/>
        <v>0</v>
      </c>
      <c r="CQ53" s="316">
        <f t="shared" si="213"/>
        <v>0</v>
      </c>
      <c r="CR53" s="316">
        <f t="shared" si="213"/>
        <v>0</v>
      </c>
      <c r="CS53" s="316">
        <f t="shared" si="213"/>
        <v>0</v>
      </c>
      <c r="CT53" s="317">
        <f t="shared" si="213"/>
        <v>0</v>
      </c>
      <c r="CU53" s="272">
        <f t="shared" si="191"/>
        <v>0</v>
      </c>
      <c r="CV53" s="315">
        <f t="shared" ref="CV53:DG53" si="214">+$G$53*CV61</f>
        <v>0</v>
      </c>
      <c r="CW53" s="316">
        <f t="shared" si="214"/>
        <v>0</v>
      </c>
      <c r="CX53" s="316">
        <f t="shared" si="214"/>
        <v>0</v>
      </c>
      <c r="CY53" s="316">
        <f t="shared" si="214"/>
        <v>0</v>
      </c>
      <c r="CZ53" s="316">
        <f t="shared" si="214"/>
        <v>0</v>
      </c>
      <c r="DA53" s="316">
        <f t="shared" si="214"/>
        <v>0</v>
      </c>
      <c r="DB53" s="316">
        <f t="shared" si="214"/>
        <v>0</v>
      </c>
      <c r="DC53" s="316">
        <f t="shared" si="214"/>
        <v>0</v>
      </c>
      <c r="DD53" s="316">
        <f t="shared" si="214"/>
        <v>0</v>
      </c>
      <c r="DE53" s="316">
        <f t="shared" si="214"/>
        <v>0</v>
      </c>
      <c r="DF53" s="316">
        <f t="shared" si="214"/>
        <v>0</v>
      </c>
      <c r="DG53" s="317">
        <f t="shared" si="214"/>
        <v>0</v>
      </c>
      <c r="DH53" s="272">
        <f t="shared" si="192"/>
        <v>0</v>
      </c>
      <c r="DI53" s="315">
        <f t="shared" ref="DI53:DT53" si="215">+$G$53*DI61</f>
        <v>0</v>
      </c>
      <c r="DJ53" s="316">
        <f t="shared" si="215"/>
        <v>0</v>
      </c>
      <c r="DK53" s="316">
        <f t="shared" si="215"/>
        <v>0</v>
      </c>
      <c r="DL53" s="316">
        <f t="shared" si="215"/>
        <v>0</v>
      </c>
      <c r="DM53" s="316">
        <f t="shared" si="215"/>
        <v>0</v>
      </c>
      <c r="DN53" s="316">
        <f t="shared" si="215"/>
        <v>0</v>
      </c>
      <c r="DO53" s="316">
        <f t="shared" si="215"/>
        <v>0</v>
      </c>
      <c r="DP53" s="316">
        <f t="shared" si="215"/>
        <v>0</v>
      </c>
      <c r="DQ53" s="316">
        <f t="shared" si="215"/>
        <v>0</v>
      </c>
      <c r="DR53" s="316">
        <f t="shared" si="215"/>
        <v>0</v>
      </c>
      <c r="DS53" s="316">
        <f t="shared" si="215"/>
        <v>0</v>
      </c>
      <c r="DT53" s="317">
        <f t="shared" si="215"/>
        <v>0</v>
      </c>
      <c r="DU53" s="272">
        <f t="shared" si="193"/>
        <v>0</v>
      </c>
      <c r="DV53" s="315">
        <f t="shared" ref="DV53:EG53" si="216">+$G$53*DV61</f>
        <v>0</v>
      </c>
      <c r="DW53" s="316">
        <f t="shared" si="216"/>
        <v>0</v>
      </c>
      <c r="DX53" s="316">
        <f t="shared" si="216"/>
        <v>0</v>
      </c>
      <c r="DY53" s="316">
        <f t="shared" si="216"/>
        <v>0</v>
      </c>
      <c r="DZ53" s="316">
        <f t="shared" si="216"/>
        <v>0</v>
      </c>
      <c r="EA53" s="316">
        <f t="shared" si="216"/>
        <v>0</v>
      </c>
      <c r="EB53" s="316">
        <f t="shared" si="216"/>
        <v>0</v>
      </c>
      <c r="EC53" s="316">
        <f t="shared" si="216"/>
        <v>0</v>
      </c>
      <c r="ED53" s="316">
        <f t="shared" si="216"/>
        <v>0</v>
      </c>
      <c r="EE53" s="316">
        <f t="shared" si="216"/>
        <v>0</v>
      </c>
      <c r="EF53" s="316">
        <f t="shared" si="216"/>
        <v>0</v>
      </c>
      <c r="EG53" s="317">
        <f t="shared" si="216"/>
        <v>0</v>
      </c>
      <c r="EH53" s="272">
        <f t="shared" si="194"/>
        <v>0</v>
      </c>
      <c r="EI53" s="21"/>
      <c r="EJ53" s="21"/>
      <c r="EK53" s="21"/>
      <c r="EL53" s="21"/>
      <c r="EM53" s="21"/>
    </row>
    <row r="54" spans="1:143" ht="13.5" customHeight="1">
      <c r="A54" s="21"/>
      <c r="B54" s="21"/>
      <c r="C54" s="21"/>
      <c r="D54" s="622">
        <f t="shared" si="63"/>
        <v>45</v>
      </c>
      <c r="E54" s="1625"/>
      <c r="F54" s="265" t="s">
        <v>592</v>
      </c>
      <c r="G54" s="313">
        <f>+Assumption!H252</f>
        <v>0.6</v>
      </c>
      <c r="H54" s="267"/>
      <c r="I54" s="641">
        <f>SUM(I136:I139)</f>
        <v>60000</v>
      </c>
      <c r="J54" s="641">
        <f t="shared" ref="J54:BT54" si="217">SUM(J136:J139)</f>
        <v>0</v>
      </c>
      <c r="K54" s="641">
        <f t="shared" si="217"/>
        <v>0</v>
      </c>
      <c r="L54" s="641">
        <f t="shared" si="217"/>
        <v>0</v>
      </c>
      <c r="M54" s="641">
        <f t="shared" si="217"/>
        <v>0</v>
      </c>
      <c r="N54" s="641">
        <f t="shared" si="217"/>
        <v>0</v>
      </c>
      <c r="O54" s="641">
        <f t="shared" si="217"/>
        <v>0</v>
      </c>
      <c r="P54" s="641">
        <f t="shared" si="217"/>
        <v>0</v>
      </c>
      <c r="Q54" s="641">
        <f t="shared" si="217"/>
        <v>0</v>
      </c>
      <c r="R54" s="641">
        <f t="shared" si="217"/>
        <v>0</v>
      </c>
      <c r="S54" s="641">
        <f t="shared" si="217"/>
        <v>0</v>
      </c>
      <c r="T54" s="641">
        <f t="shared" si="217"/>
        <v>78</v>
      </c>
      <c r="U54" s="272">
        <f t="shared" si="185"/>
        <v>60078</v>
      </c>
      <c r="V54" s="641">
        <f t="shared" si="217"/>
        <v>0</v>
      </c>
      <c r="W54" s="641">
        <f t="shared" si="217"/>
        <v>0</v>
      </c>
      <c r="X54" s="641">
        <f t="shared" si="217"/>
        <v>0</v>
      </c>
      <c r="Y54" s="641">
        <f t="shared" si="217"/>
        <v>0</v>
      </c>
      <c r="Z54" s="641">
        <f t="shared" si="217"/>
        <v>0</v>
      </c>
      <c r="AA54" s="641">
        <f t="shared" si="217"/>
        <v>0</v>
      </c>
      <c r="AB54" s="641">
        <f t="shared" si="217"/>
        <v>0</v>
      </c>
      <c r="AC54" s="641">
        <f t="shared" si="217"/>
        <v>0</v>
      </c>
      <c r="AD54" s="641">
        <f t="shared" si="217"/>
        <v>0</v>
      </c>
      <c r="AE54" s="641">
        <f t="shared" si="217"/>
        <v>0</v>
      </c>
      <c r="AF54" s="641">
        <f t="shared" si="217"/>
        <v>0</v>
      </c>
      <c r="AG54" s="641">
        <f t="shared" si="217"/>
        <v>0</v>
      </c>
      <c r="AH54" s="272">
        <f t="shared" si="186"/>
        <v>0</v>
      </c>
      <c r="AI54" s="641">
        <f t="shared" si="217"/>
        <v>0</v>
      </c>
      <c r="AJ54" s="641">
        <f t="shared" si="217"/>
        <v>0</v>
      </c>
      <c r="AK54" s="641">
        <f t="shared" si="217"/>
        <v>0</v>
      </c>
      <c r="AL54" s="641">
        <f t="shared" si="217"/>
        <v>0</v>
      </c>
      <c r="AM54" s="641">
        <f t="shared" si="217"/>
        <v>0</v>
      </c>
      <c r="AN54" s="641">
        <f t="shared" si="217"/>
        <v>0</v>
      </c>
      <c r="AO54" s="641">
        <f t="shared" si="217"/>
        <v>0</v>
      </c>
      <c r="AP54" s="641">
        <f t="shared" si="217"/>
        <v>0</v>
      </c>
      <c r="AQ54" s="641">
        <f t="shared" si="217"/>
        <v>0</v>
      </c>
      <c r="AR54" s="641">
        <f t="shared" si="217"/>
        <v>0</v>
      </c>
      <c r="AS54" s="641">
        <f t="shared" si="217"/>
        <v>0</v>
      </c>
      <c r="AT54" s="641">
        <f t="shared" si="217"/>
        <v>0</v>
      </c>
      <c r="AU54" s="272">
        <f t="shared" si="187"/>
        <v>0</v>
      </c>
      <c r="AV54" s="641">
        <f t="shared" si="217"/>
        <v>0</v>
      </c>
      <c r="AW54" s="641">
        <f t="shared" si="217"/>
        <v>0</v>
      </c>
      <c r="AX54" s="641">
        <f t="shared" si="217"/>
        <v>0</v>
      </c>
      <c r="AY54" s="641">
        <f t="shared" si="217"/>
        <v>0</v>
      </c>
      <c r="AZ54" s="641">
        <f t="shared" si="217"/>
        <v>0</v>
      </c>
      <c r="BA54" s="641">
        <f t="shared" si="217"/>
        <v>0</v>
      </c>
      <c r="BB54" s="641">
        <f t="shared" si="217"/>
        <v>0</v>
      </c>
      <c r="BC54" s="641">
        <f t="shared" si="217"/>
        <v>0</v>
      </c>
      <c r="BD54" s="641">
        <f t="shared" si="217"/>
        <v>0</v>
      </c>
      <c r="BE54" s="641">
        <f t="shared" si="217"/>
        <v>0</v>
      </c>
      <c r="BF54" s="641">
        <f t="shared" si="217"/>
        <v>0</v>
      </c>
      <c r="BG54" s="641">
        <f t="shared" si="217"/>
        <v>0</v>
      </c>
      <c r="BH54" s="272">
        <f t="shared" si="188"/>
        <v>0</v>
      </c>
      <c r="BI54" s="641">
        <f t="shared" si="217"/>
        <v>0</v>
      </c>
      <c r="BJ54" s="641">
        <f t="shared" si="217"/>
        <v>0</v>
      </c>
      <c r="BK54" s="641">
        <f t="shared" si="217"/>
        <v>0</v>
      </c>
      <c r="BL54" s="641">
        <f t="shared" si="217"/>
        <v>0</v>
      </c>
      <c r="BM54" s="641">
        <f t="shared" si="217"/>
        <v>0</v>
      </c>
      <c r="BN54" s="641">
        <f t="shared" si="217"/>
        <v>0</v>
      </c>
      <c r="BO54" s="641">
        <f t="shared" si="217"/>
        <v>0</v>
      </c>
      <c r="BP54" s="641">
        <f t="shared" si="217"/>
        <v>0</v>
      </c>
      <c r="BQ54" s="641">
        <f t="shared" si="217"/>
        <v>0</v>
      </c>
      <c r="BR54" s="641">
        <f t="shared" si="217"/>
        <v>0</v>
      </c>
      <c r="BS54" s="641">
        <f t="shared" si="217"/>
        <v>0</v>
      </c>
      <c r="BT54" s="641">
        <f t="shared" si="217"/>
        <v>0</v>
      </c>
      <c r="BU54" s="272">
        <f t="shared" si="189"/>
        <v>0</v>
      </c>
      <c r="BV54" s="641">
        <f t="shared" ref="BV54:CG54" si="218">+BV135</f>
        <v>0</v>
      </c>
      <c r="BW54" s="641">
        <f t="shared" si="218"/>
        <v>0</v>
      </c>
      <c r="BX54" s="641">
        <f t="shared" si="218"/>
        <v>0</v>
      </c>
      <c r="BY54" s="641">
        <f t="shared" si="218"/>
        <v>0</v>
      </c>
      <c r="BZ54" s="641">
        <f t="shared" si="218"/>
        <v>0</v>
      </c>
      <c r="CA54" s="641">
        <f t="shared" si="218"/>
        <v>0</v>
      </c>
      <c r="CB54" s="641">
        <f t="shared" si="218"/>
        <v>0</v>
      </c>
      <c r="CC54" s="641">
        <f t="shared" si="218"/>
        <v>0</v>
      </c>
      <c r="CD54" s="641">
        <f t="shared" si="218"/>
        <v>0</v>
      </c>
      <c r="CE54" s="641">
        <f t="shared" si="218"/>
        <v>0</v>
      </c>
      <c r="CF54" s="641">
        <f t="shared" si="218"/>
        <v>0</v>
      </c>
      <c r="CG54" s="642">
        <f t="shared" si="218"/>
        <v>0</v>
      </c>
      <c r="CH54" s="272">
        <f t="shared" si="190"/>
        <v>0</v>
      </c>
      <c r="CI54" s="641">
        <f t="shared" ref="CI54:CT54" si="219">+CI135</f>
        <v>0</v>
      </c>
      <c r="CJ54" s="641">
        <f t="shared" si="219"/>
        <v>0</v>
      </c>
      <c r="CK54" s="641">
        <f t="shared" si="219"/>
        <v>0</v>
      </c>
      <c r="CL54" s="641">
        <f t="shared" si="219"/>
        <v>0</v>
      </c>
      <c r="CM54" s="641">
        <f t="shared" si="219"/>
        <v>0</v>
      </c>
      <c r="CN54" s="641">
        <f t="shared" si="219"/>
        <v>0</v>
      </c>
      <c r="CO54" s="641">
        <f t="shared" si="219"/>
        <v>0</v>
      </c>
      <c r="CP54" s="641">
        <f t="shared" si="219"/>
        <v>0</v>
      </c>
      <c r="CQ54" s="641">
        <f t="shared" si="219"/>
        <v>0</v>
      </c>
      <c r="CR54" s="641">
        <f t="shared" si="219"/>
        <v>0</v>
      </c>
      <c r="CS54" s="641">
        <f t="shared" si="219"/>
        <v>0</v>
      </c>
      <c r="CT54" s="642">
        <f t="shared" si="219"/>
        <v>0</v>
      </c>
      <c r="CU54" s="272">
        <f t="shared" si="191"/>
        <v>0</v>
      </c>
      <c r="CV54" s="641">
        <f t="shared" ref="CV54:DG54" si="220">+CV135</f>
        <v>0</v>
      </c>
      <c r="CW54" s="641">
        <f t="shared" si="220"/>
        <v>0</v>
      </c>
      <c r="CX54" s="641">
        <f t="shared" si="220"/>
        <v>0</v>
      </c>
      <c r="CY54" s="641">
        <f t="shared" si="220"/>
        <v>0</v>
      </c>
      <c r="CZ54" s="641">
        <f t="shared" si="220"/>
        <v>0</v>
      </c>
      <c r="DA54" s="641">
        <f t="shared" si="220"/>
        <v>0</v>
      </c>
      <c r="DB54" s="641">
        <f t="shared" si="220"/>
        <v>0</v>
      </c>
      <c r="DC54" s="641">
        <f t="shared" si="220"/>
        <v>0</v>
      </c>
      <c r="DD54" s="641">
        <f t="shared" si="220"/>
        <v>0</v>
      </c>
      <c r="DE54" s="641">
        <f t="shared" si="220"/>
        <v>0</v>
      </c>
      <c r="DF54" s="641">
        <f t="shared" si="220"/>
        <v>0</v>
      </c>
      <c r="DG54" s="642">
        <f t="shared" si="220"/>
        <v>0</v>
      </c>
      <c r="DH54" s="272">
        <f t="shared" si="192"/>
        <v>0</v>
      </c>
      <c r="DI54" s="641">
        <f t="shared" ref="DI54:DT54" si="221">+DI135</f>
        <v>0</v>
      </c>
      <c r="DJ54" s="641">
        <f t="shared" si="221"/>
        <v>0</v>
      </c>
      <c r="DK54" s="641">
        <f t="shared" si="221"/>
        <v>0</v>
      </c>
      <c r="DL54" s="641">
        <f t="shared" si="221"/>
        <v>0</v>
      </c>
      <c r="DM54" s="641">
        <f t="shared" si="221"/>
        <v>0</v>
      </c>
      <c r="DN54" s="641">
        <f t="shared" si="221"/>
        <v>0</v>
      </c>
      <c r="DO54" s="641">
        <f t="shared" si="221"/>
        <v>0</v>
      </c>
      <c r="DP54" s="641">
        <f t="shared" si="221"/>
        <v>0</v>
      </c>
      <c r="DQ54" s="641">
        <f t="shared" si="221"/>
        <v>0</v>
      </c>
      <c r="DR54" s="641">
        <f t="shared" si="221"/>
        <v>0</v>
      </c>
      <c r="DS54" s="641">
        <f t="shared" si="221"/>
        <v>0</v>
      </c>
      <c r="DT54" s="642">
        <f t="shared" si="221"/>
        <v>0</v>
      </c>
      <c r="DU54" s="272">
        <f t="shared" si="193"/>
        <v>0</v>
      </c>
      <c r="DV54" s="641">
        <f t="shared" ref="DV54:EG54" si="222">+DV135</f>
        <v>0</v>
      </c>
      <c r="DW54" s="641">
        <f t="shared" si="222"/>
        <v>0</v>
      </c>
      <c r="DX54" s="641">
        <f t="shared" si="222"/>
        <v>0</v>
      </c>
      <c r="DY54" s="641">
        <f t="shared" si="222"/>
        <v>0</v>
      </c>
      <c r="DZ54" s="641">
        <f t="shared" si="222"/>
        <v>0</v>
      </c>
      <c r="EA54" s="641">
        <f t="shared" si="222"/>
        <v>0</v>
      </c>
      <c r="EB54" s="641">
        <f t="shared" si="222"/>
        <v>0</v>
      </c>
      <c r="EC54" s="641">
        <f t="shared" si="222"/>
        <v>0</v>
      </c>
      <c r="ED54" s="641">
        <f t="shared" si="222"/>
        <v>0</v>
      </c>
      <c r="EE54" s="641">
        <f t="shared" si="222"/>
        <v>0</v>
      </c>
      <c r="EF54" s="641">
        <f t="shared" si="222"/>
        <v>0</v>
      </c>
      <c r="EG54" s="642">
        <f t="shared" si="222"/>
        <v>0</v>
      </c>
      <c r="EH54" s="272">
        <f t="shared" si="194"/>
        <v>0</v>
      </c>
      <c r="EI54" s="21"/>
      <c r="EJ54" s="21"/>
      <c r="EK54" s="21"/>
      <c r="EL54" s="21"/>
      <c r="EM54" s="21"/>
    </row>
    <row r="55" spans="1:143" ht="13.5" customHeight="1">
      <c r="A55" s="21"/>
      <c r="B55" s="21"/>
      <c r="C55" s="21"/>
      <c r="D55" s="622">
        <f t="shared" si="63"/>
        <v>46</v>
      </c>
      <c r="E55" s="1625"/>
      <c r="F55" s="265" t="s">
        <v>593</v>
      </c>
      <c r="G55" s="313"/>
      <c r="H55" s="267"/>
      <c r="I55" s="636">
        <f t="shared" ref="I55:T55" si="223">+I170</f>
        <v>0</v>
      </c>
      <c r="J55" s="636">
        <f t="shared" si="223"/>
        <v>0</v>
      </c>
      <c r="K55" s="636">
        <f t="shared" si="223"/>
        <v>0</v>
      </c>
      <c r="L55" s="636">
        <f t="shared" si="223"/>
        <v>0</v>
      </c>
      <c r="M55" s="636">
        <f t="shared" si="223"/>
        <v>0</v>
      </c>
      <c r="N55" s="636">
        <f t="shared" si="223"/>
        <v>0</v>
      </c>
      <c r="O55" s="636">
        <f t="shared" si="223"/>
        <v>0</v>
      </c>
      <c r="P55" s="636">
        <f t="shared" si="223"/>
        <v>0</v>
      </c>
      <c r="Q55" s="636">
        <f t="shared" si="223"/>
        <v>0</v>
      </c>
      <c r="R55" s="636">
        <f t="shared" si="223"/>
        <v>0</v>
      </c>
      <c r="S55" s="636">
        <f t="shared" si="223"/>
        <v>0</v>
      </c>
      <c r="T55" s="97">
        <f t="shared" si="223"/>
        <v>300</v>
      </c>
      <c r="U55" s="272">
        <f t="shared" si="185"/>
        <v>300</v>
      </c>
      <c r="V55" s="636">
        <f t="shared" ref="V55:AG55" si="224">+V170</f>
        <v>0</v>
      </c>
      <c r="W55" s="636">
        <f t="shared" si="224"/>
        <v>0</v>
      </c>
      <c r="X55" s="636">
        <f t="shared" si="224"/>
        <v>0</v>
      </c>
      <c r="Y55" s="636">
        <f t="shared" si="224"/>
        <v>0</v>
      </c>
      <c r="Z55" s="636">
        <f t="shared" si="224"/>
        <v>0</v>
      </c>
      <c r="AA55" s="636">
        <f t="shared" si="224"/>
        <v>0</v>
      </c>
      <c r="AB55" s="636">
        <f t="shared" si="224"/>
        <v>0</v>
      </c>
      <c r="AC55" s="636">
        <f t="shared" si="224"/>
        <v>0</v>
      </c>
      <c r="AD55" s="636">
        <f t="shared" si="224"/>
        <v>0</v>
      </c>
      <c r="AE55" s="636">
        <f t="shared" si="224"/>
        <v>0</v>
      </c>
      <c r="AF55" s="636">
        <f t="shared" si="224"/>
        <v>0</v>
      </c>
      <c r="AG55" s="97">
        <f t="shared" si="224"/>
        <v>0</v>
      </c>
      <c r="AH55" s="272">
        <f t="shared" si="186"/>
        <v>0</v>
      </c>
      <c r="AI55" s="636">
        <f t="shared" ref="AI55:AT55" si="225">+AI170</f>
        <v>0</v>
      </c>
      <c r="AJ55" s="636">
        <f t="shared" si="225"/>
        <v>0</v>
      </c>
      <c r="AK55" s="636">
        <f t="shared" si="225"/>
        <v>0</v>
      </c>
      <c r="AL55" s="636">
        <f t="shared" si="225"/>
        <v>0</v>
      </c>
      <c r="AM55" s="636">
        <f t="shared" si="225"/>
        <v>0</v>
      </c>
      <c r="AN55" s="636">
        <f t="shared" si="225"/>
        <v>0</v>
      </c>
      <c r="AO55" s="636">
        <f t="shared" si="225"/>
        <v>0</v>
      </c>
      <c r="AP55" s="636">
        <f t="shared" si="225"/>
        <v>0</v>
      </c>
      <c r="AQ55" s="636">
        <f t="shared" si="225"/>
        <v>0</v>
      </c>
      <c r="AR55" s="636">
        <f t="shared" si="225"/>
        <v>0</v>
      </c>
      <c r="AS55" s="636">
        <f t="shared" si="225"/>
        <v>0</v>
      </c>
      <c r="AT55" s="97">
        <f t="shared" si="225"/>
        <v>0</v>
      </c>
      <c r="AU55" s="272">
        <f t="shared" si="187"/>
        <v>0</v>
      </c>
      <c r="AV55" s="636">
        <f t="shared" ref="AV55:BG55" si="226">+AV170</f>
        <v>0</v>
      </c>
      <c r="AW55" s="636">
        <f t="shared" si="226"/>
        <v>0</v>
      </c>
      <c r="AX55" s="636">
        <f t="shared" si="226"/>
        <v>0</v>
      </c>
      <c r="AY55" s="636">
        <f t="shared" si="226"/>
        <v>0</v>
      </c>
      <c r="AZ55" s="636">
        <f t="shared" si="226"/>
        <v>0</v>
      </c>
      <c r="BA55" s="636">
        <f t="shared" si="226"/>
        <v>0</v>
      </c>
      <c r="BB55" s="636">
        <f t="shared" si="226"/>
        <v>0</v>
      </c>
      <c r="BC55" s="636">
        <f t="shared" si="226"/>
        <v>0</v>
      </c>
      <c r="BD55" s="636">
        <f t="shared" si="226"/>
        <v>0</v>
      </c>
      <c r="BE55" s="636">
        <f t="shared" si="226"/>
        <v>0</v>
      </c>
      <c r="BF55" s="636">
        <f t="shared" si="226"/>
        <v>0</v>
      </c>
      <c r="BG55" s="97">
        <f t="shared" si="226"/>
        <v>0</v>
      </c>
      <c r="BH55" s="272">
        <f t="shared" si="188"/>
        <v>0</v>
      </c>
      <c r="BI55" s="636">
        <f t="shared" ref="BI55:BT55" si="227">+BI170</f>
        <v>0</v>
      </c>
      <c r="BJ55" s="636">
        <f t="shared" si="227"/>
        <v>0</v>
      </c>
      <c r="BK55" s="636">
        <f t="shared" si="227"/>
        <v>0</v>
      </c>
      <c r="BL55" s="636">
        <f t="shared" si="227"/>
        <v>0</v>
      </c>
      <c r="BM55" s="636">
        <f t="shared" si="227"/>
        <v>0</v>
      </c>
      <c r="BN55" s="636">
        <f t="shared" si="227"/>
        <v>0</v>
      </c>
      <c r="BO55" s="636">
        <f t="shared" si="227"/>
        <v>0</v>
      </c>
      <c r="BP55" s="636">
        <f t="shared" si="227"/>
        <v>0</v>
      </c>
      <c r="BQ55" s="636">
        <f t="shared" si="227"/>
        <v>0</v>
      </c>
      <c r="BR55" s="636">
        <f t="shared" si="227"/>
        <v>0</v>
      </c>
      <c r="BS55" s="636">
        <f t="shared" si="227"/>
        <v>0</v>
      </c>
      <c r="BT55" s="97">
        <f t="shared" si="227"/>
        <v>0</v>
      </c>
      <c r="BU55" s="272">
        <f t="shared" si="189"/>
        <v>0</v>
      </c>
      <c r="BV55" s="636">
        <f t="shared" ref="BV55:CG55" si="228">+BV170</f>
        <v>0</v>
      </c>
      <c r="BW55" s="636">
        <f t="shared" si="228"/>
        <v>0</v>
      </c>
      <c r="BX55" s="636">
        <f t="shared" si="228"/>
        <v>0</v>
      </c>
      <c r="BY55" s="636">
        <f t="shared" si="228"/>
        <v>0</v>
      </c>
      <c r="BZ55" s="636">
        <f t="shared" si="228"/>
        <v>0</v>
      </c>
      <c r="CA55" s="636">
        <f t="shared" si="228"/>
        <v>0</v>
      </c>
      <c r="CB55" s="636">
        <f t="shared" si="228"/>
        <v>0</v>
      </c>
      <c r="CC55" s="636">
        <f t="shared" si="228"/>
        <v>0</v>
      </c>
      <c r="CD55" s="636">
        <f t="shared" si="228"/>
        <v>0</v>
      </c>
      <c r="CE55" s="636">
        <f t="shared" si="228"/>
        <v>0</v>
      </c>
      <c r="CF55" s="636">
        <f t="shared" si="228"/>
        <v>0</v>
      </c>
      <c r="CG55" s="97">
        <f t="shared" si="228"/>
        <v>0</v>
      </c>
      <c r="CH55" s="272">
        <f t="shared" si="190"/>
        <v>0</v>
      </c>
      <c r="CI55" s="636">
        <f t="shared" ref="CI55:CT55" si="229">+CI170</f>
        <v>0</v>
      </c>
      <c r="CJ55" s="636">
        <f t="shared" si="229"/>
        <v>0</v>
      </c>
      <c r="CK55" s="636">
        <f t="shared" si="229"/>
        <v>0</v>
      </c>
      <c r="CL55" s="636">
        <f t="shared" si="229"/>
        <v>0</v>
      </c>
      <c r="CM55" s="636">
        <f t="shared" si="229"/>
        <v>0</v>
      </c>
      <c r="CN55" s="636">
        <f t="shared" si="229"/>
        <v>0</v>
      </c>
      <c r="CO55" s="636">
        <f t="shared" si="229"/>
        <v>0</v>
      </c>
      <c r="CP55" s="636">
        <f t="shared" si="229"/>
        <v>0</v>
      </c>
      <c r="CQ55" s="636">
        <f t="shared" si="229"/>
        <v>0</v>
      </c>
      <c r="CR55" s="636">
        <f t="shared" si="229"/>
        <v>0</v>
      </c>
      <c r="CS55" s="636">
        <f t="shared" si="229"/>
        <v>0</v>
      </c>
      <c r="CT55" s="97">
        <f t="shared" si="229"/>
        <v>0</v>
      </c>
      <c r="CU55" s="272">
        <f t="shared" si="191"/>
        <v>0</v>
      </c>
      <c r="CV55" s="636">
        <f t="shared" ref="CV55:DG55" si="230">+CV170</f>
        <v>0</v>
      </c>
      <c r="CW55" s="636">
        <f t="shared" si="230"/>
        <v>0</v>
      </c>
      <c r="CX55" s="636">
        <f t="shared" si="230"/>
        <v>0</v>
      </c>
      <c r="CY55" s="636">
        <f t="shared" si="230"/>
        <v>0</v>
      </c>
      <c r="CZ55" s="636">
        <f t="shared" si="230"/>
        <v>0</v>
      </c>
      <c r="DA55" s="636">
        <f t="shared" si="230"/>
        <v>0</v>
      </c>
      <c r="DB55" s="636">
        <f t="shared" si="230"/>
        <v>0</v>
      </c>
      <c r="DC55" s="636">
        <f t="shared" si="230"/>
        <v>0</v>
      </c>
      <c r="DD55" s="636">
        <f t="shared" si="230"/>
        <v>0</v>
      </c>
      <c r="DE55" s="636">
        <f t="shared" si="230"/>
        <v>0</v>
      </c>
      <c r="DF55" s="636">
        <f t="shared" si="230"/>
        <v>0</v>
      </c>
      <c r="DG55" s="97">
        <f t="shared" si="230"/>
        <v>0</v>
      </c>
      <c r="DH55" s="272">
        <f t="shared" si="192"/>
        <v>0</v>
      </c>
      <c r="DI55" s="636">
        <f t="shared" ref="DI55:DT55" si="231">+DI170</f>
        <v>0</v>
      </c>
      <c r="DJ55" s="636">
        <f t="shared" si="231"/>
        <v>0</v>
      </c>
      <c r="DK55" s="636">
        <f t="shared" si="231"/>
        <v>0</v>
      </c>
      <c r="DL55" s="636">
        <f t="shared" si="231"/>
        <v>0</v>
      </c>
      <c r="DM55" s="636">
        <f t="shared" si="231"/>
        <v>0</v>
      </c>
      <c r="DN55" s="636">
        <f t="shared" si="231"/>
        <v>0</v>
      </c>
      <c r="DO55" s="636">
        <f t="shared" si="231"/>
        <v>0</v>
      </c>
      <c r="DP55" s="636">
        <f t="shared" si="231"/>
        <v>0</v>
      </c>
      <c r="DQ55" s="636">
        <f t="shared" si="231"/>
        <v>0</v>
      </c>
      <c r="DR55" s="636">
        <f t="shared" si="231"/>
        <v>0</v>
      </c>
      <c r="DS55" s="636">
        <f t="shared" si="231"/>
        <v>0</v>
      </c>
      <c r="DT55" s="97">
        <f t="shared" si="231"/>
        <v>0</v>
      </c>
      <c r="DU55" s="272">
        <f t="shared" si="193"/>
        <v>0</v>
      </c>
      <c r="DV55" s="636">
        <f t="shared" ref="DV55:EG55" si="232">+DV170</f>
        <v>0</v>
      </c>
      <c r="DW55" s="636">
        <f t="shared" si="232"/>
        <v>0</v>
      </c>
      <c r="DX55" s="636">
        <f t="shared" si="232"/>
        <v>0</v>
      </c>
      <c r="DY55" s="636">
        <f t="shared" si="232"/>
        <v>0</v>
      </c>
      <c r="DZ55" s="636">
        <f t="shared" si="232"/>
        <v>0</v>
      </c>
      <c r="EA55" s="636">
        <f t="shared" si="232"/>
        <v>0</v>
      </c>
      <c r="EB55" s="636">
        <f t="shared" si="232"/>
        <v>0</v>
      </c>
      <c r="EC55" s="636">
        <f t="shared" si="232"/>
        <v>0</v>
      </c>
      <c r="ED55" s="636">
        <f t="shared" si="232"/>
        <v>0</v>
      </c>
      <c r="EE55" s="636">
        <f t="shared" si="232"/>
        <v>0</v>
      </c>
      <c r="EF55" s="636">
        <f t="shared" si="232"/>
        <v>0</v>
      </c>
      <c r="EG55" s="97">
        <f t="shared" si="232"/>
        <v>0</v>
      </c>
      <c r="EH55" s="272">
        <f t="shared" si="194"/>
        <v>0</v>
      </c>
      <c r="EI55" s="21"/>
      <c r="EJ55" s="21"/>
      <c r="EK55" s="21"/>
      <c r="EL55" s="21"/>
      <c r="EM55" s="21"/>
    </row>
    <row r="56" spans="1:143" ht="14.25" customHeight="1">
      <c r="A56" s="21"/>
      <c r="B56" s="21"/>
      <c r="C56" s="21"/>
      <c r="D56" s="622">
        <f t="shared" si="63"/>
        <v>47</v>
      </c>
      <c r="E56" s="1625"/>
      <c r="F56" s="265" t="s">
        <v>594</v>
      </c>
      <c r="G56" s="313"/>
      <c r="H56" s="267"/>
      <c r="I56" s="631">
        <v>0</v>
      </c>
      <c r="J56" s="631">
        <v>0</v>
      </c>
      <c r="K56" s="631">
        <v>0</v>
      </c>
      <c r="L56" s="631">
        <v>0</v>
      </c>
      <c r="M56" s="631">
        <v>0</v>
      </c>
      <c r="N56" s="631">
        <v>0</v>
      </c>
      <c r="O56" s="631">
        <v>0</v>
      </c>
      <c r="P56" s="631">
        <v>0</v>
      </c>
      <c r="Q56" s="631">
        <v>0</v>
      </c>
      <c r="R56" s="631">
        <v>0</v>
      </c>
      <c r="S56" s="631">
        <v>0</v>
      </c>
      <c r="T56" s="643">
        <v>0</v>
      </c>
      <c r="U56" s="272">
        <f t="shared" si="185"/>
        <v>0</v>
      </c>
      <c r="V56" s="631">
        <v>0</v>
      </c>
      <c r="W56" s="631">
        <v>0</v>
      </c>
      <c r="X56" s="631">
        <v>0</v>
      </c>
      <c r="Y56" s="631">
        <v>0</v>
      </c>
      <c r="Z56" s="631">
        <v>0</v>
      </c>
      <c r="AA56" s="631">
        <v>0</v>
      </c>
      <c r="AB56" s="631">
        <v>0</v>
      </c>
      <c r="AC56" s="631">
        <v>0</v>
      </c>
      <c r="AD56" s="631">
        <v>0</v>
      </c>
      <c r="AE56" s="631">
        <v>0</v>
      </c>
      <c r="AF56" s="631">
        <v>0</v>
      </c>
      <c r="AG56" s="643">
        <v>0</v>
      </c>
      <c r="AH56" s="272">
        <f t="shared" si="186"/>
        <v>0</v>
      </c>
      <c r="AI56" s="631">
        <v>0</v>
      </c>
      <c r="AJ56" s="631">
        <v>0</v>
      </c>
      <c r="AK56" s="631">
        <v>0</v>
      </c>
      <c r="AL56" s="631">
        <v>0</v>
      </c>
      <c r="AM56" s="631">
        <v>0</v>
      </c>
      <c r="AN56" s="631">
        <v>0</v>
      </c>
      <c r="AO56" s="631">
        <v>0</v>
      </c>
      <c r="AP56" s="631">
        <v>0</v>
      </c>
      <c r="AQ56" s="631">
        <v>0</v>
      </c>
      <c r="AR56" s="631">
        <v>0</v>
      </c>
      <c r="AS56" s="631">
        <v>0</v>
      </c>
      <c r="AT56" s="643">
        <v>0</v>
      </c>
      <c r="AU56" s="272">
        <f t="shared" si="187"/>
        <v>0</v>
      </c>
      <c r="AV56" s="631">
        <v>0</v>
      </c>
      <c r="AW56" s="631">
        <v>0</v>
      </c>
      <c r="AX56" s="631">
        <v>0</v>
      </c>
      <c r="AY56" s="631">
        <v>0</v>
      </c>
      <c r="AZ56" s="631">
        <v>0</v>
      </c>
      <c r="BA56" s="631">
        <v>0</v>
      </c>
      <c r="BB56" s="631">
        <v>0</v>
      </c>
      <c r="BC56" s="631">
        <v>0</v>
      </c>
      <c r="BD56" s="631">
        <v>0</v>
      </c>
      <c r="BE56" s="631">
        <v>0</v>
      </c>
      <c r="BF56" s="631">
        <v>0</v>
      </c>
      <c r="BG56" s="643">
        <v>0</v>
      </c>
      <c r="BH56" s="272">
        <f t="shared" si="188"/>
        <v>0</v>
      </c>
      <c r="BI56" s="631">
        <v>0</v>
      </c>
      <c r="BJ56" s="631">
        <v>0</v>
      </c>
      <c r="BK56" s="631">
        <v>0</v>
      </c>
      <c r="BL56" s="631">
        <v>0</v>
      </c>
      <c r="BM56" s="631">
        <v>0</v>
      </c>
      <c r="BN56" s="631">
        <v>0</v>
      </c>
      <c r="BO56" s="631">
        <v>0</v>
      </c>
      <c r="BP56" s="631">
        <v>0</v>
      </c>
      <c r="BQ56" s="631">
        <v>0</v>
      </c>
      <c r="BR56" s="631">
        <v>0</v>
      </c>
      <c r="BS56" s="631">
        <v>0</v>
      </c>
      <c r="BT56" s="643">
        <v>0</v>
      </c>
      <c r="BU56" s="272">
        <f t="shared" si="189"/>
        <v>0</v>
      </c>
      <c r="BV56" s="631">
        <v>0</v>
      </c>
      <c r="BW56" s="631">
        <v>0</v>
      </c>
      <c r="BX56" s="631">
        <v>0</v>
      </c>
      <c r="BY56" s="631">
        <v>0</v>
      </c>
      <c r="BZ56" s="631">
        <v>0</v>
      </c>
      <c r="CA56" s="631">
        <v>0</v>
      </c>
      <c r="CB56" s="631">
        <v>0</v>
      </c>
      <c r="CC56" s="631">
        <v>0</v>
      </c>
      <c r="CD56" s="631">
        <v>0</v>
      </c>
      <c r="CE56" s="631">
        <v>0</v>
      </c>
      <c r="CF56" s="631">
        <v>0</v>
      </c>
      <c r="CG56" s="643">
        <v>0</v>
      </c>
      <c r="CH56" s="272">
        <f t="shared" si="190"/>
        <v>0</v>
      </c>
      <c r="CI56" s="631">
        <v>0</v>
      </c>
      <c r="CJ56" s="631">
        <v>0</v>
      </c>
      <c r="CK56" s="631">
        <v>0</v>
      </c>
      <c r="CL56" s="631">
        <v>0</v>
      </c>
      <c r="CM56" s="631">
        <v>0</v>
      </c>
      <c r="CN56" s="631">
        <v>0</v>
      </c>
      <c r="CO56" s="631">
        <v>0</v>
      </c>
      <c r="CP56" s="631">
        <v>0</v>
      </c>
      <c r="CQ56" s="631">
        <v>0</v>
      </c>
      <c r="CR56" s="631">
        <v>0</v>
      </c>
      <c r="CS56" s="631">
        <v>0</v>
      </c>
      <c r="CT56" s="643">
        <v>0</v>
      </c>
      <c r="CU56" s="272">
        <f t="shared" si="191"/>
        <v>0</v>
      </c>
      <c r="CV56" s="631">
        <v>0</v>
      </c>
      <c r="CW56" s="631">
        <v>0</v>
      </c>
      <c r="CX56" s="631">
        <v>0</v>
      </c>
      <c r="CY56" s="631">
        <v>0</v>
      </c>
      <c r="CZ56" s="631">
        <v>0</v>
      </c>
      <c r="DA56" s="631">
        <v>0</v>
      </c>
      <c r="DB56" s="631">
        <v>0</v>
      </c>
      <c r="DC56" s="631">
        <v>0</v>
      </c>
      <c r="DD56" s="631">
        <v>0</v>
      </c>
      <c r="DE56" s="631">
        <v>0</v>
      </c>
      <c r="DF56" s="631">
        <v>0</v>
      </c>
      <c r="DG56" s="643">
        <v>0</v>
      </c>
      <c r="DH56" s="272">
        <f t="shared" si="192"/>
        <v>0</v>
      </c>
      <c r="DI56" s="631">
        <v>0</v>
      </c>
      <c r="DJ56" s="631">
        <v>0</v>
      </c>
      <c r="DK56" s="631">
        <v>0</v>
      </c>
      <c r="DL56" s="631">
        <v>0</v>
      </c>
      <c r="DM56" s="631">
        <v>0</v>
      </c>
      <c r="DN56" s="631">
        <v>0</v>
      </c>
      <c r="DO56" s="631">
        <v>0</v>
      </c>
      <c r="DP56" s="631">
        <v>0</v>
      </c>
      <c r="DQ56" s="631">
        <v>0</v>
      </c>
      <c r="DR56" s="631">
        <v>0</v>
      </c>
      <c r="DS56" s="631">
        <v>0</v>
      </c>
      <c r="DT56" s="643">
        <v>0</v>
      </c>
      <c r="DU56" s="272">
        <f t="shared" si="193"/>
        <v>0</v>
      </c>
      <c r="DV56" s="631">
        <v>0</v>
      </c>
      <c r="DW56" s="631">
        <v>0</v>
      </c>
      <c r="DX56" s="631">
        <v>0</v>
      </c>
      <c r="DY56" s="631">
        <v>0</v>
      </c>
      <c r="DZ56" s="631">
        <v>0</v>
      </c>
      <c r="EA56" s="631">
        <v>0</v>
      </c>
      <c r="EB56" s="631">
        <v>0</v>
      </c>
      <c r="EC56" s="631">
        <v>0</v>
      </c>
      <c r="ED56" s="631">
        <v>0</v>
      </c>
      <c r="EE56" s="631">
        <v>0</v>
      </c>
      <c r="EF56" s="631">
        <v>0</v>
      </c>
      <c r="EG56" s="643">
        <v>0</v>
      </c>
      <c r="EH56" s="272">
        <f t="shared" si="194"/>
        <v>0</v>
      </c>
      <c r="EI56" s="21"/>
      <c r="EJ56" s="21"/>
      <c r="EK56" s="21"/>
      <c r="EL56" s="21"/>
      <c r="EM56" s="21"/>
    </row>
    <row r="57" spans="1:143" ht="14.25" customHeight="1">
      <c r="A57" s="21"/>
      <c r="B57" s="21"/>
      <c r="C57" s="21"/>
      <c r="D57" s="622">
        <f t="shared" si="63"/>
        <v>48</v>
      </c>
      <c r="E57" s="1625"/>
      <c r="F57" s="318" t="s">
        <v>595</v>
      </c>
      <c r="G57" s="644"/>
      <c r="H57" s="319"/>
      <c r="I57" s="320"/>
      <c r="J57" s="320"/>
      <c r="K57" s="320"/>
      <c r="L57" s="320"/>
      <c r="M57" s="320"/>
      <c r="N57" s="320"/>
      <c r="O57" s="320"/>
      <c r="P57" s="320"/>
      <c r="Q57" s="320"/>
      <c r="R57" s="320"/>
      <c r="S57" s="320"/>
      <c r="T57" s="321">
        <v>10</v>
      </c>
      <c r="U57" s="272">
        <f t="shared" si="185"/>
        <v>10</v>
      </c>
      <c r="V57" s="315"/>
      <c r="W57" s="320"/>
      <c r="X57" s="320"/>
      <c r="Y57" s="320"/>
      <c r="Z57" s="320"/>
      <c r="AA57" s="320"/>
      <c r="AB57" s="320"/>
      <c r="AC57" s="320"/>
      <c r="AD57" s="320"/>
      <c r="AE57" s="320"/>
      <c r="AF57" s="320"/>
      <c r="AG57" s="321"/>
      <c r="AH57" s="272">
        <f t="shared" si="186"/>
        <v>0</v>
      </c>
      <c r="AI57" s="315"/>
      <c r="AJ57" s="320"/>
      <c r="AK57" s="320"/>
      <c r="AL57" s="320"/>
      <c r="AM57" s="320"/>
      <c r="AN57" s="320"/>
      <c r="AO57" s="320"/>
      <c r="AP57" s="320"/>
      <c r="AQ57" s="320"/>
      <c r="AR57" s="320"/>
      <c r="AS57" s="320"/>
      <c r="AT57" s="321"/>
      <c r="AU57" s="272">
        <f t="shared" si="187"/>
        <v>0</v>
      </c>
      <c r="AV57" s="315"/>
      <c r="AW57" s="320"/>
      <c r="AX57" s="320"/>
      <c r="AY57" s="320"/>
      <c r="AZ57" s="320"/>
      <c r="BA57" s="320"/>
      <c r="BB57" s="320"/>
      <c r="BC57" s="320"/>
      <c r="BD57" s="320"/>
      <c r="BE57" s="320"/>
      <c r="BF57" s="320"/>
      <c r="BG57" s="321"/>
      <c r="BH57" s="272">
        <f t="shared" si="188"/>
        <v>0</v>
      </c>
      <c r="BI57" s="315"/>
      <c r="BJ57" s="320"/>
      <c r="BK57" s="320"/>
      <c r="BL57" s="320"/>
      <c r="BM57" s="320"/>
      <c r="BN57" s="320"/>
      <c r="BO57" s="320"/>
      <c r="BP57" s="320"/>
      <c r="BQ57" s="320"/>
      <c r="BR57" s="320"/>
      <c r="BS57" s="320"/>
      <c r="BT57" s="321"/>
      <c r="BU57" s="272">
        <f t="shared" si="189"/>
        <v>0</v>
      </c>
      <c r="BV57" s="315"/>
      <c r="BW57" s="320"/>
      <c r="BX57" s="320"/>
      <c r="BY57" s="320"/>
      <c r="BZ57" s="320"/>
      <c r="CA57" s="320"/>
      <c r="CB57" s="320"/>
      <c r="CC57" s="320"/>
      <c r="CD57" s="320"/>
      <c r="CE57" s="320"/>
      <c r="CF57" s="320"/>
      <c r="CG57" s="321"/>
      <c r="CH57" s="272">
        <f t="shared" si="190"/>
        <v>0</v>
      </c>
      <c r="CI57" s="315"/>
      <c r="CJ57" s="320"/>
      <c r="CK57" s="320"/>
      <c r="CL57" s="320"/>
      <c r="CM57" s="320"/>
      <c r="CN57" s="320"/>
      <c r="CO57" s="320"/>
      <c r="CP57" s="320"/>
      <c r="CQ57" s="320"/>
      <c r="CR57" s="320"/>
      <c r="CS57" s="320"/>
      <c r="CT57" s="321"/>
      <c r="CU57" s="272">
        <f t="shared" si="191"/>
        <v>0</v>
      </c>
      <c r="CV57" s="315"/>
      <c r="CW57" s="320"/>
      <c r="CX57" s="320"/>
      <c r="CY57" s="320"/>
      <c r="CZ57" s="320"/>
      <c r="DA57" s="320"/>
      <c r="DB57" s="320"/>
      <c r="DC57" s="320"/>
      <c r="DD57" s="320"/>
      <c r="DE57" s="320"/>
      <c r="DF57" s="320"/>
      <c r="DG57" s="321"/>
      <c r="DH57" s="272">
        <f t="shared" si="192"/>
        <v>0</v>
      </c>
      <c r="DI57" s="315"/>
      <c r="DJ57" s="320"/>
      <c r="DK57" s="320"/>
      <c r="DL57" s="320"/>
      <c r="DM57" s="320"/>
      <c r="DN57" s="320"/>
      <c r="DO57" s="320"/>
      <c r="DP57" s="320"/>
      <c r="DQ57" s="320"/>
      <c r="DR57" s="320"/>
      <c r="DS57" s="320"/>
      <c r="DT57" s="321"/>
      <c r="DU57" s="272">
        <f t="shared" si="193"/>
        <v>0</v>
      </c>
      <c r="DV57" s="315"/>
      <c r="DW57" s="320"/>
      <c r="DX57" s="320"/>
      <c r="DY57" s="320"/>
      <c r="DZ57" s="320"/>
      <c r="EA57" s="320"/>
      <c r="EB57" s="320"/>
      <c r="EC57" s="320"/>
      <c r="ED57" s="320"/>
      <c r="EE57" s="320"/>
      <c r="EF57" s="320"/>
      <c r="EG57" s="321"/>
      <c r="EH57" s="272">
        <f t="shared" si="194"/>
        <v>0</v>
      </c>
      <c r="EI57" s="21"/>
      <c r="EJ57" s="21"/>
      <c r="EK57" s="21"/>
      <c r="EL57" s="21"/>
      <c r="EM57" s="21"/>
    </row>
    <row r="58" spans="1:143" ht="13.5" customHeight="1">
      <c r="A58" s="21"/>
      <c r="B58" s="21"/>
      <c r="C58" s="21"/>
      <c r="D58" s="622">
        <f t="shared" si="63"/>
        <v>49</v>
      </c>
      <c r="E58" s="1625"/>
      <c r="F58" s="274" t="s">
        <v>596</v>
      </c>
      <c r="G58" s="322"/>
      <c r="H58" s="323"/>
      <c r="I58" s="645">
        <f t="shared" ref="I58:T58" si="233">IF(I207&lt;0,0,I207)*I4</f>
        <v>0</v>
      </c>
      <c r="J58" s="324">
        <f t="shared" si="233"/>
        <v>0</v>
      </c>
      <c r="K58" s="324">
        <f t="shared" si="233"/>
        <v>0</v>
      </c>
      <c r="L58" s="324">
        <f t="shared" si="233"/>
        <v>0</v>
      </c>
      <c r="M58" s="324">
        <f t="shared" si="233"/>
        <v>0</v>
      </c>
      <c r="N58" s="324">
        <f t="shared" si="233"/>
        <v>0</v>
      </c>
      <c r="O58" s="324">
        <f t="shared" si="233"/>
        <v>47500.236250000002</v>
      </c>
      <c r="P58" s="324">
        <f t="shared" si="233"/>
        <v>3219.4351979166659</v>
      </c>
      <c r="Q58" s="324">
        <f t="shared" si="233"/>
        <v>4026.1227481770816</v>
      </c>
      <c r="R58" s="324">
        <f t="shared" si="233"/>
        <v>3827.1670280230028</v>
      </c>
      <c r="S58" s="324">
        <f t="shared" si="233"/>
        <v>2798.9264041403662</v>
      </c>
      <c r="T58" s="324">
        <f t="shared" si="233"/>
        <v>4423.2435585183066</v>
      </c>
      <c r="U58" s="272">
        <f t="shared" si="185"/>
        <v>65795.131186775427</v>
      </c>
      <c r="V58" s="324">
        <f t="shared" ref="V58:AG58" si="234">IF(V207&lt;0,0,IF(AND(V207&gt;0,V9-$H$208&gt;V207),0,IF(AND(V207&gt;V9-$H$208&gt;0),V207-(V9-$H$208),V207)))</f>
        <v>2904.1155376675724</v>
      </c>
      <c r="W58" s="324">
        <f t="shared" si="234"/>
        <v>0</v>
      </c>
      <c r="X58" s="324">
        <f t="shared" si="234"/>
        <v>0</v>
      </c>
      <c r="Y58" s="324">
        <f t="shared" si="234"/>
        <v>1161.0854138267186</v>
      </c>
      <c r="Z58" s="324">
        <f t="shared" si="234"/>
        <v>0</v>
      </c>
      <c r="AA58" s="324">
        <f t="shared" si="234"/>
        <v>0</v>
      </c>
      <c r="AB58" s="324">
        <f t="shared" si="234"/>
        <v>0</v>
      </c>
      <c r="AC58" s="324">
        <f t="shared" si="234"/>
        <v>0</v>
      </c>
      <c r="AD58" s="324">
        <f t="shared" si="234"/>
        <v>1097.0337019863146</v>
      </c>
      <c r="AE58" s="324">
        <f t="shared" si="234"/>
        <v>1541.6069828362015</v>
      </c>
      <c r="AF58" s="324">
        <f t="shared" si="234"/>
        <v>0</v>
      </c>
      <c r="AG58" s="646">
        <f t="shared" si="234"/>
        <v>0</v>
      </c>
      <c r="AH58" s="272">
        <f t="shared" si="186"/>
        <v>6703.8416363168071</v>
      </c>
      <c r="AI58" s="324">
        <f t="shared" ref="AI58:AT58" si="235">IF(AI207&lt;0,0,IF(AND(AI207&gt;0,AI9-$H$208&gt;AI207),0,IF(AND(AI207&gt;AI9-$H$208&gt;0),AI207-(AI9-$H$208),AI207)))</f>
        <v>1058.6892472874788</v>
      </c>
      <c r="AJ58" s="324">
        <f t="shared" si="235"/>
        <v>0</v>
      </c>
      <c r="AK58" s="324">
        <f t="shared" si="235"/>
        <v>0</v>
      </c>
      <c r="AL58" s="324">
        <f t="shared" si="235"/>
        <v>647.96439725338678</v>
      </c>
      <c r="AM58" s="324">
        <f t="shared" si="235"/>
        <v>0</v>
      </c>
      <c r="AN58" s="324">
        <f t="shared" si="235"/>
        <v>0</v>
      </c>
      <c r="AO58" s="324">
        <f t="shared" si="235"/>
        <v>0</v>
      </c>
      <c r="AP58" s="324">
        <f t="shared" si="235"/>
        <v>0</v>
      </c>
      <c r="AQ58" s="324">
        <f t="shared" si="235"/>
        <v>550.08486368254853</v>
      </c>
      <c r="AR58" s="324">
        <f t="shared" si="235"/>
        <v>1062.1187042132369</v>
      </c>
      <c r="AS58" s="324">
        <f t="shared" si="235"/>
        <v>0</v>
      </c>
      <c r="AT58" s="646">
        <f t="shared" si="235"/>
        <v>0</v>
      </c>
      <c r="AU58" s="272">
        <f t="shared" si="187"/>
        <v>3318.857212436651</v>
      </c>
      <c r="AV58" s="324">
        <f t="shared" ref="AV58:BG58" si="236">IF(AV207&lt;0,0,IF(AND(AV207&gt;0,AV9-$H$208&gt;AV207),0,IF(AND(AV207&gt;AV9-$H$208&gt;0),AV207-(AV9-$H$208),AV207)))</f>
        <v>992.06714194721644</v>
      </c>
      <c r="AW58" s="324">
        <f t="shared" si="236"/>
        <v>0</v>
      </c>
      <c r="AX58" s="324">
        <f t="shared" si="236"/>
        <v>0</v>
      </c>
      <c r="AY58" s="324">
        <f t="shared" si="236"/>
        <v>559.54698505737906</v>
      </c>
      <c r="AZ58" s="324">
        <f t="shared" si="236"/>
        <v>0</v>
      </c>
      <c r="BA58" s="324">
        <f t="shared" si="236"/>
        <v>0</v>
      </c>
      <c r="BB58" s="324">
        <f t="shared" si="236"/>
        <v>0</v>
      </c>
      <c r="BC58" s="324">
        <f t="shared" si="236"/>
        <v>0</v>
      </c>
      <c r="BD58" s="324">
        <f t="shared" si="236"/>
        <v>445.38829876966884</v>
      </c>
      <c r="BE58" s="324">
        <f t="shared" si="236"/>
        <v>1007.2946479260881</v>
      </c>
      <c r="BF58" s="324">
        <f t="shared" si="236"/>
        <v>0</v>
      </c>
      <c r="BG58" s="646">
        <f t="shared" si="236"/>
        <v>0</v>
      </c>
      <c r="BH58" s="272">
        <f t="shared" si="188"/>
        <v>3004.2970737003525</v>
      </c>
      <c r="BI58" s="324">
        <f t="shared" ref="BI58:BT58" si="237">IF(BI207&lt;0,0,IF(AND(BI207&gt;0,BI9-$H$208&gt;BI207),0,IF(AND(BI207&gt;BI9-$H$208&gt;0),BI207-(BI9-$H$208),BI207)))</f>
        <v>919.59754761448494</v>
      </c>
      <c r="BJ58" s="324">
        <f t="shared" si="237"/>
        <v>0</v>
      </c>
      <c r="BK58" s="324">
        <f t="shared" si="237"/>
        <v>0</v>
      </c>
      <c r="BL58" s="324">
        <f t="shared" si="237"/>
        <v>439.49760207515646</v>
      </c>
      <c r="BM58" s="324">
        <f t="shared" si="237"/>
        <v>0</v>
      </c>
      <c r="BN58" s="324">
        <f t="shared" si="237"/>
        <v>0</v>
      </c>
      <c r="BO58" s="324">
        <f t="shared" si="237"/>
        <v>0</v>
      </c>
      <c r="BP58" s="324">
        <f t="shared" si="237"/>
        <v>0</v>
      </c>
      <c r="BQ58" s="324">
        <f t="shared" si="237"/>
        <v>0</v>
      </c>
      <c r="BR58" s="324">
        <f t="shared" si="237"/>
        <v>0</v>
      </c>
      <c r="BS58" s="324">
        <f t="shared" si="237"/>
        <v>0</v>
      </c>
      <c r="BT58" s="646">
        <f t="shared" si="237"/>
        <v>0</v>
      </c>
      <c r="BU58" s="272">
        <f t="shared" si="189"/>
        <v>1359.0951496896414</v>
      </c>
      <c r="BV58" s="324">
        <f t="shared" ref="BV58:CG58" si="238">IF(BV207&lt;0,0,IF(AND(BV207&gt;0,BV9-$H$208&gt;BV207),0,IF(AND(BV207&gt;BV9-$H$208&gt;0),BV207-(BV9-$H$208),BV207)))</f>
        <v>0</v>
      </c>
      <c r="BW58" s="324">
        <f t="shared" si="238"/>
        <v>0</v>
      </c>
      <c r="BX58" s="324">
        <f t="shared" si="238"/>
        <v>0</v>
      </c>
      <c r="BY58" s="324">
        <f t="shared" si="238"/>
        <v>0</v>
      </c>
      <c r="BZ58" s="324">
        <f t="shared" si="238"/>
        <v>0</v>
      </c>
      <c r="CA58" s="324">
        <f t="shared" si="238"/>
        <v>0</v>
      </c>
      <c r="CB58" s="324">
        <f t="shared" si="238"/>
        <v>0</v>
      </c>
      <c r="CC58" s="324">
        <f t="shared" si="238"/>
        <v>0</v>
      </c>
      <c r="CD58" s="324">
        <f t="shared" si="238"/>
        <v>0</v>
      </c>
      <c r="CE58" s="324">
        <f t="shared" si="238"/>
        <v>0</v>
      </c>
      <c r="CF58" s="324">
        <f t="shared" si="238"/>
        <v>0</v>
      </c>
      <c r="CG58" s="646">
        <f t="shared" si="238"/>
        <v>0</v>
      </c>
      <c r="CH58" s="272">
        <f t="shared" si="190"/>
        <v>0</v>
      </c>
      <c r="CI58" s="324">
        <f t="shared" ref="CI58:CT58" si="239">IF(CI207&lt;0,0,IF(AND(CI207&gt;0,CI9-$H$208&gt;CI207),0,IF(AND(CI207&gt;CI9-$H$208&gt;0),CI207-(CI9-$H$208),CI207)))</f>
        <v>0</v>
      </c>
      <c r="CJ58" s="324">
        <f t="shared" si="239"/>
        <v>0</v>
      </c>
      <c r="CK58" s="324">
        <f t="shared" si="239"/>
        <v>0</v>
      </c>
      <c r="CL58" s="324">
        <f t="shared" si="239"/>
        <v>0</v>
      </c>
      <c r="CM58" s="324">
        <f t="shared" si="239"/>
        <v>0</v>
      </c>
      <c r="CN58" s="324">
        <f t="shared" si="239"/>
        <v>0</v>
      </c>
      <c r="CO58" s="324">
        <f t="shared" si="239"/>
        <v>0</v>
      </c>
      <c r="CP58" s="324">
        <f t="shared" si="239"/>
        <v>0</v>
      </c>
      <c r="CQ58" s="324">
        <f t="shared" si="239"/>
        <v>0</v>
      </c>
      <c r="CR58" s="324">
        <f t="shared" si="239"/>
        <v>0</v>
      </c>
      <c r="CS58" s="324">
        <f t="shared" si="239"/>
        <v>0</v>
      </c>
      <c r="CT58" s="646">
        <f t="shared" si="239"/>
        <v>0</v>
      </c>
      <c r="CU58" s="272">
        <f t="shared" si="191"/>
        <v>0</v>
      </c>
      <c r="CV58" s="324">
        <f t="shared" ref="CV58:DG58" si="240">IF(CV207&lt;0,0,IF(AND(CV207&gt;0,CV9-$H$208&gt;CV207),0,IF(AND(CV207&gt;CV9-$H$208&gt;0),CV207-(CV9-$H$208),CV207)))</f>
        <v>0</v>
      </c>
      <c r="CW58" s="324">
        <f t="shared" si="240"/>
        <v>0</v>
      </c>
      <c r="CX58" s="324">
        <f t="shared" si="240"/>
        <v>0</v>
      </c>
      <c r="CY58" s="324">
        <f t="shared" si="240"/>
        <v>0</v>
      </c>
      <c r="CZ58" s="324">
        <f t="shared" si="240"/>
        <v>0</v>
      </c>
      <c r="DA58" s="324">
        <f t="shared" si="240"/>
        <v>0</v>
      </c>
      <c r="DB58" s="324">
        <f t="shared" si="240"/>
        <v>0</v>
      </c>
      <c r="DC58" s="324">
        <f t="shared" si="240"/>
        <v>0</v>
      </c>
      <c r="DD58" s="324">
        <f t="shared" si="240"/>
        <v>0</v>
      </c>
      <c r="DE58" s="324">
        <f t="shared" si="240"/>
        <v>0</v>
      </c>
      <c r="DF58" s="324">
        <f t="shared" si="240"/>
        <v>0</v>
      </c>
      <c r="DG58" s="646">
        <f t="shared" si="240"/>
        <v>0</v>
      </c>
      <c r="DH58" s="272">
        <f t="shared" si="192"/>
        <v>0</v>
      </c>
      <c r="DI58" s="324">
        <f t="shared" ref="DI58:DT58" si="241">IF(DI207&lt;0,0,IF(AND(DI207&gt;0,DI9-$H$208&gt;DI207),0,IF(AND(DI207&gt;DI9-$H$208&gt;0),DI207-(DI9-$H$208),DI207)))</f>
        <v>0</v>
      </c>
      <c r="DJ58" s="324">
        <f t="shared" si="241"/>
        <v>0</v>
      </c>
      <c r="DK58" s="324">
        <f t="shared" si="241"/>
        <v>0</v>
      </c>
      <c r="DL58" s="324">
        <f t="shared" si="241"/>
        <v>0</v>
      </c>
      <c r="DM58" s="324">
        <f t="shared" si="241"/>
        <v>0</v>
      </c>
      <c r="DN58" s="324">
        <f t="shared" si="241"/>
        <v>0</v>
      </c>
      <c r="DO58" s="324">
        <f t="shared" si="241"/>
        <v>0</v>
      </c>
      <c r="DP58" s="324">
        <f t="shared" si="241"/>
        <v>0</v>
      </c>
      <c r="DQ58" s="324">
        <f t="shared" si="241"/>
        <v>0</v>
      </c>
      <c r="DR58" s="324">
        <f t="shared" si="241"/>
        <v>0</v>
      </c>
      <c r="DS58" s="324">
        <f t="shared" si="241"/>
        <v>0</v>
      </c>
      <c r="DT58" s="646">
        <f t="shared" si="241"/>
        <v>0</v>
      </c>
      <c r="DU58" s="272">
        <f t="shared" si="193"/>
        <v>0</v>
      </c>
      <c r="DV58" s="324">
        <f t="shared" ref="DV58:EG58" si="242">IF(DV207&lt;0,0,IF(AND(DV207&gt;0,DV9-$H$208&gt;DV207),0,IF(AND(DV207&gt;DV9-$H$208&gt;0),DV207-(DV9-$H$208),DV207)))</f>
        <v>0</v>
      </c>
      <c r="DW58" s="324">
        <f t="shared" si="242"/>
        <v>0</v>
      </c>
      <c r="DX58" s="324">
        <f t="shared" si="242"/>
        <v>0</v>
      </c>
      <c r="DY58" s="324">
        <f t="shared" si="242"/>
        <v>0</v>
      </c>
      <c r="DZ58" s="324">
        <f t="shared" si="242"/>
        <v>0</v>
      </c>
      <c r="EA58" s="324">
        <f t="shared" si="242"/>
        <v>0</v>
      </c>
      <c r="EB58" s="324">
        <f t="shared" si="242"/>
        <v>0</v>
      </c>
      <c r="EC58" s="324">
        <f t="shared" si="242"/>
        <v>0</v>
      </c>
      <c r="ED58" s="324">
        <f t="shared" si="242"/>
        <v>0</v>
      </c>
      <c r="EE58" s="324">
        <f t="shared" si="242"/>
        <v>0</v>
      </c>
      <c r="EF58" s="324">
        <f t="shared" si="242"/>
        <v>0</v>
      </c>
      <c r="EG58" s="646">
        <f t="shared" si="242"/>
        <v>0</v>
      </c>
      <c r="EH58" s="272">
        <f t="shared" si="194"/>
        <v>0</v>
      </c>
      <c r="EI58" s="21"/>
      <c r="EJ58" s="21"/>
      <c r="EK58" s="21"/>
      <c r="EL58" s="21"/>
      <c r="EM58" s="21"/>
    </row>
    <row r="59" spans="1:143" ht="14.25" customHeight="1">
      <c r="A59" s="325"/>
      <c r="B59" s="325"/>
      <c r="C59" s="325"/>
      <c r="D59" s="326">
        <f t="shared" si="63"/>
        <v>50</v>
      </c>
      <c r="E59" s="327"/>
      <c r="F59" s="309" t="s">
        <v>597</v>
      </c>
      <c r="G59" s="635"/>
      <c r="H59" s="280"/>
      <c r="I59" s="328">
        <f>SUM(I40:I58)</f>
        <v>86000</v>
      </c>
      <c r="J59" s="328">
        <f t="shared" ref="J59:T59" si="243">SUM(J40:J58)</f>
        <v>0</v>
      </c>
      <c r="K59" s="328">
        <f t="shared" si="243"/>
        <v>0</v>
      </c>
      <c r="L59" s="328">
        <f t="shared" si="243"/>
        <v>0</v>
      </c>
      <c r="M59" s="328">
        <f t="shared" si="243"/>
        <v>0</v>
      </c>
      <c r="N59" s="328">
        <f t="shared" si="243"/>
        <v>0</v>
      </c>
      <c r="O59" s="328">
        <f t="shared" si="243"/>
        <v>47500.236250000002</v>
      </c>
      <c r="P59" s="328">
        <f t="shared" si="243"/>
        <v>3219.4351979166659</v>
      </c>
      <c r="Q59" s="328">
        <f t="shared" si="243"/>
        <v>4026.1227481770816</v>
      </c>
      <c r="R59" s="328">
        <f t="shared" si="243"/>
        <v>3827.1670280230028</v>
      </c>
      <c r="S59" s="328">
        <f t="shared" si="243"/>
        <v>2798.9264041403662</v>
      </c>
      <c r="T59" s="329">
        <f t="shared" si="243"/>
        <v>5426.4435585183064</v>
      </c>
      <c r="U59" s="330">
        <f>+SUM(U40:U58)</f>
        <v>152798.33118677541</v>
      </c>
      <c r="V59" s="328">
        <f t="shared" ref="V59:AG59" si="244">SUM(V40:V58)</f>
        <v>2904.1155376675724</v>
      </c>
      <c r="W59" s="328">
        <f t="shared" si="244"/>
        <v>0</v>
      </c>
      <c r="X59" s="328">
        <f t="shared" si="244"/>
        <v>0</v>
      </c>
      <c r="Y59" s="328">
        <f t="shared" si="244"/>
        <v>1161.0854138267186</v>
      </c>
      <c r="Z59" s="328">
        <f t="shared" si="244"/>
        <v>0</v>
      </c>
      <c r="AA59" s="328">
        <f t="shared" si="244"/>
        <v>0</v>
      </c>
      <c r="AB59" s="328">
        <f t="shared" si="244"/>
        <v>0</v>
      </c>
      <c r="AC59" s="328">
        <f t="shared" si="244"/>
        <v>0</v>
      </c>
      <c r="AD59" s="328">
        <f t="shared" si="244"/>
        <v>1097.0337019863146</v>
      </c>
      <c r="AE59" s="328">
        <f t="shared" si="244"/>
        <v>1541.6069828362015</v>
      </c>
      <c r="AF59" s="328">
        <f t="shared" si="244"/>
        <v>0</v>
      </c>
      <c r="AG59" s="329">
        <f t="shared" si="244"/>
        <v>0</v>
      </c>
      <c r="AH59" s="330">
        <f>+SUM(AH40:AH58)</f>
        <v>6703.8416363168071</v>
      </c>
      <c r="AI59" s="328">
        <f t="shared" ref="AI59:AT59" si="245">SUM(AI40:AI58)</f>
        <v>1058.6892472874788</v>
      </c>
      <c r="AJ59" s="328">
        <f t="shared" si="245"/>
        <v>0</v>
      </c>
      <c r="AK59" s="328">
        <f t="shared" si="245"/>
        <v>0</v>
      </c>
      <c r="AL59" s="328">
        <f t="shared" si="245"/>
        <v>647.96439725338678</v>
      </c>
      <c r="AM59" s="328">
        <f t="shared" si="245"/>
        <v>0</v>
      </c>
      <c r="AN59" s="328">
        <f t="shared" si="245"/>
        <v>0</v>
      </c>
      <c r="AO59" s="328">
        <f t="shared" si="245"/>
        <v>0</v>
      </c>
      <c r="AP59" s="328">
        <f t="shared" si="245"/>
        <v>0</v>
      </c>
      <c r="AQ59" s="328">
        <f t="shared" si="245"/>
        <v>550.08486368254853</v>
      </c>
      <c r="AR59" s="328">
        <f t="shared" si="245"/>
        <v>1062.1187042132369</v>
      </c>
      <c r="AS59" s="328">
        <f t="shared" si="245"/>
        <v>0</v>
      </c>
      <c r="AT59" s="329">
        <f t="shared" si="245"/>
        <v>0</v>
      </c>
      <c r="AU59" s="330">
        <f>+SUM(AU40:AU58)</f>
        <v>3318.857212436651</v>
      </c>
      <c r="AV59" s="328">
        <f t="shared" ref="AV59:BG59" si="246">SUM(AV40:AV58)</f>
        <v>992.06714194721644</v>
      </c>
      <c r="AW59" s="328">
        <f t="shared" si="246"/>
        <v>0</v>
      </c>
      <c r="AX59" s="328">
        <f t="shared" si="246"/>
        <v>0</v>
      </c>
      <c r="AY59" s="328">
        <f t="shared" si="246"/>
        <v>559.54698505737906</v>
      </c>
      <c r="AZ59" s="328">
        <f t="shared" si="246"/>
        <v>0</v>
      </c>
      <c r="BA59" s="328">
        <f t="shared" si="246"/>
        <v>0</v>
      </c>
      <c r="BB59" s="328">
        <f t="shared" si="246"/>
        <v>0</v>
      </c>
      <c r="BC59" s="328">
        <f t="shared" si="246"/>
        <v>0</v>
      </c>
      <c r="BD59" s="328">
        <f t="shared" si="246"/>
        <v>445.38829876966884</v>
      </c>
      <c r="BE59" s="328">
        <f t="shared" si="246"/>
        <v>1007.2946479260881</v>
      </c>
      <c r="BF59" s="328">
        <f t="shared" si="246"/>
        <v>0</v>
      </c>
      <c r="BG59" s="329">
        <f t="shared" si="246"/>
        <v>0</v>
      </c>
      <c r="BH59" s="330">
        <f>+SUM(BH40:BH58)</f>
        <v>3004.2970737003525</v>
      </c>
      <c r="BI59" s="328">
        <f t="shared" ref="BI59:BT59" si="247">SUM(BI40:BI58)</f>
        <v>919.59754761448494</v>
      </c>
      <c r="BJ59" s="328">
        <f t="shared" si="247"/>
        <v>0</v>
      </c>
      <c r="BK59" s="328">
        <f t="shared" si="247"/>
        <v>0</v>
      </c>
      <c r="BL59" s="328">
        <f t="shared" si="247"/>
        <v>439.49760207515646</v>
      </c>
      <c r="BM59" s="328">
        <f t="shared" si="247"/>
        <v>0</v>
      </c>
      <c r="BN59" s="328">
        <f t="shared" si="247"/>
        <v>0</v>
      </c>
      <c r="BO59" s="328">
        <f t="shared" si="247"/>
        <v>0</v>
      </c>
      <c r="BP59" s="328">
        <f t="shared" si="247"/>
        <v>0</v>
      </c>
      <c r="BQ59" s="328">
        <f t="shared" si="247"/>
        <v>0</v>
      </c>
      <c r="BR59" s="328">
        <f t="shared" si="247"/>
        <v>0</v>
      </c>
      <c r="BS59" s="328">
        <f t="shared" si="247"/>
        <v>0</v>
      </c>
      <c r="BT59" s="329">
        <f t="shared" si="247"/>
        <v>0</v>
      </c>
      <c r="BU59" s="330">
        <f>+SUM(BU40:BU58)</f>
        <v>1359.0951496896414</v>
      </c>
      <c r="BV59" s="328">
        <f t="shared" ref="BV59:CG59" si="248">SUM(BV40:BV58)</f>
        <v>0</v>
      </c>
      <c r="BW59" s="328">
        <f t="shared" si="248"/>
        <v>0</v>
      </c>
      <c r="BX59" s="328">
        <f t="shared" si="248"/>
        <v>0</v>
      </c>
      <c r="BY59" s="328">
        <f t="shared" si="248"/>
        <v>0</v>
      </c>
      <c r="BZ59" s="328">
        <f t="shared" si="248"/>
        <v>0</v>
      </c>
      <c r="CA59" s="328">
        <f t="shared" si="248"/>
        <v>0</v>
      </c>
      <c r="CB59" s="328">
        <f t="shared" si="248"/>
        <v>0</v>
      </c>
      <c r="CC59" s="328">
        <f t="shared" si="248"/>
        <v>0</v>
      </c>
      <c r="CD59" s="328">
        <f t="shared" si="248"/>
        <v>0</v>
      </c>
      <c r="CE59" s="328">
        <f t="shared" si="248"/>
        <v>0</v>
      </c>
      <c r="CF59" s="328">
        <f t="shared" si="248"/>
        <v>0</v>
      </c>
      <c r="CG59" s="329">
        <f t="shared" si="248"/>
        <v>0</v>
      </c>
      <c r="CH59" s="330">
        <f>+SUM(CH40:CH58)</f>
        <v>0</v>
      </c>
      <c r="CI59" s="328">
        <f t="shared" ref="CI59:CT59" si="249">SUM(CI40:CI58)</f>
        <v>0</v>
      </c>
      <c r="CJ59" s="328">
        <f t="shared" si="249"/>
        <v>0</v>
      </c>
      <c r="CK59" s="328">
        <f t="shared" si="249"/>
        <v>0</v>
      </c>
      <c r="CL59" s="328">
        <f t="shared" si="249"/>
        <v>0</v>
      </c>
      <c r="CM59" s="328">
        <f t="shared" si="249"/>
        <v>0</v>
      </c>
      <c r="CN59" s="328">
        <f t="shared" si="249"/>
        <v>0</v>
      </c>
      <c r="CO59" s="328">
        <f t="shared" si="249"/>
        <v>0</v>
      </c>
      <c r="CP59" s="328">
        <f t="shared" si="249"/>
        <v>0</v>
      </c>
      <c r="CQ59" s="328">
        <f t="shared" si="249"/>
        <v>0</v>
      </c>
      <c r="CR59" s="328">
        <f t="shared" si="249"/>
        <v>0</v>
      </c>
      <c r="CS59" s="328">
        <f t="shared" si="249"/>
        <v>0</v>
      </c>
      <c r="CT59" s="329">
        <f t="shared" si="249"/>
        <v>0</v>
      </c>
      <c r="CU59" s="330">
        <f>+SUM(CU40:CU58)</f>
        <v>0</v>
      </c>
      <c r="CV59" s="328">
        <f t="shared" ref="CV59:DG59" si="250">SUM(CV40:CV58)</f>
        <v>0</v>
      </c>
      <c r="CW59" s="328">
        <f t="shared" si="250"/>
        <v>0</v>
      </c>
      <c r="CX59" s="328">
        <f t="shared" si="250"/>
        <v>0</v>
      </c>
      <c r="CY59" s="328">
        <f t="shared" si="250"/>
        <v>0</v>
      </c>
      <c r="CZ59" s="328">
        <f t="shared" si="250"/>
        <v>0</v>
      </c>
      <c r="DA59" s="328">
        <f t="shared" si="250"/>
        <v>0</v>
      </c>
      <c r="DB59" s="328">
        <f t="shared" si="250"/>
        <v>0</v>
      </c>
      <c r="DC59" s="328">
        <f t="shared" si="250"/>
        <v>0</v>
      </c>
      <c r="DD59" s="328">
        <f t="shared" si="250"/>
        <v>0</v>
      </c>
      <c r="DE59" s="328">
        <f t="shared" si="250"/>
        <v>0</v>
      </c>
      <c r="DF59" s="328">
        <f t="shared" si="250"/>
        <v>0</v>
      </c>
      <c r="DG59" s="329">
        <f t="shared" si="250"/>
        <v>0</v>
      </c>
      <c r="DH59" s="330">
        <f>+SUM(DH40:DH58)</f>
        <v>0</v>
      </c>
      <c r="DI59" s="328">
        <f t="shared" ref="DI59:DT59" si="251">SUM(DI40:DI58)</f>
        <v>0</v>
      </c>
      <c r="DJ59" s="328">
        <f t="shared" si="251"/>
        <v>0</v>
      </c>
      <c r="DK59" s="328">
        <f t="shared" si="251"/>
        <v>0</v>
      </c>
      <c r="DL59" s="328">
        <f t="shared" si="251"/>
        <v>0</v>
      </c>
      <c r="DM59" s="328">
        <f t="shared" si="251"/>
        <v>0</v>
      </c>
      <c r="DN59" s="328">
        <f t="shared" si="251"/>
        <v>0</v>
      </c>
      <c r="DO59" s="328">
        <f t="shared" si="251"/>
        <v>0</v>
      </c>
      <c r="DP59" s="328">
        <f t="shared" si="251"/>
        <v>0</v>
      </c>
      <c r="DQ59" s="328">
        <f t="shared" si="251"/>
        <v>0</v>
      </c>
      <c r="DR59" s="328">
        <f t="shared" si="251"/>
        <v>0</v>
      </c>
      <c r="DS59" s="328">
        <f t="shared" si="251"/>
        <v>0</v>
      </c>
      <c r="DT59" s="329">
        <f t="shared" si="251"/>
        <v>0</v>
      </c>
      <c r="DU59" s="330">
        <f>+SUM(DU40:DU58)</f>
        <v>0</v>
      </c>
      <c r="DV59" s="328">
        <f t="shared" ref="DV59:EG59" si="252">SUM(DV40:DV58)</f>
        <v>0</v>
      </c>
      <c r="DW59" s="328">
        <f t="shared" si="252"/>
        <v>0</v>
      </c>
      <c r="DX59" s="328">
        <f t="shared" si="252"/>
        <v>0</v>
      </c>
      <c r="DY59" s="328">
        <f t="shared" si="252"/>
        <v>0</v>
      </c>
      <c r="DZ59" s="328">
        <f t="shared" si="252"/>
        <v>0</v>
      </c>
      <c r="EA59" s="328">
        <f t="shared" si="252"/>
        <v>0</v>
      </c>
      <c r="EB59" s="328">
        <f t="shared" si="252"/>
        <v>0</v>
      </c>
      <c r="EC59" s="328">
        <f t="shared" si="252"/>
        <v>0</v>
      </c>
      <c r="ED59" s="328">
        <f t="shared" si="252"/>
        <v>0</v>
      </c>
      <c r="EE59" s="328">
        <f t="shared" si="252"/>
        <v>0</v>
      </c>
      <c r="EF59" s="328">
        <f t="shared" si="252"/>
        <v>0</v>
      </c>
      <c r="EG59" s="329">
        <f t="shared" si="252"/>
        <v>0</v>
      </c>
      <c r="EH59" s="330">
        <f>+SUM(EH40:EH58)</f>
        <v>0</v>
      </c>
      <c r="EI59" s="325"/>
      <c r="EJ59" s="325"/>
      <c r="EK59" s="325"/>
      <c r="EL59" s="325"/>
      <c r="EM59" s="325"/>
    </row>
    <row r="60" spans="1:143" ht="14.25" customHeight="1">
      <c r="A60" s="21"/>
      <c r="B60" s="21"/>
      <c r="C60" s="21"/>
      <c r="D60" s="622">
        <f t="shared" si="63"/>
        <v>51</v>
      </c>
      <c r="E60" s="1459" t="s">
        <v>598</v>
      </c>
      <c r="F60" s="258" t="str">
        <f>+" Purchases of "&amp;Historical!C18</f>
        <v xml:space="preserve"> Purchases of Short Term Investments</v>
      </c>
      <c r="G60" s="310"/>
      <c r="H60" s="331"/>
      <c r="I60" s="332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4">
        <v>10</v>
      </c>
      <c r="U60" s="335">
        <f t="shared" ref="U60:U73" si="253">SUM(I60:T60)</f>
        <v>10</v>
      </c>
      <c r="V60" s="336"/>
      <c r="W60" s="333"/>
      <c r="X60" s="333"/>
      <c r="Y60" s="333"/>
      <c r="Z60" s="333"/>
      <c r="AA60" s="333"/>
      <c r="AB60" s="333"/>
      <c r="AC60" s="333"/>
      <c r="AD60" s="333"/>
      <c r="AE60" s="333"/>
      <c r="AF60" s="333"/>
      <c r="AG60" s="334"/>
      <c r="AH60" s="335">
        <f t="shared" ref="AH60:AH73" si="254">SUM(V60:AG60)</f>
        <v>0</v>
      </c>
      <c r="AI60" s="336"/>
      <c r="AJ60" s="333"/>
      <c r="AK60" s="333"/>
      <c r="AL60" s="333"/>
      <c r="AM60" s="333"/>
      <c r="AN60" s="333"/>
      <c r="AO60" s="333"/>
      <c r="AP60" s="333"/>
      <c r="AQ60" s="333"/>
      <c r="AR60" s="333"/>
      <c r="AS60" s="333"/>
      <c r="AT60" s="334"/>
      <c r="AU60" s="335">
        <f t="shared" ref="AU60:AU73" si="255">SUM(AI60:AT60)</f>
        <v>0</v>
      </c>
      <c r="AV60" s="336"/>
      <c r="AW60" s="333"/>
      <c r="AX60" s="333"/>
      <c r="AY60" s="333"/>
      <c r="AZ60" s="333"/>
      <c r="BA60" s="333"/>
      <c r="BB60" s="333"/>
      <c r="BC60" s="333"/>
      <c r="BD60" s="333"/>
      <c r="BE60" s="333"/>
      <c r="BF60" s="333"/>
      <c r="BG60" s="334"/>
      <c r="BH60" s="335">
        <f t="shared" ref="BH60:BH73" si="256">SUM(AV60:BG60)</f>
        <v>0</v>
      </c>
      <c r="BI60" s="336"/>
      <c r="BJ60" s="333"/>
      <c r="BK60" s="333"/>
      <c r="BL60" s="333"/>
      <c r="BM60" s="333"/>
      <c r="BN60" s="333"/>
      <c r="BO60" s="333"/>
      <c r="BP60" s="333"/>
      <c r="BQ60" s="333"/>
      <c r="BR60" s="333"/>
      <c r="BS60" s="333"/>
      <c r="BT60" s="334"/>
      <c r="BU60" s="335">
        <f t="shared" ref="BU60:BU73" si="257">SUM(BI60:BT60)</f>
        <v>0</v>
      </c>
      <c r="BV60" s="336"/>
      <c r="BW60" s="333"/>
      <c r="BX60" s="333"/>
      <c r="BY60" s="333"/>
      <c r="BZ60" s="333"/>
      <c r="CA60" s="333"/>
      <c r="CB60" s="333"/>
      <c r="CC60" s="333"/>
      <c r="CD60" s="333"/>
      <c r="CE60" s="333"/>
      <c r="CF60" s="333"/>
      <c r="CG60" s="334"/>
      <c r="CH60" s="335">
        <f t="shared" ref="CH60:CH73" si="258">SUM(BV60:CG60)</f>
        <v>0</v>
      </c>
      <c r="CI60" s="336"/>
      <c r="CJ60" s="333"/>
      <c r="CK60" s="333"/>
      <c r="CL60" s="333"/>
      <c r="CM60" s="333"/>
      <c r="CN60" s="333"/>
      <c r="CO60" s="333"/>
      <c r="CP60" s="333"/>
      <c r="CQ60" s="333"/>
      <c r="CR60" s="333"/>
      <c r="CS60" s="333"/>
      <c r="CT60" s="334"/>
      <c r="CU60" s="335">
        <f t="shared" ref="CU60:CU73" si="259">SUM(CI60:CT60)</f>
        <v>0</v>
      </c>
      <c r="CV60" s="336"/>
      <c r="CW60" s="333"/>
      <c r="CX60" s="333"/>
      <c r="CY60" s="333"/>
      <c r="CZ60" s="333"/>
      <c r="DA60" s="333"/>
      <c r="DB60" s="333"/>
      <c r="DC60" s="333"/>
      <c r="DD60" s="333"/>
      <c r="DE60" s="333"/>
      <c r="DF60" s="333"/>
      <c r="DG60" s="334"/>
      <c r="DH60" s="335">
        <f t="shared" ref="DH60:DH73" si="260">SUM(CV60:DG60)</f>
        <v>0</v>
      </c>
      <c r="DI60" s="336"/>
      <c r="DJ60" s="333"/>
      <c r="DK60" s="333"/>
      <c r="DL60" s="333"/>
      <c r="DM60" s="333"/>
      <c r="DN60" s="333"/>
      <c r="DO60" s="333"/>
      <c r="DP60" s="333"/>
      <c r="DQ60" s="333"/>
      <c r="DR60" s="333"/>
      <c r="DS60" s="333"/>
      <c r="DT60" s="334"/>
      <c r="DU60" s="335">
        <f t="shared" ref="DU60:DU73" si="261">SUM(DI60:DT60)</f>
        <v>0</v>
      </c>
      <c r="DV60" s="336"/>
      <c r="DW60" s="333"/>
      <c r="DX60" s="333"/>
      <c r="DY60" s="333"/>
      <c r="DZ60" s="333"/>
      <c r="EA60" s="333"/>
      <c r="EB60" s="333"/>
      <c r="EC60" s="333"/>
      <c r="ED60" s="333"/>
      <c r="EE60" s="333"/>
      <c r="EF60" s="333"/>
      <c r="EG60" s="334"/>
      <c r="EH60" s="335">
        <f t="shared" ref="EH60:EH73" si="262">SUM(DV60:EG60)</f>
        <v>0</v>
      </c>
      <c r="EI60" s="21"/>
      <c r="EJ60" s="21"/>
      <c r="EK60" s="21"/>
      <c r="EL60" s="21"/>
      <c r="EM60" s="21"/>
    </row>
    <row r="61" spans="1:143" ht="14.25" customHeight="1">
      <c r="A61" s="21"/>
      <c r="B61" s="21"/>
      <c r="C61" s="21"/>
      <c r="D61" s="622">
        <f t="shared" ref="D61:D67" si="263">+D60+1</f>
        <v>52</v>
      </c>
      <c r="E61" s="1625"/>
      <c r="F61" s="265" t="str">
        <f>+" Purchases of "&amp;Historical!C26</f>
        <v xml:space="preserve"> Purchases of Fixed Assets</v>
      </c>
      <c r="G61" s="337"/>
      <c r="H61" s="267"/>
      <c r="I61" s="301"/>
      <c r="J61" s="312"/>
      <c r="K61" s="338"/>
      <c r="L61" s="301"/>
      <c r="M61" s="301"/>
      <c r="N61" s="301"/>
      <c r="O61" s="301"/>
      <c r="P61" s="301"/>
      <c r="Q61" s="301"/>
      <c r="R61" s="301"/>
      <c r="S61" s="301"/>
      <c r="T61" s="301">
        <v>20</v>
      </c>
      <c r="U61" s="272">
        <f t="shared" si="253"/>
        <v>20</v>
      </c>
      <c r="V61" s="303"/>
      <c r="W61" s="338"/>
      <c r="X61" s="338"/>
      <c r="Y61" s="338"/>
      <c r="Z61" s="338"/>
      <c r="AA61" s="338"/>
      <c r="AB61" s="338"/>
      <c r="AC61" s="338"/>
      <c r="AD61" s="338"/>
      <c r="AE61" s="338"/>
      <c r="AF61" s="338"/>
      <c r="AG61" s="339"/>
      <c r="AH61" s="272">
        <f t="shared" si="254"/>
        <v>0</v>
      </c>
      <c r="AI61" s="303"/>
      <c r="AJ61" s="312"/>
      <c r="AK61" s="338"/>
      <c r="AL61" s="301"/>
      <c r="AM61" s="301"/>
      <c r="AN61" s="301"/>
      <c r="AO61" s="301"/>
      <c r="AP61" s="301"/>
      <c r="AQ61" s="301"/>
      <c r="AR61" s="301"/>
      <c r="AS61" s="301"/>
      <c r="AT61" s="302"/>
      <c r="AU61" s="272">
        <f t="shared" si="255"/>
        <v>0</v>
      </c>
      <c r="AV61" s="303"/>
      <c r="AW61" s="312"/>
      <c r="AX61" s="338"/>
      <c r="AY61" s="301"/>
      <c r="AZ61" s="301"/>
      <c r="BA61" s="301"/>
      <c r="BB61" s="301"/>
      <c r="BC61" s="301"/>
      <c r="BD61" s="301"/>
      <c r="BE61" s="301"/>
      <c r="BF61" s="301"/>
      <c r="BG61" s="302"/>
      <c r="BH61" s="272">
        <f t="shared" si="256"/>
        <v>0</v>
      </c>
      <c r="BI61" s="303"/>
      <c r="BJ61" s="312"/>
      <c r="BK61" s="338"/>
      <c r="BL61" s="301"/>
      <c r="BM61" s="301"/>
      <c r="BN61" s="301"/>
      <c r="BO61" s="301"/>
      <c r="BP61" s="301"/>
      <c r="BQ61" s="301"/>
      <c r="BR61" s="301"/>
      <c r="BS61" s="301"/>
      <c r="BT61" s="302"/>
      <c r="BU61" s="272">
        <f t="shared" si="257"/>
        <v>0</v>
      </c>
      <c r="BV61" s="303"/>
      <c r="BW61" s="312"/>
      <c r="BX61" s="338"/>
      <c r="BY61" s="301"/>
      <c r="BZ61" s="301"/>
      <c r="CA61" s="301"/>
      <c r="CB61" s="301"/>
      <c r="CC61" s="301"/>
      <c r="CD61" s="301"/>
      <c r="CE61" s="301"/>
      <c r="CF61" s="301"/>
      <c r="CG61" s="302"/>
      <c r="CH61" s="272">
        <f t="shared" si="258"/>
        <v>0</v>
      </c>
      <c r="CI61" s="303"/>
      <c r="CJ61" s="312"/>
      <c r="CK61" s="338"/>
      <c r="CL61" s="301"/>
      <c r="CM61" s="301"/>
      <c r="CN61" s="301"/>
      <c r="CO61" s="301"/>
      <c r="CP61" s="301"/>
      <c r="CQ61" s="301"/>
      <c r="CR61" s="301"/>
      <c r="CS61" s="301"/>
      <c r="CT61" s="302"/>
      <c r="CU61" s="272">
        <f t="shared" si="259"/>
        <v>0</v>
      </c>
      <c r="CV61" s="303"/>
      <c r="CW61" s="312"/>
      <c r="CX61" s="338"/>
      <c r="CY61" s="301"/>
      <c r="CZ61" s="301"/>
      <c r="DA61" s="301"/>
      <c r="DB61" s="301"/>
      <c r="DC61" s="301"/>
      <c r="DD61" s="301"/>
      <c r="DE61" s="301"/>
      <c r="DF61" s="301"/>
      <c r="DG61" s="302"/>
      <c r="DH61" s="272">
        <f t="shared" si="260"/>
        <v>0</v>
      </c>
      <c r="DI61" s="303"/>
      <c r="DJ61" s="312"/>
      <c r="DK61" s="338"/>
      <c r="DL61" s="301"/>
      <c r="DM61" s="301"/>
      <c r="DN61" s="301"/>
      <c r="DO61" s="301"/>
      <c r="DP61" s="301"/>
      <c r="DQ61" s="301"/>
      <c r="DR61" s="301"/>
      <c r="DS61" s="301"/>
      <c r="DT61" s="302"/>
      <c r="DU61" s="272">
        <f t="shared" si="261"/>
        <v>0</v>
      </c>
      <c r="DV61" s="303"/>
      <c r="DW61" s="312"/>
      <c r="DX61" s="338"/>
      <c r="DY61" s="301"/>
      <c r="DZ61" s="301"/>
      <c r="EA61" s="301"/>
      <c r="EB61" s="301"/>
      <c r="EC61" s="301"/>
      <c r="ED61" s="301"/>
      <c r="EE61" s="301"/>
      <c r="EF61" s="301"/>
      <c r="EG61" s="302"/>
      <c r="EH61" s="272">
        <f t="shared" si="262"/>
        <v>0</v>
      </c>
      <c r="EI61" s="21"/>
      <c r="EJ61" s="21"/>
      <c r="EK61" s="21"/>
      <c r="EL61" s="21"/>
      <c r="EM61" s="21"/>
    </row>
    <row r="62" spans="1:143" ht="14.25" customHeight="1">
      <c r="A62" s="21"/>
      <c r="B62" s="21"/>
      <c r="C62" s="21"/>
      <c r="D62" s="622">
        <f t="shared" si="263"/>
        <v>53</v>
      </c>
      <c r="E62" s="1625"/>
      <c r="F62" s="265" t="s">
        <v>599</v>
      </c>
      <c r="G62" s="337"/>
      <c r="H62" s="267"/>
      <c r="I62" s="794">
        <v>100000</v>
      </c>
      <c r="J62" s="340"/>
      <c r="K62" s="647"/>
      <c r="L62" s="794"/>
      <c r="M62" s="794"/>
      <c r="N62" s="794"/>
      <c r="O62" s="794"/>
      <c r="P62" s="794"/>
      <c r="Q62" s="794"/>
      <c r="R62" s="794"/>
      <c r="S62" s="794"/>
      <c r="T62" s="340">
        <v>30</v>
      </c>
      <c r="U62" s="272">
        <f t="shared" si="253"/>
        <v>100030</v>
      </c>
      <c r="V62" s="795"/>
      <c r="W62" s="340"/>
      <c r="X62" s="647"/>
      <c r="Y62" s="794"/>
      <c r="Z62" s="794"/>
      <c r="AA62" s="794"/>
      <c r="AB62" s="794"/>
      <c r="AC62" s="794"/>
      <c r="AD62" s="794"/>
      <c r="AE62" s="794"/>
      <c r="AF62" s="794"/>
      <c r="AG62" s="796"/>
      <c r="AH62" s="272">
        <f t="shared" si="254"/>
        <v>0</v>
      </c>
      <c r="AI62" s="795"/>
      <c r="AJ62" s="340"/>
      <c r="AK62" s="647"/>
      <c r="AL62" s="794"/>
      <c r="AM62" s="794"/>
      <c r="AN62" s="794"/>
      <c r="AO62" s="794"/>
      <c r="AP62" s="794"/>
      <c r="AQ62" s="794"/>
      <c r="AR62" s="794"/>
      <c r="AS62" s="794"/>
      <c r="AT62" s="796"/>
      <c r="AU62" s="272">
        <f t="shared" si="255"/>
        <v>0</v>
      </c>
      <c r="AV62" s="795"/>
      <c r="AW62" s="340"/>
      <c r="AX62" s="647"/>
      <c r="AY62" s="794"/>
      <c r="AZ62" s="794"/>
      <c r="BA62" s="794"/>
      <c r="BB62" s="794"/>
      <c r="BC62" s="794"/>
      <c r="BD62" s="794"/>
      <c r="BE62" s="794"/>
      <c r="BF62" s="794"/>
      <c r="BG62" s="796"/>
      <c r="BH62" s="272">
        <f t="shared" si="256"/>
        <v>0</v>
      </c>
      <c r="BI62" s="795"/>
      <c r="BJ62" s="340"/>
      <c r="BK62" s="647"/>
      <c r="BL62" s="794"/>
      <c r="BM62" s="794"/>
      <c r="BN62" s="794"/>
      <c r="BO62" s="794"/>
      <c r="BP62" s="794"/>
      <c r="BQ62" s="794"/>
      <c r="BR62" s="794"/>
      <c r="BS62" s="794"/>
      <c r="BT62" s="796"/>
      <c r="BU62" s="272">
        <f t="shared" si="257"/>
        <v>0</v>
      </c>
      <c r="BV62" s="795"/>
      <c r="BW62" s="340"/>
      <c r="BX62" s="647"/>
      <c r="BY62" s="794"/>
      <c r="BZ62" s="794"/>
      <c r="CA62" s="794"/>
      <c r="CB62" s="794"/>
      <c r="CC62" s="794"/>
      <c r="CD62" s="794"/>
      <c r="CE62" s="794"/>
      <c r="CF62" s="794"/>
      <c r="CG62" s="796"/>
      <c r="CH62" s="272"/>
      <c r="CI62" s="795"/>
      <c r="CJ62" s="340"/>
      <c r="CK62" s="647"/>
      <c r="CL62" s="794"/>
      <c r="CM62" s="794"/>
      <c r="CN62" s="794"/>
      <c r="CO62" s="794"/>
      <c r="CP62" s="794"/>
      <c r="CQ62" s="794"/>
      <c r="CR62" s="794"/>
      <c r="CS62" s="794"/>
      <c r="CT62" s="796"/>
      <c r="CU62" s="272"/>
      <c r="CV62" s="795"/>
      <c r="CW62" s="340"/>
      <c r="CX62" s="647"/>
      <c r="CY62" s="794"/>
      <c r="CZ62" s="794"/>
      <c r="DA62" s="794"/>
      <c r="DB62" s="794"/>
      <c r="DC62" s="794"/>
      <c r="DD62" s="794"/>
      <c r="DE62" s="794"/>
      <c r="DF62" s="794"/>
      <c r="DG62" s="796"/>
      <c r="DH62" s="272"/>
      <c r="DI62" s="795"/>
      <c r="DJ62" s="340"/>
      <c r="DK62" s="647"/>
      <c r="DL62" s="794"/>
      <c r="DM62" s="794"/>
      <c r="DN62" s="794"/>
      <c r="DO62" s="794"/>
      <c r="DP62" s="794"/>
      <c r="DQ62" s="794"/>
      <c r="DR62" s="794"/>
      <c r="DS62" s="794"/>
      <c r="DT62" s="796"/>
      <c r="DU62" s="272"/>
      <c r="DV62" s="795"/>
      <c r="DW62" s="340"/>
      <c r="DX62" s="647"/>
      <c r="DY62" s="794"/>
      <c r="DZ62" s="794"/>
      <c r="EA62" s="794"/>
      <c r="EB62" s="794"/>
      <c r="EC62" s="794"/>
      <c r="ED62" s="794"/>
      <c r="EE62" s="794"/>
      <c r="EF62" s="794"/>
      <c r="EG62" s="796"/>
      <c r="EH62" s="272"/>
      <c r="EI62" s="21"/>
      <c r="EJ62" s="21"/>
      <c r="EK62" s="21"/>
      <c r="EL62" s="21"/>
      <c r="EM62" s="21"/>
    </row>
    <row r="63" spans="1:143" ht="13.5" customHeight="1">
      <c r="A63" s="21"/>
      <c r="B63" s="21"/>
      <c r="C63" s="21"/>
      <c r="D63" s="622">
        <f t="shared" si="263"/>
        <v>54</v>
      </c>
      <c r="E63" s="1625"/>
      <c r="F63" s="265" t="str">
        <f>+" Purchases of "&amp;Historical!C27</f>
        <v xml:space="preserve"> Purchases of Investment in Associates</v>
      </c>
      <c r="G63" s="337"/>
      <c r="H63" s="267"/>
      <c r="I63" s="298"/>
      <c r="J63" s="340"/>
      <c r="K63" s="647"/>
      <c r="L63" s="298"/>
      <c r="M63" s="298"/>
      <c r="N63" s="298"/>
      <c r="O63" s="298"/>
      <c r="P63" s="298"/>
      <c r="Q63" s="298"/>
      <c r="R63" s="298"/>
      <c r="S63" s="298"/>
      <c r="T63" s="632">
        <v>40</v>
      </c>
      <c r="U63" s="272">
        <f t="shared" si="253"/>
        <v>40</v>
      </c>
      <c r="V63" s="633"/>
      <c r="W63" s="340"/>
      <c r="X63" s="647"/>
      <c r="Y63" s="298"/>
      <c r="Z63" s="298"/>
      <c r="AA63" s="298"/>
      <c r="AB63" s="298"/>
      <c r="AC63" s="298"/>
      <c r="AD63" s="298"/>
      <c r="AE63" s="298"/>
      <c r="AF63" s="298"/>
      <c r="AG63" s="632"/>
      <c r="AH63" s="272">
        <f t="shared" si="254"/>
        <v>0</v>
      </c>
      <c r="AI63" s="633"/>
      <c r="AJ63" s="340"/>
      <c r="AK63" s="647"/>
      <c r="AL63" s="298"/>
      <c r="AM63" s="298"/>
      <c r="AN63" s="298"/>
      <c r="AO63" s="298"/>
      <c r="AP63" s="298"/>
      <c r="AQ63" s="298"/>
      <c r="AR63" s="298"/>
      <c r="AS63" s="298"/>
      <c r="AT63" s="632"/>
      <c r="AU63" s="272">
        <f t="shared" si="255"/>
        <v>0</v>
      </c>
      <c r="AV63" s="633"/>
      <c r="AW63" s="340"/>
      <c r="AX63" s="647"/>
      <c r="AY63" s="298"/>
      <c r="AZ63" s="298"/>
      <c r="BA63" s="298"/>
      <c r="BB63" s="298"/>
      <c r="BC63" s="298"/>
      <c r="BD63" s="298"/>
      <c r="BE63" s="298"/>
      <c r="BF63" s="298"/>
      <c r="BG63" s="632"/>
      <c r="BH63" s="272">
        <f t="shared" si="256"/>
        <v>0</v>
      </c>
      <c r="BI63" s="633"/>
      <c r="BJ63" s="340"/>
      <c r="BK63" s="647"/>
      <c r="BL63" s="298"/>
      <c r="BM63" s="298"/>
      <c r="BN63" s="298"/>
      <c r="BO63" s="298"/>
      <c r="BP63" s="298"/>
      <c r="BQ63" s="298"/>
      <c r="BR63" s="298"/>
      <c r="BS63" s="298"/>
      <c r="BT63" s="632"/>
      <c r="BU63" s="272">
        <f t="shared" si="257"/>
        <v>0</v>
      </c>
      <c r="BV63" s="633"/>
      <c r="BW63" s="340"/>
      <c r="BX63" s="647"/>
      <c r="BY63" s="298"/>
      <c r="BZ63" s="298"/>
      <c r="CA63" s="298"/>
      <c r="CB63" s="298"/>
      <c r="CC63" s="298"/>
      <c r="CD63" s="298"/>
      <c r="CE63" s="298"/>
      <c r="CF63" s="298"/>
      <c r="CG63" s="632"/>
      <c r="CH63" s="272">
        <f t="shared" si="258"/>
        <v>0</v>
      </c>
      <c r="CI63" s="633"/>
      <c r="CJ63" s="340"/>
      <c r="CK63" s="647"/>
      <c r="CL63" s="298"/>
      <c r="CM63" s="298"/>
      <c r="CN63" s="298"/>
      <c r="CO63" s="298"/>
      <c r="CP63" s="298"/>
      <c r="CQ63" s="298"/>
      <c r="CR63" s="298"/>
      <c r="CS63" s="298"/>
      <c r="CT63" s="632"/>
      <c r="CU63" s="272">
        <f t="shared" si="259"/>
        <v>0</v>
      </c>
      <c r="CV63" s="633"/>
      <c r="CW63" s="340"/>
      <c r="CX63" s="647"/>
      <c r="CY63" s="298"/>
      <c r="CZ63" s="298"/>
      <c r="DA63" s="298"/>
      <c r="DB63" s="298"/>
      <c r="DC63" s="298"/>
      <c r="DD63" s="298"/>
      <c r="DE63" s="298"/>
      <c r="DF63" s="298"/>
      <c r="DG63" s="632"/>
      <c r="DH63" s="272">
        <f t="shared" si="260"/>
        <v>0</v>
      </c>
      <c r="DI63" s="633"/>
      <c r="DJ63" s="340"/>
      <c r="DK63" s="647"/>
      <c r="DL63" s="298"/>
      <c r="DM63" s="298"/>
      <c r="DN63" s="298"/>
      <c r="DO63" s="298"/>
      <c r="DP63" s="298"/>
      <c r="DQ63" s="298"/>
      <c r="DR63" s="298"/>
      <c r="DS63" s="298"/>
      <c r="DT63" s="632"/>
      <c r="DU63" s="272">
        <f t="shared" si="261"/>
        <v>0</v>
      </c>
      <c r="DV63" s="633"/>
      <c r="DW63" s="340"/>
      <c r="DX63" s="647"/>
      <c r="DY63" s="298"/>
      <c r="DZ63" s="298"/>
      <c r="EA63" s="298"/>
      <c r="EB63" s="298"/>
      <c r="EC63" s="298"/>
      <c r="ED63" s="298"/>
      <c r="EE63" s="298"/>
      <c r="EF63" s="298"/>
      <c r="EG63" s="632"/>
      <c r="EH63" s="272">
        <f t="shared" si="262"/>
        <v>0</v>
      </c>
      <c r="EI63" s="21"/>
      <c r="EJ63" s="21"/>
      <c r="EK63" s="21"/>
      <c r="EL63" s="21"/>
      <c r="EM63" s="21"/>
    </row>
    <row r="64" spans="1:143" ht="13.5" customHeight="1">
      <c r="A64" s="21"/>
      <c r="B64" s="21"/>
      <c r="C64" s="21"/>
      <c r="D64" s="622">
        <f t="shared" si="263"/>
        <v>55</v>
      </c>
      <c r="E64" s="1625"/>
      <c r="F64" s="842" t="str">
        <f>+" Purchases of "&amp;Historical!C28</f>
        <v xml:space="preserve"> Purchases of Investment in Joint Venture</v>
      </c>
      <c r="G64" s="337"/>
      <c r="H64" s="267"/>
      <c r="I64" s="298"/>
      <c r="J64" s="340"/>
      <c r="K64" s="647"/>
      <c r="L64" s="298"/>
      <c r="M64" s="298"/>
      <c r="N64" s="298"/>
      <c r="O64" s="298"/>
      <c r="P64" s="298"/>
      <c r="Q64" s="298"/>
      <c r="R64" s="298"/>
      <c r="S64" s="298"/>
      <c r="T64" s="632">
        <v>50</v>
      </c>
      <c r="U64" s="272">
        <f t="shared" si="253"/>
        <v>50</v>
      </c>
      <c r="V64" s="633"/>
      <c r="W64" s="340"/>
      <c r="X64" s="647"/>
      <c r="Y64" s="298"/>
      <c r="Z64" s="298"/>
      <c r="AA64" s="298"/>
      <c r="AB64" s="298"/>
      <c r="AC64" s="298"/>
      <c r="AD64" s="298"/>
      <c r="AE64" s="298"/>
      <c r="AF64" s="298"/>
      <c r="AG64" s="632"/>
      <c r="AH64" s="272">
        <f t="shared" si="254"/>
        <v>0</v>
      </c>
      <c r="AI64" s="633"/>
      <c r="AJ64" s="340"/>
      <c r="AK64" s="647"/>
      <c r="AL64" s="298"/>
      <c r="AM64" s="298"/>
      <c r="AN64" s="298"/>
      <c r="AO64" s="298"/>
      <c r="AP64" s="298"/>
      <c r="AQ64" s="298"/>
      <c r="AR64" s="298"/>
      <c r="AS64" s="298"/>
      <c r="AT64" s="632"/>
      <c r="AU64" s="272">
        <f t="shared" si="255"/>
        <v>0</v>
      </c>
      <c r="AV64" s="633"/>
      <c r="AW64" s="340"/>
      <c r="AX64" s="647"/>
      <c r="AY64" s="298"/>
      <c r="AZ64" s="298"/>
      <c r="BA64" s="298"/>
      <c r="BB64" s="298"/>
      <c r="BC64" s="298"/>
      <c r="BD64" s="298"/>
      <c r="BE64" s="298"/>
      <c r="BF64" s="298"/>
      <c r="BG64" s="632"/>
      <c r="BH64" s="272">
        <f t="shared" si="256"/>
        <v>0</v>
      </c>
      <c r="BI64" s="633"/>
      <c r="BJ64" s="340"/>
      <c r="BK64" s="647"/>
      <c r="BL64" s="298"/>
      <c r="BM64" s="298"/>
      <c r="BN64" s="298"/>
      <c r="BO64" s="298"/>
      <c r="BP64" s="298"/>
      <c r="BQ64" s="298"/>
      <c r="BR64" s="298"/>
      <c r="BS64" s="298"/>
      <c r="BT64" s="632"/>
      <c r="BU64" s="272">
        <f t="shared" si="257"/>
        <v>0</v>
      </c>
      <c r="BV64" s="633"/>
      <c r="BW64" s="340"/>
      <c r="BX64" s="647"/>
      <c r="BY64" s="298"/>
      <c r="BZ64" s="298"/>
      <c r="CA64" s="298"/>
      <c r="CB64" s="298"/>
      <c r="CC64" s="298"/>
      <c r="CD64" s="298"/>
      <c r="CE64" s="298"/>
      <c r="CF64" s="298"/>
      <c r="CG64" s="632"/>
      <c r="CH64" s="272"/>
      <c r="CI64" s="633"/>
      <c r="CJ64" s="340"/>
      <c r="CK64" s="647"/>
      <c r="CL64" s="298"/>
      <c r="CM64" s="298"/>
      <c r="CN64" s="298"/>
      <c r="CO64" s="298"/>
      <c r="CP64" s="298"/>
      <c r="CQ64" s="298"/>
      <c r="CR64" s="298"/>
      <c r="CS64" s="298"/>
      <c r="CT64" s="632"/>
      <c r="CU64" s="272"/>
      <c r="CV64" s="633"/>
      <c r="CW64" s="340"/>
      <c r="CX64" s="647"/>
      <c r="CY64" s="298"/>
      <c r="CZ64" s="298"/>
      <c r="DA64" s="298"/>
      <c r="DB64" s="298"/>
      <c r="DC64" s="298"/>
      <c r="DD64" s="298"/>
      <c r="DE64" s="298"/>
      <c r="DF64" s="298"/>
      <c r="DG64" s="632"/>
      <c r="DH64" s="272"/>
      <c r="DI64" s="633"/>
      <c r="DJ64" s="340"/>
      <c r="DK64" s="647"/>
      <c r="DL64" s="298"/>
      <c r="DM64" s="298"/>
      <c r="DN64" s="298"/>
      <c r="DO64" s="298"/>
      <c r="DP64" s="298"/>
      <c r="DQ64" s="298"/>
      <c r="DR64" s="298"/>
      <c r="DS64" s="298"/>
      <c r="DT64" s="632"/>
      <c r="DU64" s="272"/>
      <c r="DV64" s="633"/>
      <c r="DW64" s="340"/>
      <c r="DX64" s="647"/>
      <c r="DY64" s="298"/>
      <c r="DZ64" s="298"/>
      <c r="EA64" s="298"/>
      <c r="EB64" s="298"/>
      <c r="EC64" s="298"/>
      <c r="ED64" s="298"/>
      <c r="EE64" s="298"/>
      <c r="EF64" s="298"/>
      <c r="EG64" s="632"/>
      <c r="EH64" s="272"/>
      <c r="EI64" s="21"/>
      <c r="EJ64" s="21"/>
      <c r="EK64" s="21"/>
      <c r="EL64" s="21"/>
      <c r="EM64" s="21"/>
    </row>
    <row r="65" spans="1:143" ht="13.5" customHeight="1">
      <c r="A65" s="21"/>
      <c r="B65" s="21"/>
      <c r="C65" s="21"/>
      <c r="D65" s="622">
        <f t="shared" si="263"/>
        <v>56</v>
      </c>
      <c r="E65" s="1625"/>
      <c r="F65" s="265" t="str">
        <f>+" Purchases of "&amp;Historical!C30</f>
        <v xml:space="preserve"> Purchases of Deferred Taxes</v>
      </c>
      <c r="G65" s="337"/>
      <c r="H65" s="267"/>
      <c r="I65" s="301"/>
      <c r="J65" s="312"/>
      <c r="K65" s="338"/>
      <c r="L65" s="301"/>
      <c r="M65" s="301"/>
      <c r="N65" s="301"/>
      <c r="O65" s="301"/>
      <c r="P65" s="301"/>
      <c r="Q65" s="301"/>
      <c r="R65" s="301"/>
      <c r="S65" s="301"/>
      <c r="T65" s="302">
        <v>10</v>
      </c>
      <c r="U65" s="272">
        <f t="shared" si="253"/>
        <v>10</v>
      </c>
      <c r="V65" s="303"/>
      <c r="W65" s="312"/>
      <c r="X65" s="338"/>
      <c r="Y65" s="301"/>
      <c r="Z65" s="301"/>
      <c r="AA65" s="301"/>
      <c r="AB65" s="301"/>
      <c r="AC65" s="301"/>
      <c r="AD65" s="301"/>
      <c r="AE65" s="301"/>
      <c r="AF65" s="301"/>
      <c r="AG65" s="302"/>
      <c r="AH65" s="272">
        <f t="shared" si="254"/>
        <v>0</v>
      </c>
      <c r="AI65" s="303"/>
      <c r="AJ65" s="312"/>
      <c r="AK65" s="338"/>
      <c r="AL65" s="301"/>
      <c r="AM65" s="301"/>
      <c r="AN65" s="301"/>
      <c r="AO65" s="301"/>
      <c r="AP65" s="301"/>
      <c r="AQ65" s="301"/>
      <c r="AR65" s="301"/>
      <c r="AS65" s="301"/>
      <c r="AT65" s="302"/>
      <c r="AU65" s="272">
        <f t="shared" si="255"/>
        <v>0</v>
      </c>
      <c r="AV65" s="303"/>
      <c r="AW65" s="312"/>
      <c r="AX65" s="338"/>
      <c r="AY65" s="301"/>
      <c r="AZ65" s="301"/>
      <c r="BA65" s="301"/>
      <c r="BB65" s="301"/>
      <c r="BC65" s="301"/>
      <c r="BD65" s="301"/>
      <c r="BE65" s="301"/>
      <c r="BF65" s="301"/>
      <c r="BG65" s="302"/>
      <c r="BH65" s="272">
        <f t="shared" si="256"/>
        <v>0</v>
      </c>
      <c r="BI65" s="303"/>
      <c r="BJ65" s="312"/>
      <c r="BK65" s="338"/>
      <c r="BL65" s="301"/>
      <c r="BM65" s="301"/>
      <c r="BN65" s="301"/>
      <c r="BO65" s="301"/>
      <c r="BP65" s="301"/>
      <c r="BQ65" s="301"/>
      <c r="BR65" s="301"/>
      <c r="BS65" s="301"/>
      <c r="BT65" s="302"/>
      <c r="BU65" s="272">
        <f t="shared" si="257"/>
        <v>0</v>
      </c>
      <c r="BV65" s="303"/>
      <c r="BW65" s="312"/>
      <c r="BX65" s="338"/>
      <c r="BY65" s="301"/>
      <c r="BZ65" s="301"/>
      <c r="CA65" s="301"/>
      <c r="CB65" s="301"/>
      <c r="CC65" s="301"/>
      <c r="CD65" s="301"/>
      <c r="CE65" s="301"/>
      <c r="CF65" s="301"/>
      <c r="CG65" s="302"/>
      <c r="CH65" s="272">
        <f t="shared" si="258"/>
        <v>0</v>
      </c>
      <c r="CI65" s="303"/>
      <c r="CJ65" s="312"/>
      <c r="CK65" s="338"/>
      <c r="CL65" s="301"/>
      <c r="CM65" s="301"/>
      <c r="CN65" s="301"/>
      <c r="CO65" s="301"/>
      <c r="CP65" s="301"/>
      <c r="CQ65" s="301"/>
      <c r="CR65" s="301"/>
      <c r="CS65" s="301"/>
      <c r="CT65" s="302"/>
      <c r="CU65" s="272">
        <f t="shared" si="259"/>
        <v>0</v>
      </c>
      <c r="CV65" s="303"/>
      <c r="CW65" s="312"/>
      <c r="CX65" s="338"/>
      <c r="CY65" s="301"/>
      <c r="CZ65" s="301"/>
      <c r="DA65" s="301"/>
      <c r="DB65" s="301"/>
      <c r="DC65" s="301"/>
      <c r="DD65" s="301"/>
      <c r="DE65" s="301"/>
      <c r="DF65" s="301"/>
      <c r="DG65" s="302"/>
      <c r="DH65" s="272">
        <f t="shared" si="260"/>
        <v>0</v>
      </c>
      <c r="DI65" s="303"/>
      <c r="DJ65" s="312"/>
      <c r="DK65" s="338"/>
      <c r="DL65" s="301"/>
      <c r="DM65" s="301"/>
      <c r="DN65" s="301"/>
      <c r="DO65" s="301"/>
      <c r="DP65" s="301"/>
      <c r="DQ65" s="301"/>
      <c r="DR65" s="301"/>
      <c r="DS65" s="301"/>
      <c r="DT65" s="302"/>
      <c r="DU65" s="272">
        <f t="shared" si="261"/>
        <v>0</v>
      </c>
      <c r="DV65" s="303"/>
      <c r="DW65" s="312"/>
      <c r="DX65" s="338"/>
      <c r="DY65" s="301"/>
      <c r="DZ65" s="301"/>
      <c r="EA65" s="301"/>
      <c r="EB65" s="301"/>
      <c r="EC65" s="301"/>
      <c r="ED65" s="301"/>
      <c r="EE65" s="301"/>
      <c r="EF65" s="301"/>
      <c r="EG65" s="302"/>
      <c r="EH65" s="272">
        <f t="shared" si="262"/>
        <v>0</v>
      </c>
      <c r="EI65" s="21"/>
      <c r="EJ65" s="21"/>
      <c r="EK65" s="21"/>
      <c r="EL65" s="21"/>
      <c r="EM65" s="21"/>
    </row>
    <row r="66" spans="1:143" ht="13.5" customHeight="1">
      <c r="A66" s="21"/>
      <c r="B66" s="21"/>
      <c r="C66" s="21"/>
      <c r="D66" s="622">
        <f t="shared" si="263"/>
        <v>57</v>
      </c>
      <c r="E66" s="1625"/>
      <c r="F66" s="265" t="str">
        <f>+" Purchases of "&amp;Historical!C31</f>
        <v xml:space="preserve"> Purchases of Other Non-Current Assets</v>
      </c>
      <c r="G66" s="337"/>
      <c r="H66" s="267"/>
      <c r="I66" s="301"/>
      <c r="J66" s="312"/>
      <c r="K66" s="338"/>
      <c r="L66" s="301"/>
      <c r="M66" s="301"/>
      <c r="N66" s="301"/>
      <c r="O66" s="301"/>
      <c r="P66" s="301"/>
      <c r="Q66" s="301"/>
      <c r="R66" s="301"/>
      <c r="S66" s="301"/>
      <c r="T66" s="302">
        <v>20</v>
      </c>
      <c r="U66" s="272">
        <f t="shared" si="253"/>
        <v>20</v>
      </c>
      <c r="V66" s="303"/>
      <c r="W66" s="312"/>
      <c r="X66" s="338"/>
      <c r="Y66" s="301"/>
      <c r="Z66" s="301"/>
      <c r="AA66" s="301"/>
      <c r="AB66" s="301"/>
      <c r="AC66" s="301"/>
      <c r="AD66" s="301"/>
      <c r="AE66" s="301"/>
      <c r="AF66" s="301"/>
      <c r="AG66" s="302"/>
      <c r="AH66" s="272">
        <f t="shared" si="254"/>
        <v>0</v>
      </c>
      <c r="AI66" s="303"/>
      <c r="AJ66" s="312"/>
      <c r="AK66" s="338"/>
      <c r="AL66" s="301"/>
      <c r="AM66" s="301"/>
      <c r="AN66" s="301"/>
      <c r="AO66" s="301"/>
      <c r="AP66" s="301"/>
      <c r="AQ66" s="301"/>
      <c r="AR66" s="301"/>
      <c r="AS66" s="301"/>
      <c r="AT66" s="302"/>
      <c r="AU66" s="272">
        <f t="shared" si="255"/>
        <v>0</v>
      </c>
      <c r="AV66" s="303"/>
      <c r="AW66" s="312"/>
      <c r="AX66" s="338"/>
      <c r="AY66" s="301"/>
      <c r="AZ66" s="301"/>
      <c r="BA66" s="301"/>
      <c r="BB66" s="301"/>
      <c r="BC66" s="301"/>
      <c r="BD66" s="301"/>
      <c r="BE66" s="301"/>
      <c r="BF66" s="301"/>
      <c r="BG66" s="302"/>
      <c r="BH66" s="272">
        <f t="shared" si="256"/>
        <v>0</v>
      </c>
      <c r="BI66" s="303"/>
      <c r="BJ66" s="312"/>
      <c r="BK66" s="338"/>
      <c r="BL66" s="301"/>
      <c r="BM66" s="301"/>
      <c r="BN66" s="301"/>
      <c r="BO66" s="301"/>
      <c r="BP66" s="301"/>
      <c r="BQ66" s="301"/>
      <c r="BR66" s="301"/>
      <c r="BS66" s="301"/>
      <c r="BT66" s="302"/>
      <c r="BU66" s="272">
        <f t="shared" si="257"/>
        <v>0</v>
      </c>
      <c r="BV66" s="303"/>
      <c r="BW66" s="312"/>
      <c r="BX66" s="338"/>
      <c r="BY66" s="301"/>
      <c r="BZ66" s="301"/>
      <c r="CA66" s="301"/>
      <c r="CB66" s="301"/>
      <c r="CC66" s="301"/>
      <c r="CD66" s="301"/>
      <c r="CE66" s="301"/>
      <c r="CF66" s="301"/>
      <c r="CG66" s="302"/>
      <c r="CH66" s="272">
        <f t="shared" si="258"/>
        <v>0</v>
      </c>
      <c r="CI66" s="303"/>
      <c r="CJ66" s="312"/>
      <c r="CK66" s="338"/>
      <c r="CL66" s="301"/>
      <c r="CM66" s="301"/>
      <c r="CN66" s="301"/>
      <c r="CO66" s="301"/>
      <c r="CP66" s="301"/>
      <c r="CQ66" s="301"/>
      <c r="CR66" s="301"/>
      <c r="CS66" s="301"/>
      <c r="CT66" s="302"/>
      <c r="CU66" s="272">
        <f t="shared" si="259"/>
        <v>0</v>
      </c>
      <c r="CV66" s="303"/>
      <c r="CW66" s="312"/>
      <c r="CX66" s="338"/>
      <c r="CY66" s="301"/>
      <c r="CZ66" s="301"/>
      <c r="DA66" s="301"/>
      <c r="DB66" s="301"/>
      <c r="DC66" s="301"/>
      <c r="DD66" s="301"/>
      <c r="DE66" s="301"/>
      <c r="DF66" s="301"/>
      <c r="DG66" s="302"/>
      <c r="DH66" s="272">
        <f t="shared" si="260"/>
        <v>0</v>
      </c>
      <c r="DI66" s="303"/>
      <c r="DJ66" s="312"/>
      <c r="DK66" s="338"/>
      <c r="DL66" s="301"/>
      <c r="DM66" s="301"/>
      <c r="DN66" s="301"/>
      <c r="DO66" s="301"/>
      <c r="DP66" s="301"/>
      <c r="DQ66" s="301"/>
      <c r="DR66" s="301"/>
      <c r="DS66" s="301"/>
      <c r="DT66" s="302"/>
      <c r="DU66" s="272">
        <f t="shared" si="261"/>
        <v>0</v>
      </c>
      <c r="DV66" s="303"/>
      <c r="DW66" s="312"/>
      <c r="DX66" s="338"/>
      <c r="DY66" s="301"/>
      <c r="DZ66" s="301"/>
      <c r="EA66" s="301"/>
      <c r="EB66" s="301"/>
      <c r="EC66" s="301"/>
      <c r="ED66" s="301"/>
      <c r="EE66" s="301"/>
      <c r="EF66" s="301"/>
      <c r="EG66" s="302"/>
      <c r="EH66" s="272">
        <f t="shared" si="262"/>
        <v>0</v>
      </c>
      <c r="EI66" s="21"/>
      <c r="EJ66" s="21"/>
      <c r="EK66" s="21"/>
      <c r="EL66" s="21"/>
      <c r="EM66" s="21"/>
    </row>
    <row r="67" spans="1:143" ht="13.5" customHeight="1">
      <c r="A67" s="21"/>
      <c r="B67" s="21"/>
      <c r="C67" s="21"/>
      <c r="D67" s="622">
        <f t="shared" si="263"/>
        <v>58</v>
      </c>
      <c r="E67" s="1625"/>
      <c r="F67" s="265" t="str">
        <f>+" Purchases of "&amp;Historical!C32</f>
        <v xml:space="preserve"> Purchases of Investments</v>
      </c>
      <c r="G67" s="337"/>
      <c r="H67" s="267"/>
      <c r="I67" s="301"/>
      <c r="J67" s="312"/>
      <c r="K67" s="338"/>
      <c r="L67" s="301"/>
      <c r="M67" s="301"/>
      <c r="N67" s="301"/>
      <c r="O67" s="301"/>
      <c r="P67" s="301"/>
      <c r="Q67" s="301"/>
      <c r="R67" s="301"/>
      <c r="S67" s="301"/>
      <c r="T67" s="302">
        <v>30</v>
      </c>
      <c r="U67" s="272">
        <f t="shared" si="253"/>
        <v>30</v>
      </c>
      <c r="V67" s="303"/>
      <c r="W67" s="312"/>
      <c r="X67" s="338"/>
      <c r="Y67" s="301"/>
      <c r="Z67" s="301"/>
      <c r="AA67" s="301"/>
      <c r="AB67" s="301"/>
      <c r="AC67" s="301"/>
      <c r="AD67" s="301"/>
      <c r="AE67" s="301"/>
      <c r="AF67" s="301"/>
      <c r="AG67" s="302"/>
      <c r="AH67" s="272">
        <f t="shared" si="254"/>
        <v>0</v>
      </c>
      <c r="AI67" s="303"/>
      <c r="AJ67" s="312"/>
      <c r="AK67" s="338"/>
      <c r="AL67" s="301"/>
      <c r="AM67" s="301"/>
      <c r="AN67" s="301"/>
      <c r="AO67" s="301"/>
      <c r="AP67" s="301"/>
      <c r="AQ67" s="301"/>
      <c r="AR67" s="301"/>
      <c r="AS67" s="301"/>
      <c r="AT67" s="302"/>
      <c r="AU67" s="272">
        <f t="shared" si="255"/>
        <v>0</v>
      </c>
      <c r="AV67" s="303"/>
      <c r="AW67" s="312"/>
      <c r="AX67" s="338"/>
      <c r="AY67" s="301"/>
      <c r="AZ67" s="301"/>
      <c r="BA67" s="301"/>
      <c r="BB67" s="301"/>
      <c r="BC67" s="301"/>
      <c r="BD67" s="301"/>
      <c r="BE67" s="301"/>
      <c r="BF67" s="301"/>
      <c r="BG67" s="302"/>
      <c r="BH67" s="272">
        <f t="shared" si="256"/>
        <v>0</v>
      </c>
      <c r="BI67" s="303"/>
      <c r="BJ67" s="312"/>
      <c r="BK67" s="338"/>
      <c r="BL67" s="301"/>
      <c r="BM67" s="301"/>
      <c r="BN67" s="301"/>
      <c r="BO67" s="301"/>
      <c r="BP67" s="301"/>
      <c r="BQ67" s="301"/>
      <c r="BR67" s="301"/>
      <c r="BS67" s="301"/>
      <c r="BT67" s="302"/>
      <c r="BU67" s="272">
        <f t="shared" si="257"/>
        <v>0</v>
      </c>
      <c r="BV67" s="303"/>
      <c r="BW67" s="312"/>
      <c r="BX67" s="338"/>
      <c r="BY67" s="301"/>
      <c r="BZ67" s="301"/>
      <c r="CA67" s="301"/>
      <c r="CB67" s="301"/>
      <c r="CC67" s="301"/>
      <c r="CD67" s="301"/>
      <c r="CE67" s="301"/>
      <c r="CF67" s="301"/>
      <c r="CG67" s="302"/>
      <c r="CH67" s="272">
        <f t="shared" si="258"/>
        <v>0</v>
      </c>
      <c r="CI67" s="303"/>
      <c r="CJ67" s="312"/>
      <c r="CK67" s="338"/>
      <c r="CL67" s="301"/>
      <c r="CM67" s="301"/>
      <c r="CN67" s="301"/>
      <c r="CO67" s="301"/>
      <c r="CP67" s="301"/>
      <c r="CQ67" s="301"/>
      <c r="CR67" s="301"/>
      <c r="CS67" s="301"/>
      <c r="CT67" s="302"/>
      <c r="CU67" s="272">
        <f t="shared" si="259"/>
        <v>0</v>
      </c>
      <c r="CV67" s="303"/>
      <c r="CW67" s="312"/>
      <c r="CX67" s="338"/>
      <c r="CY67" s="301"/>
      <c r="CZ67" s="301"/>
      <c r="DA67" s="301"/>
      <c r="DB67" s="301"/>
      <c r="DC67" s="301"/>
      <c r="DD67" s="301"/>
      <c r="DE67" s="301"/>
      <c r="DF67" s="301"/>
      <c r="DG67" s="302"/>
      <c r="DH67" s="272">
        <f t="shared" si="260"/>
        <v>0</v>
      </c>
      <c r="DI67" s="303"/>
      <c r="DJ67" s="312"/>
      <c r="DK67" s="338"/>
      <c r="DL67" s="301"/>
      <c r="DM67" s="301"/>
      <c r="DN67" s="301"/>
      <c r="DO67" s="301"/>
      <c r="DP67" s="301"/>
      <c r="DQ67" s="301"/>
      <c r="DR67" s="301"/>
      <c r="DS67" s="301"/>
      <c r="DT67" s="302"/>
      <c r="DU67" s="272">
        <f t="shared" si="261"/>
        <v>0</v>
      </c>
      <c r="DV67" s="303"/>
      <c r="DW67" s="312"/>
      <c r="DX67" s="338"/>
      <c r="DY67" s="301"/>
      <c r="DZ67" s="301"/>
      <c r="EA67" s="301"/>
      <c r="EB67" s="301"/>
      <c r="EC67" s="301"/>
      <c r="ED67" s="301"/>
      <c r="EE67" s="301"/>
      <c r="EF67" s="301"/>
      <c r="EG67" s="302"/>
      <c r="EH67" s="272">
        <f t="shared" si="262"/>
        <v>0</v>
      </c>
      <c r="EI67" s="21"/>
      <c r="EJ67" s="21"/>
      <c r="EK67" s="21"/>
      <c r="EL67" s="21"/>
      <c r="EM67" s="21"/>
    </row>
    <row r="68" spans="1:143" ht="13.5" customHeight="1">
      <c r="A68" s="21"/>
      <c r="B68" s="21"/>
      <c r="C68" s="21"/>
      <c r="D68" s="622">
        <f>D67+1</f>
        <v>59</v>
      </c>
      <c r="E68" s="1625"/>
      <c r="F68" s="265" t="str">
        <f>+" Payments of "&amp;Historical!C55</f>
        <v xml:space="preserve"> Payments of Employee Benefit Liabilities</v>
      </c>
      <c r="G68" s="296"/>
      <c r="H68" s="267"/>
      <c r="I68" s="301"/>
      <c r="J68" s="312"/>
      <c r="K68" s="338"/>
      <c r="L68" s="301"/>
      <c r="M68" s="301"/>
      <c r="N68" s="301"/>
      <c r="O68" s="301"/>
      <c r="P68" s="301"/>
      <c r="Q68" s="301"/>
      <c r="R68" s="301"/>
      <c r="S68" s="301"/>
      <c r="T68" s="302">
        <v>40</v>
      </c>
      <c r="U68" s="272">
        <f t="shared" si="253"/>
        <v>40</v>
      </c>
      <c r="V68" s="303"/>
      <c r="W68" s="312"/>
      <c r="X68" s="338"/>
      <c r="Y68" s="301"/>
      <c r="Z68" s="301"/>
      <c r="AA68" s="301"/>
      <c r="AB68" s="301"/>
      <c r="AC68" s="301"/>
      <c r="AD68" s="301"/>
      <c r="AE68" s="301"/>
      <c r="AF68" s="301"/>
      <c r="AG68" s="302"/>
      <c r="AH68" s="272">
        <f t="shared" si="254"/>
        <v>0</v>
      </c>
      <c r="AI68" s="303"/>
      <c r="AJ68" s="312"/>
      <c r="AK68" s="338"/>
      <c r="AL68" s="301"/>
      <c r="AM68" s="301"/>
      <c r="AN68" s="301"/>
      <c r="AO68" s="301"/>
      <c r="AP68" s="301"/>
      <c r="AQ68" s="301"/>
      <c r="AR68" s="301"/>
      <c r="AS68" s="301"/>
      <c r="AT68" s="302"/>
      <c r="AU68" s="272">
        <f t="shared" si="255"/>
        <v>0</v>
      </c>
      <c r="AV68" s="303"/>
      <c r="AW68" s="312"/>
      <c r="AX68" s="338"/>
      <c r="AY68" s="301"/>
      <c r="AZ68" s="301"/>
      <c r="BA68" s="301"/>
      <c r="BB68" s="301"/>
      <c r="BC68" s="301"/>
      <c r="BD68" s="301"/>
      <c r="BE68" s="301"/>
      <c r="BF68" s="301"/>
      <c r="BG68" s="302"/>
      <c r="BH68" s="272">
        <f t="shared" si="256"/>
        <v>0</v>
      </c>
      <c r="BI68" s="303"/>
      <c r="BJ68" s="312"/>
      <c r="BK68" s="338"/>
      <c r="BL68" s="301"/>
      <c r="BM68" s="301"/>
      <c r="BN68" s="301"/>
      <c r="BO68" s="301"/>
      <c r="BP68" s="301"/>
      <c r="BQ68" s="301"/>
      <c r="BR68" s="301"/>
      <c r="BS68" s="301"/>
      <c r="BT68" s="302"/>
      <c r="BU68" s="272">
        <f t="shared" si="257"/>
        <v>0</v>
      </c>
      <c r="BV68" s="303"/>
      <c r="BW68" s="312"/>
      <c r="BX68" s="338"/>
      <c r="BY68" s="301"/>
      <c r="BZ68" s="301"/>
      <c r="CA68" s="301"/>
      <c r="CB68" s="301"/>
      <c r="CC68" s="301"/>
      <c r="CD68" s="301"/>
      <c r="CE68" s="301"/>
      <c r="CF68" s="301"/>
      <c r="CG68" s="302"/>
      <c r="CH68" s="272">
        <f t="shared" si="258"/>
        <v>0</v>
      </c>
      <c r="CI68" s="303"/>
      <c r="CJ68" s="312"/>
      <c r="CK68" s="338"/>
      <c r="CL68" s="301"/>
      <c r="CM68" s="301"/>
      <c r="CN68" s="301"/>
      <c r="CO68" s="301"/>
      <c r="CP68" s="301"/>
      <c r="CQ68" s="301"/>
      <c r="CR68" s="301"/>
      <c r="CS68" s="301"/>
      <c r="CT68" s="302"/>
      <c r="CU68" s="272">
        <f t="shared" si="259"/>
        <v>0</v>
      </c>
      <c r="CV68" s="303"/>
      <c r="CW68" s="312"/>
      <c r="CX68" s="338"/>
      <c r="CY68" s="301"/>
      <c r="CZ68" s="301"/>
      <c r="DA68" s="301"/>
      <c r="DB68" s="301"/>
      <c r="DC68" s="301"/>
      <c r="DD68" s="301"/>
      <c r="DE68" s="301"/>
      <c r="DF68" s="301"/>
      <c r="DG68" s="302"/>
      <c r="DH68" s="272">
        <f t="shared" si="260"/>
        <v>0</v>
      </c>
      <c r="DI68" s="303"/>
      <c r="DJ68" s="312"/>
      <c r="DK68" s="338"/>
      <c r="DL68" s="301"/>
      <c r="DM68" s="301"/>
      <c r="DN68" s="301"/>
      <c r="DO68" s="301"/>
      <c r="DP68" s="301"/>
      <c r="DQ68" s="301"/>
      <c r="DR68" s="301"/>
      <c r="DS68" s="301"/>
      <c r="DT68" s="302"/>
      <c r="DU68" s="272">
        <f t="shared" si="261"/>
        <v>0</v>
      </c>
      <c r="DV68" s="303"/>
      <c r="DW68" s="312"/>
      <c r="DX68" s="338"/>
      <c r="DY68" s="301"/>
      <c r="DZ68" s="301"/>
      <c r="EA68" s="301"/>
      <c r="EB68" s="301"/>
      <c r="EC68" s="301"/>
      <c r="ED68" s="301"/>
      <c r="EE68" s="301"/>
      <c r="EF68" s="301"/>
      <c r="EG68" s="302"/>
      <c r="EH68" s="272">
        <f t="shared" si="262"/>
        <v>0</v>
      </c>
      <c r="EI68" s="21"/>
      <c r="EJ68" s="21"/>
      <c r="EK68" s="21"/>
      <c r="EL68" s="21"/>
      <c r="EM68" s="21"/>
    </row>
    <row r="69" spans="1:143" ht="13.5" customHeight="1">
      <c r="A69" s="21"/>
      <c r="B69" s="21"/>
      <c r="C69" s="21"/>
      <c r="D69" s="622">
        <f t="shared" ref="D69:D72" si="264">+D68+1</f>
        <v>60</v>
      </c>
      <c r="E69" s="1625"/>
      <c r="F69" s="265" t="str">
        <f>+" Payments of "&amp;Historical!C56</f>
        <v xml:space="preserve"> Payments of Long Term Tax Payables</v>
      </c>
      <c r="G69" s="296"/>
      <c r="H69" s="267"/>
      <c r="I69" s="301"/>
      <c r="J69" s="312"/>
      <c r="K69" s="338"/>
      <c r="L69" s="301"/>
      <c r="M69" s="301"/>
      <c r="N69" s="301"/>
      <c r="O69" s="301"/>
      <c r="P69" s="301"/>
      <c r="Q69" s="301"/>
      <c r="R69" s="301"/>
      <c r="S69" s="301"/>
      <c r="T69" s="302">
        <v>50</v>
      </c>
      <c r="U69" s="272">
        <f t="shared" si="253"/>
        <v>50</v>
      </c>
      <c r="V69" s="303"/>
      <c r="W69" s="312"/>
      <c r="X69" s="338"/>
      <c r="Y69" s="301"/>
      <c r="Z69" s="301"/>
      <c r="AA69" s="301"/>
      <c r="AB69" s="301"/>
      <c r="AC69" s="301"/>
      <c r="AD69" s="301"/>
      <c r="AE69" s="301"/>
      <c r="AF69" s="301"/>
      <c r="AG69" s="302"/>
      <c r="AH69" s="272">
        <f t="shared" si="254"/>
        <v>0</v>
      </c>
      <c r="AI69" s="303"/>
      <c r="AJ69" s="312"/>
      <c r="AK69" s="338"/>
      <c r="AL69" s="301"/>
      <c r="AM69" s="301"/>
      <c r="AN69" s="301"/>
      <c r="AO69" s="301"/>
      <c r="AP69" s="301"/>
      <c r="AQ69" s="301"/>
      <c r="AR69" s="301"/>
      <c r="AS69" s="301"/>
      <c r="AT69" s="302"/>
      <c r="AU69" s="272">
        <f t="shared" si="255"/>
        <v>0</v>
      </c>
      <c r="AV69" s="303"/>
      <c r="AW69" s="312"/>
      <c r="AX69" s="338"/>
      <c r="AY69" s="301"/>
      <c r="AZ69" s="301"/>
      <c r="BA69" s="301"/>
      <c r="BB69" s="301"/>
      <c r="BC69" s="301"/>
      <c r="BD69" s="301"/>
      <c r="BE69" s="301"/>
      <c r="BF69" s="301"/>
      <c r="BG69" s="302"/>
      <c r="BH69" s="272">
        <f t="shared" si="256"/>
        <v>0</v>
      </c>
      <c r="BI69" s="303"/>
      <c r="BJ69" s="312"/>
      <c r="BK69" s="338"/>
      <c r="BL69" s="301"/>
      <c r="BM69" s="301"/>
      <c r="BN69" s="301"/>
      <c r="BO69" s="301"/>
      <c r="BP69" s="301"/>
      <c r="BQ69" s="301"/>
      <c r="BR69" s="301"/>
      <c r="BS69" s="301"/>
      <c r="BT69" s="302"/>
      <c r="BU69" s="272">
        <f t="shared" si="257"/>
        <v>0</v>
      </c>
      <c r="BV69" s="303"/>
      <c r="BW69" s="312"/>
      <c r="BX69" s="338"/>
      <c r="BY69" s="301"/>
      <c r="BZ69" s="301"/>
      <c r="CA69" s="301"/>
      <c r="CB69" s="301"/>
      <c r="CC69" s="301"/>
      <c r="CD69" s="301"/>
      <c r="CE69" s="301"/>
      <c r="CF69" s="301"/>
      <c r="CG69" s="302"/>
      <c r="CH69" s="272">
        <f t="shared" si="258"/>
        <v>0</v>
      </c>
      <c r="CI69" s="303"/>
      <c r="CJ69" s="312"/>
      <c r="CK69" s="338"/>
      <c r="CL69" s="301"/>
      <c r="CM69" s="301"/>
      <c r="CN69" s="301"/>
      <c r="CO69" s="301"/>
      <c r="CP69" s="301"/>
      <c r="CQ69" s="301"/>
      <c r="CR69" s="301"/>
      <c r="CS69" s="301"/>
      <c r="CT69" s="302"/>
      <c r="CU69" s="272">
        <f t="shared" si="259"/>
        <v>0</v>
      </c>
      <c r="CV69" s="303"/>
      <c r="CW69" s="312"/>
      <c r="CX69" s="338"/>
      <c r="CY69" s="301"/>
      <c r="CZ69" s="301"/>
      <c r="DA69" s="301"/>
      <c r="DB69" s="301"/>
      <c r="DC69" s="301"/>
      <c r="DD69" s="301"/>
      <c r="DE69" s="301"/>
      <c r="DF69" s="301"/>
      <c r="DG69" s="302"/>
      <c r="DH69" s="272">
        <f t="shared" si="260"/>
        <v>0</v>
      </c>
      <c r="DI69" s="303"/>
      <c r="DJ69" s="312"/>
      <c r="DK69" s="338"/>
      <c r="DL69" s="301"/>
      <c r="DM69" s="301"/>
      <c r="DN69" s="301"/>
      <c r="DO69" s="301"/>
      <c r="DP69" s="301"/>
      <c r="DQ69" s="301"/>
      <c r="DR69" s="301"/>
      <c r="DS69" s="301"/>
      <c r="DT69" s="302"/>
      <c r="DU69" s="272">
        <f t="shared" si="261"/>
        <v>0</v>
      </c>
      <c r="DV69" s="303"/>
      <c r="DW69" s="312"/>
      <c r="DX69" s="338"/>
      <c r="DY69" s="301"/>
      <c r="DZ69" s="301"/>
      <c r="EA69" s="301"/>
      <c r="EB69" s="301"/>
      <c r="EC69" s="301"/>
      <c r="ED69" s="301"/>
      <c r="EE69" s="301"/>
      <c r="EF69" s="301"/>
      <c r="EG69" s="302"/>
      <c r="EH69" s="272">
        <f t="shared" si="262"/>
        <v>0</v>
      </c>
      <c r="EI69" s="21"/>
      <c r="EJ69" s="21"/>
      <c r="EK69" s="21"/>
      <c r="EL69" s="21"/>
      <c r="EM69" s="21"/>
    </row>
    <row r="70" spans="1:143" ht="13.5" customHeight="1">
      <c r="A70" s="21"/>
      <c r="B70" s="21"/>
      <c r="C70" s="21"/>
      <c r="D70" s="622">
        <f t="shared" si="264"/>
        <v>61</v>
      </c>
      <c r="E70" s="1625"/>
      <c r="F70" s="265" t="str">
        <f>+" Payments of "&amp;Historical!C57</f>
        <v xml:space="preserve"> Payments of Shareholders &amp; Related Parties Loan- Long Term</v>
      </c>
      <c r="G70" s="296"/>
      <c r="H70" s="267"/>
      <c r="I70" s="301"/>
      <c r="J70" s="312"/>
      <c r="K70" s="338">
        <v>0</v>
      </c>
      <c r="L70" s="301"/>
      <c r="M70" s="301"/>
      <c r="N70" s="301"/>
      <c r="O70" s="301"/>
      <c r="P70" s="301"/>
      <c r="Q70" s="301"/>
      <c r="R70" s="301"/>
      <c r="S70" s="301"/>
      <c r="T70" s="302">
        <v>10</v>
      </c>
      <c r="U70" s="272">
        <f t="shared" si="253"/>
        <v>10</v>
      </c>
      <c r="V70" s="303"/>
      <c r="W70" s="312"/>
      <c r="X70" s="338"/>
      <c r="Y70" s="301"/>
      <c r="Z70" s="301"/>
      <c r="AA70" s="301"/>
      <c r="AB70" s="301"/>
      <c r="AC70" s="301"/>
      <c r="AD70" s="301"/>
      <c r="AE70" s="301"/>
      <c r="AF70" s="301"/>
      <c r="AG70" s="302"/>
      <c r="AH70" s="272">
        <f t="shared" si="254"/>
        <v>0</v>
      </c>
      <c r="AI70" s="303"/>
      <c r="AJ70" s="312"/>
      <c r="AK70" s="338"/>
      <c r="AL70" s="301"/>
      <c r="AM70" s="301"/>
      <c r="AN70" s="301"/>
      <c r="AO70" s="301"/>
      <c r="AP70" s="301"/>
      <c r="AQ70" s="301"/>
      <c r="AR70" s="301"/>
      <c r="AS70" s="301"/>
      <c r="AT70" s="302"/>
      <c r="AU70" s="272">
        <f t="shared" si="255"/>
        <v>0</v>
      </c>
      <c r="AV70" s="303"/>
      <c r="AW70" s="312"/>
      <c r="AX70" s="338"/>
      <c r="AY70" s="301"/>
      <c r="AZ70" s="301"/>
      <c r="BA70" s="301"/>
      <c r="BB70" s="301"/>
      <c r="BC70" s="301"/>
      <c r="BD70" s="301"/>
      <c r="BE70" s="301"/>
      <c r="BF70" s="301"/>
      <c r="BG70" s="302"/>
      <c r="BH70" s="272">
        <f t="shared" si="256"/>
        <v>0</v>
      </c>
      <c r="BI70" s="303"/>
      <c r="BJ70" s="312"/>
      <c r="BK70" s="338"/>
      <c r="BL70" s="301"/>
      <c r="BM70" s="301"/>
      <c r="BN70" s="301"/>
      <c r="BO70" s="301"/>
      <c r="BP70" s="301"/>
      <c r="BQ70" s="301"/>
      <c r="BR70" s="301"/>
      <c r="BS70" s="301"/>
      <c r="BT70" s="302"/>
      <c r="BU70" s="272">
        <f t="shared" si="257"/>
        <v>0</v>
      </c>
      <c r="BV70" s="303"/>
      <c r="BW70" s="312"/>
      <c r="BX70" s="338"/>
      <c r="BY70" s="301"/>
      <c r="BZ70" s="301"/>
      <c r="CA70" s="301"/>
      <c r="CB70" s="301"/>
      <c r="CC70" s="301"/>
      <c r="CD70" s="301"/>
      <c r="CE70" s="301"/>
      <c r="CF70" s="301"/>
      <c r="CG70" s="302"/>
      <c r="CH70" s="272">
        <f t="shared" si="258"/>
        <v>0</v>
      </c>
      <c r="CI70" s="303"/>
      <c r="CJ70" s="312"/>
      <c r="CK70" s="338"/>
      <c r="CL70" s="301"/>
      <c r="CM70" s="301"/>
      <c r="CN70" s="301"/>
      <c r="CO70" s="301"/>
      <c r="CP70" s="301"/>
      <c r="CQ70" s="301"/>
      <c r="CR70" s="301"/>
      <c r="CS70" s="301"/>
      <c r="CT70" s="302"/>
      <c r="CU70" s="272">
        <f t="shared" si="259"/>
        <v>0</v>
      </c>
      <c r="CV70" s="303"/>
      <c r="CW70" s="312"/>
      <c r="CX70" s="338"/>
      <c r="CY70" s="301"/>
      <c r="CZ70" s="301"/>
      <c r="DA70" s="301"/>
      <c r="DB70" s="301"/>
      <c r="DC70" s="301"/>
      <c r="DD70" s="301"/>
      <c r="DE70" s="301"/>
      <c r="DF70" s="301"/>
      <c r="DG70" s="302"/>
      <c r="DH70" s="272">
        <f t="shared" si="260"/>
        <v>0</v>
      </c>
      <c r="DI70" s="303"/>
      <c r="DJ70" s="312"/>
      <c r="DK70" s="338"/>
      <c r="DL70" s="301"/>
      <c r="DM70" s="301"/>
      <c r="DN70" s="301"/>
      <c r="DO70" s="301"/>
      <c r="DP70" s="301"/>
      <c r="DQ70" s="301"/>
      <c r="DR70" s="301"/>
      <c r="DS70" s="301"/>
      <c r="DT70" s="302"/>
      <c r="DU70" s="272">
        <f t="shared" si="261"/>
        <v>0</v>
      </c>
      <c r="DV70" s="303"/>
      <c r="DW70" s="312"/>
      <c r="DX70" s="338"/>
      <c r="DY70" s="301"/>
      <c r="DZ70" s="301"/>
      <c r="EA70" s="301"/>
      <c r="EB70" s="301"/>
      <c r="EC70" s="301"/>
      <c r="ED70" s="301"/>
      <c r="EE70" s="301"/>
      <c r="EF70" s="301"/>
      <c r="EG70" s="302"/>
      <c r="EH70" s="272">
        <f t="shared" si="262"/>
        <v>0</v>
      </c>
      <c r="EI70" s="21"/>
      <c r="EJ70" s="21"/>
      <c r="EK70" s="21"/>
      <c r="EL70" s="21"/>
      <c r="EM70" s="21"/>
    </row>
    <row r="71" spans="1:143" ht="14.25" customHeight="1">
      <c r="A71" s="21"/>
      <c r="B71" s="21"/>
      <c r="C71" s="21"/>
      <c r="D71" s="622">
        <f t="shared" si="264"/>
        <v>62</v>
      </c>
      <c r="E71" s="1625"/>
      <c r="F71" s="916" t="str">
        <f>+" Payments of "&amp;Historical!C58</f>
        <v xml:space="preserve"> Payments of Other Non-Current Liabilities</v>
      </c>
      <c r="G71" s="296"/>
      <c r="H71" s="267"/>
      <c r="I71" s="305"/>
      <c r="J71" s="341"/>
      <c r="K71" s="306"/>
      <c r="L71" s="305"/>
      <c r="M71" s="305"/>
      <c r="N71" s="305"/>
      <c r="O71" s="305"/>
      <c r="P71" s="305"/>
      <c r="Q71" s="305"/>
      <c r="R71" s="305"/>
      <c r="S71" s="305"/>
      <c r="T71" s="307">
        <v>20</v>
      </c>
      <c r="U71" s="272">
        <f t="shared" si="253"/>
        <v>20</v>
      </c>
      <c r="V71" s="308"/>
      <c r="W71" s="341"/>
      <c r="X71" s="306"/>
      <c r="Y71" s="305"/>
      <c r="Z71" s="305"/>
      <c r="AA71" s="305"/>
      <c r="AB71" s="305"/>
      <c r="AC71" s="305"/>
      <c r="AD71" s="305"/>
      <c r="AE71" s="305"/>
      <c r="AF71" s="305"/>
      <c r="AG71" s="307"/>
      <c r="AH71" s="272">
        <f t="shared" si="254"/>
        <v>0</v>
      </c>
      <c r="AI71" s="308"/>
      <c r="AJ71" s="341"/>
      <c r="AK71" s="306"/>
      <c r="AL71" s="305"/>
      <c r="AM71" s="305"/>
      <c r="AN71" s="305"/>
      <c r="AO71" s="305"/>
      <c r="AP71" s="305"/>
      <c r="AQ71" s="305"/>
      <c r="AR71" s="305"/>
      <c r="AS71" s="305"/>
      <c r="AT71" s="307"/>
      <c r="AU71" s="272">
        <f t="shared" si="255"/>
        <v>0</v>
      </c>
      <c r="AV71" s="308"/>
      <c r="AW71" s="341"/>
      <c r="AX71" s="306"/>
      <c r="AY71" s="305"/>
      <c r="AZ71" s="305"/>
      <c r="BA71" s="305"/>
      <c r="BB71" s="305"/>
      <c r="BC71" s="305"/>
      <c r="BD71" s="305"/>
      <c r="BE71" s="305"/>
      <c r="BF71" s="305"/>
      <c r="BG71" s="307"/>
      <c r="BH71" s="272">
        <f t="shared" si="256"/>
        <v>0</v>
      </c>
      <c r="BI71" s="308"/>
      <c r="BJ71" s="341"/>
      <c r="BK71" s="306"/>
      <c r="BL71" s="305"/>
      <c r="BM71" s="305"/>
      <c r="BN71" s="305"/>
      <c r="BO71" s="305"/>
      <c r="BP71" s="305"/>
      <c r="BQ71" s="305"/>
      <c r="BR71" s="305"/>
      <c r="BS71" s="305"/>
      <c r="BT71" s="307"/>
      <c r="BU71" s="272">
        <f t="shared" si="257"/>
        <v>0</v>
      </c>
      <c r="BV71" s="308"/>
      <c r="BW71" s="341"/>
      <c r="BX71" s="306"/>
      <c r="BY71" s="305"/>
      <c r="BZ71" s="305"/>
      <c r="CA71" s="305"/>
      <c r="CB71" s="305"/>
      <c r="CC71" s="305"/>
      <c r="CD71" s="305"/>
      <c r="CE71" s="305"/>
      <c r="CF71" s="305"/>
      <c r="CG71" s="307"/>
      <c r="CH71" s="272">
        <f t="shared" si="258"/>
        <v>0</v>
      </c>
      <c r="CI71" s="308"/>
      <c r="CJ71" s="341"/>
      <c r="CK71" s="306"/>
      <c r="CL71" s="305"/>
      <c r="CM71" s="305"/>
      <c r="CN71" s="305"/>
      <c r="CO71" s="305"/>
      <c r="CP71" s="305"/>
      <c r="CQ71" s="305"/>
      <c r="CR71" s="305"/>
      <c r="CS71" s="305"/>
      <c r="CT71" s="307"/>
      <c r="CU71" s="272">
        <f t="shared" si="259"/>
        <v>0</v>
      </c>
      <c r="CV71" s="308"/>
      <c r="CW71" s="341"/>
      <c r="CX71" s="306"/>
      <c r="CY71" s="305"/>
      <c r="CZ71" s="305"/>
      <c r="DA71" s="305"/>
      <c r="DB71" s="305"/>
      <c r="DC71" s="305"/>
      <c r="DD71" s="305"/>
      <c r="DE71" s="305"/>
      <c r="DF71" s="305"/>
      <c r="DG71" s="307"/>
      <c r="DH71" s="272">
        <f t="shared" si="260"/>
        <v>0</v>
      </c>
      <c r="DI71" s="308"/>
      <c r="DJ71" s="341"/>
      <c r="DK71" s="306"/>
      <c r="DL71" s="305"/>
      <c r="DM71" s="305"/>
      <c r="DN71" s="305"/>
      <c r="DO71" s="305"/>
      <c r="DP71" s="305"/>
      <c r="DQ71" s="305"/>
      <c r="DR71" s="305"/>
      <c r="DS71" s="305"/>
      <c r="DT71" s="307"/>
      <c r="DU71" s="272">
        <f t="shared" si="261"/>
        <v>0</v>
      </c>
      <c r="DV71" s="308"/>
      <c r="DW71" s="341"/>
      <c r="DX71" s="306"/>
      <c r="DY71" s="305"/>
      <c r="DZ71" s="305"/>
      <c r="EA71" s="305"/>
      <c r="EB71" s="305"/>
      <c r="EC71" s="305"/>
      <c r="ED71" s="305"/>
      <c r="EE71" s="305"/>
      <c r="EF71" s="305"/>
      <c r="EG71" s="307"/>
      <c r="EH71" s="272">
        <f t="shared" si="262"/>
        <v>0</v>
      </c>
      <c r="EI71" s="21"/>
      <c r="EJ71" s="21"/>
      <c r="EK71" s="21"/>
      <c r="EL71" s="21"/>
      <c r="EM71" s="21"/>
    </row>
    <row r="72" spans="1:143" ht="15" customHeight="1">
      <c r="A72" s="21"/>
      <c r="B72" s="21"/>
      <c r="C72" s="21"/>
      <c r="D72" s="622">
        <f t="shared" si="264"/>
        <v>63</v>
      </c>
      <c r="E72" s="1625"/>
      <c r="F72" s="1391" t="str">
        <f>+" Payments of "&amp;Historical!C52</f>
        <v xml:space="preserve"> Payments of Long-Term Bank Loans  - Other Banks</v>
      </c>
      <c r="G72" s="296"/>
      <c r="H72" s="267"/>
      <c r="I72" s="342">
        <f>SUM(I158:I167)</f>
        <v>0</v>
      </c>
      <c r="J72" s="342">
        <f t="shared" ref="J72:BT72" si="265">SUM(J158:J167)</f>
        <v>0</v>
      </c>
      <c r="K72" s="342">
        <f t="shared" si="265"/>
        <v>0</v>
      </c>
      <c r="L72" s="342">
        <f t="shared" si="265"/>
        <v>0</v>
      </c>
      <c r="M72" s="342">
        <f t="shared" si="265"/>
        <v>0</v>
      </c>
      <c r="N72" s="342">
        <f t="shared" si="265"/>
        <v>0</v>
      </c>
      <c r="O72" s="342">
        <f t="shared" si="265"/>
        <v>0</v>
      </c>
      <c r="P72" s="342">
        <f t="shared" si="265"/>
        <v>0</v>
      </c>
      <c r="Q72" s="342">
        <f t="shared" si="265"/>
        <v>0</v>
      </c>
      <c r="R72" s="342">
        <f t="shared" si="265"/>
        <v>0</v>
      </c>
      <c r="S72" s="342">
        <f t="shared" si="265"/>
        <v>0</v>
      </c>
      <c r="T72" s="342">
        <f t="shared" si="265"/>
        <v>300</v>
      </c>
      <c r="U72" s="264">
        <f t="shared" si="253"/>
        <v>300</v>
      </c>
      <c r="V72" s="342">
        <f t="shared" si="265"/>
        <v>0</v>
      </c>
      <c r="W72" s="342">
        <f t="shared" si="265"/>
        <v>0</v>
      </c>
      <c r="X72" s="342">
        <f t="shared" si="265"/>
        <v>0</v>
      </c>
      <c r="Y72" s="342">
        <f t="shared" si="265"/>
        <v>0</v>
      </c>
      <c r="Z72" s="342">
        <f t="shared" si="265"/>
        <v>0</v>
      </c>
      <c r="AA72" s="342">
        <f t="shared" si="265"/>
        <v>0</v>
      </c>
      <c r="AB72" s="342">
        <f t="shared" si="265"/>
        <v>0</v>
      </c>
      <c r="AC72" s="342">
        <f t="shared" si="265"/>
        <v>0</v>
      </c>
      <c r="AD72" s="342">
        <f t="shared" si="265"/>
        <v>0</v>
      </c>
      <c r="AE72" s="342">
        <f t="shared" si="265"/>
        <v>0</v>
      </c>
      <c r="AF72" s="342">
        <f t="shared" si="265"/>
        <v>0</v>
      </c>
      <c r="AG72" s="342">
        <f t="shared" si="265"/>
        <v>0</v>
      </c>
      <c r="AH72" s="264">
        <f t="shared" si="254"/>
        <v>0</v>
      </c>
      <c r="AI72" s="342">
        <f t="shared" si="265"/>
        <v>0</v>
      </c>
      <c r="AJ72" s="342">
        <f t="shared" si="265"/>
        <v>0</v>
      </c>
      <c r="AK72" s="342">
        <f t="shared" si="265"/>
        <v>0</v>
      </c>
      <c r="AL72" s="342">
        <f t="shared" si="265"/>
        <v>0</v>
      </c>
      <c r="AM72" s="342">
        <f t="shared" si="265"/>
        <v>0</v>
      </c>
      <c r="AN72" s="342">
        <f t="shared" si="265"/>
        <v>0</v>
      </c>
      <c r="AO72" s="342">
        <f t="shared" si="265"/>
        <v>0</v>
      </c>
      <c r="AP72" s="342">
        <f t="shared" si="265"/>
        <v>0</v>
      </c>
      <c r="AQ72" s="342">
        <f t="shared" si="265"/>
        <v>0</v>
      </c>
      <c r="AR72" s="342">
        <f t="shared" si="265"/>
        <v>0</v>
      </c>
      <c r="AS72" s="342">
        <f t="shared" si="265"/>
        <v>0</v>
      </c>
      <c r="AT72" s="342">
        <f t="shared" si="265"/>
        <v>0</v>
      </c>
      <c r="AU72" s="264">
        <f t="shared" si="255"/>
        <v>0</v>
      </c>
      <c r="AV72" s="342">
        <f t="shared" si="265"/>
        <v>0</v>
      </c>
      <c r="AW72" s="342">
        <f t="shared" si="265"/>
        <v>0</v>
      </c>
      <c r="AX72" s="342">
        <f t="shared" si="265"/>
        <v>0</v>
      </c>
      <c r="AY72" s="342">
        <f t="shared" si="265"/>
        <v>0</v>
      </c>
      <c r="AZ72" s="342">
        <f t="shared" si="265"/>
        <v>0</v>
      </c>
      <c r="BA72" s="342">
        <f t="shared" si="265"/>
        <v>0</v>
      </c>
      <c r="BB72" s="342">
        <f t="shared" si="265"/>
        <v>0</v>
      </c>
      <c r="BC72" s="342">
        <f t="shared" si="265"/>
        <v>0</v>
      </c>
      <c r="BD72" s="342">
        <f t="shared" si="265"/>
        <v>0</v>
      </c>
      <c r="BE72" s="342">
        <f t="shared" si="265"/>
        <v>0</v>
      </c>
      <c r="BF72" s="342">
        <f t="shared" si="265"/>
        <v>0</v>
      </c>
      <c r="BG72" s="342">
        <f t="shared" si="265"/>
        <v>0</v>
      </c>
      <c r="BH72" s="264">
        <f t="shared" si="256"/>
        <v>0</v>
      </c>
      <c r="BI72" s="342">
        <f t="shared" si="265"/>
        <v>0</v>
      </c>
      <c r="BJ72" s="342">
        <f t="shared" si="265"/>
        <v>0</v>
      </c>
      <c r="BK72" s="342">
        <f t="shared" si="265"/>
        <v>0</v>
      </c>
      <c r="BL72" s="342">
        <f t="shared" si="265"/>
        <v>0</v>
      </c>
      <c r="BM72" s="342">
        <f t="shared" si="265"/>
        <v>0</v>
      </c>
      <c r="BN72" s="342">
        <f t="shared" si="265"/>
        <v>0</v>
      </c>
      <c r="BO72" s="342">
        <f t="shared" si="265"/>
        <v>0</v>
      </c>
      <c r="BP72" s="342">
        <f t="shared" si="265"/>
        <v>0</v>
      </c>
      <c r="BQ72" s="342">
        <f t="shared" si="265"/>
        <v>0</v>
      </c>
      <c r="BR72" s="342">
        <f t="shared" si="265"/>
        <v>0</v>
      </c>
      <c r="BS72" s="342">
        <f t="shared" si="265"/>
        <v>0</v>
      </c>
      <c r="BT72" s="342">
        <f t="shared" si="265"/>
        <v>0</v>
      </c>
      <c r="BU72" s="264">
        <f t="shared" si="257"/>
        <v>0</v>
      </c>
      <c r="BV72" s="648"/>
      <c r="BW72" s="343"/>
      <c r="BX72" s="344"/>
      <c r="BY72" s="342"/>
      <c r="BZ72" s="342"/>
      <c r="CA72" s="342"/>
      <c r="CB72" s="342"/>
      <c r="CC72" s="342"/>
      <c r="CD72" s="342"/>
      <c r="CE72" s="342"/>
      <c r="CF72" s="342"/>
      <c r="CG72" s="345"/>
      <c r="CH72" s="264">
        <f t="shared" si="258"/>
        <v>0</v>
      </c>
      <c r="CI72" s="648"/>
      <c r="CJ72" s="343"/>
      <c r="CK72" s="344"/>
      <c r="CL72" s="342"/>
      <c r="CM72" s="342"/>
      <c r="CN72" s="342"/>
      <c r="CO72" s="342"/>
      <c r="CP72" s="342"/>
      <c r="CQ72" s="342"/>
      <c r="CR72" s="342"/>
      <c r="CS72" s="342"/>
      <c r="CT72" s="345"/>
      <c r="CU72" s="264">
        <f t="shared" si="259"/>
        <v>0</v>
      </c>
      <c r="CV72" s="648"/>
      <c r="CW72" s="343"/>
      <c r="CX72" s="344"/>
      <c r="CY72" s="342"/>
      <c r="CZ72" s="342"/>
      <c r="DA72" s="342"/>
      <c r="DB72" s="342"/>
      <c r="DC72" s="342"/>
      <c r="DD72" s="342"/>
      <c r="DE72" s="342"/>
      <c r="DF72" s="342"/>
      <c r="DG72" s="345"/>
      <c r="DH72" s="264">
        <f t="shared" si="260"/>
        <v>0</v>
      </c>
      <c r="DI72" s="648"/>
      <c r="DJ72" s="343"/>
      <c r="DK72" s="344"/>
      <c r="DL72" s="342"/>
      <c r="DM72" s="342"/>
      <c r="DN72" s="342"/>
      <c r="DO72" s="342"/>
      <c r="DP72" s="342"/>
      <c r="DQ72" s="342"/>
      <c r="DR72" s="342"/>
      <c r="DS72" s="342"/>
      <c r="DT72" s="345"/>
      <c r="DU72" s="264">
        <f t="shared" si="261"/>
        <v>0</v>
      </c>
      <c r="DV72" s="648"/>
      <c r="DW72" s="343"/>
      <c r="DX72" s="344"/>
      <c r="DY72" s="342"/>
      <c r="DZ72" s="342"/>
      <c r="EA72" s="342"/>
      <c r="EB72" s="342"/>
      <c r="EC72" s="342"/>
      <c r="ED72" s="342"/>
      <c r="EE72" s="342"/>
      <c r="EF72" s="342"/>
      <c r="EG72" s="345"/>
      <c r="EH72" s="264">
        <f t="shared" si="262"/>
        <v>0</v>
      </c>
      <c r="EI72" s="21"/>
      <c r="EJ72" s="21"/>
      <c r="EK72" s="21"/>
      <c r="EL72" s="21"/>
      <c r="EM72" s="21"/>
    </row>
    <row r="73" spans="1:143" ht="14.25" customHeight="1">
      <c r="A73" s="21"/>
      <c r="B73" s="21"/>
      <c r="C73" s="21"/>
      <c r="D73" s="622">
        <f>D72+1</f>
        <v>64</v>
      </c>
      <c r="E73" s="1625"/>
      <c r="F73" s="1391" t="s">
        <v>600</v>
      </c>
      <c r="G73" s="296"/>
      <c r="H73" s="267"/>
      <c r="I73" s="346">
        <f t="shared" ref="I73:T73" si="266">+I195</f>
        <v>0</v>
      </c>
      <c r="J73" s="346">
        <f t="shared" si="266"/>
        <v>0</v>
      </c>
      <c r="K73" s="346">
        <f t="shared" si="266"/>
        <v>0</v>
      </c>
      <c r="L73" s="346">
        <f t="shared" si="266"/>
        <v>0</v>
      </c>
      <c r="M73" s="346">
        <f t="shared" si="266"/>
        <v>0</v>
      </c>
      <c r="N73" s="346">
        <f t="shared" si="266"/>
        <v>0</v>
      </c>
      <c r="O73" s="346">
        <f t="shared" si="266"/>
        <v>0</v>
      </c>
      <c r="P73" s="346">
        <f t="shared" si="266"/>
        <v>0</v>
      </c>
      <c r="Q73" s="346">
        <f t="shared" si="266"/>
        <v>0</v>
      </c>
      <c r="R73" s="346">
        <f t="shared" si="266"/>
        <v>0</v>
      </c>
      <c r="S73" s="346">
        <f t="shared" si="266"/>
        <v>0</v>
      </c>
      <c r="T73" s="649">
        <f t="shared" si="266"/>
        <v>300</v>
      </c>
      <c r="U73" s="272">
        <f t="shared" si="253"/>
        <v>300</v>
      </c>
      <c r="V73" s="346">
        <f t="shared" ref="V73:AG73" si="267">+V195</f>
        <v>0</v>
      </c>
      <c r="W73" s="346">
        <f t="shared" si="267"/>
        <v>0</v>
      </c>
      <c r="X73" s="346">
        <f t="shared" si="267"/>
        <v>0</v>
      </c>
      <c r="Y73" s="346">
        <f t="shared" si="267"/>
        <v>0</v>
      </c>
      <c r="Z73" s="346">
        <f t="shared" si="267"/>
        <v>0</v>
      </c>
      <c r="AA73" s="346">
        <f t="shared" si="267"/>
        <v>0</v>
      </c>
      <c r="AB73" s="346">
        <f t="shared" si="267"/>
        <v>0</v>
      </c>
      <c r="AC73" s="346">
        <f t="shared" si="267"/>
        <v>0</v>
      </c>
      <c r="AD73" s="346">
        <f t="shared" si="267"/>
        <v>0</v>
      </c>
      <c r="AE73" s="346">
        <f t="shared" si="267"/>
        <v>0</v>
      </c>
      <c r="AF73" s="346">
        <f t="shared" si="267"/>
        <v>0</v>
      </c>
      <c r="AG73" s="649">
        <f t="shared" si="267"/>
        <v>0</v>
      </c>
      <c r="AH73" s="272">
        <f t="shared" si="254"/>
        <v>0</v>
      </c>
      <c r="AI73" s="346">
        <f t="shared" ref="AI73:AT73" si="268">+AI195</f>
        <v>0</v>
      </c>
      <c r="AJ73" s="346">
        <f t="shared" si="268"/>
        <v>0</v>
      </c>
      <c r="AK73" s="346">
        <f t="shared" si="268"/>
        <v>0</v>
      </c>
      <c r="AL73" s="346">
        <f t="shared" si="268"/>
        <v>0</v>
      </c>
      <c r="AM73" s="346">
        <f t="shared" si="268"/>
        <v>0</v>
      </c>
      <c r="AN73" s="346">
        <f t="shared" si="268"/>
        <v>0</v>
      </c>
      <c r="AO73" s="346">
        <f t="shared" si="268"/>
        <v>0</v>
      </c>
      <c r="AP73" s="346">
        <f t="shared" si="268"/>
        <v>0</v>
      </c>
      <c r="AQ73" s="346">
        <f t="shared" si="268"/>
        <v>0</v>
      </c>
      <c r="AR73" s="346">
        <f t="shared" si="268"/>
        <v>0</v>
      </c>
      <c r="AS73" s="346">
        <f t="shared" si="268"/>
        <v>0</v>
      </c>
      <c r="AT73" s="649">
        <f t="shared" si="268"/>
        <v>0</v>
      </c>
      <c r="AU73" s="272">
        <f t="shared" si="255"/>
        <v>0</v>
      </c>
      <c r="AV73" s="346">
        <f t="shared" ref="AV73:BG73" si="269">+AV195</f>
        <v>0</v>
      </c>
      <c r="AW73" s="346">
        <f t="shared" si="269"/>
        <v>0</v>
      </c>
      <c r="AX73" s="346">
        <f t="shared" si="269"/>
        <v>0</v>
      </c>
      <c r="AY73" s="346">
        <f t="shared" si="269"/>
        <v>0</v>
      </c>
      <c r="AZ73" s="346">
        <f t="shared" si="269"/>
        <v>0</v>
      </c>
      <c r="BA73" s="346">
        <f t="shared" si="269"/>
        <v>0</v>
      </c>
      <c r="BB73" s="346">
        <f t="shared" si="269"/>
        <v>0</v>
      </c>
      <c r="BC73" s="346">
        <f t="shared" si="269"/>
        <v>0</v>
      </c>
      <c r="BD73" s="346">
        <f t="shared" si="269"/>
        <v>0</v>
      </c>
      <c r="BE73" s="346">
        <f t="shared" si="269"/>
        <v>0</v>
      </c>
      <c r="BF73" s="346">
        <f t="shared" si="269"/>
        <v>0</v>
      </c>
      <c r="BG73" s="649">
        <f t="shared" si="269"/>
        <v>0</v>
      </c>
      <c r="BH73" s="272">
        <f t="shared" si="256"/>
        <v>0</v>
      </c>
      <c r="BI73" s="346">
        <f t="shared" ref="BI73:BT73" si="270">+BI195</f>
        <v>0</v>
      </c>
      <c r="BJ73" s="346">
        <f t="shared" si="270"/>
        <v>0</v>
      </c>
      <c r="BK73" s="346">
        <f t="shared" si="270"/>
        <v>0</v>
      </c>
      <c r="BL73" s="346">
        <f t="shared" si="270"/>
        <v>0</v>
      </c>
      <c r="BM73" s="346">
        <f t="shared" si="270"/>
        <v>0</v>
      </c>
      <c r="BN73" s="346">
        <f t="shared" si="270"/>
        <v>0</v>
      </c>
      <c r="BO73" s="346">
        <f t="shared" si="270"/>
        <v>0</v>
      </c>
      <c r="BP73" s="346">
        <f t="shared" si="270"/>
        <v>0</v>
      </c>
      <c r="BQ73" s="346">
        <f t="shared" si="270"/>
        <v>0</v>
      </c>
      <c r="BR73" s="346">
        <f t="shared" si="270"/>
        <v>0</v>
      </c>
      <c r="BS73" s="346">
        <f t="shared" si="270"/>
        <v>0</v>
      </c>
      <c r="BT73" s="649">
        <f t="shared" si="270"/>
        <v>0</v>
      </c>
      <c r="BU73" s="272">
        <f t="shared" si="257"/>
        <v>0</v>
      </c>
      <c r="BV73" s="346">
        <f t="shared" ref="BV73:CG73" si="271">+BV195</f>
        <v>0</v>
      </c>
      <c r="BW73" s="346">
        <f t="shared" si="271"/>
        <v>0</v>
      </c>
      <c r="BX73" s="346">
        <f t="shared" si="271"/>
        <v>0</v>
      </c>
      <c r="BY73" s="346">
        <f t="shared" si="271"/>
        <v>0</v>
      </c>
      <c r="BZ73" s="346">
        <f t="shared" si="271"/>
        <v>0</v>
      </c>
      <c r="CA73" s="346">
        <f t="shared" si="271"/>
        <v>0</v>
      </c>
      <c r="CB73" s="346">
        <f t="shared" si="271"/>
        <v>0</v>
      </c>
      <c r="CC73" s="346">
        <f t="shared" si="271"/>
        <v>0</v>
      </c>
      <c r="CD73" s="346">
        <f t="shared" si="271"/>
        <v>0</v>
      </c>
      <c r="CE73" s="346">
        <f t="shared" si="271"/>
        <v>0</v>
      </c>
      <c r="CF73" s="346">
        <f t="shared" si="271"/>
        <v>0</v>
      </c>
      <c r="CG73" s="649">
        <f t="shared" si="271"/>
        <v>0</v>
      </c>
      <c r="CH73" s="272">
        <f t="shared" si="258"/>
        <v>0</v>
      </c>
      <c r="CI73" s="346">
        <f t="shared" ref="CI73:CT73" si="272">+CI195</f>
        <v>0</v>
      </c>
      <c r="CJ73" s="346">
        <f t="shared" si="272"/>
        <v>0</v>
      </c>
      <c r="CK73" s="346">
        <f t="shared" si="272"/>
        <v>0</v>
      </c>
      <c r="CL73" s="346">
        <f t="shared" si="272"/>
        <v>0</v>
      </c>
      <c r="CM73" s="346">
        <f t="shared" si="272"/>
        <v>0</v>
      </c>
      <c r="CN73" s="346">
        <f t="shared" si="272"/>
        <v>0</v>
      </c>
      <c r="CO73" s="346">
        <f t="shared" si="272"/>
        <v>0</v>
      </c>
      <c r="CP73" s="346">
        <f t="shared" si="272"/>
        <v>0</v>
      </c>
      <c r="CQ73" s="346">
        <f t="shared" si="272"/>
        <v>0</v>
      </c>
      <c r="CR73" s="346">
        <f t="shared" si="272"/>
        <v>0</v>
      </c>
      <c r="CS73" s="346">
        <f t="shared" si="272"/>
        <v>0</v>
      </c>
      <c r="CT73" s="649">
        <f t="shared" si="272"/>
        <v>0</v>
      </c>
      <c r="CU73" s="272">
        <f t="shared" si="259"/>
        <v>0</v>
      </c>
      <c r="CV73" s="346">
        <f t="shared" ref="CV73:DG73" si="273">+CV195</f>
        <v>0</v>
      </c>
      <c r="CW73" s="346">
        <f t="shared" si="273"/>
        <v>0</v>
      </c>
      <c r="CX73" s="346">
        <f t="shared" si="273"/>
        <v>0</v>
      </c>
      <c r="CY73" s="346">
        <f t="shared" si="273"/>
        <v>0</v>
      </c>
      <c r="CZ73" s="346">
        <f t="shared" si="273"/>
        <v>0</v>
      </c>
      <c r="DA73" s="346">
        <f t="shared" si="273"/>
        <v>0</v>
      </c>
      <c r="DB73" s="346">
        <f t="shared" si="273"/>
        <v>0</v>
      </c>
      <c r="DC73" s="346">
        <f t="shared" si="273"/>
        <v>0</v>
      </c>
      <c r="DD73" s="346">
        <f t="shared" si="273"/>
        <v>0</v>
      </c>
      <c r="DE73" s="346">
        <f t="shared" si="273"/>
        <v>0</v>
      </c>
      <c r="DF73" s="346">
        <f t="shared" si="273"/>
        <v>0</v>
      </c>
      <c r="DG73" s="649">
        <f t="shared" si="273"/>
        <v>0</v>
      </c>
      <c r="DH73" s="272">
        <f t="shared" si="260"/>
        <v>0</v>
      </c>
      <c r="DI73" s="346">
        <f t="shared" ref="DI73:DT73" si="274">+DI195</f>
        <v>0</v>
      </c>
      <c r="DJ73" s="346">
        <f t="shared" si="274"/>
        <v>0</v>
      </c>
      <c r="DK73" s="346">
        <f t="shared" si="274"/>
        <v>0</v>
      </c>
      <c r="DL73" s="346">
        <f t="shared" si="274"/>
        <v>0</v>
      </c>
      <c r="DM73" s="346">
        <f t="shared" si="274"/>
        <v>0</v>
      </c>
      <c r="DN73" s="346">
        <f t="shared" si="274"/>
        <v>0</v>
      </c>
      <c r="DO73" s="346">
        <f t="shared" si="274"/>
        <v>0</v>
      </c>
      <c r="DP73" s="346">
        <f t="shared" si="274"/>
        <v>0</v>
      </c>
      <c r="DQ73" s="346">
        <f t="shared" si="274"/>
        <v>0</v>
      </c>
      <c r="DR73" s="346">
        <f t="shared" si="274"/>
        <v>0</v>
      </c>
      <c r="DS73" s="346">
        <f t="shared" si="274"/>
        <v>0</v>
      </c>
      <c r="DT73" s="649">
        <f t="shared" si="274"/>
        <v>0</v>
      </c>
      <c r="DU73" s="272">
        <f t="shared" si="261"/>
        <v>0</v>
      </c>
      <c r="DV73" s="346">
        <f t="shared" ref="DV73:EG73" si="275">+DV195</f>
        <v>0</v>
      </c>
      <c r="DW73" s="346">
        <f t="shared" si="275"/>
        <v>0</v>
      </c>
      <c r="DX73" s="346">
        <f t="shared" si="275"/>
        <v>0</v>
      </c>
      <c r="DY73" s="346">
        <f t="shared" si="275"/>
        <v>0</v>
      </c>
      <c r="DZ73" s="346">
        <f t="shared" si="275"/>
        <v>0</v>
      </c>
      <c r="EA73" s="346">
        <f t="shared" si="275"/>
        <v>0</v>
      </c>
      <c r="EB73" s="346">
        <f t="shared" si="275"/>
        <v>0</v>
      </c>
      <c r="EC73" s="346">
        <f t="shared" si="275"/>
        <v>0</v>
      </c>
      <c r="ED73" s="346">
        <f t="shared" si="275"/>
        <v>0</v>
      </c>
      <c r="EE73" s="346">
        <f t="shared" si="275"/>
        <v>0</v>
      </c>
      <c r="EF73" s="346">
        <f t="shared" si="275"/>
        <v>0</v>
      </c>
      <c r="EG73" s="649">
        <f t="shared" si="275"/>
        <v>0</v>
      </c>
      <c r="EH73" s="272">
        <f t="shared" si="262"/>
        <v>0</v>
      </c>
      <c r="EI73" s="21"/>
      <c r="EJ73" s="21"/>
      <c r="EK73" s="21"/>
      <c r="EL73" s="21"/>
      <c r="EM73" s="21"/>
    </row>
    <row r="74" spans="1:143" ht="14.25" customHeight="1">
      <c r="A74" s="21"/>
      <c r="B74" s="21"/>
      <c r="C74" s="21"/>
      <c r="D74" s="622">
        <f t="shared" ref="D74:D79" si="276">+D73+1</f>
        <v>65</v>
      </c>
      <c r="E74" s="1625"/>
      <c r="F74" s="265" t="s">
        <v>601</v>
      </c>
      <c r="G74" s="296"/>
      <c r="H74" s="267"/>
      <c r="I74" s="320"/>
      <c r="J74" s="320"/>
      <c r="K74" s="320"/>
      <c r="L74" s="320"/>
      <c r="M74" s="320"/>
      <c r="N74" s="320"/>
      <c r="O74" s="320"/>
      <c r="P74" s="320"/>
      <c r="Q74" s="320"/>
      <c r="R74" s="320"/>
      <c r="S74" s="320"/>
      <c r="T74" s="321">
        <v>10</v>
      </c>
      <c r="U74" s="272"/>
      <c r="V74" s="315"/>
      <c r="W74" s="320"/>
      <c r="X74" s="320"/>
      <c r="Y74" s="320"/>
      <c r="Z74" s="320"/>
      <c r="AA74" s="320"/>
      <c r="AB74" s="320"/>
      <c r="AC74" s="320"/>
      <c r="AD74" s="320"/>
      <c r="AE74" s="320"/>
      <c r="AF74" s="320"/>
      <c r="AG74" s="321"/>
      <c r="AH74" s="272"/>
      <c r="AI74" s="315"/>
      <c r="AJ74" s="320"/>
      <c r="AK74" s="320"/>
      <c r="AL74" s="320"/>
      <c r="AM74" s="320"/>
      <c r="AN74" s="320"/>
      <c r="AO74" s="320"/>
      <c r="AP74" s="320"/>
      <c r="AQ74" s="320"/>
      <c r="AR74" s="320"/>
      <c r="AS74" s="320"/>
      <c r="AT74" s="321"/>
      <c r="AU74" s="272"/>
      <c r="AV74" s="315"/>
      <c r="AW74" s="320"/>
      <c r="AX74" s="320"/>
      <c r="AY74" s="320"/>
      <c r="AZ74" s="320"/>
      <c r="BA74" s="320"/>
      <c r="BB74" s="320"/>
      <c r="BC74" s="320"/>
      <c r="BD74" s="320"/>
      <c r="BE74" s="320"/>
      <c r="BF74" s="320"/>
      <c r="BG74" s="321"/>
      <c r="BH74" s="272"/>
      <c r="BI74" s="315"/>
      <c r="BJ74" s="320"/>
      <c r="BK74" s="320"/>
      <c r="BL74" s="320"/>
      <c r="BM74" s="320"/>
      <c r="BN74" s="320"/>
      <c r="BO74" s="320"/>
      <c r="BP74" s="320"/>
      <c r="BQ74" s="320"/>
      <c r="BR74" s="320"/>
      <c r="BS74" s="320"/>
      <c r="BT74" s="321"/>
      <c r="BU74" s="272"/>
      <c r="BV74" s="315"/>
      <c r="BW74" s="320"/>
      <c r="BX74" s="320"/>
      <c r="BY74" s="320"/>
      <c r="BZ74" s="320"/>
      <c r="CA74" s="320"/>
      <c r="CB74" s="320"/>
      <c r="CC74" s="320"/>
      <c r="CD74" s="320"/>
      <c r="CE74" s="320"/>
      <c r="CF74" s="320"/>
      <c r="CG74" s="321"/>
      <c r="CH74" s="272"/>
      <c r="CI74" s="315"/>
      <c r="CJ74" s="320"/>
      <c r="CK74" s="320"/>
      <c r="CL74" s="320"/>
      <c r="CM74" s="320"/>
      <c r="CN74" s="320"/>
      <c r="CO74" s="320"/>
      <c r="CP74" s="320"/>
      <c r="CQ74" s="320"/>
      <c r="CR74" s="320"/>
      <c r="CS74" s="320"/>
      <c r="CT74" s="321"/>
      <c r="CU74" s="272"/>
      <c r="CV74" s="315"/>
      <c r="CW74" s="320"/>
      <c r="CX74" s="320"/>
      <c r="CY74" s="320"/>
      <c r="CZ74" s="320"/>
      <c r="DA74" s="320"/>
      <c r="DB74" s="320"/>
      <c r="DC74" s="320"/>
      <c r="DD74" s="320"/>
      <c r="DE74" s="320"/>
      <c r="DF74" s="320"/>
      <c r="DG74" s="321"/>
      <c r="DH74" s="272"/>
      <c r="DI74" s="315"/>
      <c r="DJ74" s="320"/>
      <c r="DK74" s="320"/>
      <c r="DL74" s="320"/>
      <c r="DM74" s="320"/>
      <c r="DN74" s="320"/>
      <c r="DO74" s="320"/>
      <c r="DP74" s="320"/>
      <c r="DQ74" s="320"/>
      <c r="DR74" s="320"/>
      <c r="DS74" s="320"/>
      <c r="DT74" s="321"/>
      <c r="DU74" s="272"/>
      <c r="DV74" s="315"/>
      <c r="DW74" s="320"/>
      <c r="DX74" s="320"/>
      <c r="DY74" s="320"/>
      <c r="DZ74" s="320"/>
      <c r="EA74" s="320"/>
      <c r="EB74" s="320"/>
      <c r="EC74" s="320"/>
      <c r="ED74" s="320"/>
      <c r="EE74" s="320"/>
      <c r="EF74" s="320"/>
      <c r="EG74" s="321"/>
      <c r="EH74" s="272"/>
      <c r="EI74" s="21"/>
      <c r="EJ74" s="21"/>
      <c r="EK74" s="21"/>
      <c r="EL74" s="21"/>
      <c r="EM74" s="21"/>
    </row>
    <row r="75" spans="1:143" ht="13.5" customHeight="1">
      <c r="A75" s="21"/>
      <c r="B75" s="21"/>
      <c r="C75" s="21"/>
      <c r="D75" s="622">
        <f t="shared" si="276"/>
        <v>66</v>
      </c>
      <c r="E75" s="1625"/>
      <c r="F75" s="265" t="s">
        <v>602</v>
      </c>
      <c r="G75" s="296"/>
      <c r="H75" s="267"/>
      <c r="I75" s="650">
        <f t="shared" ref="I75:T75" si="277">IF(-I207&gt;H96,H96,IF(AND(-I207&lt;=H96,-I207&gt;0),-I207,0))*I4</f>
        <v>0</v>
      </c>
      <c r="J75" s="650">
        <f t="shared" si="277"/>
        <v>0</v>
      </c>
      <c r="K75" s="650">
        <f t="shared" si="277"/>
        <v>0</v>
      </c>
      <c r="L75" s="650">
        <f t="shared" si="277"/>
        <v>0</v>
      </c>
      <c r="M75" s="650">
        <f t="shared" si="277"/>
        <v>0</v>
      </c>
      <c r="N75" s="650">
        <f t="shared" si="277"/>
        <v>0</v>
      </c>
      <c r="O75" s="650">
        <f t="shared" si="277"/>
        <v>0</v>
      </c>
      <c r="P75" s="650">
        <f t="shared" si="277"/>
        <v>0</v>
      </c>
      <c r="Q75" s="650">
        <f t="shared" si="277"/>
        <v>0</v>
      </c>
      <c r="R75" s="650">
        <f t="shared" si="277"/>
        <v>0</v>
      </c>
      <c r="S75" s="650">
        <f t="shared" si="277"/>
        <v>0</v>
      </c>
      <c r="T75" s="650">
        <f t="shared" si="277"/>
        <v>0</v>
      </c>
      <c r="U75" s="272">
        <f t="shared" ref="U75:U78" si="278">SUM(I75:T75)</f>
        <v>0</v>
      </c>
      <c r="V75" s="650">
        <f>IF(-V207&gt;T96,T96,IF(AND(-V207&lt;=T96,-V207&gt;0),-V207,0))</f>
        <v>0</v>
      </c>
      <c r="W75" s="347">
        <f t="shared" ref="W75:AG75" si="279">IF(-W207&gt;V96,V96,IF(AND(-W207&lt;=V96,-W207&gt;0),-W207,0))</f>
        <v>5478.9412772963078</v>
      </c>
      <c r="X75" s="347">
        <f t="shared" si="279"/>
        <v>295.45578794044559</v>
      </c>
      <c r="Y75" s="347">
        <f t="shared" si="279"/>
        <v>0</v>
      </c>
      <c r="Z75" s="347">
        <f t="shared" si="279"/>
        <v>995.48354105805993</v>
      </c>
      <c r="AA75" s="347">
        <f t="shared" si="279"/>
        <v>1178.5399039002077</v>
      </c>
      <c r="AB75" s="347">
        <f t="shared" si="279"/>
        <v>1147.1100221470006</v>
      </c>
      <c r="AC75" s="347">
        <f t="shared" si="279"/>
        <v>1425.357367569648</v>
      </c>
      <c r="AD75" s="347">
        <f t="shared" si="279"/>
        <v>0</v>
      </c>
      <c r="AE75" s="347">
        <f t="shared" si="279"/>
        <v>0</v>
      </c>
      <c r="AF75" s="347">
        <f t="shared" si="279"/>
        <v>3366.3589589734947</v>
      </c>
      <c r="AG75" s="348">
        <f t="shared" si="279"/>
        <v>3869.8406169649388</v>
      </c>
      <c r="AH75" s="272">
        <f t="shared" ref="AH75:AH78" si="280">SUM(V75:AG75)</f>
        <v>17757.087475850101</v>
      </c>
      <c r="AI75" s="650">
        <f>IF(-AI207&gt;AG96,AG96,IF(AND(-AI207&lt;=AG96,-AI207&gt;0),-AI207,0))</f>
        <v>0</v>
      </c>
      <c r="AJ75" s="347">
        <f t="shared" ref="AJ75:AT75" si="281">IF(-AJ207&gt;AI96,AI96,IF(AND(-AJ207&lt;=AI96,-AJ207&gt;0),-AJ207,0))</f>
        <v>6589.5480089851244</v>
      </c>
      <c r="AK75" s="347">
        <f t="shared" si="281"/>
        <v>1258.7232423933419</v>
      </c>
      <c r="AL75" s="347">
        <f t="shared" si="281"/>
        <v>0</v>
      </c>
      <c r="AM75" s="347">
        <f t="shared" si="281"/>
        <v>1730.150366102831</v>
      </c>
      <c r="AN75" s="347">
        <f t="shared" si="281"/>
        <v>1908.8943524870265</v>
      </c>
      <c r="AO75" s="347">
        <f t="shared" si="281"/>
        <v>1879.3795578053741</v>
      </c>
      <c r="AP75" s="347">
        <f t="shared" si="281"/>
        <v>2219.0041493585086</v>
      </c>
      <c r="AQ75" s="347">
        <f t="shared" si="281"/>
        <v>0</v>
      </c>
      <c r="AR75" s="347">
        <f t="shared" si="281"/>
        <v>0</v>
      </c>
      <c r="AS75" s="347">
        <f t="shared" si="281"/>
        <v>4313.2949065849898</v>
      </c>
      <c r="AT75" s="348">
        <f t="shared" si="281"/>
        <v>4900.7518974731884</v>
      </c>
      <c r="AU75" s="272">
        <f t="shared" ref="AU75:AU78" si="282">SUM(AI75:AT75)</f>
        <v>24799.746481190385</v>
      </c>
      <c r="AV75" s="650">
        <f>IF(-AV207&gt;AT96,AT96,IF(AND(-AV207&lt;=AT96,-AV207&gt;0),-AV207,0))</f>
        <v>0</v>
      </c>
      <c r="AW75" s="347">
        <f t="shared" ref="AW75:BG75" si="283">IF(-AW207&gt;AV96,AV96,IF(AND(-AW207&lt;=AV96,-AW207&gt;0),-AW207,0))</f>
        <v>7402.2645985365689</v>
      </c>
      <c r="AX75" s="347">
        <f t="shared" si="283"/>
        <v>1165.081370191032</v>
      </c>
      <c r="AY75" s="347">
        <f t="shared" si="283"/>
        <v>0</v>
      </c>
      <c r="AZ75" s="347">
        <f t="shared" si="283"/>
        <v>2057.656036733817</v>
      </c>
      <c r="BA75" s="347">
        <f t="shared" si="283"/>
        <v>2255.5618437065932</v>
      </c>
      <c r="BB75" s="347">
        <f t="shared" si="283"/>
        <v>2224.3937200232012</v>
      </c>
      <c r="BC75" s="347">
        <f t="shared" si="283"/>
        <v>2599.2897391186216</v>
      </c>
      <c r="BD75" s="347">
        <f t="shared" si="283"/>
        <v>0</v>
      </c>
      <c r="BE75" s="347">
        <f t="shared" si="283"/>
        <v>0</v>
      </c>
      <c r="BF75" s="347">
        <f t="shared" si="283"/>
        <v>4907.0022900078657</v>
      </c>
      <c r="BG75" s="348">
        <f t="shared" si="283"/>
        <v>5554.5581290912614</v>
      </c>
      <c r="BH75" s="272">
        <f t="shared" ref="BH75:BH78" si="284">SUM(AV75:BG75)</f>
        <v>28165.807727408959</v>
      </c>
      <c r="BI75" s="650">
        <f>IF(-BI207&gt;BG96,BG96,IF(AND(-BI207&lt;=BG96,-BI207&gt;0),-BI207,0))</f>
        <v>0</v>
      </c>
      <c r="BJ75" s="347">
        <f t="shared" ref="BJ75:BT75" si="285">IF(-BJ207&gt;BI96,BI96,IF(AND(-BJ207&lt;=BI96,-BJ207&gt;0),-BJ207,0))</f>
        <v>8315.5980028220602</v>
      </c>
      <c r="BK75" s="347">
        <f t="shared" si="285"/>
        <v>1456.1390095122442</v>
      </c>
      <c r="BL75" s="347">
        <f t="shared" si="285"/>
        <v>0</v>
      </c>
      <c r="BM75" s="347">
        <f t="shared" si="285"/>
        <v>1689.8435621351236</v>
      </c>
      <c r="BN75" s="347">
        <f t="shared" si="285"/>
        <v>0</v>
      </c>
      <c r="BO75" s="347">
        <f t="shared" si="285"/>
        <v>0</v>
      </c>
      <c r="BP75" s="347">
        <f t="shared" si="285"/>
        <v>0</v>
      </c>
      <c r="BQ75" s="347">
        <f t="shared" si="285"/>
        <v>0</v>
      </c>
      <c r="BR75" s="347">
        <f t="shared" si="285"/>
        <v>0</v>
      </c>
      <c r="BS75" s="347">
        <f t="shared" si="285"/>
        <v>0</v>
      </c>
      <c r="BT75" s="348">
        <f t="shared" si="285"/>
        <v>0</v>
      </c>
      <c r="BU75" s="272">
        <f t="shared" ref="BU75:BU78" si="286">SUM(BI75:BT75)</f>
        <v>11461.580574469428</v>
      </c>
      <c r="BV75" s="650">
        <f>IF(-BV207&gt;BT96,BT96,IF(AND(-BV207&lt;=BT96,-BV207&gt;0),-BV207,0))</f>
        <v>0</v>
      </c>
      <c r="BW75" s="347">
        <f t="shared" ref="BW75:CG75" si="287">IF(-BW207&gt;BV96,BV96,IF(AND(-BW207&lt;=BV96,-BW207&gt;0),-BW207,0))</f>
        <v>0</v>
      </c>
      <c r="BX75" s="347">
        <f t="shared" si="287"/>
        <v>0</v>
      </c>
      <c r="BY75" s="347">
        <f t="shared" si="287"/>
        <v>0</v>
      </c>
      <c r="BZ75" s="347">
        <f t="shared" si="287"/>
        <v>0</v>
      </c>
      <c r="CA75" s="347">
        <f t="shared" si="287"/>
        <v>0</v>
      </c>
      <c r="CB75" s="347">
        <f t="shared" si="287"/>
        <v>0</v>
      </c>
      <c r="CC75" s="347">
        <f t="shared" si="287"/>
        <v>0</v>
      </c>
      <c r="CD75" s="347">
        <f t="shared" si="287"/>
        <v>0</v>
      </c>
      <c r="CE75" s="347">
        <f t="shared" si="287"/>
        <v>0</v>
      </c>
      <c r="CF75" s="347">
        <f t="shared" si="287"/>
        <v>0</v>
      </c>
      <c r="CG75" s="348">
        <f t="shared" si="287"/>
        <v>0</v>
      </c>
      <c r="CH75" s="272">
        <f t="shared" ref="CH75:CH78" si="288">SUM(BV75:CG75)</f>
        <v>0</v>
      </c>
      <c r="CI75" s="650">
        <f>IF(-CI207&gt;CG96,CG96,IF(AND(-CI207&lt;=CG96,-CI207&gt;0),-CI207,0))</f>
        <v>0</v>
      </c>
      <c r="CJ75" s="347">
        <f t="shared" ref="CJ75:CT75" si="289">IF(-CJ207&gt;CI96,CI96,IF(AND(-CJ207&lt;=CI96,-CJ207&gt;0),-CJ207,0))</f>
        <v>0</v>
      </c>
      <c r="CK75" s="347">
        <f t="shared" si="289"/>
        <v>0</v>
      </c>
      <c r="CL75" s="347">
        <f t="shared" si="289"/>
        <v>0</v>
      </c>
      <c r="CM75" s="347">
        <f t="shared" si="289"/>
        <v>0</v>
      </c>
      <c r="CN75" s="347">
        <f t="shared" si="289"/>
        <v>0</v>
      </c>
      <c r="CO75" s="347">
        <f t="shared" si="289"/>
        <v>0</v>
      </c>
      <c r="CP75" s="347">
        <f t="shared" si="289"/>
        <v>0</v>
      </c>
      <c r="CQ75" s="347">
        <f t="shared" si="289"/>
        <v>0</v>
      </c>
      <c r="CR75" s="347">
        <f t="shared" si="289"/>
        <v>0</v>
      </c>
      <c r="CS75" s="347">
        <f t="shared" si="289"/>
        <v>0</v>
      </c>
      <c r="CT75" s="348">
        <f t="shared" si="289"/>
        <v>0</v>
      </c>
      <c r="CU75" s="272">
        <f t="shared" ref="CU75:CU78" si="290">SUM(CI75:CT75)</f>
        <v>0</v>
      </c>
      <c r="CV75" s="650">
        <f>IF(-CV207&gt;CT96,CT96,IF(AND(-CV207&lt;=CT96,-CV207&gt;0),-CV207,0))</f>
        <v>0</v>
      </c>
      <c r="CW75" s="347">
        <f t="shared" ref="CW75:DG75" si="291">IF(-CW207&gt;CV96,CV96,IF(AND(-CW207&lt;=CV96,-CW207&gt;0),-CW207,0))</f>
        <v>0</v>
      </c>
      <c r="CX75" s="347">
        <f t="shared" si="291"/>
        <v>0</v>
      </c>
      <c r="CY75" s="347">
        <f t="shared" si="291"/>
        <v>0</v>
      </c>
      <c r="CZ75" s="347">
        <f t="shared" si="291"/>
        <v>0</v>
      </c>
      <c r="DA75" s="347">
        <f t="shared" si="291"/>
        <v>0</v>
      </c>
      <c r="DB75" s="347">
        <f t="shared" si="291"/>
        <v>0</v>
      </c>
      <c r="DC75" s="347">
        <f t="shared" si="291"/>
        <v>0</v>
      </c>
      <c r="DD75" s="347">
        <f t="shared" si="291"/>
        <v>0</v>
      </c>
      <c r="DE75" s="347">
        <f t="shared" si="291"/>
        <v>0</v>
      </c>
      <c r="DF75" s="347">
        <f t="shared" si="291"/>
        <v>0</v>
      </c>
      <c r="DG75" s="348">
        <f t="shared" si="291"/>
        <v>0</v>
      </c>
      <c r="DH75" s="272">
        <f t="shared" ref="DH75:DH78" si="292">SUM(CV75:DG75)</f>
        <v>0</v>
      </c>
      <c r="DI75" s="650">
        <f>IF(-DI207&gt;DG96,DG96,IF(AND(-DI207&lt;=DG96,-DI207&gt;0),-DI207,0))</f>
        <v>0</v>
      </c>
      <c r="DJ75" s="347">
        <f t="shared" ref="DJ75:DT75" si="293">IF(-DJ207&gt;DI96,DI96,IF(AND(-DJ207&lt;=DI96,-DJ207&gt;0),-DJ207,0))</f>
        <v>0</v>
      </c>
      <c r="DK75" s="347">
        <f t="shared" si="293"/>
        <v>0</v>
      </c>
      <c r="DL75" s="347">
        <f t="shared" si="293"/>
        <v>0</v>
      </c>
      <c r="DM75" s="347">
        <f t="shared" si="293"/>
        <v>0</v>
      </c>
      <c r="DN75" s="347">
        <f t="shared" si="293"/>
        <v>0</v>
      </c>
      <c r="DO75" s="347">
        <f t="shared" si="293"/>
        <v>0</v>
      </c>
      <c r="DP75" s="347">
        <f t="shared" si="293"/>
        <v>0</v>
      </c>
      <c r="DQ75" s="347">
        <f t="shared" si="293"/>
        <v>0</v>
      </c>
      <c r="DR75" s="347">
        <f t="shared" si="293"/>
        <v>0</v>
      </c>
      <c r="DS75" s="347">
        <f t="shared" si="293"/>
        <v>0</v>
      </c>
      <c r="DT75" s="348">
        <f t="shared" si="293"/>
        <v>0</v>
      </c>
      <c r="DU75" s="272">
        <f t="shared" ref="DU75:DU78" si="294">SUM(DI75:DT75)</f>
        <v>0</v>
      </c>
      <c r="DV75" s="650">
        <f>IF(-DV207&gt;DT96,DT96,IF(AND(-DV207&lt;=DT96,-DV207&gt;0),-DV207,0))</f>
        <v>0</v>
      </c>
      <c r="DW75" s="347">
        <f t="shared" ref="DW75:EG75" si="295">IF(-DW207&gt;DV96,DV96,IF(AND(-DW207&lt;=DV96,-DW207&gt;0),-DW207,0))</f>
        <v>0</v>
      </c>
      <c r="DX75" s="347">
        <f t="shared" si="295"/>
        <v>0</v>
      </c>
      <c r="DY75" s="347">
        <f t="shared" si="295"/>
        <v>0</v>
      </c>
      <c r="DZ75" s="347">
        <f t="shared" si="295"/>
        <v>0</v>
      </c>
      <c r="EA75" s="347">
        <f t="shared" si="295"/>
        <v>0</v>
      </c>
      <c r="EB75" s="347">
        <f t="shared" si="295"/>
        <v>0</v>
      </c>
      <c r="EC75" s="347">
        <f t="shared" si="295"/>
        <v>0</v>
      </c>
      <c r="ED75" s="347">
        <f t="shared" si="295"/>
        <v>0</v>
      </c>
      <c r="EE75" s="347">
        <f t="shared" si="295"/>
        <v>0</v>
      </c>
      <c r="EF75" s="347">
        <f t="shared" si="295"/>
        <v>0</v>
      </c>
      <c r="EG75" s="348">
        <f t="shared" si="295"/>
        <v>0</v>
      </c>
      <c r="EH75" s="272">
        <f t="shared" ref="EH75:EH78" si="296">SUM(DV75:EG75)</f>
        <v>0</v>
      </c>
      <c r="EI75" s="21"/>
      <c r="EJ75" s="21"/>
      <c r="EK75" s="21"/>
      <c r="EL75" s="21"/>
      <c r="EM75" s="21"/>
    </row>
    <row r="76" spans="1:143" ht="13.5" customHeight="1">
      <c r="A76" s="21"/>
      <c r="B76" s="21"/>
      <c r="C76" s="21"/>
      <c r="D76" s="622">
        <f t="shared" si="276"/>
        <v>67</v>
      </c>
      <c r="E76" s="1625"/>
      <c r="F76" s="1392" t="s">
        <v>603</v>
      </c>
      <c r="G76" s="651"/>
      <c r="H76" s="319"/>
      <c r="I76" s="652">
        <f t="shared" ref="I76:T76" si="297">+I182</f>
        <v>0</v>
      </c>
      <c r="J76" s="652">
        <f t="shared" si="297"/>
        <v>0</v>
      </c>
      <c r="K76" s="652">
        <f t="shared" si="297"/>
        <v>0</v>
      </c>
      <c r="L76" s="652">
        <f t="shared" si="297"/>
        <v>0</v>
      </c>
      <c r="M76" s="652">
        <f t="shared" si="297"/>
        <v>0</v>
      </c>
      <c r="N76" s="652">
        <f t="shared" si="297"/>
        <v>0</v>
      </c>
      <c r="O76" s="652">
        <f t="shared" si="297"/>
        <v>0</v>
      </c>
      <c r="P76" s="652">
        <f t="shared" si="297"/>
        <v>0</v>
      </c>
      <c r="Q76" s="652">
        <f t="shared" si="297"/>
        <v>0</v>
      </c>
      <c r="R76" s="652">
        <f t="shared" si="297"/>
        <v>0</v>
      </c>
      <c r="S76" s="652">
        <f t="shared" si="297"/>
        <v>0</v>
      </c>
      <c r="T76" s="349">
        <f t="shared" si="297"/>
        <v>300</v>
      </c>
      <c r="U76" s="272">
        <f t="shared" si="278"/>
        <v>300</v>
      </c>
      <c r="V76" s="652">
        <f t="shared" ref="V76:AG76" si="298">+V182</f>
        <v>0</v>
      </c>
      <c r="W76" s="652">
        <f t="shared" si="298"/>
        <v>0</v>
      </c>
      <c r="X76" s="652">
        <f t="shared" si="298"/>
        <v>0</v>
      </c>
      <c r="Y76" s="652">
        <f t="shared" si="298"/>
        <v>0</v>
      </c>
      <c r="Z76" s="652">
        <f t="shared" si="298"/>
        <v>0</v>
      </c>
      <c r="AA76" s="652">
        <f t="shared" si="298"/>
        <v>0</v>
      </c>
      <c r="AB76" s="652">
        <f t="shared" si="298"/>
        <v>0</v>
      </c>
      <c r="AC76" s="652">
        <f t="shared" si="298"/>
        <v>0</v>
      </c>
      <c r="AD76" s="652">
        <f t="shared" si="298"/>
        <v>0</v>
      </c>
      <c r="AE76" s="652">
        <f t="shared" si="298"/>
        <v>0</v>
      </c>
      <c r="AF76" s="652">
        <f t="shared" si="298"/>
        <v>0</v>
      </c>
      <c r="AG76" s="349">
        <f t="shared" si="298"/>
        <v>0</v>
      </c>
      <c r="AH76" s="272">
        <f t="shared" si="280"/>
        <v>0</v>
      </c>
      <c r="AI76" s="652">
        <f t="shared" ref="AI76:AT76" si="299">+AI182</f>
        <v>0</v>
      </c>
      <c r="AJ76" s="652">
        <f t="shared" si="299"/>
        <v>0</v>
      </c>
      <c r="AK76" s="652">
        <f t="shared" si="299"/>
        <v>0</v>
      </c>
      <c r="AL76" s="652">
        <f t="shared" si="299"/>
        <v>0</v>
      </c>
      <c r="AM76" s="652">
        <f t="shared" si="299"/>
        <v>0</v>
      </c>
      <c r="AN76" s="652">
        <f t="shared" si="299"/>
        <v>0</v>
      </c>
      <c r="AO76" s="652">
        <f t="shared" si="299"/>
        <v>0</v>
      </c>
      <c r="AP76" s="652">
        <f t="shared" si="299"/>
        <v>0</v>
      </c>
      <c r="AQ76" s="652">
        <f t="shared" si="299"/>
        <v>0</v>
      </c>
      <c r="AR76" s="652">
        <f t="shared" si="299"/>
        <v>0</v>
      </c>
      <c r="AS76" s="652">
        <f t="shared" si="299"/>
        <v>0</v>
      </c>
      <c r="AT76" s="349">
        <f t="shared" si="299"/>
        <v>0</v>
      </c>
      <c r="AU76" s="272">
        <f t="shared" si="282"/>
        <v>0</v>
      </c>
      <c r="AV76" s="652">
        <f t="shared" ref="AV76:BG76" si="300">+AV182</f>
        <v>0</v>
      </c>
      <c r="AW76" s="652">
        <f t="shared" si="300"/>
        <v>0</v>
      </c>
      <c r="AX76" s="652">
        <f t="shared" si="300"/>
        <v>0</v>
      </c>
      <c r="AY76" s="652">
        <f t="shared" si="300"/>
        <v>0</v>
      </c>
      <c r="AZ76" s="652">
        <f t="shared" si="300"/>
        <v>0</v>
      </c>
      <c r="BA76" s="652">
        <f t="shared" si="300"/>
        <v>0</v>
      </c>
      <c r="BB76" s="652">
        <f t="shared" si="300"/>
        <v>0</v>
      </c>
      <c r="BC76" s="652">
        <f t="shared" si="300"/>
        <v>0</v>
      </c>
      <c r="BD76" s="652">
        <f t="shared" si="300"/>
        <v>0</v>
      </c>
      <c r="BE76" s="652">
        <f t="shared" si="300"/>
        <v>0</v>
      </c>
      <c r="BF76" s="652">
        <f t="shared" si="300"/>
        <v>0</v>
      </c>
      <c r="BG76" s="349">
        <f t="shared" si="300"/>
        <v>0</v>
      </c>
      <c r="BH76" s="272">
        <f t="shared" si="284"/>
        <v>0</v>
      </c>
      <c r="BI76" s="652">
        <f t="shared" ref="BI76:BT76" si="301">+BI182</f>
        <v>0</v>
      </c>
      <c r="BJ76" s="652">
        <f t="shared" si="301"/>
        <v>0</v>
      </c>
      <c r="BK76" s="652">
        <f t="shared" si="301"/>
        <v>0</v>
      </c>
      <c r="BL76" s="652">
        <f t="shared" si="301"/>
        <v>0</v>
      </c>
      <c r="BM76" s="652">
        <f t="shared" si="301"/>
        <v>0</v>
      </c>
      <c r="BN76" s="652">
        <f t="shared" si="301"/>
        <v>0</v>
      </c>
      <c r="BO76" s="652">
        <f t="shared" si="301"/>
        <v>0</v>
      </c>
      <c r="BP76" s="652">
        <f t="shared" si="301"/>
        <v>0</v>
      </c>
      <c r="BQ76" s="652">
        <f t="shared" si="301"/>
        <v>0</v>
      </c>
      <c r="BR76" s="652">
        <f t="shared" si="301"/>
        <v>0</v>
      </c>
      <c r="BS76" s="652">
        <f t="shared" si="301"/>
        <v>0</v>
      </c>
      <c r="BT76" s="349">
        <f t="shared" si="301"/>
        <v>0</v>
      </c>
      <c r="BU76" s="272">
        <f t="shared" si="286"/>
        <v>0</v>
      </c>
      <c r="BV76" s="652">
        <f t="shared" ref="BV76:CG76" si="302">+BV182</f>
        <v>0</v>
      </c>
      <c r="BW76" s="652">
        <f t="shared" si="302"/>
        <v>0</v>
      </c>
      <c r="BX76" s="652">
        <f t="shared" si="302"/>
        <v>0</v>
      </c>
      <c r="BY76" s="652">
        <f t="shared" si="302"/>
        <v>0</v>
      </c>
      <c r="BZ76" s="652">
        <f t="shared" si="302"/>
        <v>0</v>
      </c>
      <c r="CA76" s="652">
        <f t="shared" si="302"/>
        <v>0</v>
      </c>
      <c r="CB76" s="652">
        <f t="shared" si="302"/>
        <v>0</v>
      </c>
      <c r="CC76" s="652">
        <f t="shared" si="302"/>
        <v>0</v>
      </c>
      <c r="CD76" s="652">
        <f t="shared" si="302"/>
        <v>0</v>
      </c>
      <c r="CE76" s="652">
        <f t="shared" si="302"/>
        <v>0</v>
      </c>
      <c r="CF76" s="652">
        <f t="shared" si="302"/>
        <v>0</v>
      </c>
      <c r="CG76" s="349">
        <f t="shared" si="302"/>
        <v>0</v>
      </c>
      <c r="CH76" s="272">
        <f t="shared" si="288"/>
        <v>0</v>
      </c>
      <c r="CI76" s="652">
        <f t="shared" ref="CI76:CT76" si="303">+CI182</f>
        <v>0</v>
      </c>
      <c r="CJ76" s="652">
        <f t="shared" si="303"/>
        <v>0</v>
      </c>
      <c r="CK76" s="652">
        <f t="shared" si="303"/>
        <v>0</v>
      </c>
      <c r="CL76" s="652">
        <f t="shared" si="303"/>
        <v>0</v>
      </c>
      <c r="CM76" s="652">
        <f t="shared" si="303"/>
        <v>0</v>
      </c>
      <c r="CN76" s="652">
        <f t="shared" si="303"/>
        <v>0</v>
      </c>
      <c r="CO76" s="652">
        <f t="shared" si="303"/>
        <v>0</v>
      </c>
      <c r="CP76" s="652">
        <f t="shared" si="303"/>
        <v>0</v>
      </c>
      <c r="CQ76" s="652">
        <f t="shared" si="303"/>
        <v>0</v>
      </c>
      <c r="CR76" s="652">
        <f t="shared" si="303"/>
        <v>0</v>
      </c>
      <c r="CS76" s="652">
        <f t="shared" si="303"/>
        <v>0</v>
      </c>
      <c r="CT76" s="349">
        <f t="shared" si="303"/>
        <v>0</v>
      </c>
      <c r="CU76" s="272">
        <f t="shared" si="290"/>
        <v>0</v>
      </c>
      <c r="CV76" s="652">
        <f t="shared" ref="CV76:DG76" si="304">+CV182</f>
        <v>0</v>
      </c>
      <c r="CW76" s="652">
        <f t="shared" si="304"/>
        <v>0</v>
      </c>
      <c r="CX76" s="652">
        <f t="shared" si="304"/>
        <v>0</v>
      </c>
      <c r="CY76" s="652">
        <f t="shared" si="304"/>
        <v>0</v>
      </c>
      <c r="CZ76" s="652">
        <f t="shared" si="304"/>
        <v>0</v>
      </c>
      <c r="DA76" s="652">
        <f t="shared" si="304"/>
        <v>0</v>
      </c>
      <c r="DB76" s="652">
        <f t="shared" si="304"/>
        <v>0</v>
      </c>
      <c r="DC76" s="652">
        <f t="shared" si="304"/>
        <v>0</v>
      </c>
      <c r="DD76" s="652">
        <f t="shared" si="304"/>
        <v>0</v>
      </c>
      <c r="DE76" s="652">
        <f t="shared" si="304"/>
        <v>0</v>
      </c>
      <c r="DF76" s="652">
        <f t="shared" si="304"/>
        <v>0</v>
      </c>
      <c r="DG76" s="349">
        <f t="shared" si="304"/>
        <v>0</v>
      </c>
      <c r="DH76" s="272">
        <f t="shared" si="292"/>
        <v>0</v>
      </c>
      <c r="DI76" s="652">
        <f t="shared" ref="DI76:DT76" si="305">+DI182</f>
        <v>0</v>
      </c>
      <c r="DJ76" s="652">
        <f t="shared" si="305"/>
        <v>0</v>
      </c>
      <c r="DK76" s="652">
        <f t="shared" si="305"/>
        <v>0</v>
      </c>
      <c r="DL76" s="652">
        <f t="shared" si="305"/>
        <v>0</v>
      </c>
      <c r="DM76" s="652">
        <f t="shared" si="305"/>
        <v>0</v>
      </c>
      <c r="DN76" s="652">
        <f t="shared" si="305"/>
        <v>0</v>
      </c>
      <c r="DO76" s="652">
        <f t="shared" si="305"/>
        <v>0</v>
      </c>
      <c r="DP76" s="652">
        <f t="shared" si="305"/>
        <v>0</v>
      </c>
      <c r="DQ76" s="652">
        <f t="shared" si="305"/>
        <v>0</v>
      </c>
      <c r="DR76" s="652">
        <f t="shared" si="305"/>
        <v>0</v>
      </c>
      <c r="DS76" s="652">
        <f t="shared" si="305"/>
        <v>0</v>
      </c>
      <c r="DT76" s="349">
        <f t="shared" si="305"/>
        <v>0</v>
      </c>
      <c r="DU76" s="272">
        <f t="shared" si="294"/>
        <v>0</v>
      </c>
      <c r="DV76" s="652">
        <f t="shared" ref="DV76:EG76" si="306">+DV182</f>
        <v>0</v>
      </c>
      <c r="DW76" s="652">
        <f t="shared" si="306"/>
        <v>0</v>
      </c>
      <c r="DX76" s="652">
        <f t="shared" si="306"/>
        <v>0</v>
      </c>
      <c r="DY76" s="652">
        <f t="shared" si="306"/>
        <v>0</v>
      </c>
      <c r="DZ76" s="652">
        <f t="shared" si="306"/>
        <v>0</v>
      </c>
      <c r="EA76" s="652">
        <f t="shared" si="306"/>
        <v>0</v>
      </c>
      <c r="EB76" s="652">
        <f t="shared" si="306"/>
        <v>0</v>
      </c>
      <c r="EC76" s="652">
        <f t="shared" si="306"/>
        <v>0</v>
      </c>
      <c r="ED76" s="652">
        <f t="shared" si="306"/>
        <v>0</v>
      </c>
      <c r="EE76" s="652">
        <f t="shared" si="306"/>
        <v>0</v>
      </c>
      <c r="EF76" s="652">
        <f t="shared" si="306"/>
        <v>0</v>
      </c>
      <c r="EG76" s="349">
        <f t="shared" si="306"/>
        <v>0</v>
      </c>
      <c r="EH76" s="272">
        <f t="shared" si="296"/>
        <v>0</v>
      </c>
      <c r="EI76" s="21"/>
      <c r="EJ76" s="21"/>
      <c r="EK76" s="21"/>
      <c r="EL76" s="21"/>
      <c r="EM76" s="21"/>
    </row>
    <row r="77" spans="1:143" ht="14.25" customHeight="1">
      <c r="A77" s="21"/>
      <c r="B77" s="21"/>
      <c r="C77" s="21"/>
      <c r="D77" s="622">
        <f t="shared" si="276"/>
        <v>68</v>
      </c>
      <c r="E77" s="1625"/>
      <c r="F77" s="1391" t="s">
        <v>604</v>
      </c>
      <c r="G77" s="296"/>
      <c r="H77" s="267"/>
      <c r="I77" s="350">
        <f>SUM(I152:I157)</f>
        <v>0</v>
      </c>
      <c r="J77" s="350">
        <f>SUM(J152:J157)</f>
        <v>0</v>
      </c>
      <c r="K77" s="350">
        <f t="shared" ref="K77:BT77" si="307">SUM(K152:K157)</f>
        <v>0</v>
      </c>
      <c r="L77" s="350">
        <f t="shared" si="307"/>
        <v>0</v>
      </c>
      <c r="M77" s="350">
        <f t="shared" si="307"/>
        <v>0</v>
      </c>
      <c r="N77" s="350">
        <f t="shared" si="307"/>
        <v>0</v>
      </c>
      <c r="O77" s="350">
        <f t="shared" si="307"/>
        <v>0</v>
      </c>
      <c r="P77" s="350">
        <f t="shared" si="307"/>
        <v>0</v>
      </c>
      <c r="Q77" s="350">
        <f t="shared" si="307"/>
        <v>0</v>
      </c>
      <c r="R77" s="350">
        <f t="shared" si="307"/>
        <v>0</v>
      </c>
      <c r="S77" s="350">
        <f t="shared" si="307"/>
        <v>0</v>
      </c>
      <c r="T77" s="350">
        <f t="shared" si="307"/>
        <v>90</v>
      </c>
      <c r="U77" s="292">
        <f t="shared" si="278"/>
        <v>90</v>
      </c>
      <c r="V77" s="350">
        <f t="shared" si="307"/>
        <v>0</v>
      </c>
      <c r="W77" s="350">
        <f t="shared" si="307"/>
        <v>0</v>
      </c>
      <c r="X77" s="350">
        <f t="shared" si="307"/>
        <v>0</v>
      </c>
      <c r="Y77" s="350">
        <f t="shared" si="307"/>
        <v>0</v>
      </c>
      <c r="Z77" s="350">
        <f t="shared" si="307"/>
        <v>0</v>
      </c>
      <c r="AA77" s="350">
        <f t="shared" si="307"/>
        <v>0</v>
      </c>
      <c r="AB77" s="350">
        <f t="shared" si="307"/>
        <v>0</v>
      </c>
      <c r="AC77" s="350">
        <f t="shared" si="307"/>
        <v>0</v>
      </c>
      <c r="AD77" s="350">
        <f t="shared" si="307"/>
        <v>0</v>
      </c>
      <c r="AE77" s="350">
        <f t="shared" si="307"/>
        <v>0</v>
      </c>
      <c r="AF77" s="350">
        <f t="shared" si="307"/>
        <v>0</v>
      </c>
      <c r="AG77" s="350">
        <f>SUM(AG152:AG157)</f>
        <v>0</v>
      </c>
      <c r="AH77" s="292">
        <f>SUM(V77:AG77)</f>
        <v>0</v>
      </c>
      <c r="AI77" s="350">
        <f t="shared" si="307"/>
        <v>0</v>
      </c>
      <c r="AJ77" s="350">
        <f t="shared" si="307"/>
        <v>0</v>
      </c>
      <c r="AK77" s="350">
        <f t="shared" si="307"/>
        <v>0</v>
      </c>
      <c r="AL77" s="350">
        <f t="shared" si="307"/>
        <v>0</v>
      </c>
      <c r="AM77" s="350">
        <f t="shared" si="307"/>
        <v>0</v>
      </c>
      <c r="AN77" s="350">
        <f t="shared" si="307"/>
        <v>0</v>
      </c>
      <c r="AO77" s="350">
        <f t="shared" si="307"/>
        <v>0</v>
      </c>
      <c r="AP77" s="350">
        <f t="shared" si="307"/>
        <v>0</v>
      </c>
      <c r="AQ77" s="350">
        <f t="shared" si="307"/>
        <v>0</v>
      </c>
      <c r="AR77" s="350">
        <f t="shared" si="307"/>
        <v>0</v>
      </c>
      <c r="AS77" s="350">
        <f t="shared" si="307"/>
        <v>0</v>
      </c>
      <c r="AT77" s="350">
        <f t="shared" si="307"/>
        <v>0</v>
      </c>
      <c r="AU77" s="292">
        <f>SUM(AI77:AT77)</f>
        <v>0</v>
      </c>
      <c r="AV77" s="350">
        <f t="shared" si="307"/>
        <v>0</v>
      </c>
      <c r="AW77" s="350">
        <f t="shared" si="307"/>
        <v>0</v>
      </c>
      <c r="AX77" s="350">
        <f t="shared" si="307"/>
        <v>0</v>
      </c>
      <c r="AY77" s="350">
        <f t="shared" si="307"/>
        <v>0</v>
      </c>
      <c r="AZ77" s="350">
        <f t="shared" si="307"/>
        <v>0</v>
      </c>
      <c r="BA77" s="350">
        <f t="shared" si="307"/>
        <v>0</v>
      </c>
      <c r="BB77" s="350">
        <f t="shared" si="307"/>
        <v>0</v>
      </c>
      <c r="BC77" s="350">
        <f t="shared" si="307"/>
        <v>0</v>
      </c>
      <c r="BD77" s="350">
        <f t="shared" si="307"/>
        <v>0</v>
      </c>
      <c r="BE77" s="350">
        <f t="shared" si="307"/>
        <v>0</v>
      </c>
      <c r="BF77" s="350">
        <f t="shared" si="307"/>
        <v>0</v>
      </c>
      <c r="BG77" s="350">
        <f t="shared" si="307"/>
        <v>0</v>
      </c>
      <c r="BH77" s="292">
        <f t="shared" si="284"/>
        <v>0</v>
      </c>
      <c r="BI77" s="350">
        <f t="shared" si="307"/>
        <v>0</v>
      </c>
      <c r="BJ77" s="350">
        <f t="shared" si="307"/>
        <v>0</v>
      </c>
      <c r="BK77" s="350">
        <f t="shared" si="307"/>
        <v>0</v>
      </c>
      <c r="BL77" s="350">
        <f t="shared" si="307"/>
        <v>0</v>
      </c>
      <c r="BM77" s="350">
        <f t="shared" si="307"/>
        <v>0</v>
      </c>
      <c r="BN77" s="350">
        <f t="shared" si="307"/>
        <v>0</v>
      </c>
      <c r="BO77" s="350">
        <f t="shared" si="307"/>
        <v>0</v>
      </c>
      <c r="BP77" s="350">
        <f t="shared" si="307"/>
        <v>0</v>
      </c>
      <c r="BQ77" s="350">
        <f t="shared" si="307"/>
        <v>0</v>
      </c>
      <c r="BR77" s="350">
        <f t="shared" si="307"/>
        <v>0</v>
      </c>
      <c r="BS77" s="350">
        <f t="shared" si="307"/>
        <v>0</v>
      </c>
      <c r="BT77" s="350">
        <f t="shared" si="307"/>
        <v>0</v>
      </c>
      <c r="BU77" s="292">
        <f>SUM(BI77:BT77)</f>
        <v>0</v>
      </c>
      <c r="BV77" s="350">
        <f t="shared" ref="BV77:CG77" si="308">+BV151</f>
        <v>0</v>
      </c>
      <c r="BW77" s="350">
        <f t="shared" si="308"/>
        <v>0</v>
      </c>
      <c r="BX77" s="350">
        <f t="shared" si="308"/>
        <v>0</v>
      </c>
      <c r="BY77" s="350">
        <f t="shared" si="308"/>
        <v>0</v>
      </c>
      <c r="BZ77" s="350">
        <f t="shared" si="308"/>
        <v>0</v>
      </c>
      <c r="CA77" s="350">
        <f t="shared" si="308"/>
        <v>0</v>
      </c>
      <c r="CB77" s="350">
        <f t="shared" si="308"/>
        <v>0</v>
      </c>
      <c r="CC77" s="350">
        <f t="shared" si="308"/>
        <v>0</v>
      </c>
      <c r="CD77" s="350">
        <f t="shared" si="308"/>
        <v>0</v>
      </c>
      <c r="CE77" s="350">
        <f t="shared" si="308"/>
        <v>0</v>
      </c>
      <c r="CF77" s="350">
        <f t="shared" si="308"/>
        <v>0</v>
      </c>
      <c r="CG77" s="351">
        <f t="shared" si="308"/>
        <v>0</v>
      </c>
      <c r="CH77" s="292">
        <f t="shared" si="288"/>
        <v>0</v>
      </c>
      <c r="CI77" s="350">
        <f t="shared" ref="CI77:CT77" si="309">+CI151</f>
        <v>0</v>
      </c>
      <c r="CJ77" s="350">
        <f t="shared" si="309"/>
        <v>0</v>
      </c>
      <c r="CK77" s="350">
        <f t="shared" si="309"/>
        <v>0</v>
      </c>
      <c r="CL77" s="350">
        <f t="shared" si="309"/>
        <v>0</v>
      </c>
      <c r="CM77" s="350">
        <f t="shared" si="309"/>
        <v>0</v>
      </c>
      <c r="CN77" s="350">
        <f t="shared" si="309"/>
        <v>0</v>
      </c>
      <c r="CO77" s="350">
        <f t="shared" si="309"/>
        <v>0</v>
      </c>
      <c r="CP77" s="350">
        <f t="shared" si="309"/>
        <v>0</v>
      </c>
      <c r="CQ77" s="350">
        <f t="shared" si="309"/>
        <v>0</v>
      </c>
      <c r="CR77" s="350">
        <f t="shared" si="309"/>
        <v>0</v>
      </c>
      <c r="CS77" s="350">
        <f t="shared" si="309"/>
        <v>0</v>
      </c>
      <c r="CT77" s="351">
        <f t="shared" si="309"/>
        <v>0</v>
      </c>
      <c r="CU77" s="292">
        <f t="shared" si="290"/>
        <v>0</v>
      </c>
      <c r="CV77" s="350">
        <f t="shared" ref="CV77:DG77" si="310">+CV151</f>
        <v>0</v>
      </c>
      <c r="CW77" s="350">
        <f t="shared" si="310"/>
        <v>0</v>
      </c>
      <c r="CX77" s="350">
        <f t="shared" si="310"/>
        <v>0</v>
      </c>
      <c r="CY77" s="350">
        <f t="shared" si="310"/>
        <v>0</v>
      </c>
      <c r="CZ77" s="350">
        <f t="shared" si="310"/>
        <v>0</v>
      </c>
      <c r="DA77" s="350">
        <f t="shared" si="310"/>
        <v>0</v>
      </c>
      <c r="DB77" s="350">
        <f t="shared" si="310"/>
        <v>0</v>
      </c>
      <c r="DC77" s="350">
        <f t="shared" si="310"/>
        <v>0</v>
      </c>
      <c r="DD77" s="350">
        <f t="shared" si="310"/>
        <v>0</v>
      </c>
      <c r="DE77" s="350">
        <f t="shared" si="310"/>
        <v>0</v>
      </c>
      <c r="DF77" s="350">
        <f t="shared" si="310"/>
        <v>0</v>
      </c>
      <c r="DG77" s="351">
        <f t="shared" si="310"/>
        <v>0</v>
      </c>
      <c r="DH77" s="292">
        <f t="shared" si="292"/>
        <v>0</v>
      </c>
      <c r="DI77" s="350">
        <f t="shared" ref="DI77:DT77" si="311">+DI151</f>
        <v>0</v>
      </c>
      <c r="DJ77" s="350">
        <f t="shared" si="311"/>
        <v>0</v>
      </c>
      <c r="DK77" s="350">
        <f t="shared" si="311"/>
        <v>0</v>
      </c>
      <c r="DL77" s="350">
        <f t="shared" si="311"/>
        <v>0</v>
      </c>
      <c r="DM77" s="350">
        <f t="shared" si="311"/>
        <v>0</v>
      </c>
      <c r="DN77" s="350">
        <f t="shared" si="311"/>
        <v>0</v>
      </c>
      <c r="DO77" s="350">
        <f t="shared" si="311"/>
        <v>0</v>
      </c>
      <c r="DP77" s="350">
        <f t="shared" si="311"/>
        <v>0</v>
      </c>
      <c r="DQ77" s="350">
        <f t="shared" si="311"/>
        <v>0</v>
      </c>
      <c r="DR77" s="350">
        <f t="shared" si="311"/>
        <v>0</v>
      </c>
      <c r="DS77" s="350">
        <f t="shared" si="311"/>
        <v>0</v>
      </c>
      <c r="DT77" s="351">
        <f t="shared" si="311"/>
        <v>0</v>
      </c>
      <c r="DU77" s="292">
        <f t="shared" si="294"/>
        <v>0</v>
      </c>
      <c r="DV77" s="350">
        <f t="shared" ref="DV77:EG77" si="312">+DV151</f>
        <v>0</v>
      </c>
      <c r="DW77" s="350">
        <f t="shared" si="312"/>
        <v>0</v>
      </c>
      <c r="DX77" s="350">
        <f t="shared" si="312"/>
        <v>0</v>
      </c>
      <c r="DY77" s="350">
        <f t="shared" si="312"/>
        <v>0</v>
      </c>
      <c r="DZ77" s="350">
        <f t="shared" si="312"/>
        <v>0</v>
      </c>
      <c r="EA77" s="350">
        <f t="shared" si="312"/>
        <v>0</v>
      </c>
      <c r="EB77" s="350">
        <f t="shared" si="312"/>
        <v>0</v>
      </c>
      <c r="EC77" s="350">
        <f t="shared" si="312"/>
        <v>0</v>
      </c>
      <c r="ED77" s="350">
        <f t="shared" si="312"/>
        <v>0</v>
      </c>
      <c r="EE77" s="350">
        <f t="shared" si="312"/>
        <v>0</v>
      </c>
      <c r="EF77" s="350">
        <f t="shared" si="312"/>
        <v>0</v>
      </c>
      <c r="EG77" s="351">
        <f t="shared" si="312"/>
        <v>0</v>
      </c>
      <c r="EH77" s="272">
        <f t="shared" si="296"/>
        <v>0</v>
      </c>
      <c r="EI77" s="21"/>
      <c r="EJ77" s="21"/>
      <c r="EK77" s="21"/>
      <c r="EL77" s="21"/>
      <c r="EM77" s="21"/>
    </row>
    <row r="78" spans="1:143" ht="14.25" customHeight="1">
      <c r="A78" s="21"/>
      <c r="B78" s="21"/>
      <c r="C78" s="21"/>
      <c r="D78" s="622">
        <f t="shared" si="276"/>
        <v>69</v>
      </c>
      <c r="E78" s="1626"/>
      <c r="F78" s="318" t="s">
        <v>605</v>
      </c>
      <c r="G78" s="651"/>
      <c r="H78" s="319"/>
      <c r="I78" s="315"/>
      <c r="J78" s="320"/>
      <c r="K78" s="320"/>
      <c r="L78" s="320"/>
      <c r="M78" s="320"/>
      <c r="N78" s="320"/>
      <c r="O78" s="320"/>
      <c r="P78" s="320"/>
      <c r="Q78" s="320"/>
      <c r="R78" s="320"/>
      <c r="S78" s="320"/>
      <c r="T78" s="321">
        <v>20</v>
      </c>
      <c r="U78" s="292">
        <f t="shared" si="278"/>
        <v>20</v>
      </c>
      <c r="V78" s="315"/>
      <c r="W78" s="320"/>
      <c r="X78" s="320"/>
      <c r="Y78" s="320"/>
      <c r="Z78" s="320"/>
      <c r="AA78" s="320"/>
      <c r="AB78" s="320"/>
      <c r="AC78" s="320"/>
      <c r="AD78" s="320"/>
      <c r="AE78" s="320"/>
      <c r="AF78" s="320"/>
      <c r="AG78" s="321"/>
      <c r="AH78" s="292">
        <f t="shared" si="280"/>
        <v>0</v>
      </c>
      <c r="AI78" s="315"/>
      <c r="AJ78" s="320"/>
      <c r="AK78" s="320"/>
      <c r="AL78" s="320"/>
      <c r="AM78" s="320"/>
      <c r="AN78" s="320"/>
      <c r="AO78" s="320"/>
      <c r="AP78" s="320"/>
      <c r="AQ78" s="320"/>
      <c r="AR78" s="320"/>
      <c r="AS78" s="320"/>
      <c r="AT78" s="321"/>
      <c r="AU78" s="292">
        <f t="shared" si="282"/>
        <v>0</v>
      </c>
      <c r="AV78" s="315"/>
      <c r="AW78" s="320"/>
      <c r="AX78" s="320"/>
      <c r="AY78" s="320"/>
      <c r="AZ78" s="320"/>
      <c r="BA78" s="320"/>
      <c r="BB78" s="320"/>
      <c r="BC78" s="320"/>
      <c r="BD78" s="320"/>
      <c r="BE78" s="320"/>
      <c r="BF78" s="320"/>
      <c r="BG78" s="321"/>
      <c r="BH78" s="292">
        <f t="shared" si="284"/>
        <v>0</v>
      </c>
      <c r="BI78" s="315"/>
      <c r="BJ78" s="320"/>
      <c r="BK78" s="320"/>
      <c r="BL78" s="320"/>
      <c r="BM78" s="320"/>
      <c r="BN78" s="320"/>
      <c r="BO78" s="320"/>
      <c r="BP78" s="320"/>
      <c r="BQ78" s="320"/>
      <c r="BR78" s="320"/>
      <c r="BS78" s="320"/>
      <c r="BT78" s="321"/>
      <c r="BU78" s="292">
        <f t="shared" si="286"/>
        <v>0</v>
      </c>
      <c r="BV78" s="315"/>
      <c r="BW78" s="320"/>
      <c r="BX78" s="320"/>
      <c r="BY78" s="320"/>
      <c r="BZ78" s="320"/>
      <c r="CA78" s="320"/>
      <c r="CB78" s="320"/>
      <c r="CC78" s="320"/>
      <c r="CD78" s="320"/>
      <c r="CE78" s="320"/>
      <c r="CF78" s="320"/>
      <c r="CG78" s="321"/>
      <c r="CH78" s="292">
        <f t="shared" si="288"/>
        <v>0</v>
      </c>
      <c r="CI78" s="315"/>
      <c r="CJ78" s="320"/>
      <c r="CK78" s="320"/>
      <c r="CL78" s="320"/>
      <c r="CM78" s="320"/>
      <c r="CN78" s="320"/>
      <c r="CO78" s="320"/>
      <c r="CP78" s="320"/>
      <c r="CQ78" s="320"/>
      <c r="CR78" s="320"/>
      <c r="CS78" s="320"/>
      <c r="CT78" s="321"/>
      <c r="CU78" s="292">
        <f t="shared" si="290"/>
        <v>0</v>
      </c>
      <c r="CV78" s="315"/>
      <c r="CW78" s="320"/>
      <c r="CX78" s="320"/>
      <c r="CY78" s="320"/>
      <c r="CZ78" s="320"/>
      <c r="DA78" s="320"/>
      <c r="DB78" s="320"/>
      <c r="DC78" s="320"/>
      <c r="DD78" s="320"/>
      <c r="DE78" s="320"/>
      <c r="DF78" s="320"/>
      <c r="DG78" s="321"/>
      <c r="DH78" s="292">
        <f t="shared" si="292"/>
        <v>0</v>
      </c>
      <c r="DI78" s="315"/>
      <c r="DJ78" s="320"/>
      <c r="DK78" s="320"/>
      <c r="DL78" s="320"/>
      <c r="DM78" s="320"/>
      <c r="DN78" s="320"/>
      <c r="DO78" s="320"/>
      <c r="DP78" s="320"/>
      <c r="DQ78" s="320"/>
      <c r="DR78" s="320"/>
      <c r="DS78" s="320"/>
      <c r="DT78" s="321"/>
      <c r="DU78" s="292">
        <f t="shared" si="294"/>
        <v>0</v>
      </c>
      <c r="DV78" s="315"/>
      <c r="DW78" s="320"/>
      <c r="DX78" s="320"/>
      <c r="DY78" s="320"/>
      <c r="DZ78" s="320"/>
      <c r="EA78" s="320"/>
      <c r="EB78" s="320"/>
      <c r="EC78" s="320"/>
      <c r="ED78" s="320"/>
      <c r="EE78" s="320"/>
      <c r="EF78" s="320"/>
      <c r="EG78" s="321"/>
      <c r="EH78" s="292">
        <f t="shared" si="296"/>
        <v>0</v>
      </c>
      <c r="EI78" s="21"/>
      <c r="EJ78" s="21"/>
      <c r="EK78" s="21"/>
      <c r="EL78" s="21"/>
      <c r="EM78" s="21"/>
    </row>
    <row r="79" spans="1:143" ht="14.25" customHeight="1">
      <c r="A79" s="21"/>
      <c r="B79" s="325"/>
      <c r="C79" s="325"/>
      <c r="D79" s="622">
        <f t="shared" si="276"/>
        <v>70</v>
      </c>
      <c r="E79" s="352"/>
      <c r="F79" s="309" t="s">
        <v>606</v>
      </c>
      <c r="G79" s="635"/>
      <c r="H79" s="280"/>
      <c r="I79" s="653">
        <f>SUM(I60:I78)</f>
        <v>100000</v>
      </c>
      <c r="J79" s="653">
        <f t="shared" ref="J79:T79" si="313">SUM(J60:J78)</f>
        <v>0</v>
      </c>
      <c r="K79" s="653">
        <f t="shared" si="313"/>
        <v>0</v>
      </c>
      <c r="L79" s="653">
        <f t="shared" si="313"/>
        <v>0</v>
      </c>
      <c r="M79" s="653">
        <f t="shared" si="313"/>
        <v>0</v>
      </c>
      <c r="N79" s="653">
        <f t="shared" si="313"/>
        <v>0</v>
      </c>
      <c r="O79" s="653">
        <f t="shared" si="313"/>
        <v>0</v>
      </c>
      <c r="P79" s="653">
        <f t="shared" si="313"/>
        <v>0</v>
      </c>
      <c r="Q79" s="653">
        <f t="shared" si="313"/>
        <v>0</v>
      </c>
      <c r="R79" s="653">
        <f t="shared" si="313"/>
        <v>0</v>
      </c>
      <c r="S79" s="653">
        <f t="shared" si="313"/>
        <v>0</v>
      </c>
      <c r="T79" s="653">
        <f t="shared" si="313"/>
        <v>1350</v>
      </c>
      <c r="U79" s="330">
        <f>+SUM(U60:U77)</f>
        <v>101320</v>
      </c>
      <c r="V79" s="281">
        <f t="shared" ref="V79:AG79" si="314">SUM(V60:V78)</f>
        <v>0</v>
      </c>
      <c r="W79" s="281">
        <f t="shared" si="314"/>
        <v>5478.9412772963078</v>
      </c>
      <c r="X79" s="281">
        <f t="shared" si="314"/>
        <v>295.45578794044559</v>
      </c>
      <c r="Y79" s="281">
        <f t="shared" si="314"/>
        <v>0</v>
      </c>
      <c r="Z79" s="281">
        <f t="shared" si="314"/>
        <v>995.48354105805993</v>
      </c>
      <c r="AA79" s="281">
        <f t="shared" si="314"/>
        <v>1178.5399039002077</v>
      </c>
      <c r="AB79" s="281">
        <f t="shared" si="314"/>
        <v>1147.1100221470006</v>
      </c>
      <c r="AC79" s="281">
        <f t="shared" si="314"/>
        <v>1425.357367569648</v>
      </c>
      <c r="AD79" s="281">
        <f t="shared" si="314"/>
        <v>0</v>
      </c>
      <c r="AE79" s="281">
        <f t="shared" si="314"/>
        <v>0</v>
      </c>
      <c r="AF79" s="281">
        <f t="shared" si="314"/>
        <v>3366.3589589734947</v>
      </c>
      <c r="AG79" s="281">
        <f t="shared" si="314"/>
        <v>3869.8406169649388</v>
      </c>
      <c r="AH79" s="330">
        <f>+SUM(AH60:AH77)</f>
        <v>17757.087475850101</v>
      </c>
      <c r="AI79" s="281">
        <f t="shared" ref="AI79:AT79" si="315">SUM(AI60:AI78)</f>
        <v>0</v>
      </c>
      <c r="AJ79" s="281">
        <f t="shared" si="315"/>
        <v>6589.5480089851244</v>
      </c>
      <c r="AK79" s="281">
        <f t="shared" si="315"/>
        <v>1258.7232423933419</v>
      </c>
      <c r="AL79" s="281">
        <f t="shared" si="315"/>
        <v>0</v>
      </c>
      <c r="AM79" s="281">
        <f t="shared" si="315"/>
        <v>1730.150366102831</v>
      </c>
      <c r="AN79" s="281">
        <f t="shared" si="315"/>
        <v>1908.8943524870265</v>
      </c>
      <c r="AO79" s="281">
        <f t="shared" si="315"/>
        <v>1879.3795578053741</v>
      </c>
      <c r="AP79" s="281">
        <f t="shared" si="315"/>
        <v>2219.0041493585086</v>
      </c>
      <c r="AQ79" s="281">
        <f t="shared" si="315"/>
        <v>0</v>
      </c>
      <c r="AR79" s="281">
        <f t="shared" si="315"/>
        <v>0</v>
      </c>
      <c r="AS79" s="281">
        <f t="shared" si="315"/>
        <v>4313.2949065849898</v>
      </c>
      <c r="AT79" s="281">
        <f t="shared" si="315"/>
        <v>4900.7518974731884</v>
      </c>
      <c r="AU79" s="330">
        <f>+SUM(AU60:AU77)</f>
        <v>24799.746481190385</v>
      </c>
      <c r="AV79" s="281">
        <f t="shared" ref="AV79:BG79" si="316">SUM(AV60:AV78)</f>
        <v>0</v>
      </c>
      <c r="AW79" s="281">
        <f t="shared" si="316"/>
        <v>7402.2645985365689</v>
      </c>
      <c r="AX79" s="281">
        <f t="shared" si="316"/>
        <v>1165.081370191032</v>
      </c>
      <c r="AY79" s="281">
        <f t="shared" si="316"/>
        <v>0</v>
      </c>
      <c r="AZ79" s="281">
        <f t="shared" si="316"/>
        <v>2057.656036733817</v>
      </c>
      <c r="BA79" s="281">
        <f t="shared" si="316"/>
        <v>2255.5618437065932</v>
      </c>
      <c r="BB79" s="281">
        <f t="shared" si="316"/>
        <v>2224.3937200232012</v>
      </c>
      <c r="BC79" s="281">
        <f t="shared" si="316"/>
        <v>2599.2897391186216</v>
      </c>
      <c r="BD79" s="281">
        <f t="shared" si="316"/>
        <v>0</v>
      </c>
      <c r="BE79" s="281">
        <f t="shared" si="316"/>
        <v>0</v>
      </c>
      <c r="BF79" s="281">
        <f t="shared" si="316"/>
        <v>4907.0022900078657</v>
      </c>
      <c r="BG79" s="281">
        <f t="shared" si="316"/>
        <v>5554.5581290912614</v>
      </c>
      <c r="BH79" s="330">
        <f>+SUM(BH60:BH77)</f>
        <v>28165.807727408959</v>
      </c>
      <c r="BI79" s="281">
        <f t="shared" ref="BI79:BT79" si="317">SUM(BI60:BI78)</f>
        <v>0</v>
      </c>
      <c r="BJ79" s="281">
        <f t="shared" si="317"/>
        <v>8315.5980028220602</v>
      </c>
      <c r="BK79" s="281">
        <f t="shared" si="317"/>
        <v>1456.1390095122442</v>
      </c>
      <c r="BL79" s="281">
        <f t="shared" si="317"/>
        <v>0</v>
      </c>
      <c r="BM79" s="281">
        <f t="shared" si="317"/>
        <v>1689.8435621351236</v>
      </c>
      <c r="BN79" s="281">
        <f t="shared" si="317"/>
        <v>0</v>
      </c>
      <c r="BO79" s="281">
        <f t="shared" si="317"/>
        <v>0</v>
      </c>
      <c r="BP79" s="281">
        <f t="shared" si="317"/>
        <v>0</v>
      </c>
      <c r="BQ79" s="281">
        <f t="shared" si="317"/>
        <v>0</v>
      </c>
      <c r="BR79" s="281">
        <f t="shared" si="317"/>
        <v>0</v>
      </c>
      <c r="BS79" s="281">
        <f t="shared" si="317"/>
        <v>0</v>
      </c>
      <c r="BT79" s="281">
        <f t="shared" si="317"/>
        <v>0</v>
      </c>
      <c r="BU79" s="330">
        <f>+SUM(BU60:BU77)</f>
        <v>11461.580574469428</v>
      </c>
      <c r="BV79" s="281">
        <f t="shared" ref="BV79:CG79" si="318">SUM(BV60:BV78)</f>
        <v>0</v>
      </c>
      <c r="BW79" s="281">
        <f t="shared" si="318"/>
        <v>0</v>
      </c>
      <c r="BX79" s="281">
        <f t="shared" si="318"/>
        <v>0</v>
      </c>
      <c r="BY79" s="281">
        <f t="shared" si="318"/>
        <v>0</v>
      </c>
      <c r="BZ79" s="281">
        <f t="shared" si="318"/>
        <v>0</v>
      </c>
      <c r="CA79" s="281">
        <f t="shared" si="318"/>
        <v>0</v>
      </c>
      <c r="CB79" s="281">
        <f t="shared" si="318"/>
        <v>0</v>
      </c>
      <c r="CC79" s="281">
        <f t="shared" si="318"/>
        <v>0</v>
      </c>
      <c r="CD79" s="281">
        <f t="shared" si="318"/>
        <v>0</v>
      </c>
      <c r="CE79" s="281">
        <f t="shared" si="318"/>
        <v>0</v>
      </c>
      <c r="CF79" s="281">
        <f t="shared" si="318"/>
        <v>0</v>
      </c>
      <c r="CG79" s="281">
        <f t="shared" si="318"/>
        <v>0</v>
      </c>
      <c r="CH79" s="330">
        <f>+SUM(CH60:CH77)</f>
        <v>0</v>
      </c>
      <c r="CI79" s="281">
        <f t="shared" ref="CI79:CT79" si="319">SUM(CI60:CI78)</f>
        <v>0</v>
      </c>
      <c r="CJ79" s="281">
        <f t="shared" si="319"/>
        <v>0</v>
      </c>
      <c r="CK79" s="281">
        <f t="shared" si="319"/>
        <v>0</v>
      </c>
      <c r="CL79" s="281">
        <f t="shared" si="319"/>
        <v>0</v>
      </c>
      <c r="CM79" s="281">
        <f t="shared" si="319"/>
        <v>0</v>
      </c>
      <c r="CN79" s="281">
        <f t="shared" si="319"/>
        <v>0</v>
      </c>
      <c r="CO79" s="281">
        <f t="shared" si="319"/>
        <v>0</v>
      </c>
      <c r="CP79" s="281">
        <f t="shared" si="319"/>
        <v>0</v>
      </c>
      <c r="CQ79" s="281">
        <f t="shared" si="319"/>
        <v>0</v>
      </c>
      <c r="CR79" s="281">
        <f t="shared" si="319"/>
        <v>0</v>
      </c>
      <c r="CS79" s="281">
        <f t="shared" si="319"/>
        <v>0</v>
      </c>
      <c r="CT79" s="281">
        <f t="shared" si="319"/>
        <v>0</v>
      </c>
      <c r="CU79" s="330">
        <f>+SUM(CU60:CU77)</f>
        <v>0</v>
      </c>
      <c r="CV79" s="281">
        <f t="shared" ref="CV79:DG79" si="320">SUM(CV60:CV78)</f>
        <v>0</v>
      </c>
      <c r="CW79" s="281">
        <f t="shared" si="320"/>
        <v>0</v>
      </c>
      <c r="CX79" s="281">
        <f t="shared" si="320"/>
        <v>0</v>
      </c>
      <c r="CY79" s="281">
        <f t="shared" si="320"/>
        <v>0</v>
      </c>
      <c r="CZ79" s="281">
        <f t="shared" si="320"/>
        <v>0</v>
      </c>
      <c r="DA79" s="281">
        <f t="shared" si="320"/>
        <v>0</v>
      </c>
      <c r="DB79" s="281">
        <f t="shared" si="320"/>
        <v>0</v>
      </c>
      <c r="DC79" s="281">
        <f t="shared" si="320"/>
        <v>0</v>
      </c>
      <c r="DD79" s="281">
        <f t="shared" si="320"/>
        <v>0</v>
      </c>
      <c r="DE79" s="281">
        <f t="shared" si="320"/>
        <v>0</v>
      </c>
      <c r="DF79" s="281">
        <f t="shared" si="320"/>
        <v>0</v>
      </c>
      <c r="DG79" s="281">
        <f t="shared" si="320"/>
        <v>0</v>
      </c>
      <c r="DH79" s="330">
        <f>+SUM(DH60:DH77)</f>
        <v>0</v>
      </c>
      <c r="DI79" s="281">
        <f t="shared" ref="DI79:DT79" si="321">SUM(DI60:DI78)</f>
        <v>0</v>
      </c>
      <c r="DJ79" s="281">
        <f t="shared" si="321"/>
        <v>0</v>
      </c>
      <c r="DK79" s="281">
        <f t="shared" si="321"/>
        <v>0</v>
      </c>
      <c r="DL79" s="281">
        <f t="shared" si="321"/>
        <v>0</v>
      </c>
      <c r="DM79" s="281">
        <f t="shared" si="321"/>
        <v>0</v>
      </c>
      <c r="DN79" s="281">
        <f t="shared" si="321"/>
        <v>0</v>
      </c>
      <c r="DO79" s="281">
        <f t="shared" si="321"/>
        <v>0</v>
      </c>
      <c r="DP79" s="281">
        <f t="shared" si="321"/>
        <v>0</v>
      </c>
      <c r="DQ79" s="281">
        <f t="shared" si="321"/>
        <v>0</v>
      </c>
      <c r="DR79" s="281">
        <f t="shared" si="321"/>
        <v>0</v>
      </c>
      <c r="DS79" s="281">
        <f t="shared" si="321"/>
        <v>0</v>
      </c>
      <c r="DT79" s="281">
        <f t="shared" si="321"/>
        <v>0</v>
      </c>
      <c r="DU79" s="330">
        <f>+SUM(DU60:DU77)</f>
        <v>0</v>
      </c>
      <c r="DV79" s="281">
        <f t="shared" ref="DV79:EG79" si="322">SUM(DV60:DV78)</f>
        <v>0</v>
      </c>
      <c r="DW79" s="281">
        <f t="shared" si="322"/>
        <v>0</v>
      </c>
      <c r="DX79" s="281">
        <f t="shared" si="322"/>
        <v>0</v>
      </c>
      <c r="DY79" s="281">
        <f t="shared" si="322"/>
        <v>0</v>
      </c>
      <c r="DZ79" s="281">
        <f t="shared" si="322"/>
        <v>0</v>
      </c>
      <c r="EA79" s="281">
        <f t="shared" si="322"/>
        <v>0</v>
      </c>
      <c r="EB79" s="281">
        <f t="shared" si="322"/>
        <v>0</v>
      </c>
      <c r="EC79" s="281">
        <f t="shared" si="322"/>
        <v>0</v>
      </c>
      <c r="ED79" s="281">
        <f t="shared" si="322"/>
        <v>0</v>
      </c>
      <c r="EE79" s="281">
        <f t="shared" si="322"/>
        <v>0</v>
      </c>
      <c r="EF79" s="281">
        <f t="shared" si="322"/>
        <v>0</v>
      </c>
      <c r="EG79" s="281">
        <f t="shared" si="322"/>
        <v>0</v>
      </c>
      <c r="EH79" s="330">
        <f>+SUM(EH60:EH77)</f>
        <v>0</v>
      </c>
      <c r="EI79" s="325"/>
      <c r="EJ79" s="325"/>
      <c r="EK79" s="325"/>
      <c r="EL79" s="325"/>
      <c r="EM79" s="325"/>
    </row>
    <row r="80" spans="1:143" ht="15" customHeight="1">
      <c r="A80" s="21"/>
      <c r="B80" s="21"/>
      <c r="C80" s="21"/>
      <c r="D80" s="353">
        <f t="shared" ref="D80:D101" si="323">D79+1</f>
        <v>71</v>
      </c>
      <c r="E80" s="1461"/>
      <c r="F80" s="354" t="s">
        <v>607</v>
      </c>
      <c r="G80" s="355"/>
      <c r="H80" s="356"/>
      <c r="I80" s="357">
        <f>I14-I39+I59-I79</f>
        <v>-16013.768750000003</v>
      </c>
      <c r="J80" s="357">
        <f t="shared" ref="J80:T80" si="324">J14-J39+J59-J79</f>
        <v>-13.768750000000001</v>
      </c>
      <c r="K80" s="357">
        <f t="shared" si="324"/>
        <v>-13.768750000000001</v>
      </c>
      <c r="L80" s="357">
        <f t="shared" si="324"/>
        <v>-13.768750000000001</v>
      </c>
      <c r="M80" s="357">
        <f t="shared" si="324"/>
        <v>-13.768750000000001</v>
      </c>
      <c r="N80" s="357">
        <f t="shared" si="324"/>
        <v>-13.768750000000001</v>
      </c>
      <c r="O80" s="357">
        <f t="shared" si="324"/>
        <v>16479.612500000003</v>
      </c>
      <c r="P80" s="357">
        <f t="shared" si="324"/>
        <v>-3.637978807091713E-12</v>
      </c>
      <c r="Q80" s="357">
        <f t="shared" si="324"/>
        <v>0</v>
      </c>
      <c r="R80" s="357">
        <f t="shared" si="324"/>
        <v>0</v>
      </c>
      <c r="S80" s="357">
        <f t="shared" si="324"/>
        <v>0</v>
      </c>
      <c r="T80" s="358">
        <f t="shared" si="324"/>
        <v>0</v>
      </c>
      <c r="U80" s="359"/>
      <c r="V80" s="357">
        <f t="shared" ref="V80:AG80" si="325">(V14+V59-V39-V79)</f>
        <v>0</v>
      </c>
      <c r="W80" s="357">
        <f t="shared" si="325"/>
        <v>0</v>
      </c>
      <c r="X80" s="357">
        <f t="shared" si="325"/>
        <v>0</v>
      </c>
      <c r="Y80" s="357">
        <f t="shared" si="325"/>
        <v>0</v>
      </c>
      <c r="Z80" s="357">
        <f t="shared" si="325"/>
        <v>0</v>
      </c>
      <c r="AA80" s="357">
        <f t="shared" si="325"/>
        <v>0</v>
      </c>
      <c r="AB80" s="357">
        <f t="shared" si="325"/>
        <v>0</v>
      </c>
      <c r="AC80" s="357">
        <f t="shared" si="325"/>
        <v>0</v>
      </c>
      <c r="AD80" s="357">
        <f t="shared" si="325"/>
        <v>0</v>
      </c>
      <c r="AE80" s="357">
        <f t="shared" si="325"/>
        <v>0</v>
      </c>
      <c r="AF80" s="357">
        <f t="shared" si="325"/>
        <v>0</v>
      </c>
      <c r="AG80" s="358">
        <f t="shared" si="325"/>
        <v>0</v>
      </c>
      <c r="AH80" s="359"/>
      <c r="AI80" s="357">
        <f t="shared" ref="AI80:AT80" si="326">(AI14+AI59-AI39-AI79)</f>
        <v>0</v>
      </c>
      <c r="AJ80" s="357">
        <f t="shared" si="326"/>
        <v>0</v>
      </c>
      <c r="AK80" s="357">
        <f t="shared" si="326"/>
        <v>0</v>
      </c>
      <c r="AL80" s="357">
        <f t="shared" si="326"/>
        <v>0</v>
      </c>
      <c r="AM80" s="357">
        <f t="shared" si="326"/>
        <v>0</v>
      </c>
      <c r="AN80" s="357">
        <f t="shared" si="326"/>
        <v>0</v>
      </c>
      <c r="AO80" s="357">
        <f t="shared" si="326"/>
        <v>0</v>
      </c>
      <c r="AP80" s="357">
        <f t="shared" si="326"/>
        <v>0</v>
      </c>
      <c r="AQ80" s="357">
        <f t="shared" si="326"/>
        <v>0</v>
      </c>
      <c r="AR80" s="357">
        <f t="shared" si="326"/>
        <v>0</v>
      </c>
      <c r="AS80" s="357">
        <f t="shared" si="326"/>
        <v>0</v>
      </c>
      <c r="AT80" s="358">
        <f t="shared" si="326"/>
        <v>0</v>
      </c>
      <c r="AU80" s="359"/>
      <c r="AV80" s="357">
        <f t="shared" ref="AV80:BG80" si="327">(AV14+AV59-AV39-AV79)</f>
        <v>0</v>
      </c>
      <c r="AW80" s="357">
        <f t="shared" si="327"/>
        <v>0</v>
      </c>
      <c r="AX80" s="357">
        <f t="shared" si="327"/>
        <v>0</v>
      </c>
      <c r="AY80" s="357">
        <f t="shared" si="327"/>
        <v>0</v>
      </c>
      <c r="AZ80" s="357">
        <f t="shared" si="327"/>
        <v>0</v>
      </c>
      <c r="BA80" s="357">
        <f t="shared" si="327"/>
        <v>0</v>
      </c>
      <c r="BB80" s="357">
        <f t="shared" si="327"/>
        <v>0</v>
      </c>
      <c r="BC80" s="357">
        <f t="shared" si="327"/>
        <v>0</v>
      </c>
      <c r="BD80" s="357">
        <f t="shared" si="327"/>
        <v>0</v>
      </c>
      <c r="BE80" s="357">
        <f t="shared" si="327"/>
        <v>0</v>
      </c>
      <c r="BF80" s="357">
        <f t="shared" si="327"/>
        <v>0</v>
      </c>
      <c r="BG80" s="358">
        <f t="shared" si="327"/>
        <v>0</v>
      </c>
      <c r="BH80" s="359"/>
      <c r="BI80" s="357">
        <f t="shared" ref="BI80:BT80" si="328">(BI14+BI59-BI39-BI79)</f>
        <v>0</v>
      </c>
      <c r="BJ80" s="357">
        <f t="shared" si="328"/>
        <v>0</v>
      </c>
      <c r="BK80" s="357">
        <f t="shared" si="328"/>
        <v>0</v>
      </c>
      <c r="BL80" s="357">
        <f t="shared" si="328"/>
        <v>0</v>
      </c>
      <c r="BM80" s="357">
        <f t="shared" si="328"/>
        <v>751.04886043909573</v>
      </c>
      <c r="BN80" s="357">
        <f t="shared" si="328"/>
        <v>2653.8089929253401</v>
      </c>
      <c r="BO80" s="357">
        <f t="shared" si="328"/>
        <v>2598.8480733062988</v>
      </c>
      <c r="BP80" s="357">
        <f t="shared" si="328"/>
        <v>2990.8434185443875</v>
      </c>
      <c r="BQ80" s="357">
        <f t="shared" si="328"/>
        <v>-382.12924574132194</v>
      </c>
      <c r="BR80" s="357">
        <f t="shared" si="328"/>
        <v>-996.14350374132482</v>
      </c>
      <c r="BS80" s="357">
        <f t="shared" si="328"/>
        <v>5518.8166622586759</v>
      </c>
      <c r="BT80" s="358">
        <f t="shared" si="328"/>
        <v>6186.1472309253422</v>
      </c>
      <c r="BU80" s="359"/>
      <c r="BV80" s="357">
        <f t="shared" ref="BV80:CG80" si="329">(BV14+BV59-BV39-BV79)</f>
        <v>29881.133452797359</v>
      </c>
      <c r="BW80" s="357">
        <f t="shared" si="329"/>
        <v>4159.8517983328529</v>
      </c>
      <c r="BX80" s="357">
        <f t="shared" si="329"/>
        <v>1827.0368588150159</v>
      </c>
      <c r="BY80" s="357">
        <f t="shared" si="329"/>
        <v>832.12799511952107</v>
      </c>
      <c r="BZ80" s="357">
        <f t="shared" si="329"/>
        <v>2732.5540687760222</v>
      </c>
      <c r="CA80" s="357">
        <f t="shared" si="329"/>
        <v>1528.2904834741748</v>
      </c>
      <c r="CB80" s="357">
        <f t="shared" si="329"/>
        <v>1543.3632619023774</v>
      </c>
      <c r="CC80" s="357">
        <f t="shared" si="329"/>
        <v>2585.594479101168</v>
      </c>
      <c r="CD80" s="357">
        <f t="shared" si="329"/>
        <v>-959.30777195381233</v>
      </c>
      <c r="CE80" s="357">
        <f t="shared" si="329"/>
        <v>-2118.5073548436631</v>
      </c>
      <c r="CF80" s="357">
        <f t="shared" si="329"/>
        <v>4078.9343880448541</v>
      </c>
      <c r="CG80" s="358">
        <f t="shared" si="329"/>
        <v>5191.174759397345</v>
      </c>
      <c r="CH80" s="359"/>
      <c r="CI80" s="357">
        <f t="shared" ref="CI80:CT80" si="330">(CI14+CI59-CI39-CI79)</f>
        <v>-49938.929205469933</v>
      </c>
      <c r="CJ80" s="357">
        <f t="shared" si="330"/>
        <v>8483.4249868122351</v>
      </c>
      <c r="CK80" s="357">
        <f t="shared" si="330"/>
        <v>6388.729319161057</v>
      </c>
      <c r="CL80" s="357">
        <f t="shared" si="330"/>
        <v>-102.26824358776867</v>
      </c>
      <c r="CM80" s="357">
        <f t="shared" si="330"/>
        <v>-428.85196217660996</v>
      </c>
      <c r="CN80" s="357">
        <f t="shared" si="330"/>
        <v>1004.7490887855729</v>
      </c>
      <c r="CO80" s="357">
        <f t="shared" si="330"/>
        <v>929.6483999931861</v>
      </c>
      <c r="CP80" s="357">
        <f t="shared" si="330"/>
        <v>303.37975354911032</v>
      </c>
      <c r="CQ80" s="357">
        <f t="shared" si="330"/>
        <v>-1852.9427183433254</v>
      </c>
      <c r="CR80" s="357">
        <f t="shared" si="330"/>
        <v>-1711.5318606433848</v>
      </c>
      <c r="CS80" s="357">
        <f t="shared" si="330"/>
        <v>3645.3732997722309</v>
      </c>
      <c r="CT80" s="358">
        <f t="shared" si="330"/>
        <v>3543.8190181967384</v>
      </c>
      <c r="CU80" s="359"/>
      <c r="CV80" s="357">
        <f t="shared" ref="CV80:DG80" si="331">(CV14+CV59-CV39-CV79)</f>
        <v>-10488.037296469935</v>
      </c>
      <c r="CW80" s="357">
        <f t="shared" si="331"/>
        <v>8483.4249868122351</v>
      </c>
      <c r="CX80" s="357">
        <f t="shared" si="331"/>
        <v>6388.729319161057</v>
      </c>
      <c r="CY80" s="357">
        <f t="shared" si="331"/>
        <v>-102.26824358776867</v>
      </c>
      <c r="CZ80" s="357">
        <f t="shared" si="331"/>
        <v>-428.85196217660996</v>
      </c>
      <c r="DA80" s="357">
        <f t="shared" si="331"/>
        <v>1004.7490887855729</v>
      </c>
      <c r="DB80" s="357">
        <f t="shared" si="331"/>
        <v>929.6483999931861</v>
      </c>
      <c r="DC80" s="357">
        <f t="shared" si="331"/>
        <v>303.37975354911032</v>
      </c>
      <c r="DD80" s="357">
        <f t="shared" si="331"/>
        <v>-1852.9427183433254</v>
      </c>
      <c r="DE80" s="357">
        <f t="shared" si="331"/>
        <v>-1711.5318606433848</v>
      </c>
      <c r="DF80" s="357">
        <f t="shared" si="331"/>
        <v>3645.3732997722309</v>
      </c>
      <c r="DG80" s="358">
        <f t="shared" si="331"/>
        <v>3543.8190181967384</v>
      </c>
      <c r="DH80" s="359"/>
      <c r="DI80" s="357">
        <f t="shared" ref="DI80:DT80" si="332">(DI14+DI59-DI39-DI79)</f>
        <v>-10488.037296469935</v>
      </c>
      <c r="DJ80" s="357">
        <f t="shared" si="332"/>
        <v>8483.4249868122351</v>
      </c>
      <c r="DK80" s="357">
        <f t="shared" si="332"/>
        <v>6388.729319161057</v>
      </c>
      <c r="DL80" s="357">
        <f t="shared" si="332"/>
        <v>-102.26824358776867</v>
      </c>
      <c r="DM80" s="357">
        <f t="shared" si="332"/>
        <v>-428.85196217660996</v>
      </c>
      <c r="DN80" s="357">
        <f t="shared" si="332"/>
        <v>1004.7490887855729</v>
      </c>
      <c r="DO80" s="357">
        <f t="shared" si="332"/>
        <v>929.6483999931861</v>
      </c>
      <c r="DP80" s="357">
        <f t="shared" si="332"/>
        <v>303.37975354911032</v>
      </c>
      <c r="DQ80" s="357">
        <f t="shared" si="332"/>
        <v>-1852.9427183433254</v>
      </c>
      <c r="DR80" s="357">
        <f t="shared" si="332"/>
        <v>-1711.5318606433848</v>
      </c>
      <c r="DS80" s="357">
        <f t="shared" si="332"/>
        <v>3645.3732997722309</v>
      </c>
      <c r="DT80" s="358">
        <f t="shared" si="332"/>
        <v>3543.8190181967384</v>
      </c>
      <c r="DU80" s="359"/>
      <c r="DV80" s="357">
        <f t="shared" ref="DV80:EG80" si="333">(DV14+DV59-DV39-DV79)</f>
        <v>-10488.037296469935</v>
      </c>
      <c r="DW80" s="357">
        <f t="shared" si="333"/>
        <v>8483.4249868122351</v>
      </c>
      <c r="DX80" s="357">
        <f t="shared" si="333"/>
        <v>6388.729319161057</v>
      </c>
      <c r="DY80" s="357">
        <f t="shared" si="333"/>
        <v>-102.26824358776867</v>
      </c>
      <c r="DZ80" s="357">
        <f t="shared" si="333"/>
        <v>-428.85196217660996</v>
      </c>
      <c r="EA80" s="357">
        <f t="shared" si="333"/>
        <v>1004.7490887855729</v>
      </c>
      <c r="EB80" s="357">
        <f t="shared" si="333"/>
        <v>929.6483999931861</v>
      </c>
      <c r="EC80" s="357">
        <f t="shared" si="333"/>
        <v>303.37975354911032</v>
      </c>
      <c r="ED80" s="357">
        <f t="shared" si="333"/>
        <v>-1852.9427183433254</v>
      </c>
      <c r="EE80" s="357">
        <f t="shared" si="333"/>
        <v>-1711.5318606433848</v>
      </c>
      <c r="EF80" s="357">
        <f t="shared" si="333"/>
        <v>3645.3732997722309</v>
      </c>
      <c r="EG80" s="358">
        <f t="shared" si="333"/>
        <v>3543.8190181967384</v>
      </c>
      <c r="EH80" s="359"/>
      <c r="EI80" s="21"/>
      <c r="EJ80" s="21"/>
      <c r="EK80" s="21"/>
      <c r="EL80" s="21"/>
      <c r="EM80" s="21"/>
    </row>
    <row r="81" spans="1:143" ht="15" customHeight="1">
      <c r="A81" s="21"/>
      <c r="B81" s="21"/>
      <c r="C81" s="21"/>
      <c r="D81" s="622">
        <f t="shared" si="323"/>
        <v>72</v>
      </c>
      <c r="E81" s="1625"/>
      <c r="F81" s="252" t="s">
        <v>608</v>
      </c>
      <c r="G81" s="654"/>
      <c r="H81" s="254">
        <f>H9</f>
        <v>103</v>
      </c>
      <c r="I81" s="653">
        <f t="shared" ref="I81:T81" si="334">I9+I80</f>
        <v>-15910.768750000003</v>
      </c>
      <c r="J81" s="653">
        <f t="shared" si="334"/>
        <v>-15924.537500000002</v>
      </c>
      <c r="K81" s="653">
        <f t="shared" si="334"/>
        <v>-15938.306250000001</v>
      </c>
      <c r="L81" s="653">
        <f t="shared" si="334"/>
        <v>-15952.075000000001</v>
      </c>
      <c r="M81" s="653">
        <f t="shared" si="334"/>
        <v>-15965.84375</v>
      </c>
      <c r="N81" s="653">
        <f t="shared" si="334"/>
        <v>-15979.612499999999</v>
      </c>
      <c r="O81" s="653">
        <f t="shared" si="334"/>
        <v>500.00000000000364</v>
      </c>
      <c r="P81" s="653">
        <f t="shared" si="334"/>
        <v>500</v>
      </c>
      <c r="Q81" s="653">
        <f t="shared" si="334"/>
        <v>500</v>
      </c>
      <c r="R81" s="653">
        <f t="shared" si="334"/>
        <v>500</v>
      </c>
      <c r="S81" s="653">
        <f t="shared" si="334"/>
        <v>500</v>
      </c>
      <c r="T81" s="655">
        <f t="shared" si="334"/>
        <v>500</v>
      </c>
      <c r="U81" s="360"/>
      <c r="V81" s="653">
        <f t="shared" ref="V81:AG81" si="335">V9+V80</f>
        <v>500</v>
      </c>
      <c r="W81" s="653">
        <f t="shared" si="335"/>
        <v>500</v>
      </c>
      <c r="X81" s="653">
        <f t="shared" si="335"/>
        <v>500</v>
      </c>
      <c r="Y81" s="653">
        <f t="shared" si="335"/>
        <v>500</v>
      </c>
      <c r="Z81" s="653">
        <f t="shared" si="335"/>
        <v>500</v>
      </c>
      <c r="AA81" s="653">
        <f t="shared" si="335"/>
        <v>500</v>
      </c>
      <c r="AB81" s="653">
        <f t="shared" si="335"/>
        <v>500</v>
      </c>
      <c r="AC81" s="653">
        <f t="shared" si="335"/>
        <v>500</v>
      </c>
      <c r="AD81" s="653">
        <f t="shared" si="335"/>
        <v>500</v>
      </c>
      <c r="AE81" s="653">
        <f t="shared" si="335"/>
        <v>500</v>
      </c>
      <c r="AF81" s="653">
        <f t="shared" si="335"/>
        <v>500</v>
      </c>
      <c r="AG81" s="655">
        <f t="shared" si="335"/>
        <v>500</v>
      </c>
      <c r="AH81" s="360"/>
      <c r="AI81" s="653">
        <f t="shared" ref="AI81:AT81" si="336">AI9+AI80</f>
        <v>500</v>
      </c>
      <c r="AJ81" s="653">
        <f t="shared" si="336"/>
        <v>500</v>
      </c>
      <c r="AK81" s="653">
        <f t="shared" si="336"/>
        <v>500</v>
      </c>
      <c r="AL81" s="653">
        <f t="shared" si="336"/>
        <v>500</v>
      </c>
      <c r="AM81" s="653">
        <f t="shared" si="336"/>
        <v>500</v>
      </c>
      <c r="AN81" s="653">
        <f t="shared" si="336"/>
        <v>500</v>
      </c>
      <c r="AO81" s="653">
        <f t="shared" si="336"/>
        <v>500</v>
      </c>
      <c r="AP81" s="653">
        <f t="shared" si="336"/>
        <v>500</v>
      </c>
      <c r="AQ81" s="653">
        <f t="shared" si="336"/>
        <v>500</v>
      </c>
      <c r="AR81" s="653">
        <f t="shared" si="336"/>
        <v>500</v>
      </c>
      <c r="AS81" s="653">
        <f t="shared" si="336"/>
        <v>500</v>
      </c>
      <c r="AT81" s="655">
        <f t="shared" si="336"/>
        <v>500</v>
      </c>
      <c r="AU81" s="360"/>
      <c r="AV81" s="653">
        <f t="shared" ref="AV81:BG81" si="337">AV9+AV80</f>
        <v>500</v>
      </c>
      <c r="AW81" s="653">
        <f t="shared" si="337"/>
        <v>500</v>
      </c>
      <c r="AX81" s="653">
        <f t="shared" si="337"/>
        <v>500</v>
      </c>
      <c r="AY81" s="653">
        <f t="shared" si="337"/>
        <v>500</v>
      </c>
      <c r="AZ81" s="653">
        <f t="shared" si="337"/>
        <v>500</v>
      </c>
      <c r="BA81" s="653">
        <f t="shared" si="337"/>
        <v>500</v>
      </c>
      <c r="BB81" s="653">
        <f t="shared" si="337"/>
        <v>500</v>
      </c>
      <c r="BC81" s="653">
        <f t="shared" si="337"/>
        <v>500</v>
      </c>
      <c r="BD81" s="653">
        <f t="shared" si="337"/>
        <v>500</v>
      </c>
      <c r="BE81" s="653">
        <f t="shared" si="337"/>
        <v>500</v>
      </c>
      <c r="BF81" s="653">
        <f t="shared" si="337"/>
        <v>500</v>
      </c>
      <c r="BG81" s="655">
        <f t="shared" si="337"/>
        <v>500</v>
      </c>
      <c r="BH81" s="360"/>
      <c r="BI81" s="653">
        <f t="shared" ref="BI81:BT81" si="338">BI9+BI80</f>
        <v>500</v>
      </c>
      <c r="BJ81" s="653">
        <f t="shared" si="338"/>
        <v>500</v>
      </c>
      <c r="BK81" s="653">
        <f t="shared" si="338"/>
        <v>500</v>
      </c>
      <c r="BL81" s="653">
        <f t="shared" si="338"/>
        <v>500</v>
      </c>
      <c r="BM81" s="653">
        <f t="shared" si="338"/>
        <v>1251.0488604390957</v>
      </c>
      <c r="BN81" s="653">
        <f t="shared" si="338"/>
        <v>3904.8578533644359</v>
      </c>
      <c r="BO81" s="653">
        <f t="shared" si="338"/>
        <v>6503.7059266707347</v>
      </c>
      <c r="BP81" s="653">
        <f t="shared" si="338"/>
        <v>9494.5493452151222</v>
      </c>
      <c r="BQ81" s="653">
        <f t="shared" si="338"/>
        <v>9112.4200994738003</v>
      </c>
      <c r="BR81" s="653">
        <f t="shared" si="338"/>
        <v>8116.2765957324755</v>
      </c>
      <c r="BS81" s="653">
        <f t="shared" si="338"/>
        <v>13635.093257991151</v>
      </c>
      <c r="BT81" s="655">
        <f t="shared" si="338"/>
        <v>19821.240488916494</v>
      </c>
      <c r="BU81" s="360"/>
      <c r="BV81" s="653">
        <f t="shared" ref="BV81:CG81" si="339">BV9+BV80</f>
        <v>49702.373941713857</v>
      </c>
      <c r="BW81" s="653">
        <f t="shared" si="339"/>
        <v>53862.225740046706</v>
      </c>
      <c r="BX81" s="653">
        <f t="shared" si="339"/>
        <v>55689.262598861722</v>
      </c>
      <c r="BY81" s="653">
        <f t="shared" si="339"/>
        <v>56521.390593981239</v>
      </c>
      <c r="BZ81" s="653">
        <f t="shared" si="339"/>
        <v>59253.944662757262</v>
      </c>
      <c r="CA81" s="653">
        <f t="shared" si="339"/>
        <v>60782.23514623144</v>
      </c>
      <c r="CB81" s="653">
        <f t="shared" si="339"/>
        <v>62325.598408133817</v>
      </c>
      <c r="CC81" s="653">
        <f t="shared" si="339"/>
        <v>64911.192887234982</v>
      </c>
      <c r="CD81" s="653">
        <f t="shared" si="339"/>
        <v>63951.885115281169</v>
      </c>
      <c r="CE81" s="653">
        <f t="shared" si="339"/>
        <v>61833.377760437506</v>
      </c>
      <c r="CF81" s="653">
        <f t="shared" si="339"/>
        <v>65912.312148482364</v>
      </c>
      <c r="CG81" s="655">
        <f t="shared" si="339"/>
        <v>71103.486907879706</v>
      </c>
      <c r="CH81" s="360"/>
      <c r="CI81" s="653">
        <f t="shared" ref="CI81:CT81" si="340">CI9+CI80</f>
        <v>21164.557702409773</v>
      </c>
      <c r="CJ81" s="653">
        <f t="shared" si="340"/>
        <v>29647.982689222008</v>
      </c>
      <c r="CK81" s="653">
        <f t="shared" si="340"/>
        <v>36036.712008383067</v>
      </c>
      <c r="CL81" s="653">
        <f t="shared" si="340"/>
        <v>35934.443764795302</v>
      </c>
      <c r="CM81" s="653">
        <f t="shared" si="340"/>
        <v>35505.591802618692</v>
      </c>
      <c r="CN81" s="653">
        <f t="shared" si="340"/>
        <v>36510.340891404267</v>
      </c>
      <c r="CO81" s="653">
        <f t="shared" si="340"/>
        <v>37439.989291397455</v>
      </c>
      <c r="CP81" s="653">
        <f t="shared" si="340"/>
        <v>37743.369044946565</v>
      </c>
      <c r="CQ81" s="653">
        <f t="shared" si="340"/>
        <v>35890.426326603236</v>
      </c>
      <c r="CR81" s="653">
        <f t="shared" si="340"/>
        <v>34178.894465959849</v>
      </c>
      <c r="CS81" s="653">
        <f t="shared" si="340"/>
        <v>37824.267765732082</v>
      </c>
      <c r="CT81" s="655">
        <f t="shared" si="340"/>
        <v>41368.086783928818</v>
      </c>
      <c r="CU81" s="360"/>
      <c r="CV81" s="653">
        <f t="shared" ref="CV81:DG81" si="341">CV9+CV80</f>
        <v>30880.049487458884</v>
      </c>
      <c r="CW81" s="653">
        <f t="shared" si="341"/>
        <v>39363.474474271119</v>
      </c>
      <c r="CX81" s="653">
        <f t="shared" si="341"/>
        <v>45752.203793432178</v>
      </c>
      <c r="CY81" s="653">
        <f t="shared" si="341"/>
        <v>45649.935549844406</v>
      </c>
      <c r="CZ81" s="653">
        <f t="shared" si="341"/>
        <v>45221.083587667796</v>
      </c>
      <c r="DA81" s="653">
        <f t="shared" si="341"/>
        <v>46225.83267645337</v>
      </c>
      <c r="DB81" s="653">
        <f t="shared" si="341"/>
        <v>47155.481076446558</v>
      </c>
      <c r="DC81" s="653">
        <f t="shared" si="341"/>
        <v>47458.860829995669</v>
      </c>
      <c r="DD81" s="653">
        <f t="shared" si="341"/>
        <v>45605.91811165234</v>
      </c>
      <c r="DE81" s="653">
        <f t="shared" si="341"/>
        <v>43894.386251008953</v>
      </c>
      <c r="DF81" s="653">
        <f t="shared" si="341"/>
        <v>47539.759550781186</v>
      </c>
      <c r="DG81" s="655">
        <f t="shared" si="341"/>
        <v>51083.578568977922</v>
      </c>
      <c r="DH81" s="360"/>
      <c r="DI81" s="653">
        <f t="shared" ref="DI81:DT81" si="342">DI9+DI80</f>
        <v>40595.541272507988</v>
      </c>
      <c r="DJ81" s="653">
        <f t="shared" si="342"/>
        <v>49078.966259320223</v>
      </c>
      <c r="DK81" s="653">
        <f t="shared" si="342"/>
        <v>55467.695578481282</v>
      </c>
      <c r="DL81" s="653">
        <f t="shared" si="342"/>
        <v>55365.427334893509</v>
      </c>
      <c r="DM81" s="653">
        <f t="shared" si="342"/>
        <v>54936.575372716899</v>
      </c>
      <c r="DN81" s="653">
        <f t="shared" si="342"/>
        <v>55941.324461502474</v>
      </c>
      <c r="DO81" s="653">
        <f t="shared" si="342"/>
        <v>56870.972861495662</v>
      </c>
      <c r="DP81" s="653">
        <f t="shared" si="342"/>
        <v>57174.352615044772</v>
      </c>
      <c r="DQ81" s="653">
        <f t="shared" si="342"/>
        <v>55321.409896701443</v>
      </c>
      <c r="DR81" s="653">
        <f t="shared" si="342"/>
        <v>53609.878036058057</v>
      </c>
      <c r="DS81" s="653">
        <f t="shared" si="342"/>
        <v>57255.251335830289</v>
      </c>
      <c r="DT81" s="655">
        <f t="shared" si="342"/>
        <v>60799.070354027026</v>
      </c>
      <c r="DU81" s="360"/>
      <c r="DV81" s="653">
        <f t="shared" ref="DV81:EG81" si="343">DV9+DV80</f>
        <v>50311.033057557092</v>
      </c>
      <c r="DW81" s="653">
        <f t="shared" si="343"/>
        <v>58794.458044369327</v>
      </c>
      <c r="DX81" s="653">
        <f t="shared" si="343"/>
        <v>65183.187363530385</v>
      </c>
      <c r="DY81" s="653">
        <f t="shared" si="343"/>
        <v>65080.919119942613</v>
      </c>
      <c r="DZ81" s="653">
        <f t="shared" si="343"/>
        <v>64652.067157766003</v>
      </c>
      <c r="EA81" s="653">
        <f t="shared" si="343"/>
        <v>65656.816246551578</v>
      </c>
      <c r="EB81" s="653">
        <f t="shared" si="343"/>
        <v>66586.464646544759</v>
      </c>
      <c r="EC81" s="653">
        <f t="shared" si="343"/>
        <v>66889.844400093862</v>
      </c>
      <c r="ED81" s="653">
        <f t="shared" si="343"/>
        <v>65036.901681750533</v>
      </c>
      <c r="EE81" s="653">
        <f t="shared" si="343"/>
        <v>63325.369821107146</v>
      </c>
      <c r="EF81" s="653">
        <f t="shared" si="343"/>
        <v>66970.743120879371</v>
      </c>
      <c r="EG81" s="655">
        <f t="shared" si="343"/>
        <v>70514.562139076108</v>
      </c>
      <c r="EH81" s="360"/>
      <c r="EI81" s="21"/>
      <c r="EJ81" s="21"/>
      <c r="EK81" s="21"/>
      <c r="EL81" s="21"/>
      <c r="EM81" s="21"/>
    </row>
    <row r="82" spans="1:143" ht="15" customHeight="1">
      <c r="A82" s="21"/>
      <c r="B82" s="21"/>
      <c r="C82" s="21"/>
      <c r="D82" s="622">
        <f t="shared" si="323"/>
        <v>73</v>
      </c>
      <c r="E82" s="1625"/>
      <c r="F82" s="252" t="s">
        <v>609</v>
      </c>
      <c r="G82" s="654"/>
      <c r="H82" s="254"/>
      <c r="I82" s="653">
        <f t="shared" ref="I82:T82" si="344">(I59-I79)</f>
        <v>-14000</v>
      </c>
      <c r="J82" s="653">
        <f t="shared" si="344"/>
        <v>0</v>
      </c>
      <c r="K82" s="653">
        <f t="shared" si="344"/>
        <v>0</v>
      </c>
      <c r="L82" s="653">
        <f t="shared" si="344"/>
        <v>0</v>
      </c>
      <c r="M82" s="653">
        <f t="shared" si="344"/>
        <v>0</v>
      </c>
      <c r="N82" s="653">
        <f t="shared" si="344"/>
        <v>0</v>
      </c>
      <c r="O82" s="653">
        <f t="shared" si="344"/>
        <v>47500.236250000002</v>
      </c>
      <c r="P82" s="653">
        <f t="shared" si="344"/>
        <v>3219.4351979166659</v>
      </c>
      <c r="Q82" s="653">
        <f t="shared" si="344"/>
        <v>4026.1227481770816</v>
      </c>
      <c r="R82" s="653">
        <f t="shared" si="344"/>
        <v>3827.1670280230028</v>
      </c>
      <c r="S82" s="653">
        <f t="shared" si="344"/>
        <v>2798.9264041403662</v>
      </c>
      <c r="T82" s="655">
        <f t="shared" si="344"/>
        <v>4076.4435585183064</v>
      </c>
      <c r="U82" s="360"/>
      <c r="V82" s="653">
        <f t="shared" ref="V82:AG82" si="345">(V59-V79)</f>
        <v>2904.1155376675724</v>
      </c>
      <c r="W82" s="653">
        <f t="shared" si="345"/>
        <v>-5478.9412772963078</v>
      </c>
      <c r="X82" s="653">
        <f t="shared" si="345"/>
        <v>-295.45578794044559</v>
      </c>
      <c r="Y82" s="653">
        <f t="shared" si="345"/>
        <v>1161.0854138267186</v>
      </c>
      <c r="Z82" s="653">
        <f t="shared" si="345"/>
        <v>-995.48354105805993</v>
      </c>
      <c r="AA82" s="653">
        <f t="shared" si="345"/>
        <v>-1178.5399039002077</v>
      </c>
      <c r="AB82" s="653">
        <f t="shared" si="345"/>
        <v>-1147.1100221470006</v>
      </c>
      <c r="AC82" s="653">
        <f t="shared" si="345"/>
        <v>-1425.357367569648</v>
      </c>
      <c r="AD82" s="653">
        <f t="shared" si="345"/>
        <v>1097.0337019863146</v>
      </c>
      <c r="AE82" s="653">
        <f t="shared" si="345"/>
        <v>1541.6069828362015</v>
      </c>
      <c r="AF82" s="653">
        <f t="shared" si="345"/>
        <v>-3366.3589589734947</v>
      </c>
      <c r="AG82" s="655">
        <f t="shared" si="345"/>
        <v>-3869.8406169649388</v>
      </c>
      <c r="AH82" s="360"/>
      <c r="AI82" s="653">
        <f t="shared" ref="AI82:AT82" si="346">(AI59-AI79)</f>
        <v>1058.6892472874788</v>
      </c>
      <c r="AJ82" s="653">
        <f t="shared" si="346"/>
        <v>-6589.5480089851244</v>
      </c>
      <c r="AK82" s="653">
        <f t="shared" si="346"/>
        <v>-1258.7232423933419</v>
      </c>
      <c r="AL82" s="653">
        <f t="shared" si="346"/>
        <v>647.96439725338678</v>
      </c>
      <c r="AM82" s="653">
        <f t="shared" si="346"/>
        <v>-1730.150366102831</v>
      </c>
      <c r="AN82" s="653">
        <f t="shared" si="346"/>
        <v>-1908.8943524870265</v>
      </c>
      <c r="AO82" s="653">
        <f t="shared" si="346"/>
        <v>-1879.3795578053741</v>
      </c>
      <c r="AP82" s="653">
        <f t="shared" si="346"/>
        <v>-2219.0041493585086</v>
      </c>
      <c r="AQ82" s="653">
        <f t="shared" si="346"/>
        <v>550.08486368254853</v>
      </c>
      <c r="AR82" s="653">
        <f t="shared" si="346"/>
        <v>1062.1187042132369</v>
      </c>
      <c r="AS82" s="653">
        <f t="shared" si="346"/>
        <v>-4313.2949065849898</v>
      </c>
      <c r="AT82" s="655">
        <f t="shared" si="346"/>
        <v>-4900.7518974731884</v>
      </c>
      <c r="AU82" s="360"/>
      <c r="AV82" s="653">
        <f t="shared" ref="AV82:BG82" si="347">(AV59-AV79)</f>
        <v>992.06714194721644</v>
      </c>
      <c r="AW82" s="653">
        <f t="shared" si="347"/>
        <v>-7402.2645985365689</v>
      </c>
      <c r="AX82" s="653">
        <f t="shared" si="347"/>
        <v>-1165.081370191032</v>
      </c>
      <c r="AY82" s="653">
        <f t="shared" si="347"/>
        <v>559.54698505737906</v>
      </c>
      <c r="AZ82" s="653">
        <f t="shared" si="347"/>
        <v>-2057.656036733817</v>
      </c>
      <c r="BA82" s="653">
        <f t="shared" si="347"/>
        <v>-2255.5618437065932</v>
      </c>
      <c r="BB82" s="653">
        <f t="shared" si="347"/>
        <v>-2224.3937200232012</v>
      </c>
      <c r="BC82" s="653">
        <f t="shared" si="347"/>
        <v>-2599.2897391186216</v>
      </c>
      <c r="BD82" s="653">
        <f t="shared" si="347"/>
        <v>445.38829876966884</v>
      </c>
      <c r="BE82" s="653">
        <f t="shared" si="347"/>
        <v>1007.2946479260881</v>
      </c>
      <c r="BF82" s="653">
        <f t="shared" si="347"/>
        <v>-4907.0022900078657</v>
      </c>
      <c r="BG82" s="655">
        <f t="shared" si="347"/>
        <v>-5554.5581290912614</v>
      </c>
      <c r="BH82" s="360"/>
      <c r="BI82" s="653">
        <f t="shared" ref="BI82:BT82" si="348">(BI59-BI79)</f>
        <v>919.59754761448494</v>
      </c>
      <c r="BJ82" s="653">
        <f t="shared" si="348"/>
        <v>-8315.5980028220602</v>
      </c>
      <c r="BK82" s="653">
        <f t="shared" si="348"/>
        <v>-1456.1390095122442</v>
      </c>
      <c r="BL82" s="653">
        <f t="shared" si="348"/>
        <v>439.49760207515646</v>
      </c>
      <c r="BM82" s="653">
        <f t="shared" si="348"/>
        <v>-1689.8435621351236</v>
      </c>
      <c r="BN82" s="653">
        <f t="shared" si="348"/>
        <v>0</v>
      </c>
      <c r="BO82" s="653">
        <f t="shared" si="348"/>
        <v>0</v>
      </c>
      <c r="BP82" s="653">
        <f t="shared" si="348"/>
        <v>0</v>
      </c>
      <c r="BQ82" s="653">
        <f t="shared" si="348"/>
        <v>0</v>
      </c>
      <c r="BR82" s="653">
        <f t="shared" si="348"/>
        <v>0</v>
      </c>
      <c r="BS82" s="653">
        <f t="shared" si="348"/>
        <v>0</v>
      </c>
      <c r="BT82" s="655">
        <f t="shared" si="348"/>
        <v>0</v>
      </c>
      <c r="BU82" s="360"/>
      <c r="BV82" s="653">
        <f t="shared" ref="BV82:CG82" si="349">(BV59-BV79)</f>
        <v>0</v>
      </c>
      <c r="BW82" s="653">
        <f t="shared" si="349"/>
        <v>0</v>
      </c>
      <c r="BX82" s="653">
        <f t="shared" si="349"/>
        <v>0</v>
      </c>
      <c r="BY82" s="653">
        <f t="shared" si="349"/>
        <v>0</v>
      </c>
      <c r="BZ82" s="653">
        <f t="shared" si="349"/>
        <v>0</v>
      </c>
      <c r="CA82" s="653">
        <f t="shared" si="349"/>
        <v>0</v>
      </c>
      <c r="CB82" s="653">
        <f t="shared" si="349"/>
        <v>0</v>
      </c>
      <c r="CC82" s="653">
        <f t="shared" si="349"/>
        <v>0</v>
      </c>
      <c r="CD82" s="653">
        <f t="shared" si="349"/>
        <v>0</v>
      </c>
      <c r="CE82" s="653">
        <f t="shared" si="349"/>
        <v>0</v>
      </c>
      <c r="CF82" s="653">
        <f t="shared" si="349"/>
        <v>0</v>
      </c>
      <c r="CG82" s="655">
        <f t="shared" si="349"/>
        <v>0</v>
      </c>
      <c r="CH82" s="360"/>
      <c r="CI82" s="653">
        <f t="shared" ref="CI82:CT82" si="350">(CI59-CI79)</f>
        <v>0</v>
      </c>
      <c r="CJ82" s="653">
        <f t="shared" si="350"/>
        <v>0</v>
      </c>
      <c r="CK82" s="653">
        <f t="shared" si="350"/>
        <v>0</v>
      </c>
      <c r="CL82" s="653">
        <f t="shared" si="350"/>
        <v>0</v>
      </c>
      <c r="CM82" s="653">
        <f t="shared" si="350"/>
        <v>0</v>
      </c>
      <c r="CN82" s="653">
        <f t="shared" si="350"/>
        <v>0</v>
      </c>
      <c r="CO82" s="653">
        <f t="shared" si="350"/>
        <v>0</v>
      </c>
      <c r="CP82" s="653">
        <f t="shared" si="350"/>
        <v>0</v>
      </c>
      <c r="CQ82" s="653">
        <f t="shared" si="350"/>
        <v>0</v>
      </c>
      <c r="CR82" s="653">
        <f t="shared" si="350"/>
        <v>0</v>
      </c>
      <c r="CS82" s="653">
        <f t="shared" si="350"/>
        <v>0</v>
      </c>
      <c r="CT82" s="655">
        <f t="shared" si="350"/>
        <v>0</v>
      </c>
      <c r="CU82" s="360"/>
      <c r="CV82" s="653">
        <f t="shared" ref="CV82:DG82" si="351">(CV59-CV79)</f>
        <v>0</v>
      </c>
      <c r="CW82" s="653">
        <f t="shared" si="351"/>
        <v>0</v>
      </c>
      <c r="CX82" s="653">
        <f t="shared" si="351"/>
        <v>0</v>
      </c>
      <c r="CY82" s="653">
        <f t="shared" si="351"/>
        <v>0</v>
      </c>
      <c r="CZ82" s="653">
        <f t="shared" si="351"/>
        <v>0</v>
      </c>
      <c r="DA82" s="653">
        <f t="shared" si="351"/>
        <v>0</v>
      </c>
      <c r="DB82" s="653">
        <f t="shared" si="351"/>
        <v>0</v>
      </c>
      <c r="DC82" s="653">
        <f t="shared" si="351"/>
        <v>0</v>
      </c>
      <c r="DD82" s="653">
        <f t="shared" si="351"/>
        <v>0</v>
      </c>
      <c r="DE82" s="653">
        <f t="shared" si="351"/>
        <v>0</v>
      </c>
      <c r="DF82" s="653">
        <f t="shared" si="351"/>
        <v>0</v>
      </c>
      <c r="DG82" s="655">
        <f t="shared" si="351"/>
        <v>0</v>
      </c>
      <c r="DH82" s="360"/>
      <c r="DI82" s="653">
        <f t="shared" ref="DI82:DT82" si="352">(DI59-DI79)</f>
        <v>0</v>
      </c>
      <c r="DJ82" s="653">
        <f t="shared" si="352"/>
        <v>0</v>
      </c>
      <c r="DK82" s="653">
        <f t="shared" si="352"/>
        <v>0</v>
      </c>
      <c r="DL82" s="653">
        <f t="shared" si="352"/>
        <v>0</v>
      </c>
      <c r="DM82" s="653">
        <f t="shared" si="352"/>
        <v>0</v>
      </c>
      <c r="DN82" s="653">
        <f t="shared" si="352"/>
        <v>0</v>
      </c>
      <c r="DO82" s="653">
        <f t="shared" si="352"/>
        <v>0</v>
      </c>
      <c r="DP82" s="653">
        <f t="shared" si="352"/>
        <v>0</v>
      </c>
      <c r="DQ82" s="653">
        <f t="shared" si="352"/>
        <v>0</v>
      </c>
      <c r="DR82" s="653">
        <f t="shared" si="352"/>
        <v>0</v>
      </c>
      <c r="DS82" s="653">
        <f t="shared" si="352"/>
        <v>0</v>
      </c>
      <c r="DT82" s="655">
        <f t="shared" si="352"/>
        <v>0</v>
      </c>
      <c r="DU82" s="360"/>
      <c r="DV82" s="653">
        <f t="shared" ref="DV82:EG82" si="353">(DV59-DV79)</f>
        <v>0</v>
      </c>
      <c r="DW82" s="653">
        <f t="shared" si="353"/>
        <v>0</v>
      </c>
      <c r="DX82" s="653">
        <f t="shared" si="353"/>
        <v>0</v>
      </c>
      <c r="DY82" s="653">
        <f t="shared" si="353"/>
        <v>0</v>
      </c>
      <c r="DZ82" s="653">
        <f t="shared" si="353"/>
        <v>0</v>
      </c>
      <c r="EA82" s="653">
        <f t="shared" si="353"/>
        <v>0</v>
      </c>
      <c r="EB82" s="653">
        <f t="shared" si="353"/>
        <v>0</v>
      </c>
      <c r="EC82" s="653">
        <f t="shared" si="353"/>
        <v>0</v>
      </c>
      <c r="ED82" s="653">
        <f t="shared" si="353"/>
        <v>0</v>
      </c>
      <c r="EE82" s="653">
        <f t="shared" si="353"/>
        <v>0</v>
      </c>
      <c r="EF82" s="653">
        <f t="shared" si="353"/>
        <v>0</v>
      </c>
      <c r="EG82" s="655">
        <f t="shared" si="353"/>
        <v>0</v>
      </c>
      <c r="EH82" s="360"/>
      <c r="EI82" s="21"/>
      <c r="EJ82" s="21"/>
      <c r="EK82" s="21"/>
      <c r="EL82" s="21"/>
      <c r="EM82" s="21"/>
    </row>
    <row r="83" spans="1:143" ht="15" customHeight="1">
      <c r="A83" s="21"/>
      <c r="B83" s="21"/>
      <c r="C83" s="21"/>
      <c r="D83" s="622">
        <f t="shared" si="323"/>
        <v>74</v>
      </c>
      <c r="E83" s="1625"/>
      <c r="F83" s="252" t="s">
        <v>610</v>
      </c>
      <c r="G83" s="654"/>
      <c r="H83" s="254"/>
      <c r="I83" s="653">
        <f t="shared" ref="I83:K83" si="354">(H83+I82)</f>
        <v>-14000</v>
      </c>
      <c r="J83" s="653">
        <f t="shared" si="354"/>
        <v>-14000</v>
      </c>
      <c r="K83" s="653">
        <f t="shared" si="354"/>
        <v>-14000</v>
      </c>
      <c r="L83" s="653">
        <f>(H83+L82)</f>
        <v>0</v>
      </c>
      <c r="M83" s="653">
        <f t="shared" ref="M83:N83" si="355">(L83+M82)</f>
        <v>0</v>
      </c>
      <c r="N83" s="653">
        <f t="shared" si="355"/>
        <v>0</v>
      </c>
      <c r="O83" s="653">
        <f>(H83+O82)</f>
        <v>47500.236250000002</v>
      </c>
      <c r="P83" s="653">
        <f t="shared" ref="P83:T83" si="356">(O83+P82)</f>
        <v>50719.671447916669</v>
      </c>
      <c r="Q83" s="653">
        <f t="shared" si="356"/>
        <v>54745.794196093753</v>
      </c>
      <c r="R83" s="653">
        <f t="shared" si="356"/>
        <v>58572.961224116756</v>
      </c>
      <c r="S83" s="653">
        <f t="shared" si="356"/>
        <v>61371.887628257122</v>
      </c>
      <c r="T83" s="655">
        <f t="shared" si="356"/>
        <v>65448.331186775431</v>
      </c>
      <c r="U83" s="360"/>
      <c r="V83" s="653">
        <f>(T83+V82)</f>
        <v>68352.446724442998</v>
      </c>
      <c r="W83" s="653">
        <f t="shared" ref="W83:AG83" si="357">(V83+W82)</f>
        <v>62873.505447146686</v>
      </c>
      <c r="X83" s="653">
        <f t="shared" si="357"/>
        <v>62578.049659206241</v>
      </c>
      <c r="Y83" s="653">
        <f t="shared" si="357"/>
        <v>63739.135073032958</v>
      </c>
      <c r="Z83" s="653">
        <f t="shared" si="357"/>
        <v>62743.651531974901</v>
      </c>
      <c r="AA83" s="653">
        <f t="shared" si="357"/>
        <v>61565.111628074694</v>
      </c>
      <c r="AB83" s="653">
        <f t="shared" si="357"/>
        <v>60418.001605927697</v>
      </c>
      <c r="AC83" s="653">
        <f t="shared" si="357"/>
        <v>58992.644238358051</v>
      </c>
      <c r="AD83" s="653">
        <f t="shared" si="357"/>
        <v>60089.677940344365</v>
      </c>
      <c r="AE83" s="653">
        <f t="shared" si="357"/>
        <v>61631.284923180567</v>
      </c>
      <c r="AF83" s="653">
        <f t="shared" si="357"/>
        <v>58264.925964207068</v>
      </c>
      <c r="AG83" s="655">
        <f t="shared" si="357"/>
        <v>54395.08534724213</v>
      </c>
      <c r="AH83" s="360"/>
      <c r="AI83" s="653">
        <f>(AG83+AI82)</f>
        <v>55453.774594529605</v>
      </c>
      <c r="AJ83" s="653">
        <f t="shared" ref="AJ83:AT83" si="358">(AI83+AJ82)</f>
        <v>48864.226585544478</v>
      </c>
      <c r="AK83" s="653">
        <f t="shared" si="358"/>
        <v>47605.50334315114</v>
      </c>
      <c r="AL83" s="653">
        <f t="shared" si="358"/>
        <v>48253.467740404529</v>
      </c>
      <c r="AM83" s="653">
        <f t="shared" si="358"/>
        <v>46523.317374301696</v>
      </c>
      <c r="AN83" s="653">
        <f t="shared" si="358"/>
        <v>44614.423021814669</v>
      </c>
      <c r="AO83" s="653">
        <f t="shared" si="358"/>
        <v>42735.043464009294</v>
      </c>
      <c r="AP83" s="653">
        <f t="shared" si="358"/>
        <v>40516.039314650785</v>
      </c>
      <c r="AQ83" s="653">
        <f t="shared" si="358"/>
        <v>41066.124178333332</v>
      </c>
      <c r="AR83" s="653">
        <f t="shared" si="358"/>
        <v>42128.242882546569</v>
      </c>
      <c r="AS83" s="653">
        <f t="shared" si="358"/>
        <v>37814.947975961579</v>
      </c>
      <c r="AT83" s="655">
        <f t="shared" si="358"/>
        <v>32914.196078488392</v>
      </c>
      <c r="AU83" s="360"/>
      <c r="AV83" s="653">
        <f>(AT83+AV82)</f>
        <v>33906.263220435605</v>
      </c>
      <c r="AW83" s="653">
        <f t="shared" ref="AW83:BG83" si="359">(AV83+AW82)</f>
        <v>26503.998621899038</v>
      </c>
      <c r="AX83" s="653">
        <f t="shared" si="359"/>
        <v>25338.917251708008</v>
      </c>
      <c r="AY83" s="653">
        <f t="shared" si="359"/>
        <v>25898.464236765387</v>
      </c>
      <c r="AZ83" s="653">
        <f t="shared" si="359"/>
        <v>23840.80820003157</v>
      </c>
      <c r="BA83" s="653">
        <f t="shared" si="359"/>
        <v>21585.246356324977</v>
      </c>
      <c r="BB83" s="653">
        <f t="shared" si="359"/>
        <v>19360.852636301774</v>
      </c>
      <c r="BC83" s="653">
        <f t="shared" si="359"/>
        <v>16761.562897183154</v>
      </c>
      <c r="BD83" s="653">
        <f t="shared" si="359"/>
        <v>17206.951195952824</v>
      </c>
      <c r="BE83" s="653">
        <f t="shared" si="359"/>
        <v>18214.245843878911</v>
      </c>
      <c r="BF83" s="653">
        <f t="shared" si="359"/>
        <v>13307.243553871045</v>
      </c>
      <c r="BG83" s="655">
        <f t="shared" si="359"/>
        <v>7752.6854247797837</v>
      </c>
      <c r="BH83" s="360"/>
      <c r="BI83" s="653">
        <f>(BG83+BI82)</f>
        <v>8672.2829723942687</v>
      </c>
      <c r="BJ83" s="653">
        <f t="shared" ref="BJ83:BT83" si="360">(BI83+BJ82)</f>
        <v>356.6849695722085</v>
      </c>
      <c r="BK83" s="653">
        <f t="shared" si="360"/>
        <v>-1099.4540399400357</v>
      </c>
      <c r="BL83" s="653">
        <f t="shared" si="360"/>
        <v>-659.95643786487926</v>
      </c>
      <c r="BM83" s="653">
        <f t="shared" si="360"/>
        <v>-2349.8000000000029</v>
      </c>
      <c r="BN83" s="653">
        <f t="shared" si="360"/>
        <v>-2349.8000000000029</v>
      </c>
      <c r="BO83" s="653">
        <f t="shared" si="360"/>
        <v>-2349.8000000000029</v>
      </c>
      <c r="BP83" s="653">
        <f t="shared" si="360"/>
        <v>-2349.8000000000029</v>
      </c>
      <c r="BQ83" s="653">
        <f t="shared" si="360"/>
        <v>-2349.8000000000029</v>
      </c>
      <c r="BR83" s="653">
        <f t="shared" si="360"/>
        <v>-2349.8000000000029</v>
      </c>
      <c r="BS83" s="653">
        <f t="shared" si="360"/>
        <v>-2349.8000000000029</v>
      </c>
      <c r="BT83" s="655">
        <f t="shared" si="360"/>
        <v>-2349.8000000000029</v>
      </c>
      <c r="BU83" s="360"/>
      <c r="BV83" s="653">
        <f>(BT83+BV82)</f>
        <v>-2349.8000000000029</v>
      </c>
      <c r="BW83" s="653">
        <f t="shared" ref="BW83:CG83" si="361">(BV83+BW82)</f>
        <v>-2349.8000000000029</v>
      </c>
      <c r="BX83" s="653">
        <f t="shared" si="361"/>
        <v>-2349.8000000000029</v>
      </c>
      <c r="BY83" s="653">
        <f t="shared" si="361"/>
        <v>-2349.8000000000029</v>
      </c>
      <c r="BZ83" s="653">
        <f t="shared" si="361"/>
        <v>-2349.8000000000029</v>
      </c>
      <c r="CA83" s="653">
        <f t="shared" si="361"/>
        <v>-2349.8000000000029</v>
      </c>
      <c r="CB83" s="653">
        <f t="shared" si="361"/>
        <v>-2349.8000000000029</v>
      </c>
      <c r="CC83" s="653">
        <f t="shared" si="361"/>
        <v>-2349.8000000000029</v>
      </c>
      <c r="CD83" s="653">
        <f t="shared" si="361"/>
        <v>-2349.8000000000029</v>
      </c>
      <c r="CE83" s="653">
        <f t="shared" si="361"/>
        <v>-2349.8000000000029</v>
      </c>
      <c r="CF83" s="653">
        <f t="shared" si="361"/>
        <v>-2349.8000000000029</v>
      </c>
      <c r="CG83" s="655">
        <f t="shared" si="361"/>
        <v>-2349.8000000000029</v>
      </c>
      <c r="CH83" s="360"/>
      <c r="CI83" s="653">
        <f>(CG83+CI82)</f>
        <v>-2349.8000000000029</v>
      </c>
      <c r="CJ83" s="653">
        <f t="shared" ref="CJ83:CT83" si="362">(CI83+CJ82)</f>
        <v>-2349.8000000000029</v>
      </c>
      <c r="CK83" s="653">
        <f t="shared" si="362"/>
        <v>-2349.8000000000029</v>
      </c>
      <c r="CL83" s="653">
        <f t="shared" si="362"/>
        <v>-2349.8000000000029</v>
      </c>
      <c r="CM83" s="653">
        <f t="shared" si="362"/>
        <v>-2349.8000000000029</v>
      </c>
      <c r="CN83" s="653">
        <f t="shared" si="362"/>
        <v>-2349.8000000000029</v>
      </c>
      <c r="CO83" s="653">
        <f t="shared" si="362"/>
        <v>-2349.8000000000029</v>
      </c>
      <c r="CP83" s="653">
        <f t="shared" si="362"/>
        <v>-2349.8000000000029</v>
      </c>
      <c r="CQ83" s="653">
        <f t="shared" si="362"/>
        <v>-2349.8000000000029</v>
      </c>
      <c r="CR83" s="653">
        <f t="shared" si="362"/>
        <v>-2349.8000000000029</v>
      </c>
      <c r="CS83" s="653">
        <f t="shared" si="362"/>
        <v>-2349.8000000000029</v>
      </c>
      <c r="CT83" s="655">
        <f t="shared" si="362"/>
        <v>-2349.8000000000029</v>
      </c>
      <c r="CU83" s="360"/>
      <c r="CV83" s="653">
        <f>(CT83+CV82)</f>
        <v>-2349.8000000000029</v>
      </c>
      <c r="CW83" s="653">
        <f t="shared" ref="CW83:DG83" si="363">(CV83+CW82)</f>
        <v>-2349.8000000000029</v>
      </c>
      <c r="CX83" s="653">
        <f t="shared" si="363"/>
        <v>-2349.8000000000029</v>
      </c>
      <c r="CY83" s="653">
        <f t="shared" si="363"/>
        <v>-2349.8000000000029</v>
      </c>
      <c r="CZ83" s="653">
        <f t="shared" si="363"/>
        <v>-2349.8000000000029</v>
      </c>
      <c r="DA83" s="653">
        <f t="shared" si="363"/>
        <v>-2349.8000000000029</v>
      </c>
      <c r="DB83" s="653">
        <f t="shared" si="363"/>
        <v>-2349.8000000000029</v>
      </c>
      <c r="DC83" s="653">
        <f t="shared" si="363"/>
        <v>-2349.8000000000029</v>
      </c>
      <c r="DD83" s="653">
        <f t="shared" si="363"/>
        <v>-2349.8000000000029</v>
      </c>
      <c r="DE83" s="653">
        <f t="shared" si="363"/>
        <v>-2349.8000000000029</v>
      </c>
      <c r="DF83" s="653">
        <f t="shared" si="363"/>
        <v>-2349.8000000000029</v>
      </c>
      <c r="DG83" s="655">
        <f t="shared" si="363"/>
        <v>-2349.8000000000029</v>
      </c>
      <c r="DH83" s="360"/>
      <c r="DI83" s="653">
        <f>(DG83+DI82)</f>
        <v>-2349.8000000000029</v>
      </c>
      <c r="DJ83" s="653">
        <f t="shared" ref="DJ83:DT83" si="364">(DI83+DJ82)</f>
        <v>-2349.8000000000029</v>
      </c>
      <c r="DK83" s="653">
        <f t="shared" si="364"/>
        <v>-2349.8000000000029</v>
      </c>
      <c r="DL83" s="653">
        <f t="shared" si="364"/>
        <v>-2349.8000000000029</v>
      </c>
      <c r="DM83" s="653">
        <f t="shared" si="364"/>
        <v>-2349.8000000000029</v>
      </c>
      <c r="DN83" s="653">
        <f t="shared" si="364"/>
        <v>-2349.8000000000029</v>
      </c>
      <c r="DO83" s="653">
        <f t="shared" si="364"/>
        <v>-2349.8000000000029</v>
      </c>
      <c r="DP83" s="653">
        <f t="shared" si="364"/>
        <v>-2349.8000000000029</v>
      </c>
      <c r="DQ83" s="653">
        <f t="shared" si="364"/>
        <v>-2349.8000000000029</v>
      </c>
      <c r="DR83" s="653">
        <f t="shared" si="364"/>
        <v>-2349.8000000000029</v>
      </c>
      <c r="DS83" s="653">
        <f t="shared" si="364"/>
        <v>-2349.8000000000029</v>
      </c>
      <c r="DT83" s="655">
        <f t="shared" si="364"/>
        <v>-2349.8000000000029</v>
      </c>
      <c r="DU83" s="360"/>
      <c r="DV83" s="653">
        <f>(DT83+DV82)</f>
        <v>-2349.8000000000029</v>
      </c>
      <c r="DW83" s="653">
        <f t="shared" ref="DW83:EG83" si="365">(DV83+DW82)</f>
        <v>-2349.8000000000029</v>
      </c>
      <c r="DX83" s="653">
        <f t="shared" si="365"/>
        <v>-2349.8000000000029</v>
      </c>
      <c r="DY83" s="653">
        <f t="shared" si="365"/>
        <v>-2349.8000000000029</v>
      </c>
      <c r="DZ83" s="653">
        <f t="shared" si="365"/>
        <v>-2349.8000000000029</v>
      </c>
      <c r="EA83" s="653">
        <f t="shared" si="365"/>
        <v>-2349.8000000000029</v>
      </c>
      <c r="EB83" s="653">
        <f t="shared" si="365"/>
        <v>-2349.8000000000029</v>
      </c>
      <c r="EC83" s="653">
        <f t="shared" si="365"/>
        <v>-2349.8000000000029</v>
      </c>
      <c r="ED83" s="653">
        <f t="shared" si="365"/>
        <v>-2349.8000000000029</v>
      </c>
      <c r="EE83" s="653">
        <f t="shared" si="365"/>
        <v>-2349.8000000000029</v>
      </c>
      <c r="EF83" s="653">
        <f t="shared" si="365"/>
        <v>-2349.8000000000029</v>
      </c>
      <c r="EG83" s="655">
        <f t="shared" si="365"/>
        <v>-2349.8000000000029</v>
      </c>
      <c r="EH83" s="360"/>
      <c r="EI83" s="21"/>
      <c r="EJ83" s="21"/>
      <c r="EK83" s="21"/>
      <c r="EL83" s="21"/>
      <c r="EM83" s="21"/>
    </row>
    <row r="84" spans="1:143" ht="15" customHeight="1">
      <c r="A84" s="361"/>
      <c r="B84" s="361"/>
      <c r="C84" s="361"/>
      <c r="D84" s="622">
        <f t="shared" si="323"/>
        <v>75</v>
      </c>
      <c r="E84" s="1625"/>
      <c r="F84" s="362" t="s">
        <v>611</v>
      </c>
      <c r="G84" s="363"/>
      <c r="H84" s="364"/>
      <c r="I84" s="365"/>
      <c r="J84" s="365"/>
      <c r="K84" s="365"/>
      <c r="L84" s="365"/>
      <c r="M84" s="365"/>
      <c r="N84" s="365"/>
      <c r="O84" s="366"/>
      <c r="P84" s="366"/>
      <c r="Q84" s="366"/>
      <c r="R84" s="366"/>
      <c r="S84" s="366"/>
      <c r="T84" s="367"/>
      <c r="U84" s="360"/>
      <c r="V84" s="365"/>
      <c r="W84" s="365"/>
      <c r="X84" s="365"/>
      <c r="Y84" s="365"/>
      <c r="Z84" s="365"/>
      <c r="AA84" s="365"/>
      <c r="AB84" s="366"/>
      <c r="AC84" s="366"/>
      <c r="AD84" s="366"/>
      <c r="AE84" s="366"/>
      <c r="AF84" s="366"/>
      <c r="AG84" s="367"/>
      <c r="AH84" s="360"/>
      <c r="AI84" s="365"/>
      <c r="AJ84" s="365"/>
      <c r="AK84" s="365"/>
      <c r="AL84" s="365"/>
      <c r="AM84" s="365"/>
      <c r="AN84" s="365"/>
      <c r="AO84" s="366"/>
      <c r="AP84" s="366"/>
      <c r="AQ84" s="366"/>
      <c r="AR84" s="366"/>
      <c r="AS84" s="366"/>
      <c r="AT84" s="367"/>
      <c r="AU84" s="360"/>
      <c r="AV84" s="365"/>
      <c r="AW84" s="365"/>
      <c r="AX84" s="365"/>
      <c r="AY84" s="365"/>
      <c r="AZ84" s="365"/>
      <c r="BA84" s="365"/>
      <c r="BB84" s="366"/>
      <c r="BC84" s="366"/>
      <c r="BD84" s="366"/>
      <c r="BE84" s="366"/>
      <c r="BF84" s="366"/>
      <c r="BG84" s="367"/>
      <c r="BH84" s="360"/>
      <c r="BI84" s="365"/>
      <c r="BJ84" s="365"/>
      <c r="BK84" s="365"/>
      <c r="BL84" s="365"/>
      <c r="BM84" s="365"/>
      <c r="BN84" s="365"/>
      <c r="BO84" s="366"/>
      <c r="BP84" s="366"/>
      <c r="BQ84" s="366"/>
      <c r="BR84" s="366"/>
      <c r="BS84" s="366"/>
      <c r="BT84" s="367"/>
      <c r="BU84" s="360"/>
      <c r="BV84" s="365"/>
      <c r="BW84" s="365"/>
      <c r="BX84" s="365"/>
      <c r="BY84" s="365"/>
      <c r="BZ84" s="365"/>
      <c r="CA84" s="365"/>
      <c r="CB84" s="366"/>
      <c r="CC84" s="366"/>
      <c r="CD84" s="366"/>
      <c r="CE84" s="366"/>
      <c r="CF84" s="366"/>
      <c r="CG84" s="367"/>
      <c r="CH84" s="360"/>
      <c r="CI84" s="365"/>
      <c r="CJ84" s="365"/>
      <c r="CK84" s="365"/>
      <c r="CL84" s="365"/>
      <c r="CM84" s="365"/>
      <c r="CN84" s="365"/>
      <c r="CO84" s="366"/>
      <c r="CP84" s="366"/>
      <c r="CQ84" s="366"/>
      <c r="CR84" s="366"/>
      <c r="CS84" s="366"/>
      <c r="CT84" s="367"/>
      <c r="CU84" s="360"/>
      <c r="CV84" s="365"/>
      <c r="CW84" s="365"/>
      <c r="CX84" s="365"/>
      <c r="CY84" s="365"/>
      <c r="CZ84" s="365"/>
      <c r="DA84" s="365"/>
      <c r="DB84" s="366"/>
      <c r="DC84" s="366"/>
      <c r="DD84" s="366"/>
      <c r="DE84" s="366"/>
      <c r="DF84" s="366"/>
      <c r="DG84" s="367"/>
      <c r="DH84" s="360"/>
      <c r="DI84" s="365"/>
      <c r="DJ84" s="365"/>
      <c r="DK84" s="365"/>
      <c r="DL84" s="365"/>
      <c r="DM84" s="365"/>
      <c r="DN84" s="365"/>
      <c r="DO84" s="366"/>
      <c r="DP84" s="366"/>
      <c r="DQ84" s="366"/>
      <c r="DR84" s="366"/>
      <c r="DS84" s="366"/>
      <c r="DT84" s="367"/>
      <c r="DU84" s="360"/>
      <c r="DV84" s="365"/>
      <c r="DW84" s="365"/>
      <c r="DX84" s="365"/>
      <c r="DY84" s="365"/>
      <c r="DZ84" s="365"/>
      <c r="EA84" s="365"/>
      <c r="EB84" s="366"/>
      <c r="EC84" s="366"/>
      <c r="ED84" s="366"/>
      <c r="EE84" s="366"/>
      <c r="EF84" s="366"/>
      <c r="EG84" s="367"/>
      <c r="EH84" s="360"/>
      <c r="EI84" s="361"/>
      <c r="EJ84" s="361"/>
      <c r="EK84" s="361"/>
      <c r="EL84" s="361"/>
      <c r="EM84" s="361"/>
    </row>
    <row r="85" spans="1:143" ht="13.5" customHeight="1">
      <c r="A85" s="25"/>
      <c r="B85" s="25"/>
      <c r="C85" s="25"/>
      <c r="D85" s="622">
        <f t="shared" si="323"/>
        <v>76</v>
      </c>
      <c r="E85" s="1625"/>
      <c r="F85" s="656" t="s">
        <v>612</v>
      </c>
      <c r="G85" s="368"/>
      <c r="H85" s="369">
        <f>+Historical!K48+Historical!K53</f>
        <v>7106</v>
      </c>
      <c r="I85" s="657">
        <f t="shared" ref="I85:T85" si="366">+H85+I56-I73</f>
        <v>7106</v>
      </c>
      <c r="J85" s="657">
        <f t="shared" si="366"/>
        <v>7106</v>
      </c>
      <c r="K85" s="657">
        <f t="shared" si="366"/>
        <v>7106</v>
      </c>
      <c r="L85" s="657">
        <f t="shared" si="366"/>
        <v>7106</v>
      </c>
      <c r="M85" s="657">
        <f t="shared" si="366"/>
        <v>7106</v>
      </c>
      <c r="N85" s="657">
        <f t="shared" si="366"/>
        <v>7106</v>
      </c>
      <c r="O85" s="657">
        <f t="shared" si="366"/>
        <v>7106</v>
      </c>
      <c r="P85" s="657">
        <f t="shared" si="366"/>
        <v>7106</v>
      </c>
      <c r="Q85" s="657">
        <f t="shared" si="366"/>
        <v>7106</v>
      </c>
      <c r="R85" s="657">
        <f t="shared" si="366"/>
        <v>7106</v>
      </c>
      <c r="S85" s="657">
        <f t="shared" si="366"/>
        <v>7106</v>
      </c>
      <c r="T85" s="658">
        <f t="shared" si="366"/>
        <v>6806</v>
      </c>
      <c r="U85" s="360"/>
      <c r="V85" s="657">
        <f>+T85+V56-V73</f>
        <v>6806</v>
      </c>
      <c r="W85" s="657">
        <f t="shared" ref="W85:AG85" si="367">+V85+W56-W73</f>
        <v>6806</v>
      </c>
      <c r="X85" s="657">
        <f t="shared" si="367"/>
        <v>6806</v>
      </c>
      <c r="Y85" s="657">
        <f t="shared" si="367"/>
        <v>6806</v>
      </c>
      <c r="Z85" s="657">
        <f t="shared" si="367"/>
        <v>6806</v>
      </c>
      <c r="AA85" s="657">
        <f t="shared" si="367"/>
        <v>6806</v>
      </c>
      <c r="AB85" s="657">
        <f t="shared" si="367"/>
        <v>6806</v>
      </c>
      <c r="AC85" s="657">
        <f t="shared" si="367"/>
        <v>6806</v>
      </c>
      <c r="AD85" s="657">
        <f t="shared" si="367"/>
        <v>6806</v>
      </c>
      <c r="AE85" s="657">
        <f t="shared" si="367"/>
        <v>6806</v>
      </c>
      <c r="AF85" s="657">
        <f t="shared" si="367"/>
        <v>6806</v>
      </c>
      <c r="AG85" s="658">
        <f t="shared" si="367"/>
        <v>6806</v>
      </c>
      <c r="AH85" s="360"/>
      <c r="AI85" s="657">
        <f>+AG85+AI56-AI73</f>
        <v>6806</v>
      </c>
      <c r="AJ85" s="657">
        <f t="shared" ref="AJ85:AT85" si="368">+AI85+AJ56-AJ73</f>
        <v>6806</v>
      </c>
      <c r="AK85" s="657">
        <f t="shared" si="368"/>
        <v>6806</v>
      </c>
      <c r="AL85" s="657">
        <f t="shared" si="368"/>
        <v>6806</v>
      </c>
      <c r="AM85" s="657">
        <f t="shared" si="368"/>
        <v>6806</v>
      </c>
      <c r="AN85" s="657">
        <f t="shared" si="368"/>
        <v>6806</v>
      </c>
      <c r="AO85" s="657">
        <f t="shared" si="368"/>
        <v>6806</v>
      </c>
      <c r="AP85" s="657">
        <f t="shared" si="368"/>
        <v>6806</v>
      </c>
      <c r="AQ85" s="657">
        <f t="shared" si="368"/>
        <v>6806</v>
      </c>
      <c r="AR85" s="657">
        <f t="shared" si="368"/>
        <v>6806</v>
      </c>
      <c r="AS85" s="657">
        <f t="shared" si="368"/>
        <v>6806</v>
      </c>
      <c r="AT85" s="658">
        <f t="shared" si="368"/>
        <v>6806</v>
      </c>
      <c r="AU85" s="360"/>
      <c r="AV85" s="657">
        <f>+AT85+AV56-AV73</f>
        <v>6806</v>
      </c>
      <c r="AW85" s="657">
        <f t="shared" ref="AW85:BG85" si="369">+AV85+AW56-AW73</f>
        <v>6806</v>
      </c>
      <c r="AX85" s="657">
        <f t="shared" si="369"/>
        <v>6806</v>
      </c>
      <c r="AY85" s="657">
        <f t="shared" si="369"/>
        <v>6806</v>
      </c>
      <c r="AZ85" s="657">
        <f t="shared" si="369"/>
        <v>6806</v>
      </c>
      <c r="BA85" s="657">
        <f t="shared" si="369"/>
        <v>6806</v>
      </c>
      <c r="BB85" s="657">
        <f t="shared" si="369"/>
        <v>6806</v>
      </c>
      <c r="BC85" s="657">
        <f t="shared" si="369"/>
        <v>6806</v>
      </c>
      <c r="BD85" s="657">
        <f t="shared" si="369"/>
        <v>6806</v>
      </c>
      <c r="BE85" s="657">
        <f t="shared" si="369"/>
        <v>6806</v>
      </c>
      <c r="BF85" s="657">
        <f t="shared" si="369"/>
        <v>6806</v>
      </c>
      <c r="BG85" s="658">
        <f t="shared" si="369"/>
        <v>6806</v>
      </c>
      <c r="BH85" s="360"/>
      <c r="BI85" s="657">
        <f>+BG85+BI56-BI73</f>
        <v>6806</v>
      </c>
      <c r="BJ85" s="657">
        <f t="shared" ref="BJ85:BT85" si="370">+BI85+BJ56-BJ73</f>
        <v>6806</v>
      </c>
      <c r="BK85" s="657">
        <f t="shared" si="370"/>
        <v>6806</v>
      </c>
      <c r="BL85" s="657">
        <f t="shared" si="370"/>
        <v>6806</v>
      </c>
      <c r="BM85" s="657">
        <f t="shared" si="370"/>
        <v>6806</v>
      </c>
      <c r="BN85" s="657">
        <f t="shared" si="370"/>
        <v>6806</v>
      </c>
      <c r="BO85" s="657">
        <f t="shared" si="370"/>
        <v>6806</v>
      </c>
      <c r="BP85" s="657">
        <f t="shared" si="370"/>
        <v>6806</v>
      </c>
      <c r="BQ85" s="657">
        <f t="shared" si="370"/>
        <v>6806</v>
      </c>
      <c r="BR85" s="657">
        <f t="shared" si="370"/>
        <v>6806</v>
      </c>
      <c r="BS85" s="657">
        <f t="shared" si="370"/>
        <v>6806</v>
      </c>
      <c r="BT85" s="658">
        <f t="shared" si="370"/>
        <v>6806</v>
      </c>
      <c r="BU85" s="360"/>
      <c r="BV85" s="657">
        <f>+BT85+BV56-BV73</f>
        <v>6806</v>
      </c>
      <c r="BW85" s="657">
        <f t="shared" ref="BW85:CG85" si="371">+BV85+BW56-BW73</f>
        <v>6806</v>
      </c>
      <c r="BX85" s="657">
        <f t="shared" si="371"/>
        <v>6806</v>
      </c>
      <c r="BY85" s="657">
        <f t="shared" si="371"/>
        <v>6806</v>
      </c>
      <c r="BZ85" s="657">
        <f t="shared" si="371"/>
        <v>6806</v>
      </c>
      <c r="CA85" s="657">
        <f t="shared" si="371"/>
        <v>6806</v>
      </c>
      <c r="CB85" s="657">
        <f t="shared" si="371"/>
        <v>6806</v>
      </c>
      <c r="CC85" s="657">
        <f t="shared" si="371"/>
        <v>6806</v>
      </c>
      <c r="CD85" s="657">
        <f t="shared" si="371"/>
        <v>6806</v>
      </c>
      <c r="CE85" s="657">
        <f t="shared" si="371"/>
        <v>6806</v>
      </c>
      <c r="CF85" s="657">
        <f t="shared" si="371"/>
        <v>6806</v>
      </c>
      <c r="CG85" s="658">
        <f t="shared" si="371"/>
        <v>6806</v>
      </c>
      <c r="CH85" s="360"/>
      <c r="CI85" s="657">
        <f>+CG85+CI56-CI73</f>
        <v>6806</v>
      </c>
      <c r="CJ85" s="657">
        <f t="shared" ref="CJ85:CT85" si="372">+CI85+CJ56-CJ73</f>
        <v>6806</v>
      </c>
      <c r="CK85" s="657">
        <f t="shared" si="372"/>
        <v>6806</v>
      </c>
      <c r="CL85" s="657">
        <f t="shared" si="372"/>
        <v>6806</v>
      </c>
      <c r="CM85" s="657">
        <f t="shared" si="372"/>
        <v>6806</v>
      </c>
      <c r="CN85" s="657">
        <f t="shared" si="372"/>
        <v>6806</v>
      </c>
      <c r="CO85" s="657">
        <f t="shared" si="372"/>
        <v>6806</v>
      </c>
      <c r="CP85" s="657">
        <f t="shared" si="372"/>
        <v>6806</v>
      </c>
      <c r="CQ85" s="657">
        <f t="shared" si="372"/>
        <v>6806</v>
      </c>
      <c r="CR85" s="657">
        <f t="shared" si="372"/>
        <v>6806</v>
      </c>
      <c r="CS85" s="657">
        <f t="shared" si="372"/>
        <v>6806</v>
      </c>
      <c r="CT85" s="658">
        <f t="shared" si="372"/>
        <v>6806</v>
      </c>
      <c r="CU85" s="360"/>
      <c r="CV85" s="657">
        <f>+CT85+CV56-CV73</f>
        <v>6806</v>
      </c>
      <c r="CW85" s="657">
        <f t="shared" ref="CW85:DG85" si="373">+CV85+CW56-CW73</f>
        <v>6806</v>
      </c>
      <c r="CX85" s="657">
        <f t="shared" si="373"/>
        <v>6806</v>
      </c>
      <c r="CY85" s="657">
        <f t="shared" si="373"/>
        <v>6806</v>
      </c>
      <c r="CZ85" s="657">
        <f t="shared" si="373"/>
        <v>6806</v>
      </c>
      <c r="DA85" s="657">
        <f t="shared" si="373"/>
        <v>6806</v>
      </c>
      <c r="DB85" s="657">
        <f t="shared" si="373"/>
        <v>6806</v>
      </c>
      <c r="DC85" s="657">
        <f t="shared" si="373"/>
        <v>6806</v>
      </c>
      <c r="DD85" s="657">
        <f t="shared" si="373"/>
        <v>6806</v>
      </c>
      <c r="DE85" s="657">
        <f t="shared" si="373"/>
        <v>6806</v>
      </c>
      <c r="DF85" s="657">
        <f t="shared" si="373"/>
        <v>6806</v>
      </c>
      <c r="DG85" s="658">
        <f t="shared" si="373"/>
        <v>6806</v>
      </c>
      <c r="DH85" s="360"/>
      <c r="DI85" s="657">
        <f>+DG85+DI56-DI73</f>
        <v>6806</v>
      </c>
      <c r="DJ85" s="657">
        <f t="shared" ref="DJ85:DT85" si="374">+DI85+DJ56-DJ73</f>
        <v>6806</v>
      </c>
      <c r="DK85" s="657">
        <f t="shared" si="374"/>
        <v>6806</v>
      </c>
      <c r="DL85" s="657">
        <f t="shared" si="374"/>
        <v>6806</v>
      </c>
      <c r="DM85" s="657">
        <f t="shared" si="374"/>
        <v>6806</v>
      </c>
      <c r="DN85" s="657">
        <f t="shared" si="374"/>
        <v>6806</v>
      </c>
      <c r="DO85" s="657">
        <f t="shared" si="374"/>
        <v>6806</v>
      </c>
      <c r="DP85" s="657">
        <f t="shared" si="374"/>
        <v>6806</v>
      </c>
      <c r="DQ85" s="657">
        <f t="shared" si="374"/>
        <v>6806</v>
      </c>
      <c r="DR85" s="657">
        <f t="shared" si="374"/>
        <v>6806</v>
      </c>
      <c r="DS85" s="657">
        <f t="shared" si="374"/>
        <v>6806</v>
      </c>
      <c r="DT85" s="658">
        <f t="shared" si="374"/>
        <v>6806</v>
      </c>
      <c r="DU85" s="360"/>
      <c r="DV85" s="657">
        <f>+DT85+DV56-DV73</f>
        <v>6806</v>
      </c>
      <c r="DW85" s="657">
        <f t="shared" ref="DW85:EG85" si="375">+DV85+DW56-DW73</f>
        <v>6806</v>
      </c>
      <c r="DX85" s="657">
        <f t="shared" si="375"/>
        <v>6806</v>
      </c>
      <c r="DY85" s="657">
        <f t="shared" si="375"/>
        <v>6806</v>
      </c>
      <c r="DZ85" s="657">
        <f t="shared" si="375"/>
        <v>6806</v>
      </c>
      <c r="EA85" s="657">
        <f t="shared" si="375"/>
        <v>6806</v>
      </c>
      <c r="EB85" s="657">
        <f t="shared" si="375"/>
        <v>6806</v>
      </c>
      <c r="EC85" s="657">
        <f t="shared" si="375"/>
        <v>6806</v>
      </c>
      <c r="ED85" s="657">
        <f t="shared" si="375"/>
        <v>6806</v>
      </c>
      <c r="EE85" s="657">
        <f t="shared" si="375"/>
        <v>6806</v>
      </c>
      <c r="EF85" s="657">
        <f t="shared" si="375"/>
        <v>6806</v>
      </c>
      <c r="EG85" s="658">
        <f t="shared" si="375"/>
        <v>6806</v>
      </c>
      <c r="EH85" s="360"/>
      <c r="EI85" s="25"/>
      <c r="EJ85" s="25"/>
      <c r="EK85" s="25"/>
      <c r="EL85" s="25"/>
      <c r="EM85" s="25"/>
    </row>
    <row r="86" spans="1:143" ht="14.25" customHeight="1">
      <c r="A86" s="21"/>
      <c r="B86" s="21"/>
      <c r="C86" s="21"/>
      <c r="D86" s="622">
        <f t="shared" si="323"/>
        <v>77</v>
      </c>
      <c r="E86" s="1625"/>
      <c r="F86" s="659" t="str">
        <f>+Assumption!F305</f>
        <v>Leasing 1</v>
      </c>
      <c r="G86" s="296"/>
      <c r="H86" s="369">
        <f>+Assumption!G305</f>
        <v>0</v>
      </c>
      <c r="I86" s="628">
        <f t="shared" ref="I86:T86" si="376">+H86-I196</f>
        <v>0</v>
      </c>
      <c r="J86" s="628">
        <f t="shared" si="376"/>
        <v>0</v>
      </c>
      <c r="K86" s="628">
        <f t="shared" si="376"/>
        <v>0</v>
      </c>
      <c r="L86" s="628">
        <f t="shared" si="376"/>
        <v>0</v>
      </c>
      <c r="M86" s="628">
        <f t="shared" si="376"/>
        <v>0</v>
      </c>
      <c r="N86" s="628">
        <f t="shared" si="376"/>
        <v>0</v>
      </c>
      <c r="O86" s="628">
        <f t="shared" si="376"/>
        <v>0</v>
      </c>
      <c r="P86" s="628">
        <f t="shared" si="376"/>
        <v>0</v>
      </c>
      <c r="Q86" s="628">
        <f t="shared" si="376"/>
        <v>0</v>
      </c>
      <c r="R86" s="628">
        <f t="shared" si="376"/>
        <v>0</v>
      </c>
      <c r="S86" s="628">
        <f t="shared" si="376"/>
        <v>0</v>
      </c>
      <c r="T86" s="660">
        <f t="shared" si="376"/>
        <v>-10</v>
      </c>
      <c r="U86" s="360"/>
      <c r="V86" s="628">
        <f t="shared" ref="V86:V95" si="377">+T86-V196</f>
        <v>-10</v>
      </c>
      <c r="W86" s="628">
        <f t="shared" ref="W86:AG86" si="378">+V86-W196</f>
        <v>-10</v>
      </c>
      <c r="X86" s="628">
        <f t="shared" si="378"/>
        <v>-10</v>
      </c>
      <c r="Y86" s="628">
        <f t="shared" si="378"/>
        <v>-10</v>
      </c>
      <c r="Z86" s="628">
        <f t="shared" si="378"/>
        <v>-10</v>
      </c>
      <c r="AA86" s="628">
        <f t="shared" si="378"/>
        <v>-10</v>
      </c>
      <c r="AB86" s="628">
        <f t="shared" si="378"/>
        <v>-10</v>
      </c>
      <c r="AC86" s="628">
        <f t="shared" si="378"/>
        <v>-10</v>
      </c>
      <c r="AD86" s="628">
        <f t="shared" si="378"/>
        <v>-10</v>
      </c>
      <c r="AE86" s="628">
        <f t="shared" si="378"/>
        <v>-10</v>
      </c>
      <c r="AF86" s="628">
        <f t="shared" si="378"/>
        <v>-10</v>
      </c>
      <c r="AG86" s="660">
        <f t="shared" si="378"/>
        <v>-10</v>
      </c>
      <c r="AH86" s="360"/>
      <c r="AI86" s="628">
        <f t="shared" ref="AI86:AI95" si="379">+AG86-AI196</f>
        <v>-10</v>
      </c>
      <c r="AJ86" s="628">
        <f t="shared" ref="AJ86:AT86" si="380">+AI86-AJ196</f>
        <v>-10</v>
      </c>
      <c r="AK86" s="628">
        <f t="shared" si="380"/>
        <v>-10</v>
      </c>
      <c r="AL86" s="628">
        <f t="shared" si="380"/>
        <v>-10</v>
      </c>
      <c r="AM86" s="628">
        <f t="shared" si="380"/>
        <v>-10</v>
      </c>
      <c r="AN86" s="628">
        <f t="shared" si="380"/>
        <v>-10</v>
      </c>
      <c r="AO86" s="628">
        <f t="shared" si="380"/>
        <v>-10</v>
      </c>
      <c r="AP86" s="628">
        <f t="shared" si="380"/>
        <v>-10</v>
      </c>
      <c r="AQ86" s="628">
        <f t="shared" si="380"/>
        <v>-10</v>
      </c>
      <c r="AR86" s="628">
        <f t="shared" si="380"/>
        <v>-10</v>
      </c>
      <c r="AS86" s="628">
        <f t="shared" si="380"/>
        <v>-10</v>
      </c>
      <c r="AT86" s="660">
        <f t="shared" si="380"/>
        <v>-10</v>
      </c>
      <c r="AU86" s="360"/>
      <c r="AV86" s="628">
        <f t="shared" ref="AV86:AV95" si="381">+AT86-AV196</f>
        <v>-10</v>
      </c>
      <c r="AW86" s="628">
        <f t="shared" ref="AW86:BG86" si="382">+AV86-AW196</f>
        <v>-10</v>
      </c>
      <c r="AX86" s="628">
        <f t="shared" si="382"/>
        <v>-10</v>
      </c>
      <c r="AY86" s="628">
        <f t="shared" si="382"/>
        <v>-10</v>
      </c>
      <c r="AZ86" s="628">
        <f t="shared" si="382"/>
        <v>-10</v>
      </c>
      <c r="BA86" s="628">
        <f t="shared" si="382"/>
        <v>-10</v>
      </c>
      <c r="BB86" s="628">
        <f t="shared" si="382"/>
        <v>-10</v>
      </c>
      <c r="BC86" s="628">
        <f t="shared" si="382"/>
        <v>-10</v>
      </c>
      <c r="BD86" s="628">
        <f t="shared" si="382"/>
        <v>-10</v>
      </c>
      <c r="BE86" s="628">
        <f t="shared" si="382"/>
        <v>-10</v>
      </c>
      <c r="BF86" s="628">
        <f t="shared" si="382"/>
        <v>-10</v>
      </c>
      <c r="BG86" s="660">
        <f t="shared" si="382"/>
        <v>-10</v>
      </c>
      <c r="BH86" s="360"/>
      <c r="BI86" s="628">
        <f t="shared" ref="BI86:BI95" si="383">+BG86-BI196</f>
        <v>-10</v>
      </c>
      <c r="BJ86" s="628">
        <f t="shared" ref="BJ86:BT86" si="384">+BI86-BJ196</f>
        <v>-10</v>
      </c>
      <c r="BK86" s="628">
        <f t="shared" si="384"/>
        <v>-10</v>
      </c>
      <c r="BL86" s="628">
        <f t="shared" si="384"/>
        <v>-10</v>
      </c>
      <c r="BM86" s="628">
        <f t="shared" si="384"/>
        <v>-10</v>
      </c>
      <c r="BN86" s="628">
        <f t="shared" si="384"/>
        <v>-10</v>
      </c>
      <c r="BO86" s="628">
        <f t="shared" si="384"/>
        <v>-10</v>
      </c>
      <c r="BP86" s="628">
        <f t="shared" si="384"/>
        <v>-10</v>
      </c>
      <c r="BQ86" s="628">
        <f t="shared" si="384"/>
        <v>-10</v>
      </c>
      <c r="BR86" s="628">
        <f t="shared" si="384"/>
        <v>-10</v>
      </c>
      <c r="BS86" s="628">
        <f t="shared" si="384"/>
        <v>-10</v>
      </c>
      <c r="BT86" s="660">
        <f t="shared" si="384"/>
        <v>-10</v>
      </c>
      <c r="BU86" s="360"/>
      <c r="BV86" s="628">
        <f t="shared" ref="BV86:BV95" si="385">+BT86-BV196</f>
        <v>-10</v>
      </c>
      <c r="BW86" s="628">
        <f t="shared" ref="BW86:CG86" si="386">+BV86-BW196</f>
        <v>-10</v>
      </c>
      <c r="BX86" s="628">
        <f t="shared" si="386"/>
        <v>-10</v>
      </c>
      <c r="BY86" s="628">
        <f t="shared" si="386"/>
        <v>-10</v>
      </c>
      <c r="BZ86" s="628">
        <f t="shared" si="386"/>
        <v>-10</v>
      </c>
      <c r="CA86" s="628">
        <f t="shared" si="386"/>
        <v>-10</v>
      </c>
      <c r="CB86" s="628">
        <f t="shared" si="386"/>
        <v>-10</v>
      </c>
      <c r="CC86" s="628">
        <f t="shared" si="386"/>
        <v>-10</v>
      </c>
      <c r="CD86" s="628">
        <f t="shared" si="386"/>
        <v>-10</v>
      </c>
      <c r="CE86" s="628">
        <f t="shared" si="386"/>
        <v>-10</v>
      </c>
      <c r="CF86" s="628">
        <f t="shared" si="386"/>
        <v>-10</v>
      </c>
      <c r="CG86" s="660">
        <f t="shared" si="386"/>
        <v>-10</v>
      </c>
      <c r="CH86" s="360"/>
      <c r="CI86" s="628">
        <f t="shared" ref="CI86:CI95" si="387">+CG86-CI196</f>
        <v>-10</v>
      </c>
      <c r="CJ86" s="628">
        <f t="shared" ref="CJ86:CT86" si="388">+CI86-CJ196</f>
        <v>-10</v>
      </c>
      <c r="CK86" s="628">
        <f t="shared" si="388"/>
        <v>-10</v>
      </c>
      <c r="CL86" s="628">
        <f t="shared" si="388"/>
        <v>-10</v>
      </c>
      <c r="CM86" s="628">
        <f t="shared" si="388"/>
        <v>-10</v>
      </c>
      <c r="CN86" s="628">
        <f t="shared" si="388"/>
        <v>-10</v>
      </c>
      <c r="CO86" s="628">
        <f t="shared" si="388"/>
        <v>-10</v>
      </c>
      <c r="CP86" s="628">
        <f t="shared" si="388"/>
        <v>-10</v>
      </c>
      <c r="CQ86" s="628">
        <f t="shared" si="388"/>
        <v>-10</v>
      </c>
      <c r="CR86" s="628">
        <f t="shared" si="388"/>
        <v>-10</v>
      </c>
      <c r="CS86" s="628">
        <f t="shared" si="388"/>
        <v>-10</v>
      </c>
      <c r="CT86" s="660">
        <f t="shared" si="388"/>
        <v>-10</v>
      </c>
      <c r="CU86" s="360"/>
      <c r="CV86" s="628">
        <f t="shared" ref="CV86:CV95" si="389">+CT86-CV196</f>
        <v>-10</v>
      </c>
      <c r="CW86" s="628">
        <f t="shared" ref="CW86:DG86" si="390">+CV86-CW196</f>
        <v>-10</v>
      </c>
      <c r="CX86" s="628">
        <f t="shared" si="390"/>
        <v>-10</v>
      </c>
      <c r="CY86" s="628">
        <f t="shared" si="390"/>
        <v>-10</v>
      </c>
      <c r="CZ86" s="628">
        <f t="shared" si="390"/>
        <v>-10</v>
      </c>
      <c r="DA86" s="628">
        <f t="shared" si="390"/>
        <v>-10</v>
      </c>
      <c r="DB86" s="628">
        <f t="shared" si="390"/>
        <v>-10</v>
      </c>
      <c r="DC86" s="628">
        <f t="shared" si="390"/>
        <v>-10</v>
      </c>
      <c r="DD86" s="628">
        <f t="shared" si="390"/>
        <v>-10</v>
      </c>
      <c r="DE86" s="628">
        <f t="shared" si="390"/>
        <v>-10</v>
      </c>
      <c r="DF86" s="628">
        <f t="shared" si="390"/>
        <v>-10</v>
      </c>
      <c r="DG86" s="660">
        <f t="shared" si="390"/>
        <v>-10</v>
      </c>
      <c r="DH86" s="360"/>
      <c r="DI86" s="628">
        <f t="shared" ref="DI86:DI95" si="391">+DG86-DI196</f>
        <v>-10</v>
      </c>
      <c r="DJ86" s="628">
        <f t="shared" ref="DJ86:DT86" si="392">+DI86-DJ196</f>
        <v>-10</v>
      </c>
      <c r="DK86" s="628">
        <f t="shared" si="392"/>
        <v>-10</v>
      </c>
      <c r="DL86" s="628">
        <f t="shared" si="392"/>
        <v>-10</v>
      </c>
      <c r="DM86" s="628">
        <f t="shared" si="392"/>
        <v>-10</v>
      </c>
      <c r="DN86" s="628">
        <f t="shared" si="392"/>
        <v>-10</v>
      </c>
      <c r="DO86" s="628">
        <f t="shared" si="392"/>
        <v>-10</v>
      </c>
      <c r="DP86" s="628">
        <f t="shared" si="392"/>
        <v>-10</v>
      </c>
      <c r="DQ86" s="628">
        <f t="shared" si="392"/>
        <v>-10</v>
      </c>
      <c r="DR86" s="628">
        <f t="shared" si="392"/>
        <v>-10</v>
      </c>
      <c r="DS86" s="628">
        <f t="shared" si="392"/>
        <v>-10</v>
      </c>
      <c r="DT86" s="660">
        <f t="shared" si="392"/>
        <v>-10</v>
      </c>
      <c r="DU86" s="360"/>
      <c r="DV86" s="628">
        <f t="shared" ref="DV86:DV95" si="393">+DT86-DV196</f>
        <v>-10</v>
      </c>
      <c r="DW86" s="628">
        <f t="shared" ref="DW86:EG86" si="394">+DV86-DW196</f>
        <v>-10</v>
      </c>
      <c r="DX86" s="628">
        <f t="shared" si="394"/>
        <v>-10</v>
      </c>
      <c r="DY86" s="628">
        <f t="shared" si="394"/>
        <v>-10</v>
      </c>
      <c r="DZ86" s="628">
        <f t="shared" si="394"/>
        <v>-10</v>
      </c>
      <c r="EA86" s="628">
        <f t="shared" si="394"/>
        <v>-10</v>
      </c>
      <c r="EB86" s="628">
        <f t="shared" si="394"/>
        <v>-10</v>
      </c>
      <c r="EC86" s="628">
        <f t="shared" si="394"/>
        <v>-10</v>
      </c>
      <c r="ED86" s="628">
        <f t="shared" si="394"/>
        <v>-10</v>
      </c>
      <c r="EE86" s="628">
        <f t="shared" si="394"/>
        <v>-10</v>
      </c>
      <c r="EF86" s="628">
        <f t="shared" si="394"/>
        <v>-10</v>
      </c>
      <c r="EG86" s="660">
        <f t="shared" si="394"/>
        <v>-10</v>
      </c>
      <c r="EH86" s="360"/>
      <c r="EI86" s="21"/>
      <c r="EJ86" s="21"/>
      <c r="EK86" s="21"/>
      <c r="EL86" s="21"/>
      <c r="EM86" s="21"/>
    </row>
    <row r="87" spans="1:143" ht="14.25" customHeight="1">
      <c r="A87" s="21"/>
      <c r="B87" s="21"/>
      <c r="C87" s="21"/>
      <c r="D87" s="622">
        <f t="shared" si="323"/>
        <v>78</v>
      </c>
      <c r="E87" s="1625"/>
      <c r="F87" s="659" t="str">
        <f>+Assumption!F306</f>
        <v>Leasing 2</v>
      </c>
      <c r="G87" s="296"/>
      <c r="H87" s="369">
        <f>+Assumption!G306</f>
        <v>0</v>
      </c>
      <c r="I87" s="628">
        <f t="shared" ref="I87:T87" si="395">+H87-I197</f>
        <v>0</v>
      </c>
      <c r="J87" s="628">
        <f t="shared" si="395"/>
        <v>0</v>
      </c>
      <c r="K87" s="628">
        <f t="shared" si="395"/>
        <v>0</v>
      </c>
      <c r="L87" s="628">
        <f t="shared" si="395"/>
        <v>0</v>
      </c>
      <c r="M87" s="628">
        <f t="shared" si="395"/>
        <v>0</v>
      </c>
      <c r="N87" s="628">
        <f t="shared" si="395"/>
        <v>0</v>
      </c>
      <c r="O87" s="628">
        <f t="shared" si="395"/>
        <v>0</v>
      </c>
      <c r="P87" s="628">
        <f t="shared" si="395"/>
        <v>0</v>
      </c>
      <c r="Q87" s="628">
        <f t="shared" si="395"/>
        <v>0</v>
      </c>
      <c r="R87" s="628">
        <f t="shared" si="395"/>
        <v>0</v>
      </c>
      <c r="S87" s="628">
        <f t="shared" si="395"/>
        <v>0</v>
      </c>
      <c r="T87" s="660">
        <f t="shared" si="395"/>
        <v>-20</v>
      </c>
      <c r="U87" s="360"/>
      <c r="V87" s="628">
        <f t="shared" si="377"/>
        <v>-20</v>
      </c>
      <c r="W87" s="628">
        <f t="shared" ref="W87:AG87" si="396">+V87-W197</f>
        <v>-20</v>
      </c>
      <c r="X87" s="628">
        <f t="shared" si="396"/>
        <v>-20</v>
      </c>
      <c r="Y87" s="628">
        <f t="shared" si="396"/>
        <v>-20</v>
      </c>
      <c r="Z87" s="628">
        <f t="shared" si="396"/>
        <v>-20</v>
      </c>
      <c r="AA87" s="628">
        <f t="shared" si="396"/>
        <v>-20</v>
      </c>
      <c r="AB87" s="628">
        <f t="shared" si="396"/>
        <v>-20</v>
      </c>
      <c r="AC87" s="628">
        <f t="shared" si="396"/>
        <v>-20</v>
      </c>
      <c r="AD87" s="628">
        <f t="shared" si="396"/>
        <v>-20</v>
      </c>
      <c r="AE87" s="628">
        <f t="shared" si="396"/>
        <v>-20</v>
      </c>
      <c r="AF87" s="628">
        <f t="shared" si="396"/>
        <v>-20</v>
      </c>
      <c r="AG87" s="660">
        <f t="shared" si="396"/>
        <v>-20</v>
      </c>
      <c r="AH87" s="360"/>
      <c r="AI87" s="628">
        <f t="shared" si="379"/>
        <v>-20</v>
      </c>
      <c r="AJ87" s="628">
        <f t="shared" ref="AJ87:AT87" si="397">+AI87-AJ197</f>
        <v>-20</v>
      </c>
      <c r="AK87" s="628">
        <f t="shared" si="397"/>
        <v>-20</v>
      </c>
      <c r="AL87" s="628">
        <f t="shared" si="397"/>
        <v>-20</v>
      </c>
      <c r="AM87" s="628">
        <f t="shared" si="397"/>
        <v>-20</v>
      </c>
      <c r="AN87" s="628">
        <f t="shared" si="397"/>
        <v>-20</v>
      </c>
      <c r="AO87" s="628">
        <f t="shared" si="397"/>
        <v>-20</v>
      </c>
      <c r="AP87" s="628">
        <f t="shared" si="397"/>
        <v>-20</v>
      </c>
      <c r="AQ87" s="628">
        <f t="shared" si="397"/>
        <v>-20</v>
      </c>
      <c r="AR87" s="628">
        <f t="shared" si="397"/>
        <v>-20</v>
      </c>
      <c r="AS87" s="628">
        <f t="shared" si="397"/>
        <v>-20</v>
      </c>
      <c r="AT87" s="660">
        <f t="shared" si="397"/>
        <v>-20</v>
      </c>
      <c r="AU87" s="360"/>
      <c r="AV87" s="628">
        <f t="shared" si="381"/>
        <v>-20</v>
      </c>
      <c r="AW87" s="628">
        <f t="shared" ref="AW87:BG87" si="398">+AV87-AW197</f>
        <v>-20</v>
      </c>
      <c r="AX87" s="628">
        <f t="shared" si="398"/>
        <v>-20</v>
      </c>
      <c r="AY87" s="628">
        <f t="shared" si="398"/>
        <v>-20</v>
      </c>
      <c r="AZ87" s="628">
        <f t="shared" si="398"/>
        <v>-20</v>
      </c>
      <c r="BA87" s="628">
        <f t="shared" si="398"/>
        <v>-20</v>
      </c>
      <c r="BB87" s="628">
        <f t="shared" si="398"/>
        <v>-20</v>
      </c>
      <c r="BC87" s="628">
        <f t="shared" si="398"/>
        <v>-20</v>
      </c>
      <c r="BD87" s="628">
        <f t="shared" si="398"/>
        <v>-20</v>
      </c>
      <c r="BE87" s="628">
        <f t="shared" si="398"/>
        <v>-20</v>
      </c>
      <c r="BF87" s="628">
        <f t="shared" si="398"/>
        <v>-20</v>
      </c>
      <c r="BG87" s="660">
        <f t="shared" si="398"/>
        <v>-20</v>
      </c>
      <c r="BH87" s="360"/>
      <c r="BI87" s="628">
        <f t="shared" si="383"/>
        <v>-20</v>
      </c>
      <c r="BJ87" s="628">
        <f t="shared" ref="BJ87:BT87" si="399">+BI87-BJ197</f>
        <v>-20</v>
      </c>
      <c r="BK87" s="628">
        <f t="shared" si="399"/>
        <v>-20</v>
      </c>
      <c r="BL87" s="628">
        <f t="shared" si="399"/>
        <v>-20</v>
      </c>
      <c r="BM87" s="628">
        <f t="shared" si="399"/>
        <v>-20</v>
      </c>
      <c r="BN87" s="628">
        <f t="shared" si="399"/>
        <v>-20</v>
      </c>
      <c r="BO87" s="628">
        <f t="shared" si="399"/>
        <v>-20</v>
      </c>
      <c r="BP87" s="628">
        <f t="shared" si="399"/>
        <v>-20</v>
      </c>
      <c r="BQ87" s="628">
        <f t="shared" si="399"/>
        <v>-20</v>
      </c>
      <c r="BR87" s="628">
        <f t="shared" si="399"/>
        <v>-20</v>
      </c>
      <c r="BS87" s="628">
        <f t="shared" si="399"/>
        <v>-20</v>
      </c>
      <c r="BT87" s="660">
        <f t="shared" si="399"/>
        <v>-20</v>
      </c>
      <c r="BU87" s="360"/>
      <c r="BV87" s="628">
        <f t="shared" si="385"/>
        <v>-20</v>
      </c>
      <c r="BW87" s="628">
        <f t="shared" ref="BW87:CG87" si="400">+BV87-BW197</f>
        <v>-20</v>
      </c>
      <c r="BX87" s="628">
        <f t="shared" si="400"/>
        <v>-20</v>
      </c>
      <c r="BY87" s="628">
        <f t="shared" si="400"/>
        <v>-20</v>
      </c>
      <c r="BZ87" s="628">
        <f t="shared" si="400"/>
        <v>-20</v>
      </c>
      <c r="CA87" s="628">
        <f t="shared" si="400"/>
        <v>-20</v>
      </c>
      <c r="CB87" s="628">
        <f t="shared" si="400"/>
        <v>-20</v>
      </c>
      <c r="CC87" s="628">
        <f t="shared" si="400"/>
        <v>-20</v>
      </c>
      <c r="CD87" s="628">
        <f t="shared" si="400"/>
        <v>-20</v>
      </c>
      <c r="CE87" s="628">
        <f t="shared" si="400"/>
        <v>-20</v>
      </c>
      <c r="CF87" s="628">
        <f t="shared" si="400"/>
        <v>-20</v>
      </c>
      <c r="CG87" s="660">
        <f t="shared" si="400"/>
        <v>-20</v>
      </c>
      <c r="CH87" s="360"/>
      <c r="CI87" s="628">
        <f t="shared" si="387"/>
        <v>-20</v>
      </c>
      <c r="CJ87" s="628">
        <f t="shared" ref="CJ87:CT87" si="401">+CI87-CJ197</f>
        <v>-20</v>
      </c>
      <c r="CK87" s="628">
        <f t="shared" si="401"/>
        <v>-20</v>
      </c>
      <c r="CL87" s="628">
        <f t="shared" si="401"/>
        <v>-20</v>
      </c>
      <c r="CM87" s="628">
        <f t="shared" si="401"/>
        <v>-20</v>
      </c>
      <c r="CN87" s="628">
        <f t="shared" si="401"/>
        <v>-20</v>
      </c>
      <c r="CO87" s="628">
        <f t="shared" si="401"/>
        <v>-20</v>
      </c>
      <c r="CP87" s="628">
        <f t="shared" si="401"/>
        <v>-20</v>
      </c>
      <c r="CQ87" s="628">
        <f t="shared" si="401"/>
        <v>-20</v>
      </c>
      <c r="CR87" s="628">
        <f t="shared" si="401"/>
        <v>-20</v>
      </c>
      <c r="CS87" s="628">
        <f t="shared" si="401"/>
        <v>-20</v>
      </c>
      <c r="CT87" s="660">
        <f t="shared" si="401"/>
        <v>-20</v>
      </c>
      <c r="CU87" s="360"/>
      <c r="CV87" s="628">
        <f t="shared" si="389"/>
        <v>-20</v>
      </c>
      <c r="CW87" s="628">
        <f t="shared" ref="CW87:DG87" si="402">+CV87-CW197</f>
        <v>-20</v>
      </c>
      <c r="CX87" s="628">
        <f t="shared" si="402"/>
        <v>-20</v>
      </c>
      <c r="CY87" s="628">
        <f t="shared" si="402"/>
        <v>-20</v>
      </c>
      <c r="CZ87" s="628">
        <f t="shared" si="402"/>
        <v>-20</v>
      </c>
      <c r="DA87" s="628">
        <f t="shared" si="402"/>
        <v>-20</v>
      </c>
      <c r="DB87" s="628">
        <f t="shared" si="402"/>
        <v>-20</v>
      </c>
      <c r="DC87" s="628">
        <f t="shared" si="402"/>
        <v>-20</v>
      </c>
      <c r="DD87" s="628">
        <f t="shared" si="402"/>
        <v>-20</v>
      </c>
      <c r="DE87" s="628">
        <f t="shared" si="402"/>
        <v>-20</v>
      </c>
      <c r="DF87" s="628">
        <f t="shared" si="402"/>
        <v>-20</v>
      </c>
      <c r="DG87" s="660">
        <f t="shared" si="402"/>
        <v>-20</v>
      </c>
      <c r="DH87" s="360"/>
      <c r="DI87" s="628">
        <f t="shared" si="391"/>
        <v>-20</v>
      </c>
      <c r="DJ87" s="628">
        <f t="shared" ref="DJ87:DT87" si="403">+DI87-DJ197</f>
        <v>-20</v>
      </c>
      <c r="DK87" s="628">
        <f t="shared" si="403"/>
        <v>-20</v>
      </c>
      <c r="DL87" s="628">
        <f t="shared" si="403"/>
        <v>-20</v>
      </c>
      <c r="DM87" s="628">
        <f t="shared" si="403"/>
        <v>-20</v>
      </c>
      <c r="DN87" s="628">
        <f t="shared" si="403"/>
        <v>-20</v>
      </c>
      <c r="DO87" s="628">
        <f t="shared" si="403"/>
        <v>-20</v>
      </c>
      <c r="DP87" s="628">
        <f t="shared" si="403"/>
        <v>-20</v>
      </c>
      <c r="DQ87" s="628">
        <f t="shared" si="403"/>
        <v>-20</v>
      </c>
      <c r="DR87" s="628">
        <f t="shared" si="403"/>
        <v>-20</v>
      </c>
      <c r="DS87" s="628">
        <f t="shared" si="403"/>
        <v>-20</v>
      </c>
      <c r="DT87" s="660">
        <f t="shared" si="403"/>
        <v>-20</v>
      </c>
      <c r="DU87" s="360"/>
      <c r="DV87" s="628">
        <f t="shared" si="393"/>
        <v>-20</v>
      </c>
      <c r="DW87" s="628">
        <f t="shared" ref="DW87:EG87" si="404">+DV87-DW197</f>
        <v>-20</v>
      </c>
      <c r="DX87" s="628">
        <f t="shared" si="404"/>
        <v>-20</v>
      </c>
      <c r="DY87" s="628">
        <f t="shared" si="404"/>
        <v>-20</v>
      </c>
      <c r="DZ87" s="628">
        <f t="shared" si="404"/>
        <v>-20</v>
      </c>
      <c r="EA87" s="628">
        <f t="shared" si="404"/>
        <v>-20</v>
      </c>
      <c r="EB87" s="628">
        <f t="shared" si="404"/>
        <v>-20</v>
      </c>
      <c r="EC87" s="628">
        <f t="shared" si="404"/>
        <v>-20</v>
      </c>
      <c r="ED87" s="628">
        <f t="shared" si="404"/>
        <v>-20</v>
      </c>
      <c r="EE87" s="628">
        <f t="shared" si="404"/>
        <v>-20</v>
      </c>
      <c r="EF87" s="628">
        <f t="shared" si="404"/>
        <v>-20</v>
      </c>
      <c r="EG87" s="660">
        <f t="shared" si="404"/>
        <v>-20</v>
      </c>
      <c r="EH87" s="360"/>
      <c r="EI87" s="21"/>
      <c r="EJ87" s="21"/>
      <c r="EK87" s="21"/>
      <c r="EL87" s="21"/>
      <c r="EM87" s="21"/>
    </row>
    <row r="88" spans="1:143" ht="14.25" customHeight="1">
      <c r="A88" s="21"/>
      <c r="B88" s="21"/>
      <c r="C88" s="21"/>
      <c r="D88" s="622">
        <f t="shared" si="323"/>
        <v>79</v>
      </c>
      <c r="E88" s="1625"/>
      <c r="F88" s="659" t="str">
        <f>+Assumption!F307</f>
        <v>Leasing 3</v>
      </c>
      <c r="G88" s="296"/>
      <c r="H88" s="369">
        <f>+Assumption!G307</f>
        <v>0</v>
      </c>
      <c r="I88" s="628">
        <f t="shared" ref="I88:T88" si="405">+H88-I198</f>
        <v>0</v>
      </c>
      <c r="J88" s="628">
        <f t="shared" si="405"/>
        <v>0</v>
      </c>
      <c r="K88" s="628">
        <f t="shared" si="405"/>
        <v>0</v>
      </c>
      <c r="L88" s="628">
        <f t="shared" si="405"/>
        <v>0</v>
      </c>
      <c r="M88" s="628">
        <f t="shared" si="405"/>
        <v>0</v>
      </c>
      <c r="N88" s="628">
        <f t="shared" si="405"/>
        <v>0</v>
      </c>
      <c r="O88" s="628">
        <f t="shared" si="405"/>
        <v>0</v>
      </c>
      <c r="P88" s="628">
        <f t="shared" si="405"/>
        <v>0</v>
      </c>
      <c r="Q88" s="628">
        <f t="shared" si="405"/>
        <v>0</v>
      </c>
      <c r="R88" s="628">
        <f t="shared" si="405"/>
        <v>0</v>
      </c>
      <c r="S88" s="628">
        <f t="shared" si="405"/>
        <v>0</v>
      </c>
      <c r="T88" s="660">
        <f t="shared" si="405"/>
        <v>-30</v>
      </c>
      <c r="U88" s="360"/>
      <c r="V88" s="628">
        <f t="shared" si="377"/>
        <v>-30</v>
      </c>
      <c r="W88" s="628">
        <f t="shared" ref="W88:AG88" si="406">+V88-W198</f>
        <v>-30</v>
      </c>
      <c r="X88" s="628">
        <f t="shared" si="406"/>
        <v>-30</v>
      </c>
      <c r="Y88" s="628">
        <f t="shared" si="406"/>
        <v>-30</v>
      </c>
      <c r="Z88" s="628">
        <f t="shared" si="406"/>
        <v>-30</v>
      </c>
      <c r="AA88" s="628">
        <f t="shared" si="406"/>
        <v>-30</v>
      </c>
      <c r="AB88" s="628">
        <f t="shared" si="406"/>
        <v>-30</v>
      </c>
      <c r="AC88" s="628">
        <f t="shared" si="406"/>
        <v>-30</v>
      </c>
      <c r="AD88" s="628">
        <f t="shared" si="406"/>
        <v>-30</v>
      </c>
      <c r="AE88" s="628">
        <f t="shared" si="406"/>
        <v>-30</v>
      </c>
      <c r="AF88" s="628">
        <f t="shared" si="406"/>
        <v>-30</v>
      </c>
      <c r="AG88" s="660">
        <f t="shared" si="406"/>
        <v>-30</v>
      </c>
      <c r="AH88" s="360"/>
      <c r="AI88" s="628">
        <f t="shared" si="379"/>
        <v>-30</v>
      </c>
      <c r="AJ88" s="628">
        <f t="shared" ref="AJ88:AT88" si="407">+AI88-AJ198</f>
        <v>-30</v>
      </c>
      <c r="AK88" s="628">
        <f t="shared" si="407"/>
        <v>-30</v>
      </c>
      <c r="AL88" s="628">
        <f t="shared" si="407"/>
        <v>-30</v>
      </c>
      <c r="AM88" s="628">
        <f t="shared" si="407"/>
        <v>-30</v>
      </c>
      <c r="AN88" s="628">
        <f t="shared" si="407"/>
        <v>-30</v>
      </c>
      <c r="AO88" s="628">
        <f t="shared" si="407"/>
        <v>-30</v>
      </c>
      <c r="AP88" s="628">
        <f t="shared" si="407"/>
        <v>-30</v>
      </c>
      <c r="AQ88" s="628">
        <f t="shared" si="407"/>
        <v>-30</v>
      </c>
      <c r="AR88" s="628">
        <f t="shared" si="407"/>
        <v>-30</v>
      </c>
      <c r="AS88" s="628">
        <f t="shared" si="407"/>
        <v>-30</v>
      </c>
      <c r="AT88" s="660">
        <f t="shared" si="407"/>
        <v>-30</v>
      </c>
      <c r="AU88" s="360"/>
      <c r="AV88" s="628">
        <f t="shared" si="381"/>
        <v>-30</v>
      </c>
      <c r="AW88" s="628">
        <f t="shared" ref="AW88:BG88" si="408">+AV88-AW198</f>
        <v>-30</v>
      </c>
      <c r="AX88" s="628">
        <f t="shared" si="408"/>
        <v>-30</v>
      </c>
      <c r="AY88" s="628">
        <f t="shared" si="408"/>
        <v>-30</v>
      </c>
      <c r="AZ88" s="628">
        <f t="shared" si="408"/>
        <v>-30</v>
      </c>
      <c r="BA88" s="628">
        <f t="shared" si="408"/>
        <v>-30</v>
      </c>
      <c r="BB88" s="628">
        <f t="shared" si="408"/>
        <v>-30</v>
      </c>
      <c r="BC88" s="628">
        <f t="shared" si="408"/>
        <v>-30</v>
      </c>
      <c r="BD88" s="628">
        <f t="shared" si="408"/>
        <v>-30</v>
      </c>
      <c r="BE88" s="628">
        <f t="shared" si="408"/>
        <v>-30</v>
      </c>
      <c r="BF88" s="628">
        <f t="shared" si="408"/>
        <v>-30</v>
      </c>
      <c r="BG88" s="660">
        <f t="shared" si="408"/>
        <v>-30</v>
      </c>
      <c r="BH88" s="360"/>
      <c r="BI88" s="628">
        <f t="shared" si="383"/>
        <v>-30</v>
      </c>
      <c r="BJ88" s="628">
        <f t="shared" ref="BJ88:BT88" si="409">+BI88-BJ198</f>
        <v>-30</v>
      </c>
      <c r="BK88" s="628">
        <f t="shared" si="409"/>
        <v>-30</v>
      </c>
      <c r="BL88" s="628">
        <f t="shared" si="409"/>
        <v>-30</v>
      </c>
      <c r="BM88" s="628">
        <f t="shared" si="409"/>
        <v>-30</v>
      </c>
      <c r="BN88" s="628">
        <f t="shared" si="409"/>
        <v>-30</v>
      </c>
      <c r="BO88" s="628">
        <f t="shared" si="409"/>
        <v>-30</v>
      </c>
      <c r="BP88" s="628">
        <f t="shared" si="409"/>
        <v>-30</v>
      </c>
      <c r="BQ88" s="628">
        <f t="shared" si="409"/>
        <v>-30</v>
      </c>
      <c r="BR88" s="628">
        <f t="shared" si="409"/>
        <v>-30</v>
      </c>
      <c r="BS88" s="628">
        <f t="shared" si="409"/>
        <v>-30</v>
      </c>
      <c r="BT88" s="660">
        <f t="shared" si="409"/>
        <v>-30</v>
      </c>
      <c r="BU88" s="360"/>
      <c r="BV88" s="628">
        <f t="shared" si="385"/>
        <v>-30</v>
      </c>
      <c r="BW88" s="628">
        <f t="shared" ref="BW88:CG88" si="410">+BV88-BW198</f>
        <v>-30</v>
      </c>
      <c r="BX88" s="628">
        <f t="shared" si="410"/>
        <v>-30</v>
      </c>
      <c r="BY88" s="628">
        <f t="shared" si="410"/>
        <v>-30</v>
      </c>
      <c r="BZ88" s="628">
        <f t="shared" si="410"/>
        <v>-30</v>
      </c>
      <c r="CA88" s="628">
        <f t="shared" si="410"/>
        <v>-30</v>
      </c>
      <c r="CB88" s="628">
        <f t="shared" si="410"/>
        <v>-30</v>
      </c>
      <c r="CC88" s="628">
        <f t="shared" si="410"/>
        <v>-30</v>
      </c>
      <c r="CD88" s="628">
        <f t="shared" si="410"/>
        <v>-30</v>
      </c>
      <c r="CE88" s="628">
        <f t="shared" si="410"/>
        <v>-30</v>
      </c>
      <c r="CF88" s="628">
        <f t="shared" si="410"/>
        <v>-30</v>
      </c>
      <c r="CG88" s="660">
        <f t="shared" si="410"/>
        <v>-30</v>
      </c>
      <c r="CH88" s="360"/>
      <c r="CI88" s="628">
        <f t="shared" si="387"/>
        <v>-30</v>
      </c>
      <c r="CJ88" s="628">
        <f t="shared" ref="CJ88:CT88" si="411">+CI88-CJ198</f>
        <v>-30</v>
      </c>
      <c r="CK88" s="628">
        <f t="shared" si="411"/>
        <v>-30</v>
      </c>
      <c r="CL88" s="628">
        <f t="shared" si="411"/>
        <v>-30</v>
      </c>
      <c r="CM88" s="628">
        <f t="shared" si="411"/>
        <v>-30</v>
      </c>
      <c r="CN88" s="628">
        <f t="shared" si="411"/>
        <v>-30</v>
      </c>
      <c r="CO88" s="628">
        <f t="shared" si="411"/>
        <v>-30</v>
      </c>
      <c r="CP88" s="628">
        <f t="shared" si="411"/>
        <v>-30</v>
      </c>
      <c r="CQ88" s="628">
        <f t="shared" si="411"/>
        <v>-30</v>
      </c>
      <c r="CR88" s="628">
        <f t="shared" si="411"/>
        <v>-30</v>
      </c>
      <c r="CS88" s="628">
        <f t="shared" si="411"/>
        <v>-30</v>
      </c>
      <c r="CT88" s="660">
        <f t="shared" si="411"/>
        <v>-30</v>
      </c>
      <c r="CU88" s="360"/>
      <c r="CV88" s="628">
        <f t="shared" si="389"/>
        <v>-30</v>
      </c>
      <c r="CW88" s="628">
        <f t="shared" ref="CW88:DG88" si="412">+CV88-CW198</f>
        <v>-30</v>
      </c>
      <c r="CX88" s="628">
        <f t="shared" si="412"/>
        <v>-30</v>
      </c>
      <c r="CY88" s="628">
        <f t="shared" si="412"/>
        <v>-30</v>
      </c>
      <c r="CZ88" s="628">
        <f t="shared" si="412"/>
        <v>-30</v>
      </c>
      <c r="DA88" s="628">
        <f t="shared" si="412"/>
        <v>-30</v>
      </c>
      <c r="DB88" s="628">
        <f t="shared" si="412"/>
        <v>-30</v>
      </c>
      <c r="DC88" s="628">
        <f t="shared" si="412"/>
        <v>-30</v>
      </c>
      <c r="DD88" s="628">
        <f t="shared" si="412"/>
        <v>-30</v>
      </c>
      <c r="DE88" s="628">
        <f t="shared" si="412"/>
        <v>-30</v>
      </c>
      <c r="DF88" s="628">
        <f t="shared" si="412"/>
        <v>-30</v>
      </c>
      <c r="DG88" s="660">
        <f t="shared" si="412"/>
        <v>-30</v>
      </c>
      <c r="DH88" s="360"/>
      <c r="DI88" s="628">
        <f t="shared" si="391"/>
        <v>-30</v>
      </c>
      <c r="DJ88" s="628">
        <f t="shared" ref="DJ88:DT88" si="413">+DI88-DJ198</f>
        <v>-30</v>
      </c>
      <c r="DK88" s="628">
        <f t="shared" si="413"/>
        <v>-30</v>
      </c>
      <c r="DL88" s="628">
        <f t="shared" si="413"/>
        <v>-30</v>
      </c>
      <c r="DM88" s="628">
        <f t="shared" si="413"/>
        <v>-30</v>
      </c>
      <c r="DN88" s="628">
        <f t="shared" si="413"/>
        <v>-30</v>
      </c>
      <c r="DO88" s="628">
        <f t="shared" si="413"/>
        <v>-30</v>
      </c>
      <c r="DP88" s="628">
        <f t="shared" si="413"/>
        <v>-30</v>
      </c>
      <c r="DQ88" s="628">
        <f t="shared" si="413"/>
        <v>-30</v>
      </c>
      <c r="DR88" s="628">
        <f t="shared" si="413"/>
        <v>-30</v>
      </c>
      <c r="DS88" s="628">
        <f t="shared" si="413"/>
        <v>-30</v>
      </c>
      <c r="DT88" s="660">
        <f t="shared" si="413"/>
        <v>-30</v>
      </c>
      <c r="DU88" s="360"/>
      <c r="DV88" s="628">
        <f t="shared" si="393"/>
        <v>-30</v>
      </c>
      <c r="DW88" s="628">
        <f t="shared" ref="DW88:EG88" si="414">+DV88-DW198</f>
        <v>-30</v>
      </c>
      <c r="DX88" s="628">
        <f t="shared" si="414"/>
        <v>-30</v>
      </c>
      <c r="DY88" s="628">
        <f t="shared" si="414"/>
        <v>-30</v>
      </c>
      <c r="DZ88" s="628">
        <f t="shared" si="414"/>
        <v>-30</v>
      </c>
      <c r="EA88" s="628">
        <f t="shared" si="414"/>
        <v>-30</v>
      </c>
      <c r="EB88" s="628">
        <f t="shared" si="414"/>
        <v>-30</v>
      </c>
      <c r="EC88" s="628">
        <f t="shared" si="414"/>
        <v>-30</v>
      </c>
      <c r="ED88" s="628">
        <f t="shared" si="414"/>
        <v>-30</v>
      </c>
      <c r="EE88" s="628">
        <f t="shared" si="414"/>
        <v>-30</v>
      </c>
      <c r="EF88" s="628">
        <f t="shared" si="414"/>
        <v>-30</v>
      </c>
      <c r="EG88" s="660">
        <f t="shared" si="414"/>
        <v>-30</v>
      </c>
      <c r="EH88" s="360"/>
      <c r="EI88" s="21"/>
      <c r="EJ88" s="21"/>
      <c r="EK88" s="21"/>
      <c r="EL88" s="21"/>
      <c r="EM88" s="21"/>
    </row>
    <row r="89" spans="1:143" ht="14.25" customHeight="1">
      <c r="A89" s="21"/>
      <c r="B89" s="21"/>
      <c r="C89" s="21"/>
      <c r="D89" s="622">
        <f t="shared" si="323"/>
        <v>80</v>
      </c>
      <c r="E89" s="1625"/>
      <c r="F89" s="659" t="str">
        <f>+Assumption!F308</f>
        <v>Leasing 4</v>
      </c>
      <c r="G89" s="296"/>
      <c r="H89" s="369">
        <f>+Assumption!G308</f>
        <v>0</v>
      </c>
      <c r="I89" s="628">
        <f t="shared" ref="I89:T89" si="415">+H89-I199</f>
        <v>0</v>
      </c>
      <c r="J89" s="628">
        <f t="shared" si="415"/>
        <v>0</v>
      </c>
      <c r="K89" s="628">
        <f t="shared" si="415"/>
        <v>0</v>
      </c>
      <c r="L89" s="628">
        <f t="shared" si="415"/>
        <v>0</v>
      </c>
      <c r="M89" s="628">
        <f t="shared" si="415"/>
        <v>0</v>
      </c>
      <c r="N89" s="628">
        <f t="shared" si="415"/>
        <v>0</v>
      </c>
      <c r="O89" s="628">
        <f t="shared" si="415"/>
        <v>0</v>
      </c>
      <c r="P89" s="628">
        <f t="shared" si="415"/>
        <v>0</v>
      </c>
      <c r="Q89" s="628">
        <f t="shared" si="415"/>
        <v>0</v>
      </c>
      <c r="R89" s="628">
        <f t="shared" si="415"/>
        <v>0</v>
      </c>
      <c r="S89" s="628">
        <f t="shared" si="415"/>
        <v>0</v>
      </c>
      <c r="T89" s="660">
        <f t="shared" si="415"/>
        <v>-40</v>
      </c>
      <c r="U89" s="360"/>
      <c r="V89" s="628">
        <f t="shared" si="377"/>
        <v>-40</v>
      </c>
      <c r="W89" s="628">
        <f t="shared" ref="W89:AG89" si="416">+V89-W199</f>
        <v>-40</v>
      </c>
      <c r="X89" s="628">
        <f t="shared" si="416"/>
        <v>-40</v>
      </c>
      <c r="Y89" s="628">
        <f t="shared" si="416"/>
        <v>-40</v>
      </c>
      <c r="Z89" s="628">
        <f t="shared" si="416"/>
        <v>-40</v>
      </c>
      <c r="AA89" s="628">
        <f t="shared" si="416"/>
        <v>-40</v>
      </c>
      <c r="AB89" s="628">
        <f t="shared" si="416"/>
        <v>-40</v>
      </c>
      <c r="AC89" s="628">
        <f t="shared" si="416"/>
        <v>-40</v>
      </c>
      <c r="AD89" s="628">
        <f t="shared" si="416"/>
        <v>-40</v>
      </c>
      <c r="AE89" s="628">
        <f t="shared" si="416"/>
        <v>-40</v>
      </c>
      <c r="AF89" s="628">
        <f t="shared" si="416"/>
        <v>-40</v>
      </c>
      <c r="AG89" s="660">
        <f t="shared" si="416"/>
        <v>-40</v>
      </c>
      <c r="AH89" s="360"/>
      <c r="AI89" s="628">
        <f t="shared" si="379"/>
        <v>-40</v>
      </c>
      <c r="AJ89" s="628">
        <f t="shared" ref="AJ89:AT89" si="417">+AI89-AJ199</f>
        <v>-40</v>
      </c>
      <c r="AK89" s="628">
        <f t="shared" si="417"/>
        <v>-40</v>
      </c>
      <c r="AL89" s="628">
        <f t="shared" si="417"/>
        <v>-40</v>
      </c>
      <c r="AM89" s="628">
        <f t="shared" si="417"/>
        <v>-40</v>
      </c>
      <c r="AN89" s="628">
        <f t="shared" si="417"/>
        <v>-40</v>
      </c>
      <c r="AO89" s="628">
        <f t="shared" si="417"/>
        <v>-40</v>
      </c>
      <c r="AP89" s="628">
        <f t="shared" si="417"/>
        <v>-40</v>
      </c>
      <c r="AQ89" s="628">
        <f t="shared" si="417"/>
        <v>-40</v>
      </c>
      <c r="AR89" s="628">
        <f t="shared" si="417"/>
        <v>-40</v>
      </c>
      <c r="AS89" s="628">
        <f t="shared" si="417"/>
        <v>-40</v>
      </c>
      <c r="AT89" s="660">
        <f t="shared" si="417"/>
        <v>-40</v>
      </c>
      <c r="AU89" s="360"/>
      <c r="AV89" s="628">
        <f t="shared" si="381"/>
        <v>-40</v>
      </c>
      <c r="AW89" s="628">
        <f t="shared" ref="AW89:BG89" si="418">+AV89-AW199</f>
        <v>-40</v>
      </c>
      <c r="AX89" s="628">
        <f t="shared" si="418"/>
        <v>-40</v>
      </c>
      <c r="AY89" s="628">
        <f t="shared" si="418"/>
        <v>-40</v>
      </c>
      <c r="AZ89" s="628">
        <f t="shared" si="418"/>
        <v>-40</v>
      </c>
      <c r="BA89" s="628">
        <f t="shared" si="418"/>
        <v>-40</v>
      </c>
      <c r="BB89" s="628">
        <f t="shared" si="418"/>
        <v>-40</v>
      </c>
      <c r="BC89" s="628">
        <f t="shared" si="418"/>
        <v>-40</v>
      </c>
      <c r="BD89" s="628">
        <f t="shared" si="418"/>
        <v>-40</v>
      </c>
      <c r="BE89" s="628">
        <f t="shared" si="418"/>
        <v>-40</v>
      </c>
      <c r="BF89" s="628">
        <f t="shared" si="418"/>
        <v>-40</v>
      </c>
      <c r="BG89" s="660">
        <f t="shared" si="418"/>
        <v>-40</v>
      </c>
      <c r="BH89" s="360"/>
      <c r="BI89" s="628">
        <f t="shared" si="383"/>
        <v>-40</v>
      </c>
      <c r="BJ89" s="628">
        <f t="shared" ref="BJ89:BT89" si="419">+BI89-BJ199</f>
        <v>-40</v>
      </c>
      <c r="BK89" s="628">
        <f t="shared" si="419"/>
        <v>-40</v>
      </c>
      <c r="BL89" s="628">
        <f t="shared" si="419"/>
        <v>-40</v>
      </c>
      <c r="BM89" s="628">
        <f t="shared" si="419"/>
        <v>-40</v>
      </c>
      <c r="BN89" s="628">
        <f t="shared" si="419"/>
        <v>-40</v>
      </c>
      <c r="BO89" s="628">
        <f t="shared" si="419"/>
        <v>-40</v>
      </c>
      <c r="BP89" s="628">
        <f t="shared" si="419"/>
        <v>-40</v>
      </c>
      <c r="BQ89" s="628">
        <f t="shared" si="419"/>
        <v>-40</v>
      </c>
      <c r="BR89" s="628">
        <f t="shared" si="419"/>
        <v>-40</v>
      </c>
      <c r="BS89" s="628">
        <f t="shared" si="419"/>
        <v>-40</v>
      </c>
      <c r="BT89" s="660">
        <f t="shared" si="419"/>
        <v>-40</v>
      </c>
      <c r="BU89" s="360"/>
      <c r="BV89" s="628">
        <f t="shared" si="385"/>
        <v>-40</v>
      </c>
      <c r="BW89" s="628">
        <f t="shared" ref="BW89:CG89" si="420">+BV89-BW199</f>
        <v>-40</v>
      </c>
      <c r="BX89" s="628">
        <f t="shared" si="420"/>
        <v>-40</v>
      </c>
      <c r="BY89" s="628">
        <f t="shared" si="420"/>
        <v>-40</v>
      </c>
      <c r="BZ89" s="628">
        <f t="shared" si="420"/>
        <v>-40</v>
      </c>
      <c r="CA89" s="628">
        <f t="shared" si="420"/>
        <v>-40</v>
      </c>
      <c r="CB89" s="628">
        <f t="shared" si="420"/>
        <v>-40</v>
      </c>
      <c r="CC89" s="628">
        <f t="shared" si="420"/>
        <v>-40</v>
      </c>
      <c r="CD89" s="628">
        <f t="shared" si="420"/>
        <v>-40</v>
      </c>
      <c r="CE89" s="628">
        <f t="shared" si="420"/>
        <v>-40</v>
      </c>
      <c r="CF89" s="628">
        <f t="shared" si="420"/>
        <v>-40</v>
      </c>
      <c r="CG89" s="660">
        <f t="shared" si="420"/>
        <v>-40</v>
      </c>
      <c r="CH89" s="360"/>
      <c r="CI89" s="628">
        <f t="shared" si="387"/>
        <v>-40</v>
      </c>
      <c r="CJ89" s="628">
        <f t="shared" ref="CJ89:CT89" si="421">+CI89-CJ199</f>
        <v>-40</v>
      </c>
      <c r="CK89" s="628">
        <f t="shared" si="421"/>
        <v>-40</v>
      </c>
      <c r="CL89" s="628">
        <f t="shared" si="421"/>
        <v>-40</v>
      </c>
      <c r="CM89" s="628">
        <f t="shared" si="421"/>
        <v>-40</v>
      </c>
      <c r="CN89" s="628">
        <f t="shared" si="421"/>
        <v>-40</v>
      </c>
      <c r="CO89" s="628">
        <f t="shared" si="421"/>
        <v>-40</v>
      </c>
      <c r="CP89" s="628">
        <f t="shared" si="421"/>
        <v>-40</v>
      </c>
      <c r="CQ89" s="628">
        <f t="shared" si="421"/>
        <v>-40</v>
      </c>
      <c r="CR89" s="628">
        <f t="shared" si="421"/>
        <v>-40</v>
      </c>
      <c r="CS89" s="628">
        <f t="shared" si="421"/>
        <v>-40</v>
      </c>
      <c r="CT89" s="660">
        <f t="shared" si="421"/>
        <v>-40</v>
      </c>
      <c r="CU89" s="360"/>
      <c r="CV89" s="628">
        <f t="shared" si="389"/>
        <v>-40</v>
      </c>
      <c r="CW89" s="628">
        <f t="shared" ref="CW89:DG89" si="422">+CV89-CW199</f>
        <v>-40</v>
      </c>
      <c r="CX89" s="628">
        <f t="shared" si="422"/>
        <v>-40</v>
      </c>
      <c r="CY89" s="628">
        <f t="shared" si="422"/>
        <v>-40</v>
      </c>
      <c r="CZ89" s="628">
        <f t="shared" si="422"/>
        <v>-40</v>
      </c>
      <c r="DA89" s="628">
        <f t="shared" si="422"/>
        <v>-40</v>
      </c>
      <c r="DB89" s="628">
        <f t="shared" si="422"/>
        <v>-40</v>
      </c>
      <c r="DC89" s="628">
        <f t="shared" si="422"/>
        <v>-40</v>
      </c>
      <c r="DD89" s="628">
        <f t="shared" si="422"/>
        <v>-40</v>
      </c>
      <c r="DE89" s="628">
        <f t="shared" si="422"/>
        <v>-40</v>
      </c>
      <c r="DF89" s="628">
        <f t="shared" si="422"/>
        <v>-40</v>
      </c>
      <c r="DG89" s="660">
        <f t="shared" si="422"/>
        <v>-40</v>
      </c>
      <c r="DH89" s="360"/>
      <c r="DI89" s="628">
        <f t="shared" si="391"/>
        <v>-40</v>
      </c>
      <c r="DJ89" s="628">
        <f t="shared" ref="DJ89:DT89" si="423">+DI89-DJ199</f>
        <v>-40</v>
      </c>
      <c r="DK89" s="628">
        <f t="shared" si="423"/>
        <v>-40</v>
      </c>
      <c r="DL89" s="628">
        <f t="shared" si="423"/>
        <v>-40</v>
      </c>
      <c r="DM89" s="628">
        <f t="shared" si="423"/>
        <v>-40</v>
      </c>
      <c r="DN89" s="628">
        <f t="shared" si="423"/>
        <v>-40</v>
      </c>
      <c r="DO89" s="628">
        <f t="shared" si="423"/>
        <v>-40</v>
      </c>
      <c r="DP89" s="628">
        <f t="shared" si="423"/>
        <v>-40</v>
      </c>
      <c r="DQ89" s="628">
        <f t="shared" si="423"/>
        <v>-40</v>
      </c>
      <c r="DR89" s="628">
        <f t="shared" si="423"/>
        <v>-40</v>
      </c>
      <c r="DS89" s="628">
        <f t="shared" si="423"/>
        <v>-40</v>
      </c>
      <c r="DT89" s="660">
        <f t="shared" si="423"/>
        <v>-40</v>
      </c>
      <c r="DU89" s="360"/>
      <c r="DV89" s="628">
        <f t="shared" si="393"/>
        <v>-40</v>
      </c>
      <c r="DW89" s="628">
        <f t="shared" ref="DW89:EG89" si="424">+DV89-DW199</f>
        <v>-40</v>
      </c>
      <c r="DX89" s="628">
        <f t="shared" si="424"/>
        <v>-40</v>
      </c>
      <c r="DY89" s="628">
        <f t="shared" si="424"/>
        <v>-40</v>
      </c>
      <c r="DZ89" s="628">
        <f t="shared" si="424"/>
        <v>-40</v>
      </c>
      <c r="EA89" s="628">
        <f t="shared" si="424"/>
        <v>-40</v>
      </c>
      <c r="EB89" s="628">
        <f t="shared" si="424"/>
        <v>-40</v>
      </c>
      <c r="EC89" s="628">
        <f t="shared" si="424"/>
        <v>-40</v>
      </c>
      <c r="ED89" s="628">
        <f t="shared" si="424"/>
        <v>-40</v>
      </c>
      <c r="EE89" s="628">
        <f t="shared" si="424"/>
        <v>-40</v>
      </c>
      <c r="EF89" s="628">
        <f t="shared" si="424"/>
        <v>-40</v>
      </c>
      <c r="EG89" s="660">
        <f t="shared" si="424"/>
        <v>-40</v>
      </c>
      <c r="EH89" s="360"/>
      <c r="EI89" s="21"/>
      <c r="EJ89" s="21"/>
      <c r="EK89" s="21"/>
      <c r="EL89" s="21"/>
      <c r="EM89" s="21"/>
    </row>
    <row r="90" spans="1:143" ht="14.25" customHeight="1">
      <c r="A90" s="21"/>
      <c r="B90" s="21"/>
      <c r="C90" s="21"/>
      <c r="D90" s="622">
        <f t="shared" si="323"/>
        <v>81</v>
      </c>
      <c r="E90" s="1625"/>
      <c r="F90" s="659" t="str">
        <f>+Assumption!F309</f>
        <v>Leasing 5</v>
      </c>
      <c r="G90" s="296"/>
      <c r="H90" s="369">
        <f>+Assumption!G309</f>
        <v>0</v>
      </c>
      <c r="I90" s="628">
        <f t="shared" ref="I90:T90" si="425">+H90-I200</f>
        <v>0</v>
      </c>
      <c r="J90" s="628">
        <f t="shared" si="425"/>
        <v>0</v>
      </c>
      <c r="K90" s="628">
        <f t="shared" si="425"/>
        <v>0</v>
      </c>
      <c r="L90" s="628">
        <f t="shared" si="425"/>
        <v>0</v>
      </c>
      <c r="M90" s="628">
        <f t="shared" si="425"/>
        <v>0</v>
      </c>
      <c r="N90" s="628">
        <f t="shared" si="425"/>
        <v>0</v>
      </c>
      <c r="O90" s="628">
        <f t="shared" si="425"/>
        <v>0</v>
      </c>
      <c r="P90" s="628">
        <f t="shared" si="425"/>
        <v>0</v>
      </c>
      <c r="Q90" s="628">
        <f t="shared" si="425"/>
        <v>0</v>
      </c>
      <c r="R90" s="628">
        <f t="shared" si="425"/>
        <v>0</v>
      </c>
      <c r="S90" s="628">
        <f t="shared" si="425"/>
        <v>0</v>
      </c>
      <c r="T90" s="660">
        <f t="shared" si="425"/>
        <v>-50</v>
      </c>
      <c r="U90" s="360"/>
      <c r="V90" s="628">
        <f t="shared" si="377"/>
        <v>-50</v>
      </c>
      <c r="W90" s="628">
        <f t="shared" ref="W90:AG90" si="426">+V90-W200</f>
        <v>-50</v>
      </c>
      <c r="X90" s="628">
        <f t="shared" si="426"/>
        <v>-50</v>
      </c>
      <c r="Y90" s="628">
        <f t="shared" si="426"/>
        <v>-50</v>
      </c>
      <c r="Z90" s="628">
        <f t="shared" si="426"/>
        <v>-50</v>
      </c>
      <c r="AA90" s="628">
        <f t="shared" si="426"/>
        <v>-50</v>
      </c>
      <c r="AB90" s="628">
        <f t="shared" si="426"/>
        <v>-50</v>
      </c>
      <c r="AC90" s="628">
        <f t="shared" si="426"/>
        <v>-50</v>
      </c>
      <c r="AD90" s="628">
        <f t="shared" si="426"/>
        <v>-50</v>
      </c>
      <c r="AE90" s="628">
        <f t="shared" si="426"/>
        <v>-50</v>
      </c>
      <c r="AF90" s="628">
        <f t="shared" si="426"/>
        <v>-50</v>
      </c>
      <c r="AG90" s="660">
        <f t="shared" si="426"/>
        <v>-50</v>
      </c>
      <c r="AH90" s="360"/>
      <c r="AI90" s="628">
        <f t="shared" si="379"/>
        <v>-50</v>
      </c>
      <c r="AJ90" s="628">
        <f t="shared" ref="AJ90:AT90" si="427">+AI90-AJ200</f>
        <v>-50</v>
      </c>
      <c r="AK90" s="628">
        <f t="shared" si="427"/>
        <v>-50</v>
      </c>
      <c r="AL90" s="628">
        <f t="shared" si="427"/>
        <v>-50</v>
      </c>
      <c r="AM90" s="628">
        <f t="shared" si="427"/>
        <v>-50</v>
      </c>
      <c r="AN90" s="628">
        <f t="shared" si="427"/>
        <v>-50</v>
      </c>
      <c r="AO90" s="628">
        <f t="shared" si="427"/>
        <v>-50</v>
      </c>
      <c r="AP90" s="628">
        <f t="shared" si="427"/>
        <v>-50</v>
      </c>
      <c r="AQ90" s="628">
        <f t="shared" si="427"/>
        <v>-50</v>
      </c>
      <c r="AR90" s="628">
        <f t="shared" si="427"/>
        <v>-50</v>
      </c>
      <c r="AS90" s="628">
        <f t="shared" si="427"/>
        <v>-50</v>
      </c>
      <c r="AT90" s="660">
        <f t="shared" si="427"/>
        <v>-50</v>
      </c>
      <c r="AU90" s="360"/>
      <c r="AV90" s="628">
        <f t="shared" si="381"/>
        <v>-50</v>
      </c>
      <c r="AW90" s="628">
        <f t="shared" ref="AW90:BG90" si="428">+AV90-AW200</f>
        <v>-50</v>
      </c>
      <c r="AX90" s="628">
        <f t="shared" si="428"/>
        <v>-50</v>
      </c>
      <c r="AY90" s="628">
        <f t="shared" si="428"/>
        <v>-50</v>
      </c>
      <c r="AZ90" s="628">
        <f t="shared" si="428"/>
        <v>-50</v>
      </c>
      <c r="BA90" s="628">
        <f t="shared" si="428"/>
        <v>-50</v>
      </c>
      <c r="BB90" s="628">
        <f t="shared" si="428"/>
        <v>-50</v>
      </c>
      <c r="BC90" s="628">
        <f t="shared" si="428"/>
        <v>-50</v>
      </c>
      <c r="BD90" s="628">
        <f t="shared" si="428"/>
        <v>-50</v>
      </c>
      <c r="BE90" s="628">
        <f t="shared" si="428"/>
        <v>-50</v>
      </c>
      <c r="BF90" s="628">
        <f t="shared" si="428"/>
        <v>-50</v>
      </c>
      <c r="BG90" s="660">
        <f t="shared" si="428"/>
        <v>-50</v>
      </c>
      <c r="BH90" s="360"/>
      <c r="BI90" s="628">
        <f t="shared" si="383"/>
        <v>-50</v>
      </c>
      <c r="BJ90" s="628">
        <f t="shared" ref="BJ90:BT90" si="429">+BI90-BJ200</f>
        <v>-50</v>
      </c>
      <c r="BK90" s="628">
        <f t="shared" si="429"/>
        <v>-50</v>
      </c>
      <c r="BL90" s="628">
        <f t="shared" si="429"/>
        <v>-50</v>
      </c>
      <c r="BM90" s="628">
        <f t="shared" si="429"/>
        <v>-50</v>
      </c>
      <c r="BN90" s="628">
        <f t="shared" si="429"/>
        <v>-50</v>
      </c>
      <c r="BO90" s="628">
        <f t="shared" si="429"/>
        <v>-50</v>
      </c>
      <c r="BP90" s="628">
        <f t="shared" si="429"/>
        <v>-50</v>
      </c>
      <c r="BQ90" s="628">
        <f t="shared" si="429"/>
        <v>-50</v>
      </c>
      <c r="BR90" s="628">
        <f t="shared" si="429"/>
        <v>-50</v>
      </c>
      <c r="BS90" s="628">
        <f t="shared" si="429"/>
        <v>-50</v>
      </c>
      <c r="BT90" s="660">
        <f t="shared" si="429"/>
        <v>-50</v>
      </c>
      <c r="BU90" s="360"/>
      <c r="BV90" s="628">
        <f t="shared" si="385"/>
        <v>-50</v>
      </c>
      <c r="BW90" s="628">
        <f t="shared" ref="BW90:CG90" si="430">+BV90-BW200</f>
        <v>-50</v>
      </c>
      <c r="BX90" s="628">
        <f t="shared" si="430"/>
        <v>-50</v>
      </c>
      <c r="BY90" s="628">
        <f t="shared" si="430"/>
        <v>-50</v>
      </c>
      <c r="BZ90" s="628">
        <f t="shared" si="430"/>
        <v>-50</v>
      </c>
      <c r="CA90" s="628">
        <f t="shared" si="430"/>
        <v>-50</v>
      </c>
      <c r="CB90" s="628">
        <f t="shared" si="430"/>
        <v>-50</v>
      </c>
      <c r="CC90" s="628">
        <f t="shared" si="430"/>
        <v>-50</v>
      </c>
      <c r="CD90" s="628">
        <f t="shared" si="430"/>
        <v>-50</v>
      </c>
      <c r="CE90" s="628">
        <f t="shared" si="430"/>
        <v>-50</v>
      </c>
      <c r="CF90" s="628">
        <f t="shared" si="430"/>
        <v>-50</v>
      </c>
      <c r="CG90" s="660">
        <f t="shared" si="430"/>
        <v>-50</v>
      </c>
      <c r="CH90" s="360"/>
      <c r="CI90" s="628">
        <f t="shared" si="387"/>
        <v>-50</v>
      </c>
      <c r="CJ90" s="628">
        <f t="shared" ref="CJ90:CT90" si="431">+CI90-CJ200</f>
        <v>-50</v>
      </c>
      <c r="CK90" s="628">
        <f t="shared" si="431"/>
        <v>-50</v>
      </c>
      <c r="CL90" s="628">
        <f t="shared" si="431"/>
        <v>-50</v>
      </c>
      <c r="CM90" s="628">
        <f t="shared" si="431"/>
        <v>-50</v>
      </c>
      <c r="CN90" s="628">
        <f t="shared" si="431"/>
        <v>-50</v>
      </c>
      <c r="CO90" s="628">
        <f t="shared" si="431"/>
        <v>-50</v>
      </c>
      <c r="CP90" s="628">
        <f t="shared" si="431"/>
        <v>-50</v>
      </c>
      <c r="CQ90" s="628">
        <f t="shared" si="431"/>
        <v>-50</v>
      </c>
      <c r="CR90" s="628">
        <f t="shared" si="431"/>
        <v>-50</v>
      </c>
      <c r="CS90" s="628">
        <f t="shared" si="431"/>
        <v>-50</v>
      </c>
      <c r="CT90" s="660">
        <f t="shared" si="431"/>
        <v>-50</v>
      </c>
      <c r="CU90" s="360"/>
      <c r="CV90" s="628">
        <f t="shared" si="389"/>
        <v>-50</v>
      </c>
      <c r="CW90" s="628">
        <f t="shared" ref="CW90:DG90" si="432">+CV90-CW200</f>
        <v>-50</v>
      </c>
      <c r="CX90" s="628">
        <f t="shared" si="432"/>
        <v>-50</v>
      </c>
      <c r="CY90" s="628">
        <f t="shared" si="432"/>
        <v>-50</v>
      </c>
      <c r="CZ90" s="628">
        <f t="shared" si="432"/>
        <v>-50</v>
      </c>
      <c r="DA90" s="628">
        <f t="shared" si="432"/>
        <v>-50</v>
      </c>
      <c r="DB90" s="628">
        <f t="shared" si="432"/>
        <v>-50</v>
      </c>
      <c r="DC90" s="628">
        <f t="shared" si="432"/>
        <v>-50</v>
      </c>
      <c r="DD90" s="628">
        <f t="shared" si="432"/>
        <v>-50</v>
      </c>
      <c r="DE90" s="628">
        <f t="shared" si="432"/>
        <v>-50</v>
      </c>
      <c r="DF90" s="628">
        <f t="shared" si="432"/>
        <v>-50</v>
      </c>
      <c r="DG90" s="660">
        <f t="shared" si="432"/>
        <v>-50</v>
      </c>
      <c r="DH90" s="360"/>
      <c r="DI90" s="628">
        <f t="shared" si="391"/>
        <v>-50</v>
      </c>
      <c r="DJ90" s="628">
        <f t="shared" ref="DJ90:DT90" si="433">+DI90-DJ200</f>
        <v>-50</v>
      </c>
      <c r="DK90" s="628">
        <f t="shared" si="433"/>
        <v>-50</v>
      </c>
      <c r="DL90" s="628">
        <f t="shared" si="433"/>
        <v>-50</v>
      </c>
      <c r="DM90" s="628">
        <f t="shared" si="433"/>
        <v>-50</v>
      </c>
      <c r="DN90" s="628">
        <f t="shared" si="433"/>
        <v>-50</v>
      </c>
      <c r="DO90" s="628">
        <f t="shared" si="433"/>
        <v>-50</v>
      </c>
      <c r="DP90" s="628">
        <f t="shared" si="433"/>
        <v>-50</v>
      </c>
      <c r="DQ90" s="628">
        <f t="shared" si="433"/>
        <v>-50</v>
      </c>
      <c r="DR90" s="628">
        <f t="shared" si="433"/>
        <v>-50</v>
      </c>
      <c r="DS90" s="628">
        <f t="shared" si="433"/>
        <v>-50</v>
      </c>
      <c r="DT90" s="660">
        <f t="shared" si="433"/>
        <v>-50</v>
      </c>
      <c r="DU90" s="360"/>
      <c r="DV90" s="628">
        <f t="shared" si="393"/>
        <v>-50</v>
      </c>
      <c r="DW90" s="628">
        <f t="shared" ref="DW90:EG90" si="434">+DV90-DW200</f>
        <v>-50</v>
      </c>
      <c r="DX90" s="628">
        <f t="shared" si="434"/>
        <v>-50</v>
      </c>
      <c r="DY90" s="628">
        <f t="shared" si="434"/>
        <v>-50</v>
      </c>
      <c r="DZ90" s="628">
        <f t="shared" si="434"/>
        <v>-50</v>
      </c>
      <c r="EA90" s="628">
        <f t="shared" si="434"/>
        <v>-50</v>
      </c>
      <c r="EB90" s="628">
        <f t="shared" si="434"/>
        <v>-50</v>
      </c>
      <c r="EC90" s="628">
        <f t="shared" si="434"/>
        <v>-50</v>
      </c>
      <c r="ED90" s="628">
        <f t="shared" si="434"/>
        <v>-50</v>
      </c>
      <c r="EE90" s="628">
        <f t="shared" si="434"/>
        <v>-50</v>
      </c>
      <c r="EF90" s="628">
        <f t="shared" si="434"/>
        <v>-50</v>
      </c>
      <c r="EG90" s="660">
        <f t="shared" si="434"/>
        <v>-50</v>
      </c>
      <c r="EH90" s="360"/>
      <c r="EI90" s="21"/>
      <c r="EJ90" s="21"/>
      <c r="EK90" s="21"/>
      <c r="EL90" s="21"/>
      <c r="EM90" s="21"/>
    </row>
    <row r="91" spans="1:143" ht="14.25" customHeight="1">
      <c r="A91" s="21"/>
      <c r="B91" s="21"/>
      <c r="C91" s="21"/>
      <c r="D91" s="622">
        <f t="shared" si="323"/>
        <v>82</v>
      </c>
      <c r="E91" s="1625"/>
      <c r="F91" s="659" t="str">
        <f>+Assumption!F310</f>
        <v>Leasing 6</v>
      </c>
      <c r="G91" s="296"/>
      <c r="H91" s="369">
        <f>+Assumption!G310</f>
        <v>0</v>
      </c>
      <c r="I91" s="628">
        <f t="shared" ref="I91:T91" si="435">+H91-I201</f>
        <v>0</v>
      </c>
      <c r="J91" s="628">
        <f t="shared" si="435"/>
        <v>0</v>
      </c>
      <c r="K91" s="628">
        <f t="shared" si="435"/>
        <v>0</v>
      </c>
      <c r="L91" s="628">
        <f t="shared" si="435"/>
        <v>0</v>
      </c>
      <c r="M91" s="628">
        <f t="shared" si="435"/>
        <v>0</v>
      </c>
      <c r="N91" s="628">
        <f t="shared" si="435"/>
        <v>0</v>
      </c>
      <c r="O91" s="628">
        <f t="shared" si="435"/>
        <v>0</v>
      </c>
      <c r="P91" s="628">
        <f t="shared" si="435"/>
        <v>0</v>
      </c>
      <c r="Q91" s="628">
        <f t="shared" si="435"/>
        <v>0</v>
      </c>
      <c r="R91" s="628">
        <f t="shared" si="435"/>
        <v>0</v>
      </c>
      <c r="S91" s="628">
        <f t="shared" si="435"/>
        <v>0</v>
      </c>
      <c r="T91" s="660">
        <f t="shared" si="435"/>
        <v>-10</v>
      </c>
      <c r="U91" s="360"/>
      <c r="V91" s="628">
        <f t="shared" si="377"/>
        <v>-10</v>
      </c>
      <c r="W91" s="628">
        <f t="shared" ref="W91:AG91" si="436">+V91-W201</f>
        <v>-10</v>
      </c>
      <c r="X91" s="628">
        <f t="shared" si="436"/>
        <v>-10</v>
      </c>
      <c r="Y91" s="628">
        <f t="shared" si="436"/>
        <v>-10</v>
      </c>
      <c r="Z91" s="628">
        <f t="shared" si="436"/>
        <v>-10</v>
      </c>
      <c r="AA91" s="628">
        <f t="shared" si="436"/>
        <v>-10</v>
      </c>
      <c r="AB91" s="628">
        <f t="shared" si="436"/>
        <v>-10</v>
      </c>
      <c r="AC91" s="628">
        <f t="shared" si="436"/>
        <v>-10</v>
      </c>
      <c r="AD91" s="628">
        <f t="shared" si="436"/>
        <v>-10</v>
      </c>
      <c r="AE91" s="628">
        <f t="shared" si="436"/>
        <v>-10</v>
      </c>
      <c r="AF91" s="628">
        <f t="shared" si="436"/>
        <v>-10</v>
      </c>
      <c r="AG91" s="660">
        <f t="shared" si="436"/>
        <v>-10</v>
      </c>
      <c r="AH91" s="360"/>
      <c r="AI91" s="628">
        <f t="shared" si="379"/>
        <v>-10</v>
      </c>
      <c r="AJ91" s="628">
        <f t="shared" ref="AJ91:AT91" si="437">+AI91-AJ201</f>
        <v>-10</v>
      </c>
      <c r="AK91" s="628">
        <f t="shared" si="437"/>
        <v>-10</v>
      </c>
      <c r="AL91" s="628">
        <f t="shared" si="437"/>
        <v>-10</v>
      </c>
      <c r="AM91" s="628">
        <f t="shared" si="437"/>
        <v>-10</v>
      </c>
      <c r="AN91" s="628">
        <f t="shared" si="437"/>
        <v>-10</v>
      </c>
      <c r="AO91" s="628">
        <f t="shared" si="437"/>
        <v>-10</v>
      </c>
      <c r="AP91" s="628">
        <f t="shared" si="437"/>
        <v>-10</v>
      </c>
      <c r="AQ91" s="628">
        <f t="shared" si="437"/>
        <v>-10</v>
      </c>
      <c r="AR91" s="628">
        <f t="shared" si="437"/>
        <v>-10</v>
      </c>
      <c r="AS91" s="628">
        <f t="shared" si="437"/>
        <v>-10</v>
      </c>
      <c r="AT91" s="660">
        <f t="shared" si="437"/>
        <v>-10</v>
      </c>
      <c r="AU91" s="360"/>
      <c r="AV91" s="628">
        <f t="shared" si="381"/>
        <v>-10</v>
      </c>
      <c r="AW91" s="628">
        <f t="shared" ref="AW91:BG91" si="438">+AV91-AW201</f>
        <v>-10</v>
      </c>
      <c r="AX91" s="628">
        <f t="shared" si="438"/>
        <v>-10</v>
      </c>
      <c r="AY91" s="628">
        <f t="shared" si="438"/>
        <v>-10</v>
      </c>
      <c r="AZ91" s="628">
        <f t="shared" si="438"/>
        <v>-10</v>
      </c>
      <c r="BA91" s="628">
        <f t="shared" si="438"/>
        <v>-10</v>
      </c>
      <c r="BB91" s="628">
        <f t="shared" si="438"/>
        <v>-10</v>
      </c>
      <c r="BC91" s="628">
        <f t="shared" si="438"/>
        <v>-10</v>
      </c>
      <c r="BD91" s="628">
        <f t="shared" si="438"/>
        <v>-10</v>
      </c>
      <c r="BE91" s="628">
        <f t="shared" si="438"/>
        <v>-10</v>
      </c>
      <c r="BF91" s="628">
        <f t="shared" si="438"/>
        <v>-10</v>
      </c>
      <c r="BG91" s="660">
        <f t="shared" si="438"/>
        <v>-10</v>
      </c>
      <c r="BH91" s="360"/>
      <c r="BI91" s="628">
        <f t="shared" si="383"/>
        <v>-10</v>
      </c>
      <c r="BJ91" s="628">
        <f t="shared" ref="BJ91:BT91" si="439">+BI91-BJ201</f>
        <v>-10</v>
      </c>
      <c r="BK91" s="628">
        <f t="shared" si="439"/>
        <v>-10</v>
      </c>
      <c r="BL91" s="628">
        <f t="shared" si="439"/>
        <v>-10</v>
      </c>
      <c r="BM91" s="628">
        <f t="shared" si="439"/>
        <v>-10</v>
      </c>
      <c r="BN91" s="628">
        <f t="shared" si="439"/>
        <v>-10</v>
      </c>
      <c r="BO91" s="628">
        <f t="shared" si="439"/>
        <v>-10</v>
      </c>
      <c r="BP91" s="628">
        <f t="shared" si="439"/>
        <v>-10</v>
      </c>
      <c r="BQ91" s="628">
        <f t="shared" si="439"/>
        <v>-10</v>
      </c>
      <c r="BR91" s="628">
        <f t="shared" si="439"/>
        <v>-10</v>
      </c>
      <c r="BS91" s="628">
        <f t="shared" si="439"/>
        <v>-10</v>
      </c>
      <c r="BT91" s="660">
        <f t="shared" si="439"/>
        <v>-10</v>
      </c>
      <c r="BU91" s="360"/>
      <c r="BV91" s="628">
        <f t="shared" si="385"/>
        <v>-10</v>
      </c>
      <c r="BW91" s="628">
        <f t="shared" ref="BW91:CG91" si="440">+BV91-BW201</f>
        <v>-10</v>
      </c>
      <c r="BX91" s="628">
        <f t="shared" si="440"/>
        <v>-10</v>
      </c>
      <c r="BY91" s="628">
        <f t="shared" si="440"/>
        <v>-10</v>
      </c>
      <c r="BZ91" s="628">
        <f t="shared" si="440"/>
        <v>-10</v>
      </c>
      <c r="CA91" s="628">
        <f t="shared" si="440"/>
        <v>-10</v>
      </c>
      <c r="CB91" s="628">
        <f t="shared" si="440"/>
        <v>-10</v>
      </c>
      <c r="CC91" s="628">
        <f t="shared" si="440"/>
        <v>-10</v>
      </c>
      <c r="CD91" s="628">
        <f t="shared" si="440"/>
        <v>-10</v>
      </c>
      <c r="CE91" s="628">
        <f t="shared" si="440"/>
        <v>-10</v>
      </c>
      <c r="CF91" s="628">
        <f t="shared" si="440"/>
        <v>-10</v>
      </c>
      <c r="CG91" s="660">
        <f t="shared" si="440"/>
        <v>-10</v>
      </c>
      <c r="CH91" s="360"/>
      <c r="CI91" s="628">
        <f t="shared" si="387"/>
        <v>-10</v>
      </c>
      <c r="CJ91" s="628">
        <f t="shared" ref="CJ91:CT91" si="441">+CI91-CJ201</f>
        <v>-10</v>
      </c>
      <c r="CK91" s="628">
        <f t="shared" si="441"/>
        <v>-10</v>
      </c>
      <c r="CL91" s="628">
        <f t="shared" si="441"/>
        <v>-10</v>
      </c>
      <c r="CM91" s="628">
        <f t="shared" si="441"/>
        <v>-10</v>
      </c>
      <c r="CN91" s="628">
        <f t="shared" si="441"/>
        <v>-10</v>
      </c>
      <c r="CO91" s="628">
        <f t="shared" si="441"/>
        <v>-10</v>
      </c>
      <c r="CP91" s="628">
        <f t="shared" si="441"/>
        <v>-10</v>
      </c>
      <c r="CQ91" s="628">
        <f t="shared" si="441"/>
        <v>-10</v>
      </c>
      <c r="CR91" s="628">
        <f t="shared" si="441"/>
        <v>-10</v>
      </c>
      <c r="CS91" s="628">
        <f t="shared" si="441"/>
        <v>-10</v>
      </c>
      <c r="CT91" s="660">
        <f t="shared" si="441"/>
        <v>-10</v>
      </c>
      <c r="CU91" s="360"/>
      <c r="CV91" s="628">
        <f t="shared" si="389"/>
        <v>-10</v>
      </c>
      <c r="CW91" s="628">
        <f t="shared" ref="CW91:DG91" si="442">+CV91-CW201</f>
        <v>-10</v>
      </c>
      <c r="CX91" s="628">
        <f t="shared" si="442"/>
        <v>-10</v>
      </c>
      <c r="CY91" s="628">
        <f t="shared" si="442"/>
        <v>-10</v>
      </c>
      <c r="CZ91" s="628">
        <f t="shared" si="442"/>
        <v>-10</v>
      </c>
      <c r="DA91" s="628">
        <f t="shared" si="442"/>
        <v>-10</v>
      </c>
      <c r="DB91" s="628">
        <f t="shared" si="442"/>
        <v>-10</v>
      </c>
      <c r="DC91" s="628">
        <f t="shared" si="442"/>
        <v>-10</v>
      </c>
      <c r="DD91" s="628">
        <f t="shared" si="442"/>
        <v>-10</v>
      </c>
      <c r="DE91" s="628">
        <f t="shared" si="442"/>
        <v>-10</v>
      </c>
      <c r="DF91" s="628">
        <f t="shared" si="442"/>
        <v>-10</v>
      </c>
      <c r="DG91" s="660">
        <f t="shared" si="442"/>
        <v>-10</v>
      </c>
      <c r="DH91" s="360"/>
      <c r="DI91" s="628">
        <f t="shared" si="391"/>
        <v>-10</v>
      </c>
      <c r="DJ91" s="628">
        <f t="shared" ref="DJ91:DT91" si="443">+DI91-DJ201</f>
        <v>-10</v>
      </c>
      <c r="DK91" s="628">
        <f t="shared" si="443"/>
        <v>-10</v>
      </c>
      <c r="DL91" s="628">
        <f t="shared" si="443"/>
        <v>-10</v>
      </c>
      <c r="DM91" s="628">
        <f t="shared" si="443"/>
        <v>-10</v>
      </c>
      <c r="DN91" s="628">
        <f t="shared" si="443"/>
        <v>-10</v>
      </c>
      <c r="DO91" s="628">
        <f t="shared" si="443"/>
        <v>-10</v>
      </c>
      <c r="DP91" s="628">
        <f t="shared" si="443"/>
        <v>-10</v>
      </c>
      <c r="DQ91" s="628">
        <f t="shared" si="443"/>
        <v>-10</v>
      </c>
      <c r="DR91" s="628">
        <f t="shared" si="443"/>
        <v>-10</v>
      </c>
      <c r="DS91" s="628">
        <f t="shared" si="443"/>
        <v>-10</v>
      </c>
      <c r="DT91" s="660">
        <f t="shared" si="443"/>
        <v>-10</v>
      </c>
      <c r="DU91" s="360"/>
      <c r="DV91" s="628">
        <f t="shared" si="393"/>
        <v>-10</v>
      </c>
      <c r="DW91" s="628">
        <f t="shared" ref="DW91:EG91" si="444">+DV91-DW201</f>
        <v>-10</v>
      </c>
      <c r="DX91" s="628">
        <f t="shared" si="444"/>
        <v>-10</v>
      </c>
      <c r="DY91" s="628">
        <f t="shared" si="444"/>
        <v>-10</v>
      </c>
      <c r="DZ91" s="628">
        <f t="shared" si="444"/>
        <v>-10</v>
      </c>
      <c r="EA91" s="628">
        <f t="shared" si="444"/>
        <v>-10</v>
      </c>
      <c r="EB91" s="628">
        <f t="shared" si="444"/>
        <v>-10</v>
      </c>
      <c r="EC91" s="628">
        <f t="shared" si="444"/>
        <v>-10</v>
      </c>
      <c r="ED91" s="628">
        <f t="shared" si="444"/>
        <v>-10</v>
      </c>
      <c r="EE91" s="628">
        <f t="shared" si="444"/>
        <v>-10</v>
      </c>
      <c r="EF91" s="628">
        <f t="shared" si="444"/>
        <v>-10</v>
      </c>
      <c r="EG91" s="660">
        <f t="shared" si="444"/>
        <v>-10</v>
      </c>
      <c r="EH91" s="360"/>
      <c r="EI91" s="21"/>
      <c r="EJ91" s="21"/>
      <c r="EK91" s="21"/>
      <c r="EL91" s="21"/>
      <c r="EM91" s="21"/>
    </row>
    <row r="92" spans="1:143" ht="14.25" customHeight="1">
      <c r="A92" s="21"/>
      <c r="B92" s="21"/>
      <c r="C92" s="21"/>
      <c r="D92" s="622">
        <f t="shared" si="323"/>
        <v>83</v>
      </c>
      <c r="E92" s="1625"/>
      <c r="F92" s="659" t="str">
        <f>+Assumption!F311</f>
        <v>Leasing 7</v>
      </c>
      <c r="G92" s="296"/>
      <c r="H92" s="369">
        <f>+Assumption!G311</f>
        <v>0</v>
      </c>
      <c r="I92" s="628">
        <f t="shared" ref="I92:T92" si="445">+H92-I202</f>
        <v>0</v>
      </c>
      <c r="J92" s="628">
        <f t="shared" si="445"/>
        <v>0</v>
      </c>
      <c r="K92" s="628">
        <f t="shared" si="445"/>
        <v>0</v>
      </c>
      <c r="L92" s="628">
        <f t="shared" si="445"/>
        <v>0</v>
      </c>
      <c r="M92" s="628">
        <f t="shared" si="445"/>
        <v>0</v>
      </c>
      <c r="N92" s="628">
        <f t="shared" si="445"/>
        <v>0</v>
      </c>
      <c r="O92" s="628">
        <f t="shared" si="445"/>
        <v>0</v>
      </c>
      <c r="P92" s="628">
        <f t="shared" si="445"/>
        <v>0</v>
      </c>
      <c r="Q92" s="628">
        <f t="shared" si="445"/>
        <v>0</v>
      </c>
      <c r="R92" s="628">
        <f t="shared" si="445"/>
        <v>0</v>
      </c>
      <c r="S92" s="628">
        <f t="shared" si="445"/>
        <v>0</v>
      </c>
      <c r="T92" s="660">
        <f t="shared" si="445"/>
        <v>-20</v>
      </c>
      <c r="U92" s="360"/>
      <c r="V92" s="628">
        <f t="shared" si="377"/>
        <v>-20</v>
      </c>
      <c r="W92" s="628">
        <f t="shared" ref="W92:AG92" si="446">+V92-W202</f>
        <v>-20</v>
      </c>
      <c r="X92" s="628">
        <f t="shared" si="446"/>
        <v>-20</v>
      </c>
      <c r="Y92" s="628">
        <f t="shared" si="446"/>
        <v>-20</v>
      </c>
      <c r="Z92" s="628">
        <f t="shared" si="446"/>
        <v>-20</v>
      </c>
      <c r="AA92" s="628">
        <f t="shared" si="446"/>
        <v>-20</v>
      </c>
      <c r="AB92" s="628">
        <f t="shared" si="446"/>
        <v>-20</v>
      </c>
      <c r="AC92" s="628">
        <f t="shared" si="446"/>
        <v>-20</v>
      </c>
      <c r="AD92" s="628">
        <f t="shared" si="446"/>
        <v>-20</v>
      </c>
      <c r="AE92" s="628">
        <f t="shared" si="446"/>
        <v>-20</v>
      </c>
      <c r="AF92" s="628">
        <f t="shared" si="446"/>
        <v>-20</v>
      </c>
      <c r="AG92" s="660">
        <f t="shared" si="446"/>
        <v>-20</v>
      </c>
      <c r="AH92" s="360"/>
      <c r="AI92" s="628">
        <f t="shared" si="379"/>
        <v>-20</v>
      </c>
      <c r="AJ92" s="628">
        <f t="shared" ref="AJ92:AT92" si="447">+AI92-AJ202</f>
        <v>-20</v>
      </c>
      <c r="AK92" s="628">
        <f t="shared" si="447"/>
        <v>-20</v>
      </c>
      <c r="AL92" s="628">
        <f t="shared" si="447"/>
        <v>-20</v>
      </c>
      <c r="AM92" s="628">
        <f t="shared" si="447"/>
        <v>-20</v>
      </c>
      <c r="AN92" s="628">
        <f t="shared" si="447"/>
        <v>-20</v>
      </c>
      <c r="AO92" s="628">
        <f t="shared" si="447"/>
        <v>-20</v>
      </c>
      <c r="AP92" s="628">
        <f t="shared" si="447"/>
        <v>-20</v>
      </c>
      <c r="AQ92" s="628">
        <f t="shared" si="447"/>
        <v>-20</v>
      </c>
      <c r="AR92" s="628">
        <f t="shared" si="447"/>
        <v>-20</v>
      </c>
      <c r="AS92" s="628">
        <f t="shared" si="447"/>
        <v>-20</v>
      </c>
      <c r="AT92" s="660">
        <f t="shared" si="447"/>
        <v>-20</v>
      </c>
      <c r="AU92" s="360"/>
      <c r="AV92" s="628">
        <f t="shared" si="381"/>
        <v>-20</v>
      </c>
      <c r="AW92" s="628">
        <f t="shared" ref="AW92:BG92" si="448">+AV92-AW202</f>
        <v>-20</v>
      </c>
      <c r="AX92" s="628">
        <f t="shared" si="448"/>
        <v>-20</v>
      </c>
      <c r="AY92" s="628">
        <f t="shared" si="448"/>
        <v>-20</v>
      </c>
      <c r="AZ92" s="628">
        <f t="shared" si="448"/>
        <v>-20</v>
      </c>
      <c r="BA92" s="628">
        <f t="shared" si="448"/>
        <v>-20</v>
      </c>
      <c r="BB92" s="628">
        <f t="shared" si="448"/>
        <v>-20</v>
      </c>
      <c r="BC92" s="628">
        <f t="shared" si="448"/>
        <v>-20</v>
      </c>
      <c r="BD92" s="628">
        <f t="shared" si="448"/>
        <v>-20</v>
      </c>
      <c r="BE92" s="628">
        <f t="shared" si="448"/>
        <v>-20</v>
      </c>
      <c r="BF92" s="628">
        <f t="shared" si="448"/>
        <v>-20</v>
      </c>
      <c r="BG92" s="660">
        <f t="shared" si="448"/>
        <v>-20</v>
      </c>
      <c r="BH92" s="360"/>
      <c r="BI92" s="628">
        <f t="shared" si="383"/>
        <v>-20</v>
      </c>
      <c r="BJ92" s="628">
        <f t="shared" ref="BJ92:BT92" si="449">+BI92-BJ202</f>
        <v>-20</v>
      </c>
      <c r="BK92" s="628">
        <f t="shared" si="449"/>
        <v>-20</v>
      </c>
      <c r="BL92" s="628">
        <f t="shared" si="449"/>
        <v>-20</v>
      </c>
      <c r="BM92" s="628">
        <f t="shared" si="449"/>
        <v>-20</v>
      </c>
      <c r="BN92" s="628">
        <f t="shared" si="449"/>
        <v>-20</v>
      </c>
      <c r="BO92" s="628">
        <f t="shared" si="449"/>
        <v>-20</v>
      </c>
      <c r="BP92" s="628">
        <f t="shared" si="449"/>
        <v>-20</v>
      </c>
      <c r="BQ92" s="628">
        <f t="shared" si="449"/>
        <v>-20</v>
      </c>
      <c r="BR92" s="628">
        <f t="shared" si="449"/>
        <v>-20</v>
      </c>
      <c r="BS92" s="628">
        <f t="shared" si="449"/>
        <v>-20</v>
      </c>
      <c r="BT92" s="660">
        <f t="shared" si="449"/>
        <v>-20</v>
      </c>
      <c r="BU92" s="360"/>
      <c r="BV92" s="628">
        <f t="shared" si="385"/>
        <v>-20</v>
      </c>
      <c r="BW92" s="628">
        <f t="shared" ref="BW92:CG92" si="450">+BV92-BW202</f>
        <v>-20</v>
      </c>
      <c r="BX92" s="628">
        <f t="shared" si="450"/>
        <v>-20</v>
      </c>
      <c r="BY92" s="628">
        <f t="shared" si="450"/>
        <v>-20</v>
      </c>
      <c r="BZ92" s="628">
        <f t="shared" si="450"/>
        <v>-20</v>
      </c>
      <c r="CA92" s="628">
        <f t="shared" si="450"/>
        <v>-20</v>
      </c>
      <c r="CB92" s="628">
        <f t="shared" si="450"/>
        <v>-20</v>
      </c>
      <c r="CC92" s="628">
        <f t="shared" si="450"/>
        <v>-20</v>
      </c>
      <c r="CD92" s="628">
        <f t="shared" si="450"/>
        <v>-20</v>
      </c>
      <c r="CE92" s="628">
        <f t="shared" si="450"/>
        <v>-20</v>
      </c>
      <c r="CF92" s="628">
        <f t="shared" si="450"/>
        <v>-20</v>
      </c>
      <c r="CG92" s="660">
        <f t="shared" si="450"/>
        <v>-20</v>
      </c>
      <c r="CH92" s="360"/>
      <c r="CI92" s="628">
        <f t="shared" si="387"/>
        <v>-20</v>
      </c>
      <c r="CJ92" s="628">
        <f t="shared" ref="CJ92:CT92" si="451">+CI92-CJ202</f>
        <v>-20</v>
      </c>
      <c r="CK92" s="628">
        <f t="shared" si="451"/>
        <v>-20</v>
      </c>
      <c r="CL92" s="628">
        <f t="shared" si="451"/>
        <v>-20</v>
      </c>
      <c r="CM92" s="628">
        <f t="shared" si="451"/>
        <v>-20</v>
      </c>
      <c r="CN92" s="628">
        <f t="shared" si="451"/>
        <v>-20</v>
      </c>
      <c r="CO92" s="628">
        <f t="shared" si="451"/>
        <v>-20</v>
      </c>
      <c r="CP92" s="628">
        <f t="shared" si="451"/>
        <v>-20</v>
      </c>
      <c r="CQ92" s="628">
        <f t="shared" si="451"/>
        <v>-20</v>
      </c>
      <c r="CR92" s="628">
        <f t="shared" si="451"/>
        <v>-20</v>
      </c>
      <c r="CS92" s="628">
        <f t="shared" si="451"/>
        <v>-20</v>
      </c>
      <c r="CT92" s="660">
        <f t="shared" si="451"/>
        <v>-20</v>
      </c>
      <c r="CU92" s="360"/>
      <c r="CV92" s="628">
        <f t="shared" si="389"/>
        <v>-20</v>
      </c>
      <c r="CW92" s="628">
        <f t="shared" ref="CW92:DG92" si="452">+CV92-CW202</f>
        <v>-20</v>
      </c>
      <c r="CX92" s="628">
        <f t="shared" si="452"/>
        <v>-20</v>
      </c>
      <c r="CY92" s="628">
        <f t="shared" si="452"/>
        <v>-20</v>
      </c>
      <c r="CZ92" s="628">
        <f t="shared" si="452"/>
        <v>-20</v>
      </c>
      <c r="DA92" s="628">
        <f t="shared" si="452"/>
        <v>-20</v>
      </c>
      <c r="DB92" s="628">
        <f t="shared" si="452"/>
        <v>-20</v>
      </c>
      <c r="DC92" s="628">
        <f t="shared" si="452"/>
        <v>-20</v>
      </c>
      <c r="DD92" s="628">
        <f t="shared" si="452"/>
        <v>-20</v>
      </c>
      <c r="DE92" s="628">
        <f t="shared" si="452"/>
        <v>-20</v>
      </c>
      <c r="DF92" s="628">
        <f t="shared" si="452"/>
        <v>-20</v>
      </c>
      <c r="DG92" s="660">
        <f t="shared" si="452"/>
        <v>-20</v>
      </c>
      <c r="DH92" s="360"/>
      <c r="DI92" s="628">
        <f t="shared" si="391"/>
        <v>-20</v>
      </c>
      <c r="DJ92" s="628">
        <f t="shared" ref="DJ92:DT92" si="453">+DI92-DJ202</f>
        <v>-20</v>
      </c>
      <c r="DK92" s="628">
        <f t="shared" si="453"/>
        <v>-20</v>
      </c>
      <c r="DL92" s="628">
        <f t="shared" si="453"/>
        <v>-20</v>
      </c>
      <c r="DM92" s="628">
        <f t="shared" si="453"/>
        <v>-20</v>
      </c>
      <c r="DN92" s="628">
        <f t="shared" si="453"/>
        <v>-20</v>
      </c>
      <c r="DO92" s="628">
        <f t="shared" si="453"/>
        <v>-20</v>
      </c>
      <c r="DP92" s="628">
        <f t="shared" si="453"/>
        <v>-20</v>
      </c>
      <c r="DQ92" s="628">
        <f t="shared" si="453"/>
        <v>-20</v>
      </c>
      <c r="DR92" s="628">
        <f t="shared" si="453"/>
        <v>-20</v>
      </c>
      <c r="DS92" s="628">
        <f t="shared" si="453"/>
        <v>-20</v>
      </c>
      <c r="DT92" s="660">
        <f t="shared" si="453"/>
        <v>-20</v>
      </c>
      <c r="DU92" s="360"/>
      <c r="DV92" s="628">
        <f t="shared" si="393"/>
        <v>-20</v>
      </c>
      <c r="DW92" s="628">
        <f t="shared" ref="DW92:EG92" si="454">+DV92-DW202</f>
        <v>-20</v>
      </c>
      <c r="DX92" s="628">
        <f t="shared" si="454"/>
        <v>-20</v>
      </c>
      <c r="DY92" s="628">
        <f t="shared" si="454"/>
        <v>-20</v>
      </c>
      <c r="DZ92" s="628">
        <f t="shared" si="454"/>
        <v>-20</v>
      </c>
      <c r="EA92" s="628">
        <f t="shared" si="454"/>
        <v>-20</v>
      </c>
      <c r="EB92" s="628">
        <f t="shared" si="454"/>
        <v>-20</v>
      </c>
      <c r="EC92" s="628">
        <f t="shared" si="454"/>
        <v>-20</v>
      </c>
      <c r="ED92" s="628">
        <f t="shared" si="454"/>
        <v>-20</v>
      </c>
      <c r="EE92" s="628">
        <f t="shared" si="454"/>
        <v>-20</v>
      </c>
      <c r="EF92" s="628">
        <f t="shared" si="454"/>
        <v>-20</v>
      </c>
      <c r="EG92" s="660">
        <f t="shared" si="454"/>
        <v>-20</v>
      </c>
      <c r="EH92" s="360"/>
      <c r="EI92" s="21"/>
      <c r="EJ92" s="21"/>
      <c r="EK92" s="21"/>
      <c r="EL92" s="21"/>
      <c r="EM92" s="21"/>
    </row>
    <row r="93" spans="1:143" ht="15" customHeight="1">
      <c r="A93" s="21"/>
      <c r="B93" s="21"/>
      <c r="C93" s="21"/>
      <c r="D93" s="622">
        <f t="shared" si="323"/>
        <v>84</v>
      </c>
      <c r="E93" s="1625"/>
      <c r="F93" s="659" t="str">
        <f>+Assumption!F312</f>
        <v>Leasing 8</v>
      </c>
      <c r="G93" s="296"/>
      <c r="H93" s="369">
        <f>+Assumption!G312</f>
        <v>0</v>
      </c>
      <c r="I93" s="628">
        <f t="shared" ref="I93:T93" si="455">+H93-I203</f>
        <v>0</v>
      </c>
      <c r="J93" s="628">
        <f t="shared" si="455"/>
        <v>0</v>
      </c>
      <c r="K93" s="628">
        <f t="shared" si="455"/>
        <v>0</v>
      </c>
      <c r="L93" s="628">
        <f t="shared" si="455"/>
        <v>0</v>
      </c>
      <c r="M93" s="628">
        <f t="shared" si="455"/>
        <v>0</v>
      </c>
      <c r="N93" s="628">
        <f t="shared" si="455"/>
        <v>0</v>
      </c>
      <c r="O93" s="628">
        <f t="shared" si="455"/>
        <v>0</v>
      </c>
      <c r="P93" s="628">
        <f t="shared" si="455"/>
        <v>0</v>
      </c>
      <c r="Q93" s="628">
        <f t="shared" si="455"/>
        <v>0</v>
      </c>
      <c r="R93" s="628">
        <f t="shared" si="455"/>
        <v>0</v>
      </c>
      <c r="S93" s="628">
        <f t="shared" si="455"/>
        <v>0</v>
      </c>
      <c r="T93" s="660">
        <f t="shared" si="455"/>
        <v>-30</v>
      </c>
      <c r="U93" s="370" t="s">
        <v>613</v>
      </c>
      <c r="V93" s="628">
        <f t="shared" si="377"/>
        <v>-30</v>
      </c>
      <c r="W93" s="628">
        <f t="shared" ref="W93:AG93" si="456">+V93-W203</f>
        <v>-30</v>
      </c>
      <c r="X93" s="628">
        <f t="shared" si="456"/>
        <v>-30</v>
      </c>
      <c r="Y93" s="628">
        <f t="shared" si="456"/>
        <v>-30</v>
      </c>
      <c r="Z93" s="628">
        <f t="shared" si="456"/>
        <v>-30</v>
      </c>
      <c r="AA93" s="628">
        <f t="shared" si="456"/>
        <v>-30</v>
      </c>
      <c r="AB93" s="628">
        <f t="shared" si="456"/>
        <v>-30</v>
      </c>
      <c r="AC93" s="628">
        <f t="shared" si="456"/>
        <v>-30</v>
      </c>
      <c r="AD93" s="628">
        <f t="shared" si="456"/>
        <v>-30</v>
      </c>
      <c r="AE93" s="628">
        <f t="shared" si="456"/>
        <v>-30</v>
      </c>
      <c r="AF93" s="628">
        <f t="shared" si="456"/>
        <v>-30</v>
      </c>
      <c r="AG93" s="660">
        <f t="shared" si="456"/>
        <v>-30</v>
      </c>
      <c r="AH93" s="370" t="s">
        <v>613</v>
      </c>
      <c r="AI93" s="628">
        <f t="shared" si="379"/>
        <v>-30</v>
      </c>
      <c r="AJ93" s="628">
        <f t="shared" ref="AJ93:AT93" si="457">+AI93-AJ203</f>
        <v>-30</v>
      </c>
      <c r="AK93" s="628">
        <f t="shared" si="457"/>
        <v>-30</v>
      </c>
      <c r="AL93" s="628">
        <f t="shared" si="457"/>
        <v>-30</v>
      </c>
      <c r="AM93" s="628">
        <f t="shared" si="457"/>
        <v>-30</v>
      </c>
      <c r="AN93" s="628">
        <f t="shared" si="457"/>
        <v>-30</v>
      </c>
      <c r="AO93" s="628">
        <f t="shared" si="457"/>
        <v>-30</v>
      </c>
      <c r="AP93" s="628">
        <f t="shared" si="457"/>
        <v>-30</v>
      </c>
      <c r="AQ93" s="628">
        <f t="shared" si="457"/>
        <v>-30</v>
      </c>
      <c r="AR93" s="628">
        <f t="shared" si="457"/>
        <v>-30</v>
      </c>
      <c r="AS93" s="628">
        <f t="shared" si="457"/>
        <v>-30</v>
      </c>
      <c r="AT93" s="660">
        <f t="shared" si="457"/>
        <v>-30</v>
      </c>
      <c r="AU93" s="370" t="s">
        <v>613</v>
      </c>
      <c r="AV93" s="628">
        <f t="shared" si="381"/>
        <v>-30</v>
      </c>
      <c r="AW93" s="628">
        <f t="shared" ref="AW93:BG93" si="458">+AV93-AW203</f>
        <v>-30</v>
      </c>
      <c r="AX93" s="628">
        <f t="shared" si="458"/>
        <v>-30</v>
      </c>
      <c r="AY93" s="628">
        <f t="shared" si="458"/>
        <v>-30</v>
      </c>
      <c r="AZ93" s="628">
        <f t="shared" si="458"/>
        <v>-30</v>
      </c>
      <c r="BA93" s="628">
        <f t="shared" si="458"/>
        <v>-30</v>
      </c>
      <c r="BB93" s="628">
        <f t="shared" si="458"/>
        <v>-30</v>
      </c>
      <c r="BC93" s="628">
        <f t="shared" si="458"/>
        <v>-30</v>
      </c>
      <c r="BD93" s="628">
        <f t="shared" si="458"/>
        <v>-30</v>
      </c>
      <c r="BE93" s="628">
        <f t="shared" si="458"/>
        <v>-30</v>
      </c>
      <c r="BF93" s="628">
        <f t="shared" si="458"/>
        <v>-30</v>
      </c>
      <c r="BG93" s="660">
        <f t="shared" si="458"/>
        <v>-30</v>
      </c>
      <c r="BH93" s="370" t="s">
        <v>613</v>
      </c>
      <c r="BI93" s="628">
        <f t="shared" si="383"/>
        <v>-30</v>
      </c>
      <c r="BJ93" s="628">
        <f t="shared" ref="BJ93:BT93" si="459">+BI93-BJ203</f>
        <v>-30</v>
      </c>
      <c r="BK93" s="628">
        <f t="shared" si="459"/>
        <v>-30</v>
      </c>
      <c r="BL93" s="628">
        <f t="shared" si="459"/>
        <v>-30</v>
      </c>
      <c r="BM93" s="628">
        <f t="shared" si="459"/>
        <v>-30</v>
      </c>
      <c r="BN93" s="628">
        <f t="shared" si="459"/>
        <v>-30</v>
      </c>
      <c r="BO93" s="628">
        <f t="shared" si="459"/>
        <v>-30</v>
      </c>
      <c r="BP93" s="628">
        <f t="shared" si="459"/>
        <v>-30</v>
      </c>
      <c r="BQ93" s="628">
        <f t="shared" si="459"/>
        <v>-30</v>
      </c>
      <c r="BR93" s="628">
        <f t="shared" si="459"/>
        <v>-30</v>
      </c>
      <c r="BS93" s="628">
        <f t="shared" si="459"/>
        <v>-30</v>
      </c>
      <c r="BT93" s="660">
        <f t="shared" si="459"/>
        <v>-30</v>
      </c>
      <c r="BU93" s="370" t="s">
        <v>613</v>
      </c>
      <c r="BV93" s="628">
        <f t="shared" si="385"/>
        <v>-30</v>
      </c>
      <c r="BW93" s="628">
        <f t="shared" ref="BW93:CG93" si="460">+BV93-BW203</f>
        <v>-30</v>
      </c>
      <c r="BX93" s="628">
        <f t="shared" si="460"/>
        <v>-30</v>
      </c>
      <c r="BY93" s="628">
        <f t="shared" si="460"/>
        <v>-30</v>
      </c>
      <c r="BZ93" s="628">
        <f t="shared" si="460"/>
        <v>-30</v>
      </c>
      <c r="CA93" s="628">
        <f t="shared" si="460"/>
        <v>-30</v>
      </c>
      <c r="CB93" s="628">
        <f t="shared" si="460"/>
        <v>-30</v>
      </c>
      <c r="CC93" s="628">
        <f t="shared" si="460"/>
        <v>-30</v>
      </c>
      <c r="CD93" s="628">
        <f t="shared" si="460"/>
        <v>-30</v>
      </c>
      <c r="CE93" s="628">
        <f t="shared" si="460"/>
        <v>-30</v>
      </c>
      <c r="CF93" s="628">
        <f t="shared" si="460"/>
        <v>-30</v>
      </c>
      <c r="CG93" s="660">
        <f t="shared" si="460"/>
        <v>-30</v>
      </c>
      <c r="CH93" s="371" t="s">
        <v>613</v>
      </c>
      <c r="CI93" s="628">
        <f t="shared" si="387"/>
        <v>-30</v>
      </c>
      <c r="CJ93" s="628">
        <f t="shared" ref="CJ93:CT93" si="461">+CI93-CJ203</f>
        <v>-30</v>
      </c>
      <c r="CK93" s="628">
        <f t="shared" si="461"/>
        <v>-30</v>
      </c>
      <c r="CL93" s="628">
        <f t="shared" si="461"/>
        <v>-30</v>
      </c>
      <c r="CM93" s="628">
        <f t="shared" si="461"/>
        <v>-30</v>
      </c>
      <c r="CN93" s="628">
        <f t="shared" si="461"/>
        <v>-30</v>
      </c>
      <c r="CO93" s="628">
        <f t="shared" si="461"/>
        <v>-30</v>
      </c>
      <c r="CP93" s="628">
        <f t="shared" si="461"/>
        <v>-30</v>
      </c>
      <c r="CQ93" s="628">
        <f t="shared" si="461"/>
        <v>-30</v>
      </c>
      <c r="CR93" s="628">
        <f t="shared" si="461"/>
        <v>-30</v>
      </c>
      <c r="CS93" s="628">
        <f t="shared" si="461"/>
        <v>-30</v>
      </c>
      <c r="CT93" s="660">
        <f t="shared" si="461"/>
        <v>-30</v>
      </c>
      <c r="CU93" s="371" t="s">
        <v>613</v>
      </c>
      <c r="CV93" s="628">
        <f t="shared" si="389"/>
        <v>-30</v>
      </c>
      <c r="CW93" s="628">
        <f t="shared" ref="CW93:DG93" si="462">+CV93-CW203</f>
        <v>-30</v>
      </c>
      <c r="CX93" s="628">
        <f t="shared" si="462"/>
        <v>-30</v>
      </c>
      <c r="CY93" s="628">
        <f t="shared" si="462"/>
        <v>-30</v>
      </c>
      <c r="CZ93" s="628">
        <f t="shared" si="462"/>
        <v>-30</v>
      </c>
      <c r="DA93" s="628">
        <f t="shared" si="462"/>
        <v>-30</v>
      </c>
      <c r="DB93" s="628">
        <f t="shared" si="462"/>
        <v>-30</v>
      </c>
      <c r="DC93" s="628">
        <f t="shared" si="462"/>
        <v>-30</v>
      </c>
      <c r="DD93" s="628">
        <f t="shared" si="462"/>
        <v>-30</v>
      </c>
      <c r="DE93" s="628">
        <f t="shared" si="462"/>
        <v>-30</v>
      </c>
      <c r="DF93" s="628">
        <f t="shared" si="462"/>
        <v>-30</v>
      </c>
      <c r="DG93" s="660">
        <f t="shared" si="462"/>
        <v>-30</v>
      </c>
      <c r="DH93" s="371" t="s">
        <v>613</v>
      </c>
      <c r="DI93" s="628">
        <f t="shared" si="391"/>
        <v>-30</v>
      </c>
      <c r="DJ93" s="628">
        <f t="shared" ref="DJ93:DT93" si="463">+DI93-DJ203</f>
        <v>-30</v>
      </c>
      <c r="DK93" s="628">
        <f t="shared" si="463"/>
        <v>-30</v>
      </c>
      <c r="DL93" s="628">
        <f t="shared" si="463"/>
        <v>-30</v>
      </c>
      <c r="DM93" s="628">
        <f t="shared" si="463"/>
        <v>-30</v>
      </c>
      <c r="DN93" s="628">
        <f t="shared" si="463"/>
        <v>-30</v>
      </c>
      <c r="DO93" s="628">
        <f t="shared" si="463"/>
        <v>-30</v>
      </c>
      <c r="DP93" s="628">
        <f t="shared" si="463"/>
        <v>-30</v>
      </c>
      <c r="DQ93" s="628">
        <f t="shared" si="463"/>
        <v>-30</v>
      </c>
      <c r="DR93" s="628">
        <f t="shared" si="463"/>
        <v>-30</v>
      </c>
      <c r="DS93" s="628">
        <f t="shared" si="463"/>
        <v>-30</v>
      </c>
      <c r="DT93" s="660">
        <f t="shared" si="463"/>
        <v>-30</v>
      </c>
      <c r="DU93" s="371" t="s">
        <v>613</v>
      </c>
      <c r="DV93" s="628">
        <f t="shared" si="393"/>
        <v>-30</v>
      </c>
      <c r="DW93" s="628">
        <f t="shared" ref="DW93:EG93" si="464">+DV93-DW203</f>
        <v>-30</v>
      </c>
      <c r="DX93" s="628">
        <f t="shared" si="464"/>
        <v>-30</v>
      </c>
      <c r="DY93" s="628">
        <f t="shared" si="464"/>
        <v>-30</v>
      </c>
      <c r="DZ93" s="628">
        <f t="shared" si="464"/>
        <v>-30</v>
      </c>
      <c r="EA93" s="628">
        <f t="shared" si="464"/>
        <v>-30</v>
      </c>
      <c r="EB93" s="628">
        <f t="shared" si="464"/>
        <v>-30</v>
      </c>
      <c r="EC93" s="628">
        <f t="shared" si="464"/>
        <v>-30</v>
      </c>
      <c r="ED93" s="628">
        <f t="shared" si="464"/>
        <v>-30</v>
      </c>
      <c r="EE93" s="628">
        <f t="shared" si="464"/>
        <v>-30</v>
      </c>
      <c r="EF93" s="628">
        <f t="shared" si="464"/>
        <v>-30</v>
      </c>
      <c r="EG93" s="660">
        <f t="shared" si="464"/>
        <v>-30</v>
      </c>
      <c r="EH93" s="371" t="s">
        <v>613</v>
      </c>
      <c r="EI93" s="370"/>
      <c r="EJ93" s="21"/>
      <c r="EK93" s="21"/>
      <c r="EL93" s="21"/>
      <c r="EM93" s="21"/>
    </row>
    <row r="94" spans="1:143" ht="14.25" customHeight="1">
      <c r="A94" s="21"/>
      <c r="B94" s="21"/>
      <c r="C94" s="21"/>
      <c r="D94" s="622">
        <f t="shared" si="323"/>
        <v>85</v>
      </c>
      <c r="E94" s="1625"/>
      <c r="F94" s="659" t="str">
        <f>+Assumption!F313</f>
        <v>Leasing 9</v>
      </c>
      <c r="G94" s="296"/>
      <c r="H94" s="369">
        <f>+Assumption!G313</f>
        <v>0</v>
      </c>
      <c r="I94" s="628">
        <f t="shared" ref="I94:T94" si="465">+H94-I204</f>
        <v>0</v>
      </c>
      <c r="J94" s="628">
        <f t="shared" si="465"/>
        <v>0</v>
      </c>
      <c r="K94" s="628">
        <f t="shared" si="465"/>
        <v>0</v>
      </c>
      <c r="L94" s="628">
        <f t="shared" si="465"/>
        <v>0</v>
      </c>
      <c r="M94" s="628">
        <f t="shared" si="465"/>
        <v>0</v>
      </c>
      <c r="N94" s="628">
        <f t="shared" si="465"/>
        <v>0</v>
      </c>
      <c r="O94" s="628">
        <f t="shared" si="465"/>
        <v>0</v>
      </c>
      <c r="P94" s="628">
        <f t="shared" si="465"/>
        <v>0</v>
      </c>
      <c r="Q94" s="628">
        <f t="shared" si="465"/>
        <v>0</v>
      </c>
      <c r="R94" s="628">
        <f t="shared" si="465"/>
        <v>0</v>
      </c>
      <c r="S94" s="628">
        <f t="shared" si="465"/>
        <v>0</v>
      </c>
      <c r="T94" s="629">
        <f t="shared" si="465"/>
        <v>-40</v>
      </c>
      <c r="U94" s="372" t="str">
        <f>+"("&amp;+E7&amp;")"</f>
        <v>(IDR Million)</v>
      </c>
      <c r="V94" s="628">
        <f t="shared" si="377"/>
        <v>-40</v>
      </c>
      <c r="W94" s="628">
        <f t="shared" ref="W94:AG94" si="466">+V94-W204</f>
        <v>-40</v>
      </c>
      <c r="X94" s="628">
        <f t="shared" si="466"/>
        <v>-40</v>
      </c>
      <c r="Y94" s="628">
        <f t="shared" si="466"/>
        <v>-40</v>
      </c>
      <c r="Z94" s="628">
        <f t="shared" si="466"/>
        <v>-40</v>
      </c>
      <c r="AA94" s="628">
        <f t="shared" si="466"/>
        <v>-40</v>
      </c>
      <c r="AB94" s="628">
        <f t="shared" si="466"/>
        <v>-40</v>
      </c>
      <c r="AC94" s="628">
        <f t="shared" si="466"/>
        <v>-40</v>
      </c>
      <c r="AD94" s="628">
        <f t="shared" si="466"/>
        <v>-40</v>
      </c>
      <c r="AE94" s="628">
        <f t="shared" si="466"/>
        <v>-40</v>
      </c>
      <c r="AF94" s="628">
        <f t="shared" si="466"/>
        <v>-40</v>
      </c>
      <c r="AG94" s="660">
        <f t="shared" si="466"/>
        <v>-40</v>
      </c>
      <c r="AH94" s="372" t="str">
        <f>+U94</f>
        <v>(IDR Million)</v>
      </c>
      <c r="AI94" s="628">
        <f t="shared" si="379"/>
        <v>-40</v>
      </c>
      <c r="AJ94" s="628">
        <f t="shared" ref="AJ94:AT94" si="467">+AI94-AJ204</f>
        <v>-40</v>
      </c>
      <c r="AK94" s="628">
        <f t="shared" si="467"/>
        <v>-40</v>
      </c>
      <c r="AL94" s="628">
        <f t="shared" si="467"/>
        <v>-40</v>
      </c>
      <c r="AM94" s="628">
        <f t="shared" si="467"/>
        <v>-40</v>
      </c>
      <c r="AN94" s="628">
        <f t="shared" si="467"/>
        <v>-40</v>
      </c>
      <c r="AO94" s="628">
        <f t="shared" si="467"/>
        <v>-40</v>
      </c>
      <c r="AP94" s="628">
        <f t="shared" si="467"/>
        <v>-40</v>
      </c>
      <c r="AQ94" s="628">
        <f t="shared" si="467"/>
        <v>-40</v>
      </c>
      <c r="AR94" s="628">
        <f t="shared" si="467"/>
        <v>-40</v>
      </c>
      <c r="AS94" s="628">
        <f t="shared" si="467"/>
        <v>-40</v>
      </c>
      <c r="AT94" s="660">
        <f t="shared" si="467"/>
        <v>-40</v>
      </c>
      <c r="AU94" s="372" t="str">
        <f>+AH94</f>
        <v>(IDR Million)</v>
      </c>
      <c r="AV94" s="628">
        <f t="shared" si="381"/>
        <v>-40</v>
      </c>
      <c r="AW94" s="628">
        <f t="shared" ref="AW94:BG94" si="468">+AV94-AW204</f>
        <v>-40</v>
      </c>
      <c r="AX94" s="628">
        <f t="shared" si="468"/>
        <v>-40</v>
      </c>
      <c r="AY94" s="628">
        <f t="shared" si="468"/>
        <v>-40</v>
      </c>
      <c r="AZ94" s="628">
        <f t="shared" si="468"/>
        <v>-40</v>
      </c>
      <c r="BA94" s="628">
        <f t="shared" si="468"/>
        <v>-40</v>
      </c>
      <c r="BB94" s="628">
        <f t="shared" si="468"/>
        <v>-40</v>
      </c>
      <c r="BC94" s="628">
        <f t="shared" si="468"/>
        <v>-40</v>
      </c>
      <c r="BD94" s="628">
        <f t="shared" si="468"/>
        <v>-40</v>
      </c>
      <c r="BE94" s="628">
        <f t="shared" si="468"/>
        <v>-40</v>
      </c>
      <c r="BF94" s="628">
        <f t="shared" si="468"/>
        <v>-40</v>
      </c>
      <c r="BG94" s="660">
        <f t="shared" si="468"/>
        <v>-40</v>
      </c>
      <c r="BH94" s="372" t="str">
        <f>+AU94</f>
        <v>(IDR Million)</v>
      </c>
      <c r="BI94" s="628">
        <f t="shared" si="383"/>
        <v>-40</v>
      </c>
      <c r="BJ94" s="628">
        <f t="shared" ref="BJ94:BT94" si="469">+BI94-BJ204</f>
        <v>-40</v>
      </c>
      <c r="BK94" s="628">
        <f t="shared" si="469"/>
        <v>-40</v>
      </c>
      <c r="BL94" s="628">
        <f t="shared" si="469"/>
        <v>-40</v>
      </c>
      <c r="BM94" s="628">
        <f t="shared" si="469"/>
        <v>-40</v>
      </c>
      <c r="BN94" s="628">
        <f t="shared" si="469"/>
        <v>-40</v>
      </c>
      <c r="BO94" s="628">
        <f t="shared" si="469"/>
        <v>-40</v>
      </c>
      <c r="BP94" s="628">
        <f t="shared" si="469"/>
        <v>-40</v>
      </c>
      <c r="BQ94" s="628">
        <f t="shared" si="469"/>
        <v>-40</v>
      </c>
      <c r="BR94" s="628">
        <f t="shared" si="469"/>
        <v>-40</v>
      </c>
      <c r="BS94" s="628">
        <f t="shared" si="469"/>
        <v>-40</v>
      </c>
      <c r="BT94" s="660">
        <f t="shared" si="469"/>
        <v>-40</v>
      </c>
      <c r="BU94" s="372" t="str">
        <f>+BH94</f>
        <v>(IDR Million)</v>
      </c>
      <c r="BV94" s="628">
        <f t="shared" si="385"/>
        <v>-40</v>
      </c>
      <c r="BW94" s="628">
        <f t="shared" ref="BW94:CG94" si="470">+BV94-BW204</f>
        <v>-40</v>
      </c>
      <c r="BX94" s="628">
        <f t="shared" si="470"/>
        <v>-40</v>
      </c>
      <c r="BY94" s="628">
        <f t="shared" si="470"/>
        <v>-40</v>
      </c>
      <c r="BZ94" s="628">
        <f t="shared" si="470"/>
        <v>-40</v>
      </c>
      <c r="CA94" s="628">
        <f t="shared" si="470"/>
        <v>-40</v>
      </c>
      <c r="CB94" s="628">
        <f t="shared" si="470"/>
        <v>-40</v>
      </c>
      <c r="CC94" s="628">
        <f t="shared" si="470"/>
        <v>-40</v>
      </c>
      <c r="CD94" s="628">
        <f t="shared" si="470"/>
        <v>-40</v>
      </c>
      <c r="CE94" s="628">
        <f t="shared" si="470"/>
        <v>-40</v>
      </c>
      <c r="CF94" s="628">
        <f t="shared" si="470"/>
        <v>-40</v>
      </c>
      <c r="CG94" s="660">
        <f t="shared" si="470"/>
        <v>-40</v>
      </c>
      <c r="CH94" s="373" t="str">
        <f>+BU94</f>
        <v>(IDR Million)</v>
      </c>
      <c r="CI94" s="628">
        <f t="shared" si="387"/>
        <v>-40</v>
      </c>
      <c r="CJ94" s="628">
        <f t="shared" ref="CJ94:CT94" si="471">+CI94-CJ204</f>
        <v>-40</v>
      </c>
      <c r="CK94" s="628">
        <f t="shared" si="471"/>
        <v>-40</v>
      </c>
      <c r="CL94" s="628">
        <f t="shared" si="471"/>
        <v>-40</v>
      </c>
      <c r="CM94" s="628">
        <f t="shared" si="471"/>
        <v>-40</v>
      </c>
      <c r="CN94" s="628">
        <f t="shared" si="471"/>
        <v>-40</v>
      </c>
      <c r="CO94" s="628">
        <f t="shared" si="471"/>
        <v>-40</v>
      </c>
      <c r="CP94" s="628">
        <f t="shared" si="471"/>
        <v>-40</v>
      </c>
      <c r="CQ94" s="628">
        <f t="shared" si="471"/>
        <v>-40</v>
      </c>
      <c r="CR94" s="628">
        <f t="shared" si="471"/>
        <v>-40</v>
      </c>
      <c r="CS94" s="628">
        <f t="shared" si="471"/>
        <v>-40</v>
      </c>
      <c r="CT94" s="660">
        <f t="shared" si="471"/>
        <v>-40</v>
      </c>
      <c r="CU94" s="373" t="str">
        <f>+CH94</f>
        <v>(IDR Million)</v>
      </c>
      <c r="CV94" s="628">
        <f t="shared" si="389"/>
        <v>-40</v>
      </c>
      <c r="CW94" s="628">
        <f t="shared" ref="CW94:DG94" si="472">+CV94-CW204</f>
        <v>-40</v>
      </c>
      <c r="CX94" s="628">
        <f t="shared" si="472"/>
        <v>-40</v>
      </c>
      <c r="CY94" s="628">
        <f t="shared" si="472"/>
        <v>-40</v>
      </c>
      <c r="CZ94" s="628">
        <f t="shared" si="472"/>
        <v>-40</v>
      </c>
      <c r="DA94" s="628">
        <f t="shared" si="472"/>
        <v>-40</v>
      </c>
      <c r="DB94" s="628">
        <f t="shared" si="472"/>
        <v>-40</v>
      </c>
      <c r="DC94" s="628">
        <f t="shared" si="472"/>
        <v>-40</v>
      </c>
      <c r="DD94" s="628">
        <f t="shared" si="472"/>
        <v>-40</v>
      </c>
      <c r="DE94" s="628">
        <f t="shared" si="472"/>
        <v>-40</v>
      </c>
      <c r="DF94" s="628">
        <f t="shared" si="472"/>
        <v>-40</v>
      </c>
      <c r="DG94" s="660">
        <f t="shared" si="472"/>
        <v>-40</v>
      </c>
      <c r="DH94" s="373" t="str">
        <f>+CU94</f>
        <v>(IDR Million)</v>
      </c>
      <c r="DI94" s="628">
        <f t="shared" si="391"/>
        <v>-40</v>
      </c>
      <c r="DJ94" s="628">
        <f t="shared" ref="DJ94:DT94" si="473">+DI94-DJ204</f>
        <v>-40</v>
      </c>
      <c r="DK94" s="628">
        <f t="shared" si="473"/>
        <v>-40</v>
      </c>
      <c r="DL94" s="628">
        <f t="shared" si="473"/>
        <v>-40</v>
      </c>
      <c r="DM94" s="628">
        <f t="shared" si="473"/>
        <v>-40</v>
      </c>
      <c r="DN94" s="628">
        <f t="shared" si="473"/>
        <v>-40</v>
      </c>
      <c r="DO94" s="628">
        <f t="shared" si="473"/>
        <v>-40</v>
      </c>
      <c r="DP94" s="628">
        <f t="shared" si="473"/>
        <v>-40</v>
      </c>
      <c r="DQ94" s="628">
        <f t="shared" si="473"/>
        <v>-40</v>
      </c>
      <c r="DR94" s="628">
        <f t="shared" si="473"/>
        <v>-40</v>
      </c>
      <c r="DS94" s="628">
        <f t="shared" si="473"/>
        <v>-40</v>
      </c>
      <c r="DT94" s="660">
        <f t="shared" si="473"/>
        <v>-40</v>
      </c>
      <c r="DU94" s="373" t="str">
        <f>+DH94</f>
        <v>(IDR Million)</v>
      </c>
      <c r="DV94" s="628">
        <f t="shared" si="393"/>
        <v>-40</v>
      </c>
      <c r="DW94" s="628">
        <f t="shared" ref="DW94:EG94" si="474">+DV94-DW204</f>
        <v>-40</v>
      </c>
      <c r="DX94" s="628">
        <f t="shared" si="474"/>
        <v>-40</v>
      </c>
      <c r="DY94" s="628">
        <f t="shared" si="474"/>
        <v>-40</v>
      </c>
      <c r="DZ94" s="628">
        <f t="shared" si="474"/>
        <v>-40</v>
      </c>
      <c r="EA94" s="628">
        <f t="shared" si="474"/>
        <v>-40</v>
      </c>
      <c r="EB94" s="628">
        <f t="shared" si="474"/>
        <v>-40</v>
      </c>
      <c r="EC94" s="628">
        <f t="shared" si="474"/>
        <v>-40</v>
      </c>
      <c r="ED94" s="628">
        <f t="shared" si="474"/>
        <v>-40</v>
      </c>
      <c r="EE94" s="628">
        <f t="shared" si="474"/>
        <v>-40</v>
      </c>
      <c r="EF94" s="628">
        <f t="shared" si="474"/>
        <v>-40</v>
      </c>
      <c r="EG94" s="660">
        <f t="shared" si="474"/>
        <v>-40</v>
      </c>
      <c r="EH94" s="373" t="str">
        <f>+DU94</f>
        <v>(IDR Million)</v>
      </c>
      <c r="EI94" s="372"/>
      <c r="EJ94" s="21"/>
      <c r="EK94" s="21"/>
      <c r="EL94" s="21"/>
      <c r="EM94" s="21"/>
    </row>
    <row r="95" spans="1:143" ht="14.25" customHeight="1">
      <c r="A95" s="21"/>
      <c r="B95" s="21"/>
      <c r="C95" s="21"/>
      <c r="D95" s="622">
        <f t="shared" si="323"/>
        <v>86</v>
      </c>
      <c r="E95" s="1625"/>
      <c r="F95" s="659" t="str">
        <f>+Assumption!F314</f>
        <v>Leasing 10</v>
      </c>
      <c r="G95" s="296"/>
      <c r="H95" s="369">
        <f>+Assumption!G314</f>
        <v>7106</v>
      </c>
      <c r="I95" s="628">
        <f t="shared" ref="I95:T95" si="475">+H95-I205</f>
        <v>7106</v>
      </c>
      <c r="J95" s="628">
        <f t="shared" si="475"/>
        <v>7106</v>
      </c>
      <c r="K95" s="628">
        <f t="shared" si="475"/>
        <v>7106</v>
      </c>
      <c r="L95" s="628">
        <f t="shared" si="475"/>
        <v>7106</v>
      </c>
      <c r="M95" s="628">
        <f t="shared" si="475"/>
        <v>7106</v>
      </c>
      <c r="N95" s="628">
        <f t="shared" si="475"/>
        <v>7106</v>
      </c>
      <c r="O95" s="628">
        <f t="shared" si="475"/>
        <v>7106</v>
      </c>
      <c r="P95" s="628">
        <f t="shared" si="475"/>
        <v>7106</v>
      </c>
      <c r="Q95" s="628">
        <f t="shared" si="475"/>
        <v>7106</v>
      </c>
      <c r="R95" s="628">
        <f t="shared" si="475"/>
        <v>7106</v>
      </c>
      <c r="S95" s="628">
        <f t="shared" si="475"/>
        <v>7106</v>
      </c>
      <c r="T95" s="629">
        <f t="shared" si="475"/>
        <v>7056</v>
      </c>
      <c r="U95" s="374" t="s">
        <v>614</v>
      </c>
      <c r="V95" s="628">
        <f t="shared" si="377"/>
        <v>7056</v>
      </c>
      <c r="W95" s="628">
        <f t="shared" ref="W95:AG95" si="476">+V95-W205</f>
        <v>7056</v>
      </c>
      <c r="X95" s="628">
        <f t="shared" si="476"/>
        <v>7056</v>
      </c>
      <c r="Y95" s="628">
        <f t="shared" si="476"/>
        <v>7056</v>
      </c>
      <c r="Z95" s="628">
        <f t="shared" si="476"/>
        <v>7056</v>
      </c>
      <c r="AA95" s="628">
        <f t="shared" si="476"/>
        <v>7056</v>
      </c>
      <c r="AB95" s="628">
        <f t="shared" si="476"/>
        <v>7056</v>
      </c>
      <c r="AC95" s="628">
        <f t="shared" si="476"/>
        <v>7056</v>
      </c>
      <c r="AD95" s="628">
        <f t="shared" si="476"/>
        <v>7056</v>
      </c>
      <c r="AE95" s="628">
        <f t="shared" si="476"/>
        <v>7056</v>
      </c>
      <c r="AF95" s="628">
        <f t="shared" si="476"/>
        <v>7056</v>
      </c>
      <c r="AG95" s="660">
        <f t="shared" si="476"/>
        <v>7056</v>
      </c>
      <c r="AH95" s="374" t="s">
        <v>614</v>
      </c>
      <c r="AI95" s="628">
        <f t="shared" si="379"/>
        <v>7056</v>
      </c>
      <c r="AJ95" s="628">
        <f t="shared" ref="AJ95:AT95" si="477">+AI95-AJ205</f>
        <v>7056</v>
      </c>
      <c r="AK95" s="628">
        <f t="shared" si="477"/>
        <v>7056</v>
      </c>
      <c r="AL95" s="628">
        <f t="shared" si="477"/>
        <v>7056</v>
      </c>
      <c r="AM95" s="628">
        <f t="shared" si="477"/>
        <v>7056</v>
      </c>
      <c r="AN95" s="628">
        <f t="shared" si="477"/>
        <v>7056</v>
      </c>
      <c r="AO95" s="628">
        <f t="shared" si="477"/>
        <v>7056</v>
      </c>
      <c r="AP95" s="628">
        <f t="shared" si="477"/>
        <v>7056</v>
      </c>
      <c r="AQ95" s="628">
        <f t="shared" si="477"/>
        <v>7056</v>
      </c>
      <c r="AR95" s="628">
        <f t="shared" si="477"/>
        <v>7056</v>
      </c>
      <c r="AS95" s="628">
        <f t="shared" si="477"/>
        <v>7056</v>
      </c>
      <c r="AT95" s="660">
        <f t="shared" si="477"/>
        <v>7056</v>
      </c>
      <c r="AU95" s="374" t="s">
        <v>614</v>
      </c>
      <c r="AV95" s="628">
        <f t="shared" si="381"/>
        <v>7056</v>
      </c>
      <c r="AW95" s="628">
        <f t="shared" ref="AW95:BG95" si="478">+AV95-AW205</f>
        <v>7056</v>
      </c>
      <c r="AX95" s="628">
        <f t="shared" si="478"/>
        <v>7056</v>
      </c>
      <c r="AY95" s="628">
        <f t="shared" si="478"/>
        <v>7056</v>
      </c>
      <c r="AZ95" s="628">
        <f t="shared" si="478"/>
        <v>7056</v>
      </c>
      <c r="BA95" s="628">
        <f t="shared" si="478"/>
        <v>7056</v>
      </c>
      <c r="BB95" s="628">
        <f t="shared" si="478"/>
        <v>7056</v>
      </c>
      <c r="BC95" s="628">
        <f t="shared" si="478"/>
        <v>7056</v>
      </c>
      <c r="BD95" s="628">
        <f t="shared" si="478"/>
        <v>7056</v>
      </c>
      <c r="BE95" s="628">
        <f t="shared" si="478"/>
        <v>7056</v>
      </c>
      <c r="BF95" s="628">
        <f t="shared" si="478"/>
        <v>7056</v>
      </c>
      <c r="BG95" s="660">
        <f t="shared" si="478"/>
        <v>7056</v>
      </c>
      <c r="BH95" s="374" t="s">
        <v>614</v>
      </c>
      <c r="BI95" s="628">
        <f t="shared" si="383"/>
        <v>7056</v>
      </c>
      <c r="BJ95" s="628">
        <f t="shared" ref="BJ95:BT95" si="479">+BI95-BJ205</f>
        <v>7056</v>
      </c>
      <c r="BK95" s="628">
        <f t="shared" si="479"/>
        <v>7056</v>
      </c>
      <c r="BL95" s="628">
        <f t="shared" si="479"/>
        <v>7056</v>
      </c>
      <c r="BM95" s="628">
        <f t="shared" si="479"/>
        <v>7056</v>
      </c>
      <c r="BN95" s="628">
        <f t="shared" si="479"/>
        <v>7056</v>
      </c>
      <c r="BO95" s="628">
        <f t="shared" si="479"/>
        <v>7056</v>
      </c>
      <c r="BP95" s="628">
        <f t="shared" si="479"/>
        <v>7056</v>
      </c>
      <c r="BQ95" s="628">
        <f t="shared" si="479"/>
        <v>7056</v>
      </c>
      <c r="BR95" s="628">
        <f t="shared" si="479"/>
        <v>7056</v>
      </c>
      <c r="BS95" s="628">
        <f t="shared" si="479"/>
        <v>7056</v>
      </c>
      <c r="BT95" s="660">
        <f t="shared" si="479"/>
        <v>7056</v>
      </c>
      <c r="BU95" s="374" t="s">
        <v>614</v>
      </c>
      <c r="BV95" s="628">
        <f t="shared" si="385"/>
        <v>7056</v>
      </c>
      <c r="BW95" s="628">
        <f t="shared" ref="BW95:CG95" si="480">+BV95-BW205</f>
        <v>7056</v>
      </c>
      <c r="BX95" s="628">
        <f t="shared" si="480"/>
        <v>7056</v>
      </c>
      <c r="BY95" s="628">
        <f t="shared" si="480"/>
        <v>7056</v>
      </c>
      <c r="BZ95" s="628">
        <f t="shared" si="480"/>
        <v>7056</v>
      </c>
      <c r="CA95" s="628">
        <f t="shared" si="480"/>
        <v>7056</v>
      </c>
      <c r="CB95" s="628">
        <f t="shared" si="480"/>
        <v>7056</v>
      </c>
      <c r="CC95" s="628">
        <f t="shared" si="480"/>
        <v>7056</v>
      </c>
      <c r="CD95" s="628">
        <f t="shared" si="480"/>
        <v>7056</v>
      </c>
      <c r="CE95" s="628">
        <f t="shared" si="480"/>
        <v>7056</v>
      </c>
      <c r="CF95" s="628">
        <f t="shared" si="480"/>
        <v>7056</v>
      </c>
      <c r="CG95" s="660">
        <f t="shared" si="480"/>
        <v>7056</v>
      </c>
      <c r="CH95" s="375" t="s">
        <v>614</v>
      </c>
      <c r="CI95" s="628">
        <f t="shared" si="387"/>
        <v>7056</v>
      </c>
      <c r="CJ95" s="628">
        <f t="shared" ref="CJ95:CT95" si="481">+CI95-CJ205</f>
        <v>7056</v>
      </c>
      <c r="CK95" s="628">
        <f t="shared" si="481"/>
        <v>7056</v>
      </c>
      <c r="CL95" s="628">
        <f t="shared" si="481"/>
        <v>7056</v>
      </c>
      <c r="CM95" s="628">
        <f t="shared" si="481"/>
        <v>7056</v>
      </c>
      <c r="CN95" s="628">
        <f t="shared" si="481"/>
        <v>7056</v>
      </c>
      <c r="CO95" s="628">
        <f t="shared" si="481"/>
        <v>7056</v>
      </c>
      <c r="CP95" s="628">
        <f t="shared" si="481"/>
        <v>7056</v>
      </c>
      <c r="CQ95" s="628">
        <f t="shared" si="481"/>
        <v>7056</v>
      </c>
      <c r="CR95" s="628">
        <f t="shared" si="481"/>
        <v>7056</v>
      </c>
      <c r="CS95" s="628">
        <f t="shared" si="481"/>
        <v>7056</v>
      </c>
      <c r="CT95" s="660">
        <f t="shared" si="481"/>
        <v>7056</v>
      </c>
      <c r="CU95" s="375" t="s">
        <v>614</v>
      </c>
      <c r="CV95" s="628">
        <f t="shared" si="389"/>
        <v>7056</v>
      </c>
      <c r="CW95" s="628">
        <f t="shared" ref="CW95:DG95" si="482">+CV95-CW205</f>
        <v>7056</v>
      </c>
      <c r="CX95" s="628">
        <f t="shared" si="482"/>
        <v>7056</v>
      </c>
      <c r="CY95" s="628">
        <f t="shared" si="482"/>
        <v>7056</v>
      </c>
      <c r="CZ95" s="628">
        <f t="shared" si="482"/>
        <v>7056</v>
      </c>
      <c r="DA95" s="628">
        <f t="shared" si="482"/>
        <v>7056</v>
      </c>
      <c r="DB95" s="628">
        <f t="shared" si="482"/>
        <v>7056</v>
      </c>
      <c r="DC95" s="628">
        <f t="shared" si="482"/>
        <v>7056</v>
      </c>
      <c r="DD95" s="628">
        <f t="shared" si="482"/>
        <v>7056</v>
      </c>
      <c r="DE95" s="628">
        <f t="shared" si="482"/>
        <v>7056</v>
      </c>
      <c r="DF95" s="628">
        <f t="shared" si="482"/>
        <v>7056</v>
      </c>
      <c r="DG95" s="660">
        <f t="shared" si="482"/>
        <v>7056</v>
      </c>
      <c r="DH95" s="375" t="s">
        <v>614</v>
      </c>
      <c r="DI95" s="628">
        <f t="shared" si="391"/>
        <v>7056</v>
      </c>
      <c r="DJ95" s="628">
        <f t="shared" ref="DJ95:DT95" si="483">+DI95-DJ205</f>
        <v>7056</v>
      </c>
      <c r="DK95" s="628">
        <f t="shared" si="483"/>
        <v>7056</v>
      </c>
      <c r="DL95" s="628">
        <f t="shared" si="483"/>
        <v>7056</v>
      </c>
      <c r="DM95" s="628">
        <f t="shared" si="483"/>
        <v>7056</v>
      </c>
      <c r="DN95" s="628">
        <f t="shared" si="483"/>
        <v>7056</v>
      </c>
      <c r="DO95" s="628">
        <f t="shared" si="483"/>
        <v>7056</v>
      </c>
      <c r="DP95" s="628">
        <f t="shared" si="483"/>
        <v>7056</v>
      </c>
      <c r="DQ95" s="628">
        <f t="shared" si="483"/>
        <v>7056</v>
      </c>
      <c r="DR95" s="628">
        <f t="shared" si="483"/>
        <v>7056</v>
      </c>
      <c r="DS95" s="628">
        <f t="shared" si="483"/>
        <v>7056</v>
      </c>
      <c r="DT95" s="660">
        <f t="shared" si="483"/>
        <v>7056</v>
      </c>
      <c r="DU95" s="375" t="s">
        <v>614</v>
      </c>
      <c r="DV95" s="628">
        <f t="shared" si="393"/>
        <v>7056</v>
      </c>
      <c r="DW95" s="628">
        <f t="shared" ref="DW95:EG95" si="484">+DV95-DW205</f>
        <v>7056</v>
      </c>
      <c r="DX95" s="628">
        <f t="shared" si="484"/>
        <v>7056</v>
      </c>
      <c r="DY95" s="628">
        <f t="shared" si="484"/>
        <v>7056</v>
      </c>
      <c r="DZ95" s="628">
        <f t="shared" si="484"/>
        <v>7056</v>
      </c>
      <c r="EA95" s="628">
        <f t="shared" si="484"/>
        <v>7056</v>
      </c>
      <c r="EB95" s="628">
        <f t="shared" si="484"/>
        <v>7056</v>
      </c>
      <c r="EC95" s="628">
        <f t="shared" si="484"/>
        <v>7056</v>
      </c>
      <c r="ED95" s="628">
        <f t="shared" si="484"/>
        <v>7056</v>
      </c>
      <c r="EE95" s="628">
        <f t="shared" si="484"/>
        <v>7056</v>
      </c>
      <c r="EF95" s="628">
        <f t="shared" si="484"/>
        <v>7056</v>
      </c>
      <c r="EG95" s="660">
        <f t="shared" si="484"/>
        <v>7056</v>
      </c>
      <c r="EH95" s="375" t="s">
        <v>614</v>
      </c>
      <c r="EI95" s="374"/>
      <c r="EJ95" s="21"/>
      <c r="EK95" s="21"/>
      <c r="EL95" s="21"/>
      <c r="EM95" s="21"/>
    </row>
    <row r="96" spans="1:143" ht="13.5" customHeight="1">
      <c r="A96" s="661"/>
      <c r="B96" s="661"/>
      <c r="C96" s="661"/>
      <c r="D96" s="376">
        <f t="shared" si="323"/>
        <v>87</v>
      </c>
      <c r="E96" s="1625"/>
      <c r="F96" s="377" t="s">
        <v>615</v>
      </c>
      <c r="G96" s="378"/>
      <c r="H96" s="379">
        <f>Historical!K35</f>
        <v>2003</v>
      </c>
      <c r="I96" s="380">
        <f>+H96+I58-I75</f>
        <v>2003</v>
      </c>
      <c r="J96" s="380">
        <f t="shared" ref="J96:T96" si="485">+I96+J58-J75</f>
        <v>2003</v>
      </c>
      <c r="K96" s="380">
        <f t="shared" si="485"/>
        <v>2003</v>
      </c>
      <c r="L96" s="380">
        <f t="shared" si="485"/>
        <v>2003</v>
      </c>
      <c r="M96" s="380">
        <f t="shared" si="485"/>
        <v>2003</v>
      </c>
      <c r="N96" s="380">
        <f t="shared" si="485"/>
        <v>2003</v>
      </c>
      <c r="O96" s="380">
        <f t="shared" si="485"/>
        <v>49503.236250000002</v>
      </c>
      <c r="P96" s="380">
        <f t="shared" si="485"/>
        <v>52722.671447916669</v>
      </c>
      <c r="Q96" s="380">
        <f t="shared" si="485"/>
        <v>56748.794196093753</v>
      </c>
      <c r="R96" s="380">
        <f t="shared" si="485"/>
        <v>60575.961224116756</v>
      </c>
      <c r="S96" s="380">
        <f t="shared" si="485"/>
        <v>63374.887628257122</v>
      </c>
      <c r="T96" s="381">
        <f t="shared" si="485"/>
        <v>67798.131186775427</v>
      </c>
      <c r="U96" s="382">
        <f>+MAX(I96:T96)</f>
        <v>67798.131186775427</v>
      </c>
      <c r="V96" s="380">
        <f>+T96+V58-V75</f>
        <v>70702.246724443001</v>
      </c>
      <c r="W96" s="380">
        <f t="shared" ref="W96:AG96" si="486">+V96+W58-W75</f>
        <v>65223.305447146689</v>
      </c>
      <c r="X96" s="380">
        <f t="shared" si="486"/>
        <v>64927.849659206244</v>
      </c>
      <c r="Y96" s="380">
        <f t="shared" si="486"/>
        <v>66088.935073032961</v>
      </c>
      <c r="Z96" s="380">
        <f t="shared" si="486"/>
        <v>65093.451531974904</v>
      </c>
      <c r="AA96" s="380">
        <f t="shared" si="486"/>
        <v>63914.911628074697</v>
      </c>
      <c r="AB96" s="380">
        <f t="shared" si="486"/>
        <v>62767.8016059277</v>
      </c>
      <c r="AC96" s="380">
        <f t="shared" si="486"/>
        <v>61342.444238358054</v>
      </c>
      <c r="AD96" s="380">
        <f t="shared" si="486"/>
        <v>62439.477940344368</v>
      </c>
      <c r="AE96" s="380">
        <f t="shared" si="486"/>
        <v>63981.08492318057</v>
      </c>
      <c r="AF96" s="380">
        <f t="shared" si="486"/>
        <v>60614.725964207071</v>
      </c>
      <c r="AG96" s="383">
        <f t="shared" si="486"/>
        <v>56744.885347242132</v>
      </c>
      <c r="AH96" s="382">
        <f>+MAX(V96:AG96)</f>
        <v>70702.246724443001</v>
      </c>
      <c r="AI96" s="380">
        <f>+AG96+AI58-AI75</f>
        <v>57803.574594529608</v>
      </c>
      <c r="AJ96" s="380">
        <f t="shared" ref="AJ96:AT96" si="487">+AI96+AJ58-AJ75</f>
        <v>51214.026585544481</v>
      </c>
      <c r="AK96" s="380">
        <f t="shared" si="487"/>
        <v>49955.303343151143</v>
      </c>
      <c r="AL96" s="380">
        <f t="shared" si="487"/>
        <v>50603.267740404532</v>
      </c>
      <c r="AM96" s="380">
        <f t="shared" si="487"/>
        <v>48873.117374301699</v>
      </c>
      <c r="AN96" s="380">
        <f t="shared" si="487"/>
        <v>46964.223021814672</v>
      </c>
      <c r="AO96" s="380">
        <f t="shared" si="487"/>
        <v>45084.843464009296</v>
      </c>
      <c r="AP96" s="380">
        <f t="shared" si="487"/>
        <v>42865.839314650788</v>
      </c>
      <c r="AQ96" s="380">
        <f t="shared" si="487"/>
        <v>43415.924178333335</v>
      </c>
      <c r="AR96" s="380">
        <f t="shared" si="487"/>
        <v>44478.042882546571</v>
      </c>
      <c r="AS96" s="380">
        <f t="shared" si="487"/>
        <v>40164.747975961582</v>
      </c>
      <c r="AT96" s="383">
        <f t="shared" si="487"/>
        <v>35263.996078488395</v>
      </c>
      <c r="AU96" s="382">
        <f>+MAX(AI96:AT96)</f>
        <v>57803.574594529608</v>
      </c>
      <c r="AV96" s="380">
        <f>+AT96+AV58-AV75</f>
        <v>36256.063220435608</v>
      </c>
      <c r="AW96" s="380">
        <f t="shared" ref="AW96:BG96" si="488">+AV96+AW58-AW75</f>
        <v>28853.798621899041</v>
      </c>
      <c r="AX96" s="380">
        <f t="shared" si="488"/>
        <v>27688.717251708011</v>
      </c>
      <c r="AY96" s="380">
        <f t="shared" si="488"/>
        <v>28248.26423676539</v>
      </c>
      <c r="AZ96" s="380">
        <f t="shared" si="488"/>
        <v>26190.608200031573</v>
      </c>
      <c r="BA96" s="380">
        <f t="shared" si="488"/>
        <v>23935.04635632498</v>
      </c>
      <c r="BB96" s="380">
        <f t="shared" si="488"/>
        <v>21710.652636301777</v>
      </c>
      <c r="BC96" s="380">
        <f t="shared" si="488"/>
        <v>19111.362897183157</v>
      </c>
      <c r="BD96" s="380">
        <f t="shared" si="488"/>
        <v>19556.751195952827</v>
      </c>
      <c r="BE96" s="380">
        <f t="shared" si="488"/>
        <v>20564.045843878914</v>
      </c>
      <c r="BF96" s="380">
        <f t="shared" si="488"/>
        <v>15657.043553871048</v>
      </c>
      <c r="BG96" s="383">
        <f t="shared" si="488"/>
        <v>10102.485424779787</v>
      </c>
      <c r="BH96" s="382">
        <f>+MAX(AV96:BG96)</f>
        <v>36256.063220435608</v>
      </c>
      <c r="BI96" s="380">
        <f>+BG96+BI58-BI75</f>
        <v>11022.082972394272</v>
      </c>
      <c r="BJ96" s="380">
        <f t="shared" ref="BJ96:BT96" si="489">+BI96+BJ58-BJ75</f>
        <v>2706.4849695722114</v>
      </c>
      <c r="BK96" s="380">
        <f t="shared" si="489"/>
        <v>1250.3459600599672</v>
      </c>
      <c r="BL96" s="380">
        <f t="shared" si="489"/>
        <v>1689.8435621351236</v>
      </c>
      <c r="BM96" s="380">
        <f t="shared" si="489"/>
        <v>0</v>
      </c>
      <c r="BN96" s="380">
        <f t="shared" si="489"/>
        <v>0</v>
      </c>
      <c r="BO96" s="380">
        <f t="shared" si="489"/>
        <v>0</v>
      </c>
      <c r="BP96" s="380">
        <f t="shared" si="489"/>
        <v>0</v>
      </c>
      <c r="BQ96" s="380">
        <f t="shared" si="489"/>
        <v>0</v>
      </c>
      <c r="BR96" s="380">
        <f t="shared" si="489"/>
        <v>0</v>
      </c>
      <c r="BS96" s="380">
        <f t="shared" si="489"/>
        <v>0</v>
      </c>
      <c r="BT96" s="383">
        <f t="shared" si="489"/>
        <v>0</v>
      </c>
      <c r="BU96" s="382">
        <f>+MAX(BI96:BT96)</f>
        <v>11022.082972394272</v>
      </c>
      <c r="BV96" s="380">
        <f>+BT96+BV58-BV75</f>
        <v>0</v>
      </c>
      <c r="BW96" s="380">
        <f t="shared" ref="BW96:CG96" si="490">+BV96+BW58-BW75</f>
        <v>0</v>
      </c>
      <c r="BX96" s="380">
        <f t="shared" si="490"/>
        <v>0</v>
      </c>
      <c r="BY96" s="380">
        <f t="shared" si="490"/>
        <v>0</v>
      </c>
      <c r="BZ96" s="380">
        <f t="shared" si="490"/>
        <v>0</v>
      </c>
      <c r="CA96" s="380">
        <f t="shared" si="490"/>
        <v>0</v>
      </c>
      <c r="CB96" s="380">
        <f t="shared" si="490"/>
        <v>0</v>
      </c>
      <c r="CC96" s="380">
        <f t="shared" si="490"/>
        <v>0</v>
      </c>
      <c r="CD96" s="380">
        <f t="shared" si="490"/>
        <v>0</v>
      </c>
      <c r="CE96" s="380">
        <f t="shared" si="490"/>
        <v>0</v>
      </c>
      <c r="CF96" s="380">
        <f t="shared" si="490"/>
        <v>0</v>
      </c>
      <c r="CG96" s="383">
        <f t="shared" si="490"/>
        <v>0</v>
      </c>
      <c r="CH96" s="384">
        <f>+MAX(BV96:CG96)</f>
        <v>0</v>
      </c>
      <c r="CI96" s="380">
        <f>+CG96+CI58-CI75</f>
        <v>0</v>
      </c>
      <c r="CJ96" s="380">
        <f t="shared" ref="CJ96:CT96" si="491">+CI96+CJ58-CJ75</f>
        <v>0</v>
      </c>
      <c r="CK96" s="380">
        <f t="shared" si="491"/>
        <v>0</v>
      </c>
      <c r="CL96" s="380">
        <f t="shared" si="491"/>
        <v>0</v>
      </c>
      <c r="CM96" s="380">
        <f t="shared" si="491"/>
        <v>0</v>
      </c>
      <c r="CN96" s="380">
        <f t="shared" si="491"/>
        <v>0</v>
      </c>
      <c r="CO96" s="380">
        <f t="shared" si="491"/>
        <v>0</v>
      </c>
      <c r="CP96" s="380">
        <f t="shared" si="491"/>
        <v>0</v>
      </c>
      <c r="CQ96" s="380">
        <f t="shared" si="491"/>
        <v>0</v>
      </c>
      <c r="CR96" s="380">
        <f t="shared" si="491"/>
        <v>0</v>
      </c>
      <c r="CS96" s="380">
        <f t="shared" si="491"/>
        <v>0</v>
      </c>
      <c r="CT96" s="383">
        <f t="shared" si="491"/>
        <v>0</v>
      </c>
      <c r="CU96" s="384">
        <f>+MAX(CI96:CT96)</f>
        <v>0</v>
      </c>
      <c r="CV96" s="380">
        <f>+CT96+CV58-CV75</f>
        <v>0</v>
      </c>
      <c r="CW96" s="380">
        <f t="shared" ref="CW96:DG96" si="492">+CV96+CW58-CW75</f>
        <v>0</v>
      </c>
      <c r="CX96" s="380">
        <f t="shared" si="492"/>
        <v>0</v>
      </c>
      <c r="CY96" s="380">
        <f t="shared" si="492"/>
        <v>0</v>
      </c>
      <c r="CZ96" s="380">
        <f t="shared" si="492"/>
        <v>0</v>
      </c>
      <c r="DA96" s="380">
        <f t="shared" si="492"/>
        <v>0</v>
      </c>
      <c r="DB96" s="380">
        <f t="shared" si="492"/>
        <v>0</v>
      </c>
      <c r="DC96" s="380">
        <f t="shared" si="492"/>
        <v>0</v>
      </c>
      <c r="DD96" s="380">
        <f t="shared" si="492"/>
        <v>0</v>
      </c>
      <c r="DE96" s="380">
        <f t="shared" si="492"/>
        <v>0</v>
      </c>
      <c r="DF96" s="380">
        <f t="shared" si="492"/>
        <v>0</v>
      </c>
      <c r="DG96" s="383">
        <f t="shared" si="492"/>
        <v>0</v>
      </c>
      <c r="DH96" s="384">
        <f>+MAX(CV96:DG96)</f>
        <v>0</v>
      </c>
      <c r="DI96" s="380">
        <f>+DG96+DI58-DI75</f>
        <v>0</v>
      </c>
      <c r="DJ96" s="380">
        <f t="shared" ref="DJ96:DT96" si="493">+DI96+DJ58-DJ75</f>
        <v>0</v>
      </c>
      <c r="DK96" s="380">
        <f t="shared" si="493"/>
        <v>0</v>
      </c>
      <c r="DL96" s="380">
        <f t="shared" si="493"/>
        <v>0</v>
      </c>
      <c r="DM96" s="380">
        <f t="shared" si="493"/>
        <v>0</v>
      </c>
      <c r="DN96" s="380">
        <f t="shared" si="493"/>
        <v>0</v>
      </c>
      <c r="DO96" s="380">
        <f t="shared" si="493"/>
        <v>0</v>
      </c>
      <c r="DP96" s="380">
        <f t="shared" si="493"/>
        <v>0</v>
      </c>
      <c r="DQ96" s="380">
        <f t="shared" si="493"/>
        <v>0</v>
      </c>
      <c r="DR96" s="380">
        <f t="shared" si="493"/>
        <v>0</v>
      </c>
      <c r="DS96" s="380">
        <f t="shared" si="493"/>
        <v>0</v>
      </c>
      <c r="DT96" s="383">
        <f t="shared" si="493"/>
        <v>0</v>
      </c>
      <c r="DU96" s="384">
        <f>+MAX(DI96:DT96)</f>
        <v>0</v>
      </c>
      <c r="DV96" s="380">
        <f>+DT96+DV58-DV75</f>
        <v>0</v>
      </c>
      <c r="DW96" s="380">
        <f t="shared" ref="DW96:EG96" si="494">+DV96+DW58-DW75</f>
        <v>0</v>
      </c>
      <c r="DX96" s="380">
        <f t="shared" si="494"/>
        <v>0</v>
      </c>
      <c r="DY96" s="380">
        <f t="shared" si="494"/>
        <v>0</v>
      </c>
      <c r="DZ96" s="380">
        <f t="shared" si="494"/>
        <v>0</v>
      </c>
      <c r="EA96" s="380">
        <f t="shared" si="494"/>
        <v>0</v>
      </c>
      <c r="EB96" s="380">
        <f t="shared" si="494"/>
        <v>0</v>
      </c>
      <c r="EC96" s="380">
        <f t="shared" si="494"/>
        <v>0</v>
      </c>
      <c r="ED96" s="380">
        <f t="shared" si="494"/>
        <v>0</v>
      </c>
      <c r="EE96" s="380">
        <f t="shared" si="494"/>
        <v>0</v>
      </c>
      <c r="EF96" s="380">
        <f t="shared" si="494"/>
        <v>0</v>
      </c>
      <c r="EG96" s="383">
        <f t="shared" si="494"/>
        <v>0</v>
      </c>
      <c r="EH96" s="384">
        <f>+MAX(DV96:EG96)</f>
        <v>0</v>
      </c>
      <c r="EI96" s="382"/>
      <c r="EJ96" s="661"/>
      <c r="EK96" s="661"/>
      <c r="EL96" s="661"/>
      <c r="EM96" s="661"/>
    </row>
    <row r="97" spans="1:143" ht="13.5" customHeight="1">
      <c r="A97" s="661"/>
      <c r="B97" s="661"/>
      <c r="C97" s="661"/>
      <c r="D97" s="376">
        <f t="shared" si="323"/>
        <v>88</v>
      </c>
      <c r="E97" s="1625"/>
      <c r="F97" s="377" t="str">
        <f>+Assumption!J332</f>
        <v xml:space="preserve"> KMK RC Terbatas</v>
      </c>
      <c r="G97" s="378"/>
      <c r="H97" s="379"/>
      <c r="I97" s="380">
        <f>+I96*Assumption!$K$332</f>
        <v>2003</v>
      </c>
      <c r="J97" s="380">
        <f>+J96*Assumption!$K$332</f>
        <v>2003</v>
      </c>
      <c r="K97" s="380">
        <f>+K96*Assumption!$K$332</f>
        <v>2003</v>
      </c>
      <c r="L97" s="380">
        <f>+L96*Assumption!$K$332</f>
        <v>2003</v>
      </c>
      <c r="M97" s="380">
        <f>+M96*Assumption!$K$332</f>
        <v>2003</v>
      </c>
      <c r="N97" s="380">
        <f>+N96*Assumption!$K$332</f>
        <v>2003</v>
      </c>
      <c r="O97" s="380">
        <f>+O96*Assumption!$K$332</f>
        <v>49503.236250000002</v>
      </c>
      <c r="P97" s="380">
        <f>+P96*Assumption!$K$332</f>
        <v>52722.671447916669</v>
      </c>
      <c r="Q97" s="380">
        <f>+Q96*Assumption!$K$332</f>
        <v>56748.794196093753</v>
      </c>
      <c r="R97" s="380">
        <f>+R96*Assumption!$K$332</f>
        <v>60575.961224116756</v>
      </c>
      <c r="S97" s="380">
        <f>+S96*Assumption!$K$332</f>
        <v>63374.887628257122</v>
      </c>
      <c r="T97" s="381">
        <f>+T96*Assumption!$K$332</f>
        <v>67798.131186775427</v>
      </c>
      <c r="U97" s="382" t="s">
        <v>616</v>
      </c>
      <c r="V97" s="380">
        <f>+V96*Assumption!$K$332</f>
        <v>70702.246724443001</v>
      </c>
      <c r="W97" s="380">
        <f>+W96*Assumption!$K$332</f>
        <v>65223.305447146689</v>
      </c>
      <c r="X97" s="380">
        <f>+X96*Assumption!$K$332</f>
        <v>64927.849659206244</v>
      </c>
      <c r="Y97" s="380">
        <f>+Y96*Assumption!$K$332</f>
        <v>66088.935073032961</v>
      </c>
      <c r="Z97" s="380">
        <f>+Z96*Assumption!$K$332</f>
        <v>65093.451531974904</v>
      </c>
      <c r="AA97" s="380">
        <f>+AA96*Assumption!$K$332</f>
        <v>63914.911628074697</v>
      </c>
      <c r="AB97" s="380">
        <f>+AB96*Assumption!$K$332</f>
        <v>62767.8016059277</v>
      </c>
      <c r="AC97" s="380">
        <f>+AC96*Assumption!$K$332</f>
        <v>61342.444238358054</v>
      </c>
      <c r="AD97" s="380">
        <f>+AD96*Assumption!$K$332</f>
        <v>62439.477940344368</v>
      </c>
      <c r="AE97" s="380">
        <f>+AE96*Assumption!$K$332</f>
        <v>63981.08492318057</v>
      </c>
      <c r="AF97" s="380">
        <f>+AF96*Assumption!$K$332</f>
        <v>60614.725964207071</v>
      </c>
      <c r="AG97" s="383">
        <f>+AG96*Assumption!$K$332</f>
        <v>56744.885347242132</v>
      </c>
      <c r="AH97" s="382" t="s">
        <v>616</v>
      </c>
      <c r="AI97" s="380">
        <f>+AI96*Assumption!$K$332</f>
        <v>57803.574594529608</v>
      </c>
      <c r="AJ97" s="380">
        <f>+AJ96*Assumption!$K$332</f>
        <v>51214.026585544481</v>
      </c>
      <c r="AK97" s="380">
        <f>+AK96*Assumption!$K$332</f>
        <v>49955.303343151143</v>
      </c>
      <c r="AL97" s="380">
        <f>+AL96*Assumption!$K$332</f>
        <v>50603.267740404532</v>
      </c>
      <c r="AM97" s="380">
        <f>+AM96*Assumption!$K$332</f>
        <v>48873.117374301699</v>
      </c>
      <c r="AN97" s="380">
        <f>+AN96*Assumption!$K$332</f>
        <v>46964.223021814672</v>
      </c>
      <c r="AO97" s="380">
        <f>+AO96*Assumption!$K$332</f>
        <v>45084.843464009296</v>
      </c>
      <c r="AP97" s="380">
        <f>+AP96*Assumption!$K$332</f>
        <v>42865.839314650788</v>
      </c>
      <c r="AQ97" s="380">
        <f>+AQ96*Assumption!$K$332</f>
        <v>43415.924178333335</v>
      </c>
      <c r="AR97" s="380">
        <f>+AR96*Assumption!$K$332</f>
        <v>44478.042882546571</v>
      </c>
      <c r="AS97" s="380">
        <f>+AS96*Assumption!$K$332</f>
        <v>40164.747975961582</v>
      </c>
      <c r="AT97" s="383">
        <f>+AT96*Assumption!$K$332</f>
        <v>35263.996078488395</v>
      </c>
      <c r="AU97" s="382" t="s">
        <v>616</v>
      </c>
      <c r="AV97" s="380">
        <f>+AV96*Assumption!$K$332</f>
        <v>36256.063220435608</v>
      </c>
      <c r="AW97" s="380">
        <f>+AW96*Assumption!$K$332</f>
        <v>28853.798621899041</v>
      </c>
      <c r="AX97" s="380">
        <f>+AX96*Assumption!$K$332</f>
        <v>27688.717251708011</v>
      </c>
      <c r="AY97" s="380">
        <f>+AY96*Assumption!$K$332</f>
        <v>28248.26423676539</v>
      </c>
      <c r="AZ97" s="380">
        <f>+AZ96*Assumption!$K$332</f>
        <v>26190.608200031573</v>
      </c>
      <c r="BA97" s="380">
        <f>+BA96*Assumption!$K$332</f>
        <v>23935.04635632498</v>
      </c>
      <c r="BB97" s="380">
        <f>+BB96*Assumption!$K$332</f>
        <v>21710.652636301777</v>
      </c>
      <c r="BC97" s="380">
        <f>+BC96*Assumption!$K$332</f>
        <v>19111.362897183157</v>
      </c>
      <c r="BD97" s="380">
        <f>+BD96*Assumption!$K$332</f>
        <v>19556.751195952827</v>
      </c>
      <c r="BE97" s="380">
        <f>+BE96*Assumption!$K$332</f>
        <v>20564.045843878914</v>
      </c>
      <c r="BF97" s="380">
        <f>+BF96*Assumption!$K$332</f>
        <v>15657.043553871048</v>
      </c>
      <c r="BG97" s="383">
        <f>+BG96*Assumption!$K$332</f>
        <v>10102.485424779787</v>
      </c>
      <c r="BH97" s="382" t="s">
        <v>616</v>
      </c>
      <c r="BI97" s="380">
        <f>+BI96*Assumption!$K$332</f>
        <v>11022.082972394272</v>
      </c>
      <c r="BJ97" s="380">
        <f>+BJ96*Assumption!$K$332</f>
        <v>2706.4849695722114</v>
      </c>
      <c r="BK97" s="380">
        <f>+BK96*Assumption!$K$332</f>
        <v>1250.3459600599672</v>
      </c>
      <c r="BL97" s="380">
        <f>+BL96*Assumption!$K$332</f>
        <v>1689.8435621351236</v>
      </c>
      <c r="BM97" s="380">
        <f>+BM96*Assumption!$K$332</f>
        <v>0</v>
      </c>
      <c r="BN97" s="380">
        <f>+BN96*Assumption!$K$332</f>
        <v>0</v>
      </c>
      <c r="BO97" s="380">
        <f>+BO96*Assumption!$K$332</f>
        <v>0</v>
      </c>
      <c r="BP97" s="380">
        <f>+BP96*Assumption!$K$332</f>
        <v>0</v>
      </c>
      <c r="BQ97" s="380">
        <f>+BQ96*Assumption!$K$332</f>
        <v>0</v>
      </c>
      <c r="BR97" s="380">
        <f>+BR96*Assumption!$K$332</f>
        <v>0</v>
      </c>
      <c r="BS97" s="380">
        <f>+BS96*Assumption!$K$332</f>
        <v>0</v>
      </c>
      <c r="BT97" s="383">
        <f>+BT96*Assumption!$K$332</f>
        <v>0</v>
      </c>
      <c r="BU97" s="382" t="s">
        <v>616</v>
      </c>
      <c r="BV97" s="380">
        <f>+BV96*Assumption!$K$332</f>
        <v>0</v>
      </c>
      <c r="BW97" s="380">
        <f>+BW96*Assumption!$K$332</f>
        <v>0</v>
      </c>
      <c r="BX97" s="380">
        <f>+BX96*Assumption!$K$332</f>
        <v>0</v>
      </c>
      <c r="BY97" s="380">
        <f>+BY96*Assumption!$K$332</f>
        <v>0</v>
      </c>
      <c r="BZ97" s="380">
        <f>+BZ96*Assumption!$K$332</f>
        <v>0</v>
      </c>
      <c r="CA97" s="380">
        <f>+CA96*Assumption!$K$332</f>
        <v>0</v>
      </c>
      <c r="CB97" s="380">
        <f>+CB96*Assumption!$K$332</f>
        <v>0</v>
      </c>
      <c r="CC97" s="380">
        <f>+CC96*Assumption!$K$332</f>
        <v>0</v>
      </c>
      <c r="CD97" s="380">
        <f>+CD96*Assumption!$K$332</f>
        <v>0</v>
      </c>
      <c r="CE97" s="380">
        <f>+CE96*Assumption!$K$332</f>
        <v>0</v>
      </c>
      <c r="CF97" s="380">
        <f>+CF96*Assumption!$K$332</f>
        <v>0</v>
      </c>
      <c r="CG97" s="383">
        <f>+CG96*Assumption!$K$332</f>
        <v>0</v>
      </c>
      <c r="CH97" s="384" t="s">
        <v>616</v>
      </c>
      <c r="CI97" s="380">
        <f>+CI96*Assumption!$K$332</f>
        <v>0</v>
      </c>
      <c r="CJ97" s="380">
        <f>+CJ96*Assumption!$K$332</f>
        <v>0</v>
      </c>
      <c r="CK97" s="380">
        <f>+CK96*Assumption!$K$332</f>
        <v>0</v>
      </c>
      <c r="CL97" s="380">
        <f>+CL96*Assumption!$K$332</f>
        <v>0</v>
      </c>
      <c r="CM97" s="380">
        <f>+CM96*Assumption!$K$332</f>
        <v>0</v>
      </c>
      <c r="CN97" s="380">
        <f>+CN96*Assumption!$K$332</f>
        <v>0</v>
      </c>
      <c r="CO97" s="380">
        <f>+CO96*Assumption!$K$332</f>
        <v>0</v>
      </c>
      <c r="CP97" s="380">
        <f>+CP96*Assumption!$K$332</f>
        <v>0</v>
      </c>
      <c r="CQ97" s="380">
        <f>+CQ96*Assumption!$K$332</f>
        <v>0</v>
      </c>
      <c r="CR97" s="380">
        <f>+CR96*Assumption!$K$332</f>
        <v>0</v>
      </c>
      <c r="CS97" s="380">
        <f>+CS96*Assumption!$K$332</f>
        <v>0</v>
      </c>
      <c r="CT97" s="383">
        <f>+CT96*Assumption!$K$332</f>
        <v>0</v>
      </c>
      <c r="CU97" s="384" t="s">
        <v>616</v>
      </c>
      <c r="CV97" s="380">
        <f>+CV96*Assumption!$K$332</f>
        <v>0</v>
      </c>
      <c r="CW97" s="380">
        <f>+CW96*Assumption!$K$332</f>
        <v>0</v>
      </c>
      <c r="CX97" s="380">
        <f>+CX96*Assumption!$K$332</f>
        <v>0</v>
      </c>
      <c r="CY97" s="380">
        <f>+CY96*Assumption!$K$332</f>
        <v>0</v>
      </c>
      <c r="CZ97" s="380">
        <f>+CZ96*Assumption!$K$332</f>
        <v>0</v>
      </c>
      <c r="DA97" s="380">
        <f>+DA96*Assumption!$K$332</f>
        <v>0</v>
      </c>
      <c r="DB97" s="380">
        <f>+DB96*Assumption!$K$332</f>
        <v>0</v>
      </c>
      <c r="DC97" s="380">
        <f>+DC96*Assumption!$K$332</f>
        <v>0</v>
      </c>
      <c r="DD97" s="380">
        <f>+DD96*Assumption!$K$332</f>
        <v>0</v>
      </c>
      <c r="DE97" s="380">
        <f>+DE96*Assumption!$K$332</f>
        <v>0</v>
      </c>
      <c r="DF97" s="380">
        <f>+DF96*Assumption!$K$332</f>
        <v>0</v>
      </c>
      <c r="DG97" s="383">
        <f>+DG96*Assumption!$K$332</f>
        <v>0</v>
      </c>
      <c r="DH97" s="384" t="s">
        <v>616</v>
      </c>
      <c r="DI97" s="380">
        <f>+DI96*Assumption!$K$332</f>
        <v>0</v>
      </c>
      <c r="DJ97" s="380">
        <f>+DJ96*Assumption!$K$332</f>
        <v>0</v>
      </c>
      <c r="DK97" s="380">
        <f>+DK96*Assumption!$K$332</f>
        <v>0</v>
      </c>
      <c r="DL97" s="380">
        <f>+DL96*Assumption!$K$332</f>
        <v>0</v>
      </c>
      <c r="DM97" s="380">
        <f>+DM96*Assumption!$K$332</f>
        <v>0</v>
      </c>
      <c r="DN97" s="380">
        <f>+DN96*Assumption!$K$332</f>
        <v>0</v>
      </c>
      <c r="DO97" s="380">
        <f>+DO96*Assumption!$K$332</f>
        <v>0</v>
      </c>
      <c r="DP97" s="380">
        <f>+DP96*Assumption!$K$332</f>
        <v>0</v>
      </c>
      <c r="DQ97" s="380">
        <f>+DQ96*Assumption!$K$332</f>
        <v>0</v>
      </c>
      <c r="DR97" s="380">
        <f>+DR96*Assumption!$K$332</f>
        <v>0</v>
      </c>
      <c r="DS97" s="380">
        <f>+DS96*Assumption!$K$332</f>
        <v>0</v>
      </c>
      <c r="DT97" s="383">
        <f>+DT96*Assumption!$K$332</f>
        <v>0</v>
      </c>
      <c r="DU97" s="384" t="s">
        <v>616</v>
      </c>
      <c r="DV97" s="380">
        <f>+DV96*Assumption!$K$332</f>
        <v>0</v>
      </c>
      <c r="DW97" s="380">
        <f>+DW96*Assumption!$K$332</f>
        <v>0</v>
      </c>
      <c r="DX97" s="380">
        <f>+DX96*Assumption!$K$332</f>
        <v>0</v>
      </c>
      <c r="DY97" s="380">
        <f>+DY96*Assumption!$K$332</f>
        <v>0</v>
      </c>
      <c r="DZ97" s="380">
        <f>+DZ96*Assumption!$K$332</f>
        <v>0</v>
      </c>
      <c r="EA97" s="380">
        <f>+EA96*Assumption!$K$332</f>
        <v>0</v>
      </c>
      <c r="EB97" s="380">
        <f>+EB96*Assumption!$K$332</f>
        <v>0</v>
      </c>
      <c r="EC97" s="380">
        <f>+EC96*Assumption!$K$332</f>
        <v>0</v>
      </c>
      <c r="ED97" s="380">
        <f>+ED96*Assumption!$K$332</f>
        <v>0</v>
      </c>
      <c r="EE97" s="380">
        <f>+EE96*Assumption!$K$332</f>
        <v>0</v>
      </c>
      <c r="EF97" s="380">
        <f>+EF96*Assumption!$K$332</f>
        <v>0</v>
      </c>
      <c r="EG97" s="383">
        <f>+EG96*Assumption!$K$332</f>
        <v>0</v>
      </c>
      <c r="EH97" s="384" t="s">
        <v>616</v>
      </c>
      <c r="EI97" s="382">
        <f>+MAX(I97:T97)</f>
        <v>67798.131186775427</v>
      </c>
      <c r="EJ97" s="661">
        <f>+EI97/13600</f>
        <v>4.9851567049099579</v>
      </c>
      <c r="EK97" s="661"/>
      <c r="EL97" s="661"/>
      <c r="EM97" s="661"/>
    </row>
    <row r="98" spans="1:143" ht="13.5" customHeight="1">
      <c r="A98" s="25"/>
      <c r="B98" s="25"/>
      <c r="C98" s="25"/>
      <c r="D98" s="622">
        <f t="shared" si="323"/>
        <v>89</v>
      </c>
      <c r="E98" s="1625"/>
      <c r="F98" s="656" t="str">
        <f>+Assumption!J333</f>
        <v xml:space="preserve"> KMK By Promes</v>
      </c>
      <c r="G98" s="368"/>
      <c r="H98" s="369"/>
      <c r="I98" s="385">
        <f>+I96*Assumption!$K$333</f>
        <v>0</v>
      </c>
      <c r="J98" s="385">
        <f>+J96*Assumption!$K$333</f>
        <v>0</v>
      </c>
      <c r="K98" s="385">
        <f>+K96*Assumption!$K$333</f>
        <v>0</v>
      </c>
      <c r="L98" s="385">
        <f>+L96*Assumption!$K$333</f>
        <v>0</v>
      </c>
      <c r="M98" s="385">
        <f>+M96*Assumption!$K$333</f>
        <v>0</v>
      </c>
      <c r="N98" s="385">
        <f>+N96*Assumption!$K$333</f>
        <v>0</v>
      </c>
      <c r="O98" s="385">
        <f>+O96*Assumption!$K$333</f>
        <v>0</v>
      </c>
      <c r="P98" s="385">
        <f>+P96*Assumption!$K$333</f>
        <v>0</v>
      </c>
      <c r="Q98" s="385">
        <f>+Q96*Assumption!$K$333</f>
        <v>0</v>
      </c>
      <c r="R98" s="385">
        <f>+R96*Assumption!$K$333</f>
        <v>0</v>
      </c>
      <c r="S98" s="385">
        <f>+S96*Assumption!$K$333</f>
        <v>0</v>
      </c>
      <c r="T98" s="386">
        <f>+T96*Assumption!$K$333</f>
        <v>0</v>
      </c>
      <c r="U98" s="374">
        <f>+MIN(I96:T96)</f>
        <v>2003</v>
      </c>
      <c r="V98" s="385">
        <f>+V96*Assumption!$K$333</f>
        <v>0</v>
      </c>
      <c r="W98" s="385">
        <f>+W96*Assumption!$K$333</f>
        <v>0</v>
      </c>
      <c r="X98" s="385">
        <f>+X96*Assumption!$K$333</f>
        <v>0</v>
      </c>
      <c r="Y98" s="385">
        <f>+Y96*Assumption!$K$333</f>
        <v>0</v>
      </c>
      <c r="Z98" s="385">
        <f>+Z96*Assumption!$K$333</f>
        <v>0</v>
      </c>
      <c r="AA98" s="385">
        <f>+AA96*Assumption!$K$333</f>
        <v>0</v>
      </c>
      <c r="AB98" s="385">
        <f>+AB96*Assumption!$K$333</f>
        <v>0</v>
      </c>
      <c r="AC98" s="385">
        <f>+AC96*Assumption!$K$333</f>
        <v>0</v>
      </c>
      <c r="AD98" s="385">
        <f>+AD96*Assumption!$K$333</f>
        <v>0</v>
      </c>
      <c r="AE98" s="385">
        <f>+AE96*Assumption!$K$333</f>
        <v>0</v>
      </c>
      <c r="AF98" s="385">
        <f>+AF96*Assumption!$K$333</f>
        <v>0</v>
      </c>
      <c r="AG98" s="387">
        <f>+AG96*Assumption!$K$333</f>
        <v>0</v>
      </c>
      <c r="AH98" s="374">
        <f>+MIN(V96:AG96)</f>
        <v>56744.885347242132</v>
      </c>
      <c r="AI98" s="385">
        <f>+AI96*Assumption!$K$333</f>
        <v>0</v>
      </c>
      <c r="AJ98" s="385">
        <f>+AJ96*Assumption!$K$333</f>
        <v>0</v>
      </c>
      <c r="AK98" s="385">
        <f>+AK96*Assumption!$K$333</f>
        <v>0</v>
      </c>
      <c r="AL98" s="385">
        <f>+AL96*Assumption!$K$333</f>
        <v>0</v>
      </c>
      <c r="AM98" s="385">
        <f>+AM96*Assumption!$K$333</f>
        <v>0</v>
      </c>
      <c r="AN98" s="385">
        <f>+AN96*Assumption!$K$333</f>
        <v>0</v>
      </c>
      <c r="AO98" s="385">
        <f>+AO96*Assumption!$K$333</f>
        <v>0</v>
      </c>
      <c r="AP98" s="385">
        <f>+AP96*Assumption!$K$333</f>
        <v>0</v>
      </c>
      <c r="AQ98" s="385">
        <f>+AQ96*Assumption!$K$333</f>
        <v>0</v>
      </c>
      <c r="AR98" s="385">
        <f>+AR96*Assumption!$K$333</f>
        <v>0</v>
      </c>
      <c r="AS98" s="385">
        <f>+AS96*Assumption!$K$333</f>
        <v>0</v>
      </c>
      <c r="AT98" s="387">
        <f>+AT96*Assumption!$K$333</f>
        <v>0</v>
      </c>
      <c r="AU98" s="374">
        <f>+MIN(AI96:AT96)</f>
        <v>35263.996078488395</v>
      </c>
      <c r="AV98" s="385">
        <f>+AV96*Assumption!$K$333</f>
        <v>0</v>
      </c>
      <c r="AW98" s="385">
        <f>+AW96*Assumption!$K$333</f>
        <v>0</v>
      </c>
      <c r="AX98" s="385">
        <f>+AX96*Assumption!$K$333</f>
        <v>0</v>
      </c>
      <c r="AY98" s="385">
        <f>+AY96*Assumption!$K$333</f>
        <v>0</v>
      </c>
      <c r="AZ98" s="385">
        <f>+AZ96*Assumption!$K$333</f>
        <v>0</v>
      </c>
      <c r="BA98" s="385">
        <f>+BA96*Assumption!$K$333</f>
        <v>0</v>
      </c>
      <c r="BB98" s="385">
        <f>+BB96*Assumption!$K$333</f>
        <v>0</v>
      </c>
      <c r="BC98" s="385">
        <f>+BC96*Assumption!$K$333</f>
        <v>0</v>
      </c>
      <c r="BD98" s="385">
        <f>+BD96*Assumption!$K$333</f>
        <v>0</v>
      </c>
      <c r="BE98" s="385">
        <f>+BE96*Assumption!$K$333</f>
        <v>0</v>
      </c>
      <c r="BF98" s="385">
        <f>+BF96*Assumption!$K$333</f>
        <v>0</v>
      </c>
      <c r="BG98" s="387">
        <f>+BG96*Assumption!$K$333</f>
        <v>0</v>
      </c>
      <c r="BH98" s="374">
        <f>+MIN(AV96:BG96)</f>
        <v>10102.485424779787</v>
      </c>
      <c r="BI98" s="385">
        <f>+BI96*Assumption!$K$333</f>
        <v>0</v>
      </c>
      <c r="BJ98" s="385">
        <f>+BJ96*Assumption!$K$333</f>
        <v>0</v>
      </c>
      <c r="BK98" s="385">
        <f>+BK96*Assumption!$K$333</f>
        <v>0</v>
      </c>
      <c r="BL98" s="385">
        <f>+BL96*Assumption!$K$333</f>
        <v>0</v>
      </c>
      <c r="BM98" s="385">
        <f>+BM96*Assumption!$K$333</f>
        <v>0</v>
      </c>
      <c r="BN98" s="385">
        <f>+BN96*Assumption!$K$333</f>
        <v>0</v>
      </c>
      <c r="BO98" s="385">
        <f>+BO96*Assumption!$K$333</f>
        <v>0</v>
      </c>
      <c r="BP98" s="385">
        <f>+BP96*Assumption!$K$333</f>
        <v>0</v>
      </c>
      <c r="BQ98" s="385">
        <f>+BQ96*Assumption!$K$333</f>
        <v>0</v>
      </c>
      <c r="BR98" s="385">
        <f>+BR96*Assumption!$K$333</f>
        <v>0</v>
      </c>
      <c r="BS98" s="385">
        <f>+BS96*Assumption!$K$333</f>
        <v>0</v>
      </c>
      <c r="BT98" s="387">
        <f>+BT96*Assumption!$K$333</f>
        <v>0</v>
      </c>
      <c r="BU98" s="374">
        <f>+MIN(BI96:BT96)</f>
        <v>0</v>
      </c>
      <c r="BV98" s="385">
        <f>+BV96*Assumption!$K$333</f>
        <v>0</v>
      </c>
      <c r="BW98" s="385">
        <f>+BW96*Assumption!$K$333</f>
        <v>0</v>
      </c>
      <c r="BX98" s="385">
        <f>+BX96*Assumption!$K$333</f>
        <v>0</v>
      </c>
      <c r="BY98" s="385">
        <f>+BY96*Assumption!$K$333</f>
        <v>0</v>
      </c>
      <c r="BZ98" s="385">
        <f>+BZ96*Assumption!$K$333</f>
        <v>0</v>
      </c>
      <c r="CA98" s="385">
        <f>+CA96*Assumption!$K$333</f>
        <v>0</v>
      </c>
      <c r="CB98" s="385">
        <f>+CB96*Assumption!$K$333</f>
        <v>0</v>
      </c>
      <c r="CC98" s="385">
        <f>+CC96*Assumption!$K$333</f>
        <v>0</v>
      </c>
      <c r="CD98" s="385">
        <f>+CD96*Assumption!$K$333</f>
        <v>0</v>
      </c>
      <c r="CE98" s="385">
        <f>+CE96*Assumption!$K$333</f>
        <v>0</v>
      </c>
      <c r="CF98" s="385">
        <f>+CF96*Assumption!$K$333</f>
        <v>0</v>
      </c>
      <c r="CG98" s="387">
        <f>+CG96*Assumption!$K$333</f>
        <v>0</v>
      </c>
      <c r="CH98" s="375">
        <f>+MIN(BV96:CG96)</f>
        <v>0</v>
      </c>
      <c r="CI98" s="385">
        <f>+CI96*Assumption!$K$333</f>
        <v>0</v>
      </c>
      <c r="CJ98" s="385">
        <f>+CJ96*Assumption!$K$333</f>
        <v>0</v>
      </c>
      <c r="CK98" s="385">
        <f>+CK96*Assumption!$K$333</f>
        <v>0</v>
      </c>
      <c r="CL98" s="385">
        <f>+CL96*Assumption!$K$333</f>
        <v>0</v>
      </c>
      <c r="CM98" s="385">
        <f>+CM96*Assumption!$K$333</f>
        <v>0</v>
      </c>
      <c r="CN98" s="385">
        <f>+CN96*Assumption!$K$333</f>
        <v>0</v>
      </c>
      <c r="CO98" s="385">
        <f>+CO96*Assumption!$K$333</f>
        <v>0</v>
      </c>
      <c r="CP98" s="385">
        <f>+CP96*Assumption!$K$333</f>
        <v>0</v>
      </c>
      <c r="CQ98" s="385">
        <f>+CQ96*Assumption!$K$333</f>
        <v>0</v>
      </c>
      <c r="CR98" s="385">
        <f>+CR96*Assumption!$K$333</f>
        <v>0</v>
      </c>
      <c r="CS98" s="385">
        <f>+CS96*Assumption!$K$333</f>
        <v>0</v>
      </c>
      <c r="CT98" s="387">
        <f>+CT96*Assumption!$K$333</f>
        <v>0</v>
      </c>
      <c r="CU98" s="375">
        <f>+MIN(CI96:CT96)</f>
        <v>0</v>
      </c>
      <c r="CV98" s="385">
        <f>+CV96*Assumption!$K$333</f>
        <v>0</v>
      </c>
      <c r="CW98" s="385">
        <f>+CW96*Assumption!$K$333</f>
        <v>0</v>
      </c>
      <c r="CX98" s="385">
        <f>+CX96*Assumption!$K$333</f>
        <v>0</v>
      </c>
      <c r="CY98" s="385">
        <f>+CY96*Assumption!$K$333</f>
        <v>0</v>
      </c>
      <c r="CZ98" s="385">
        <f>+CZ96*Assumption!$K$333</f>
        <v>0</v>
      </c>
      <c r="DA98" s="385">
        <f>+DA96*Assumption!$K$333</f>
        <v>0</v>
      </c>
      <c r="DB98" s="385">
        <f>+DB96*Assumption!$K$333</f>
        <v>0</v>
      </c>
      <c r="DC98" s="385">
        <f>+DC96*Assumption!$K$333</f>
        <v>0</v>
      </c>
      <c r="DD98" s="385">
        <f>+DD96*Assumption!$K$333</f>
        <v>0</v>
      </c>
      <c r="DE98" s="385">
        <f>+DE96*Assumption!$K$333</f>
        <v>0</v>
      </c>
      <c r="DF98" s="385">
        <f>+DF96*Assumption!$K$333</f>
        <v>0</v>
      </c>
      <c r="DG98" s="387">
        <f>+DG96*Assumption!$K$333</f>
        <v>0</v>
      </c>
      <c r="DH98" s="375">
        <f>+MIN(CV96:DG96)</f>
        <v>0</v>
      </c>
      <c r="DI98" s="385">
        <f>+DI96*Assumption!$K$333</f>
        <v>0</v>
      </c>
      <c r="DJ98" s="385">
        <f>+DJ96*Assumption!$K$333</f>
        <v>0</v>
      </c>
      <c r="DK98" s="385">
        <f>+DK96*Assumption!$K$333</f>
        <v>0</v>
      </c>
      <c r="DL98" s="385">
        <f>+DL96*Assumption!$K$333</f>
        <v>0</v>
      </c>
      <c r="DM98" s="385">
        <f>+DM96*Assumption!$K$333</f>
        <v>0</v>
      </c>
      <c r="DN98" s="385">
        <f>+DN96*Assumption!$K$333</f>
        <v>0</v>
      </c>
      <c r="DO98" s="385">
        <f>+DO96*Assumption!$K$333</f>
        <v>0</v>
      </c>
      <c r="DP98" s="385">
        <f>+DP96*Assumption!$K$333</f>
        <v>0</v>
      </c>
      <c r="DQ98" s="385">
        <f>+DQ96*Assumption!$K$333</f>
        <v>0</v>
      </c>
      <c r="DR98" s="385">
        <f>+DR96*Assumption!$K$333</f>
        <v>0</v>
      </c>
      <c r="DS98" s="385">
        <f>+DS96*Assumption!$K$333</f>
        <v>0</v>
      </c>
      <c r="DT98" s="387">
        <f>+DT96*Assumption!$K$333</f>
        <v>0</v>
      </c>
      <c r="DU98" s="375">
        <f>+MIN(DI96:DT96)</f>
        <v>0</v>
      </c>
      <c r="DV98" s="385">
        <f>+DV96*Assumption!$K$333</f>
        <v>0</v>
      </c>
      <c r="DW98" s="385">
        <f>+DW96*Assumption!$K$333</f>
        <v>0</v>
      </c>
      <c r="DX98" s="385">
        <f>+DX96*Assumption!$K$333</f>
        <v>0</v>
      </c>
      <c r="DY98" s="385">
        <f>+DY96*Assumption!$K$333</f>
        <v>0</v>
      </c>
      <c r="DZ98" s="385">
        <f>+DZ96*Assumption!$K$333</f>
        <v>0</v>
      </c>
      <c r="EA98" s="385">
        <f>+EA96*Assumption!$K$333</f>
        <v>0</v>
      </c>
      <c r="EB98" s="385">
        <f>+EB96*Assumption!$K$333</f>
        <v>0</v>
      </c>
      <c r="EC98" s="385">
        <f>+EC96*Assumption!$K$333</f>
        <v>0</v>
      </c>
      <c r="ED98" s="385">
        <f>+ED96*Assumption!$K$333</f>
        <v>0</v>
      </c>
      <c r="EE98" s="385">
        <f>+EE96*Assumption!$K$333</f>
        <v>0</v>
      </c>
      <c r="EF98" s="385">
        <f>+EF96*Assumption!$K$333</f>
        <v>0</v>
      </c>
      <c r="EG98" s="387">
        <f>+EG96*Assumption!$K$333</f>
        <v>0</v>
      </c>
      <c r="EH98" s="375">
        <f>+MIN(DV96:EG96)</f>
        <v>0</v>
      </c>
      <c r="EI98" s="374" t="s">
        <v>617</v>
      </c>
      <c r="EJ98" s="25" t="s">
        <v>618</v>
      </c>
      <c r="EK98" s="25"/>
      <c r="EL98" s="25"/>
      <c r="EM98" s="25"/>
    </row>
    <row r="99" spans="1:143" ht="13.5" customHeight="1">
      <c r="A99" s="661"/>
      <c r="B99" s="661"/>
      <c r="C99" s="661"/>
      <c r="D99" s="376">
        <f t="shared" si="323"/>
        <v>90</v>
      </c>
      <c r="E99" s="1625"/>
      <c r="F99" s="377" t="s">
        <v>619</v>
      </c>
      <c r="G99" s="378"/>
      <c r="H99" s="379">
        <f>Historical!K37</f>
        <v>2203</v>
      </c>
      <c r="I99" s="380">
        <f>+H99+I17-I21</f>
        <v>2203</v>
      </c>
      <c r="J99" s="380">
        <f t="shared" ref="J99:T99" si="495">+I99+J17-J21</f>
        <v>2203</v>
      </c>
      <c r="K99" s="380">
        <f t="shared" si="495"/>
        <v>2203</v>
      </c>
      <c r="L99" s="380">
        <f t="shared" si="495"/>
        <v>2203</v>
      </c>
      <c r="M99" s="380">
        <f t="shared" si="495"/>
        <v>2203</v>
      </c>
      <c r="N99" s="380">
        <f t="shared" si="495"/>
        <v>2203</v>
      </c>
      <c r="O99" s="380">
        <f t="shared" si="495"/>
        <v>1652.25</v>
      </c>
      <c r="P99" s="380">
        <f t="shared" si="495"/>
        <v>1101.5</v>
      </c>
      <c r="Q99" s="380">
        <f t="shared" si="495"/>
        <v>550.75</v>
      </c>
      <c r="R99" s="380">
        <f t="shared" si="495"/>
        <v>0</v>
      </c>
      <c r="S99" s="380">
        <f t="shared" si="495"/>
        <v>0</v>
      </c>
      <c r="T99" s="381">
        <f t="shared" si="495"/>
        <v>0</v>
      </c>
      <c r="U99" s="382" t="s">
        <v>620</v>
      </c>
      <c r="V99" s="380">
        <f>+T99+V17-V21</f>
        <v>0</v>
      </c>
      <c r="W99" s="380">
        <f t="shared" ref="W99:AG99" si="496">+V99+W17-W21</f>
        <v>0</v>
      </c>
      <c r="X99" s="380">
        <f t="shared" si="496"/>
        <v>0</v>
      </c>
      <c r="Y99" s="380">
        <f t="shared" si="496"/>
        <v>0</v>
      </c>
      <c r="Z99" s="380">
        <f t="shared" si="496"/>
        <v>0</v>
      </c>
      <c r="AA99" s="380">
        <f t="shared" si="496"/>
        <v>0</v>
      </c>
      <c r="AB99" s="380">
        <f t="shared" si="496"/>
        <v>0</v>
      </c>
      <c r="AC99" s="380">
        <f t="shared" si="496"/>
        <v>0</v>
      </c>
      <c r="AD99" s="380">
        <f t="shared" si="496"/>
        <v>0</v>
      </c>
      <c r="AE99" s="380">
        <f t="shared" si="496"/>
        <v>0</v>
      </c>
      <c r="AF99" s="380">
        <f t="shared" si="496"/>
        <v>0</v>
      </c>
      <c r="AG99" s="383">
        <f t="shared" si="496"/>
        <v>0</v>
      </c>
      <c r="AH99" s="382" t="s">
        <v>620</v>
      </c>
      <c r="AI99" s="380">
        <f>+AG99+AI17-AI21</f>
        <v>0</v>
      </c>
      <c r="AJ99" s="380">
        <f t="shared" ref="AJ99:AT99" si="497">+AI99+AJ17-AJ21</f>
        <v>0</v>
      </c>
      <c r="AK99" s="380">
        <f t="shared" si="497"/>
        <v>0</v>
      </c>
      <c r="AL99" s="380">
        <f t="shared" si="497"/>
        <v>0</v>
      </c>
      <c r="AM99" s="380">
        <f t="shared" si="497"/>
        <v>0</v>
      </c>
      <c r="AN99" s="380">
        <f t="shared" si="497"/>
        <v>0</v>
      </c>
      <c r="AO99" s="380">
        <f t="shared" si="497"/>
        <v>0</v>
      </c>
      <c r="AP99" s="380">
        <f t="shared" si="497"/>
        <v>0</v>
      </c>
      <c r="AQ99" s="380">
        <f t="shared" si="497"/>
        <v>0</v>
      </c>
      <c r="AR99" s="380">
        <f t="shared" si="497"/>
        <v>0</v>
      </c>
      <c r="AS99" s="380">
        <f t="shared" si="497"/>
        <v>0</v>
      </c>
      <c r="AT99" s="383">
        <f t="shared" si="497"/>
        <v>0</v>
      </c>
      <c r="AU99" s="382" t="s">
        <v>620</v>
      </c>
      <c r="AV99" s="380">
        <f>+AT99+AV17-AV21</f>
        <v>0</v>
      </c>
      <c r="AW99" s="380">
        <f t="shared" ref="AW99:BG99" si="498">+AV99+AW17-AW21</f>
        <v>0</v>
      </c>
      <c r="AX99" s="380">
        <f t="shared" si="498"/>
        <v>0</v>
      </c>
      <c r="AY99" s="380">
        <f t="shared" si="498"/>
        <v>0</v>
      </c>
      <c r="AZ99" s="380">
        <f t="shared" si="498"/>
        <v>0</v>
      </c>
      <c r="BA99" s="380">
        <f t="shared" si="498"/>
        <v>0</v>
      </c>
      <c r="BB99" s="380">
        <f t="shared" si="498"/>
        <v>0</v>
      </c>
      <c r="BC99" s="380">
        <f t="shared" si="498"/>
        <v>0</v>
      </c>
      <c r="BD99" s="380">
        <f t="shared" si="498"/>
        <v>0</v>
      </c>
      <c r="BE99" s="380">
        <f t="shared" si="498"/>
        <v>0</v>
      </c>
      <c r="BF99" s="380">
        <f t="shared" si="498"/>
        <v>0</v>
      </c>
      <c r="BG99" s="383">
        <f t="shared" si="498"/>
        <v>0</v>
      </c>
      <c r="BH99" s="382" t="s">
        <v>620</v>
      </c>
      <c r="BI99" s="380">
        <f>+BG99+BI17-BI21</f>
        <v>0</v>
      </c>
      <c r="BJ99" s="380">
        <f t="shared" ref="BJ99:BT99" si="499">+BI99+BJ17-BJ21</f>
        <v>0</v>
      </c>
      <c r="BK99" s="380">
        <f t="shared" si="499"/>
        <v>0</v>
      </c>
      <c r="BL99" s="380">
        <f t="shared" si="499"/>
        <v>0</v>
      </c>
      <c r="BM99" s="380">
        <f t="shared" si="499"/>
        <v>0</v>
      </c>
      <c r="BN99" s="380">
        <f t="shared" si="499"/>
        <v>0</v>
      </c>
      <c r="BO99" s="380">
        <f t="shared" si="499"/>
        <v>0</v>
      </c>
      <c r="BP99" s="380">
        <f t="shared" si="499"/>
        <v>0</v>
      </c>
      <c r="BQ99" s="380">
        <f t="shared" si="499"/>
        <v>0</v>
      </c>
      <c r="BR99" s="380">
        <f t="shared" si="499"/>
        <v>0</v>
      </c>
      <c r="BS99" s="380">
        <f t="shared" si="499"/>
        <v>0</v>
      </c>
      <c r="BT99" s="383">
        <f t="shared" si="499"/>
        <v>0</v>
      </c>
      <c r="BU99" s="382" t="s">
        <v>620</v>
      </c>
      <c r="BV99" s="380">
        <f>+BT99+BV17-BV21</f>
        <v>0</v>
      </c>
      <c r="BW99" s="380">
        <f t="shared" ref="BW99:CG99" si="500">+BV99+BW17-BW21</f>
        <v>0</v>
      </c>
      <c r="BX99" s="380">
        <f t="shared" si="500"/>
        <v>0</v>
      </c>
      <c r="BY99" s="380">
        <f t="shared" si="500"/>
        <v>0</v>
      </c>
      <c r="BZ99" s="380">
        <f t="shared" si="500"/>
        <v>0</v>
      </c>
      <c r="CA99" s="380">
        <f t="shared" si="500"/>
        <v>0</v>
      </c>
      <c r="CB99" s="380">
        <f t="shared" si="500"/>
        <v>0</v>
      </c>
      <c r="CC99" s="380">
        <f t="shared" si="500"/>
        <v>0</v>
      </c>
      <c r="CD99" s="380">
        <f t="shared" si="500"/>
        <v>0</v>
      </c>
      <c r="CE99" s="380">
        <f t="shared" si="500"/>
        <v>0</v>
      </c>
      <c r="CF99" s="380">
        <f t="shared" si="500"/>
        <v>0</v>
      </c>
      <c r="CG99" s="383">
        <f t="shared" si="500"/>
        <v>0</v>
      </c>
      <c r="CH99" s="384" t="s">
        <v>620</v>
      </c>
      <c r="CI99" s="380">
        <f>+CG99+CI17-CI21</f>
        <v>0</v>
      </c>
      <c r="CJ99" s="380">
        <f t="shared" ref="CJ99:CT99" si="501">+CI99+CJ17-CJ21</f>
        <v>0</v>
      </c>
      <c r="CK99" s="380">
        <f t="shared" si="501"/>
        <v>0</v>
      </c>
      <c r="CL99" s="380">
        <f t="shared" si="501"/>
        <v>0</v>
      </c>
      <c r="CM99" s="380">
        <f t="shared" si="501"/>
        <v>0</v>
      </c>
      <c r="CN99" s="380">
        <f t="shared" si="501"/>
        <v>0</v>
      </c>
      <c r="CO99" s="380">
        <f t="shared" si="501"/>
        <v>0</v>
      </c>
      <c r="CP99" s="380">
        <f t="shared" si="501"/>
        <v>0</v>
      </c>
      <c r="CQ99" s="380">
        <f t="shared" si="501"/>
        <v>0</v>
      </c>
      <c r="CR99" s="380">
        <f t="shared" si="501"/>
        <v>0</v>
      </c>
      <c r="CS99" s="380">
        <f t="shared" si="501"/>
        <v>0</v>
      </c>
      <c r="CT99" s="383">
        <f t="shared" si="501"/>
        <v>0</v>
      </c>
      <c r="CU99" s="384" t="s">
        <v>620</v>
      </c>
      <c r="CV99" s="380">
        <f>+CT99+CV17-CV21</f>
        <v>0</v>
      </c>
      <c r="CW99" s="380">
        <f t="shared" ref="CW99:DG99" si="502">+CV99+CW17-CW21</f>
        <v>0</v>
      </c>
      <c r="CX99" s="380">
        <f t="shared" si="502"/>
        <v>0</v>
      </c>
      <c r="CY99" s="380">
        <f t="shared" si="502"/>
        <v>0</v>
      </c>
      <c r="CZ99" s="380">
        <f t="shared" si="502"/>
        <v>0</v>
      </c>
      <c r="DA99" s="380">
        <f t="shared" si="502"/>
        <v>0</v>
      </c>
      <c r="DB99" s="380">
        <f t="shared" si="502"/>
        <v>0</v>
      </c>
      <c r="DC99" s="380">
        <f t="shared" si="502"/>
        <v>0</v>
      </c>
      <c r="DD99" s="380">
        <f t="shared" si="502"/>
        <v>0</v>
      </c>
      <c r="DE99" s="380">
        <f t="shared" si="502"/>
        <v>0</v>
      </c>
      <c r="DF99" s="380">
        <f t="shared" si="502"/>
        <v>0</v>
      </c>
      <c r="DG99" s="383">
        <f t="shared" si="502"/>
        <v>0</v>
      </c>
      <c r="DH99" s="384" t="s">
        <v>620</v>
      </c>
      <c r="DI99" s="380">
        <f>+DG99+DI17-DI21</f>
        <v>0</v>
      </c>
      <c r="DJ99" s="380">
        <f t="shared" ref="DJ99:DT99" si="503">+DI99+DJ17-DJ21</f>
        <v>0</v>
      </c>
      <c r="DK99" s="380">
        <f t="shared" si="503"/>
        <v>0</v>
      </c>
      <c r="DL99" s="380">
        <f t="shared" si="503"/>
        <v>0</v>
      </c>
      <c r="DM99" s="380">
        <f t="shared" si="503"/>
        <v>0</v>
      </c>
      <c r="DN99" s="380">
        <f t="shared" si="503"/>
        <v>0</v>
      </c>
      <c r="DO99" s="380">
        <f t="shared" si="503"/>
        <v>0</v>
      </c>
      <c r="DP99" s="380">
        <f t="shared" si="503"/>
        <v>0</v>
      </c>
      <c r="DQ99" s="380">
        <f t="shared" si="503"/>
        <v>0</v>
      </c>
      <c r="DR99" s="380">
        <f t="shared" si="503"/>
        <v>0</v>
      </c>
      <c r="DS99" s="380">
        <f t="shared" si="503"/>
        <v>0</v>
      </c>
      <c r="DT99" s="383">
        <f t="shared" si="503"/>
        <v>0</v>
      </c>
      <c r="DU99" s="384" t="s">
        <v>620</v>
      </c>
      <c r="DV99" s="380">
        <f>+DT99+DV17-DV21</f>
        <v>0</v>
      </c>
      <c r="DW99" s="380">
        <f t="shared" ref="DW99:EG99" si="504">+DV99+DW17-DW21</f>
        <v>0</v>
      </c>
      <c r="DX99" s="380">
        <f t="shared" si="504"/>
        <v>0</v>
      </c>
      <c r="DY99" s="380">
        <f t="shared" si="504"/>
        <v>0</v>
      </c>
      <c r="DZ99" s="380">
        <f t="shared" si="504"/>
        <v>0</v>
      </c>
      <c r="EA99" s="380">
        <f t="shared" si="504"/>
        <v>0</v>
      </c>
      <c r="EB99" s="380">
        <f t="shared" si="504"/>
        <v>0</v>
      </c>
      <c r="EC99" s="380">
        <f t="shared" si="504"/>
        <v>0</v>
      </c>
      <c r="ED99" s="380">
        <f t="shared" si="504"/>
        <v>0</v>
      </c>
      <c r="EE99" s="380">
        <f t="shared" si="504"/>
        <v>0</v>
      </c>
      <c r="EF99" s="380">
        <f t="shared" si="504"/>
        <v>0</v>
      </c>
      <c r="EG99" s="383">
        <f t="shared" si="504"/>
        <v>0</v>
      </c>
      <c r="EH99" s="384" t="s">
        <v>620</v>
      </c>
      <c r="EI99" s="382">
        <f>+MAX(I99:T99,V99:W99)</f>
        <v>2203</v>
      </c>
      <c r="EJ99" s="662">
        <f>+EI99/13600</f>
        <v>0.16198529411764706</v>
      </c>
      <c r="EK99" s="661"/>
      <c r="EL99" s="661">
        <f>+MAX(V99:AG99)</f>
        <v>0</v>
      </c>
      <c r="EM99" s="662">
        <f>+EL99/13600</f>
        <v>0</v>
      </c>
    </row>
    <row r="100" spans="1:143" ht="14.25" customHeight="1">
      <c r="A100" s="25"/>
      <c r="B100" s="25"/>
      <c r="C100" s="25"/>
      <c r="D100" s="622">
        <f t="shared" si="323"/>
        <v>91</v>
      </c>
      <c r="E100" s="1625"/>
      <c r="F100" s="656" t="s">
        <v>621</v>
      </c>
      <c r="G100" s="368"/>
      <c r="H100" s="369">
        <f>+Historical!K36</f>
        <v>2103</v>
      </c>
      <c r="I100" s="385">
        <f t="shared" ref="I100:T100" si="505">+H100+I57-I74</f>
        <v>2103</v>
      </c>
      <c r="J100" s="385">
        <f t="shared" si="505"/>
        <v>2103</v>
      </c>
      <c r="K100" s="385">
        <f t="shared" si="505"/>
        <v>2103</v>
      </c>
      <c r="L100" s="385">
        <f t="shared" si="505"/>
        <v>2103</v>
      </c>
      <c r="M100" s="385">
        <f t="shared" si="505"/>
        <v>2103</v>
      </c>
      <c r="N100" s="385">
        <f t="shared" si="505"/>
        <v>2103</v>
      </c>
      <c r="O100" s="385">
        <f t="shared" si="505"/>
        <v>2103</v>
      </c>
      <c r="P100" s="385">
        <f t="shared" si="505"/>
        <v>2103</v>
      </c>
      <c r="Q100" s="385">
        <f t="shared" si="505"/>
        <v>2103</v>
      </c>
      <c r="R100" s="385">
        <f t="shared" si="505"/>
        <v>2103</v>
      </c>
      <c r="S100" s="385">
        <f t="shared" si="505"/>
        <v>2103</v>
      </c>
      <c r="T100" s="386">
        <f t="shared" si="505"/>
        <v>2103</v>
      </c>
      <c r="U100" s="388">
        <f>+AVERAGE(I96:T96)</f>
        <v>30228.473494429974</v>
      </c>
      <c r="V100" s="385">
        <f>+T100+V57-V74</f>
        <v>2103</v>
      </c>
      <c r="W100" s="385">
        <f t="shared" ref="W100:AG100" si="506">+V100+W57-W74</f>
        <v>2103</v>
      </c>
      <c r="X100" s="385">
        <f t="shared" si="506"/>
        <v>2103</v>
      </c>
      <c r="Y100" s="385">
        <f t="shared" si="506"/>
        <v>2103</v>
      </c>
      <c r="Z100" s="385">
        <f t="shared" si="506"/>
        <v>2103</v>
      </c>
      <c r="AA100" s="385">
        <f t="shared" si="506"/>
        <v>2103</v>
      </c>
      <c r="AB100" s="385">
        <f t="shared" si="506"/>
        <v>2103</v>
      </c>
      <c r="AC100" s="385">
        <f t="shared" si="506"/>
        <v>2103</v>
      </c>
      <c r="AD100" s="385">
        <f t="shared" si="506"/>
        <v>2103</v>
      </c>
      <c r="AE100" s="385">
        <f t="shared" si="506"/>
        <v>2103</v>
      </c>
      <c r="AF100" s="385">
        <f t="shared" si="506"/>
        <v>2103</v>
      </c>
      <c r="AG100" s="387">
        <f t="shared" si="506"/>
        <v>2103</v>
      </c>
      <c r="AH100" s="388">
        <f>+AVERAGE(V96:AG96)</f>
        <v>63653.426673594862</v>
      </c>
      <c r="AI100" s="385">
        <f>+AG100+AI57-AI74</f>
        <v>2103</v>
      </c>
      <c r="AJ100" s="385">
        <f t="shared" ref="AJ100:AT100" si="507">+AI100+AJ57-AJ74</f>
        <v>2103</v>
      </c>
      <c r="AK100" s="385">
        <f t="shared" si="507"/>
        <v>2103</v>
      </c>
      <c r="AL100" s="385">
        <f t="shared" si="507"/>
        <v>2103</v>
      </c>
      <c r="AM100" s="385">
        <f t="shared" si="507"/>
        <v>2103</v>
      </c>
      <c r="AN100" s="385">
        <f t="shared" si="507"/>
        <v>2103</v>
      </c>
      <c r="AO100" s="385">
        <f t="shared" si="507"/>
        <v>2103</v>
      </c>
      <c r="AP100" s="385">
        <f t="shared" si="507"/>
        <v>2103</v>
      </c>
      <c r="AQ100" s="385">
        <f t="shared" si="507"/>
        <v>2103</v>
      </c>
      <c r="AR100" s="385">
        <f t="shared" si="507"/>
        <v>2103</v>
      </c>
      <c r="AS100" s="385">
        <f t="shared" si="507"/>
        <v>2103</v>
      </c>
      <c r="AT100" s="387">
        <f t="shared" si="507"/>
        <v>2103</v>
      </c>
      <c r="AU100" s="388">
        <f>+AVERAGE(AI96:AT96)</f>
        <v>46390.575546144675</v>
      </c>
      <c r="AV100" s="385">
        <f>+AT100+AV57-AV74</f>
        <v>2103</v>
      </c>
      <c r="AW100" s="385">
        <f t="shared" ref="AW100:BG100" si="508">+AV100+AW57-AW74</f>
        <v>2103</v>
      </c>
      <c r="AX100" s="385">
        <f t="shared" si="508"/>
        <v>2103</v>
      </c>
      <c r="AY100" s="385">
        <f t="shared" si="508"/>
        <v>2103</v>
      </c>
      <c r="AZ100" s="385">
        <f t="shared" si="508"/>
        <v>2103</v>
      </c>
      <c r="BA100" s="385">
        <f t="shared" si="508"/>
        <v>2103</v>
      </c>
      <c r="BB100" s="385">
        <f t="shared" si="508"/>
        <v>2103</v>
      </c>
      <c r="BC100" s="385">
        <f t="shared" si="508"/>
        <v>2103</v>
      </c>
      <c r="BD100" s="385">
        <f t="shared" si="508"/>
        <v>2103</v>
      </c>
      <c r="BE100" s="385">
        <f t="shared" si="508"/>
        <v>2103</v>
      </c>
      <c r="BF100" s="385">
        <f t="shared" si="508"/>
        <v>2103</v>
      </c>
      <c r="BG100" s="387">
        <f t="shared" si="508"/>
        <v>2103</v>
      </c>
      <c r="BH100" s="389">
        <f>+AVERAGE(AV96:BG96)</f>
        <v>23156.236619927673</v>
      </c>
      <c r="BI100" s="385">
        <f>+BG100+BI57-BI74</f>
        <v>2103</v>
      </c>
      <c r="BJ100" s="385">
        <f t="shared" ref="BJ100:BT100" si="509">+BI100+BJ57-BJ74</f>
        <v>2103</v>
      </c>
      <c r="BK100" s="385">
        <f t="shared" si="509"/>
        <v>2103</v>
      </c>
      <c r="BL100" s="385">
        <f t="shared" si="509"/>
        <v>2103</v>
      </c>
      <c r="BM100" s="385">
        <f t="shared" si="509"/>
        <v>2103</v>
      </c>
      <c r="BN100" s="385">
        <f t="shared" si="509"/>
        <v>2103</v>
      </c>
      <c r="BO100" s="385">
        <f t="shared" si="509"/>
        <v>2103</v>
      </c>
      <c r="BP100" s="385">
        <f t="shared" si="509"/>
        <v>2103</v>
      </c>
      <c r="BQ100" s="385">
        <f t="shared" si="509"/>
        <v>2103</v>
      </c>
      <c r="BR100" s="385">
        <f t="shared" si="509"/>
        <v>2103</v>
      </c>
      <c r="BS100" s="385">
        <f t="shared" si="509"/>
        <v>2103</v>
      </c>
      <c r="BT100" s="387">
        <f t="shared" si="509"/>
        <v>2103</v>
      </c>
      <c r="BU100" s="389">
        <f>+AVERAGE(BI96:BT96)</f>
        <v>1389.0631220134644</v>
      </c>
      <c r="BV100" s="385">
        <f>+BT100+BV57-BV74</f>
        <v>2103</v>
      </c>
      <c r="BW100" s="385">
        <f t="shared" ref="BW100:CG100" si="510">+BV100+BW57-BW74</f>
        <v>2103</v>
      </c>
      <c r="BX100" s="385">
        <f t="shared" si="510"/>
        <v>2103</v>
      </c>
      <c r="BY100" s="385">
        <f t="shared" si="510"/>
        <v>2103</v>
      </c>
      <c r="BZ100" s="385">
        <f t="shared" si="510"/>
        <v>2103</v>
      </c>
      <c r="CA100" s="385">
        <f t="shared" si="510"/>
        <v>2103</v>
      </c>
      <c r="CB100" s="385">
        <f t="shared" si="510"/>
        <v>2103</v>
      </c>
      <c r="CC100" s="385">
        <f t="shared" si="510"/>
        <v>2103</v>
      </c>
      <c r="CD100" s="385">
        <f t="shared" si="510"/>
        <v>2103</v>
      </c>
      <c r="CE100" s="385">
        <f t="shared" si="510"/>
        <v>2103</v>
      </c>
      <c r="CF100" s="385">
        <f t="shared" si="510"/>
        <v>2103</v>
      </c>
      <c r="CG100" s="387">
        <f t="shared" si="510"/>
        <v>2103</v>
      </c>
      <c r="CH100" s="389">
        <f>+AVERAGE(BV96:CG96)</f>
        <v>0</v>
      </c>
      <c r="CI100" s="385">
        <f>+CG100+CI57-CI74</f>
        <v>2103</v>
      </c>
      <c r="CJ100" s="385">
        <f t="shared" ref="CJ100:CT100" si="511">+CI100+CJ57-CJ74</f>
        <v>2103</v>
      </c>
      <c r="CK100" s="385">
        <f t="shared" si="511"/>
        <v>2103</v>
      </c>
      <c r="CL100" s="385">
        <f t="shared" si="511"/>
        <v>2103</v>
      </c>
      <c r="CM100" s="385">
        <f t="shared" si="511"/>
        <v>2103</v>
      </c>
      <c r="CN100" s="385">
        <f t="shared" si="511"/>
        <v>2103</v>
      </c>
      <c r="CO100" s="385">
        <f t="shared" si="511"/>
        <v>2103</v>
      </c>
      <c r="CP100" s="385">
        <f t="shared" si="511"/>
        <v>2103</v>
      </c>
      <c r="CQ100" s="385">
        <f t="shared" si="511"/>
        <v>2103</v>
      </c>
      <c r="CR100" s="385">
        <f t="shared" si="511"/>
        <v>2103</v>
      </c>
      <c r="CS100" s="385">
        <f t="shared" si="511"/>
        <v>2103</v>
      </c>
      <c r="CT100" s="387">
        <f t="shared" si="511"/>
        <v>2103</v>
      </c>
      <c r="CU100" s="389">
        <f>+AVERAGE(CI96:CT96)</f>
        <v>0</v>
      </c>
      <c r="CV100" s="385">
        <f>+CT100+CV57-CV74</f>
        <v>2103</v>
      </c>
      <c r="CW100" s="385">
        <f t="shared" ref="CW100:DG100" si="512">+CV100+CW57-CW74</f>
        <v>2103</v>
      </c>
      <c r="CX100" s="385">
        <f t="shared" si="512"/>
        <v>2103</v>
      </c>
      <c r="CY100" s="385">
        <f t="shared" si="512"/>
        <v>2103</v>
      </c>
      <c r="CZ100" s="385">
        <f t="shared" si="512"/>
        <v>2103</v>
      </c>
      <c r="DA100" s="385">
        <f t="shared" si="512"/>
        <v>2103</v>
      </c>
      <c r="DB100" s="385">
        <f t="shared" si="512"/>
        <v>2103</v>
      </c>
      <c r="DC100" s="385">
        <f t="shared" si="512"/>
        <v>2103</v>
      </c>
      <c r="DD100" s="385">
        <f t="shared" si="512"/>
        <v>2103</v>
      </c>
      <c r="DE100" s="385">
        <f t="shared" si="512"/>
        <v>2103</v>
      </c>
      <c r="DF100" s="385">
        <f t="shared" si="512"/>
        <v>2103</v>
      </c>
      <c r="DG100" s="387">
        <f t="shared" si="512"/>
        <v>2103</v>
      </c>
      <c r="DH100" s="389">
        <f>+AVERAGE(CV96:DG96)</f>
        <v>0</v>
      </c>
      <c r="DI100" s="385">
        <f>+DG100+DI57-DI74</f>
        <v>2103</v>
      </c>
      <c r="DJ100" s="385">
        <f t="shared" ref="DJ100:DT100" si="513">+DI100+DJ57-DJ74</f>
        <v>2103</v>
      </c>
      <c r="DK100" s="385">
        <f t="shared" si="513"/>
        <v>2103</v>
      </c>
      <c r="DL100" s="385">
        <f t="shared" si="513"/>
        <v>2103</v>
      </c>
      <c r="DM100" s="385">
        <f t="shared" si="513"/>
        <v>2103</v>
      </c>
      <c r="DN100" s="385">
        <f t="shared" si="513"/>
        <v>2103</v>
      </c>
      <c r="DO100" s="385">
        <f t="shared" si="513"/>
        <v>2103</v>
      </c>
      <c r="DP100" s="385">
        <f t="shared" si="513"/>
        <v>2103</v>
      </c>
      <c r="DQ100" s="385">
        <f t="shared" si="513"/>
        <v>2103</v>
      </c>
      <c r="DR100" s="385">
        <f t="shared" si="513"/>
        <v>2103</v>
      </c>
      <c r="DS100" s="385">
        <f t="shared" si="513"/>
        <v>2103</v>
      </c>
      <c r="DT100" s="387">
        <f t="shared" si="513"/>
        <v>2103</v>
      </c>
      <c r="DU100" s="389">
        <f>+AVERAGE(DI96:DT96)</f>
        <v>0</v>
      </c>
      <c r="DV100" s="385">
        <f>+DT100+DV57-DV74</f>
        <v>2103</v>
      </c>
      <c r="DW100" s="385">
        <f t="shared" ref="DW100:EG100" si="514">+DV100+DW57-DW74</f>
        <v>2103</v>
      </c>
      <c r="DX100" s="385">
        <f t="shared" si="514"/>
        <v>2103</v>
      </c>
      <c r="DY100" s="385">
        <f t="shared" si="514"/>
        <v>2103</v>
      </c>
      <c r="DZ100" s="385">
        <f t="shared" si="514"/>
        <v>2103</v>
      </c>
      <c r="EA100" s="385">
        <f t="shared" si="514"/>
        <v>2103</v>
      </c>
      <c r="EB100" s="385">
        <f t="shared" si="514"/>
        <v>2103</v>
      </c>
      <c r="EC100" s="385">
        <f t="shared" si="514"/>
        <v>2103</v>
      </c>
      <c r="ED100" s="385">
        <f t="shared" si="514"/>
        <v>2103</v>
      </c>
      <c r="EE100" s="385">
        <f t="shared" si="514"/>
        <v>2103</v>
      </c>
      <c r="EF100" s="385">
        <f t="shared" si="514"/>
        <v>2103</v>
      </c>
      <c r="EG100" s="387">
        <f t="shared" si="514"/>
        <v>2103</v>
      </c>
      <c r="EH100" s="389">
        <f>+AVERAGE(DV96:EG96)</f>
        <v>0</v>
      </c>
      <c r="EI100" s="25"/>
      <c r="EJ100" s="25"/>
      <c r="EK100" s="25"/>
      <c r="EL100" s="390"/>
      <c r="EM100" s="25"/>
    </row>
    <row r="101" spans="1:143" ht="15" customHeight="1">
      <c r="A101" s="25"/>
      <c r="B101" s="25"/>
      <c r="C101" s="25"/>
      <c r="D101" s="622">
        <f t="shared" si="323"/>
        <v>92</v>
      </c>
      <c r="E101" s="1625"/>
      <c r="F101" s="656" t="s">
        <v>622</v>
      </c>
      <c r="G101" s="368"/>
      <c r="H101" s="369">
        <f>+Historical!K38</f>
        <v>2303</v>
      </c>
      <c r="I101" s="385">
        <f t="shared" ref="I101:T101" si="515">+H101</f>
        <v>2303</v>
      </c>
      <c r="J101" s="385">
        <f t="shared" si="515"/>
        <v>2303</v>
      </c>
      <c r="K101" s="385">
        <f t="shared" si="515"/>
        <v>2303</v>
      </c>
      <c r="L101" s="385">
        <f t="shared" si="515"/>
        <v>2303</v>
      </c>
      <c r="M101" s="385">
        <f t="shared" si="515"/>
        <v>2303</v>
      </c>
      <c r="N101" s="385">
        <f t="shared" si="515"/>
        <v>2303</v>
      </c>
      <c r="O101" s="385">
        <f t="shared" si="515"/>
        <v>2303</v>
      </c>
      <c r="P101" s="385">
        <f t="shared" si="515"/>
        <v>2303</v>
      </c>
      <c r="Q101" s="385">
        <f t="shared" si="515"/>
        <v>2303</v>
      </c>
      <c r="R101" s="385">
        <f t="shared" si="515"/>
        <v>2303</v>
      </c>
      <c r="S101" s="385">
        <f t="shared" si="515"/>
        <v>2303</v>
      </c>
      <c r="T101" s="387">
        <f t="shared" si="515"/>
        <v>2303</v>
      </c>
      <c r="U101" s="391"/>
      <c r="V101" s="385">
        <f>+T101</f>
        <v>2303</v>
      </c>
      <c r="W101" s="385">
        <f t="shared" ref="W101:AG101" si="516">+V101</f>
        <v>2303</v>
      </c>
      <c r="X101" s="385">
        <f t="shared" si="516"/>
        <v>2303</v>
      </c>
      <c r="Y101" s="385">
        <f t="shared" si="516"/>
        <v>2303</v>
      </c>
      <c r="Z101" s="385">
        <f t="shared" si="516"/>
        <v>2303</v>
      </c>
      <c r="AA101" s="385">
        <f t="shared" si="516"/>
        <v>2303</v>
      </c>
      <c r="AB101" s="385">
        <f t="shared" si="516"/>
        <v>2303</v>
      </c>
      <c r="AC101" s="385">
        <f t="shared" si="516"/>
        <v>2303</v>
      </c>
      <c r="AD101" s="385">
        <f t="shared" si="516"/>
        <v>2303</v>
      </c>
      <c r="AE101" s="385">
        <f t="shared" si="516"/>
        <v>2303</v>
      </c>
      <c r="AF101" s="385">
        <f t="shared" si="516"/>
        <v>2303</v>
      </c>
      <c r="AG101" s="387">
        <f t="shared" si="516"/>
        <v>2303</v>
      </c>
      <c r="AH101" s="360"/>
      <c r="AI101" s="385">
        <f>+AG101</f>
        <v>2303</v>
      </c>
      <c r="AJ101" s="385">
        <f t="shared" ref="AJ101:AT101" si="517">+AI101</f>
        <v>2303</v>
      </c>
      <c r="AK101" s="385">
        <f t="shared" si="517"/>
        <v>2303</v>
      </c>
      <c r="AL101" s="385">
        <f t="shared" si="517"/>
        <v>2303</v>
      </c>
      <c r="AM101" s="385">
        <f t="shared" si="517"/>
        <v>2303</v>
      </c>
      <c r="AN101" s="385">
        <f t="shared" si="517"/>
        <v>2303</v>
      </c>
      <c r="AO101" s="385">
        <f t="shared" si="517"/>
        <v>2303</v>
      </c>
      <c r="AP101" s="385">
        <f t="shared" si="517"/>
        <v>2303</v>
      </c>
      <c r="AQ101" s="385">
        <f t="shared" si="517"/>
        <v>2303</v>
      </c>
      <c r="AR101" s="385">
        <f t="shared" si="517"/>
        <v>2303</v>
      </c>
      <c r="AS101" s="385">
        <f t="shared" si="517"/>
        <v>2303</v>
      </c>
      <c r="AT101" s="387">
        <f t="shared" si="517"/>
        <v>2303</v>
      </c>
      <c r="AU101" s="360"/>
      <c r="AV101" s="385">
        <f>+AT101</f>
        <v>2303</v>
      </c>
      <c r="AW101" s="385">
        <f t="shared" ref="AW101:BG101" si="518">+AV101</f>
        <v>2303</v>
      </c>
      <c r="AX101" s="385">
        <f t="shared" si="518"/>
        <v>2303</v>
      </c>
      <c r="AY101" s="385">
        <f t="shared" si="518"/>
        <v>2303</v>
      </c>
      <c r="AZ101" s="385">
        <f t="shared" si="518"/>
        <v>2303</v>
      </c>
      <c r="BA101" s="385">
        <f t="shared" si="518"/>
        <v>2303</v>
      </c>
      <c r="BB101" s="385">
        <f t="shared" si="518"/>
        <v>2303</v>
      </c>
      <c r="BC101" s="385">
        <f t="shared" si="518"/>
        <v>2303</v>
      </c>
      <c r="BD101" s="385">
        <f t="shared" si="518"/>
        <v>2303</v>
      </c>
      <c r="BE101" s="385">
        <f t="shared" si="518"/>
        <v>2303</v>
      </c>
      <c r="BF101" s="385">
        <f t="shared" si="518"/>
        <v>2303</v>
      </c>
      <c r="BG101" s="387">
        <f t="shared" si="518"/>
        <v>2303</v>
      </c>
      <c r="BH101" s="360"/>
      <c r="BI101" s="385">
        <f>+BG101</f>
        <v>2303</v>
      </c>
      <c r="BJ101" s="385">
        <f t="shared" ref="BJ101:BT101" si="519">+BI101</f>
        <v>2303</v>
      </c>
      <c r="BK101" s="385">
        <f t="shared" si="519"/>
        <v>2303</v>
      </c>
      <c r="BL101" s="385">
        <f t="shared" si="519"/>
        <v>2303</v>
      </c>
      <c r="BM101" s="385">
        <f t="shared" si="519"/>
        <v>2303</v>
      </c>
      <c r="BN101" s="385">
        <f t="shared" si="519"/>
        <v>2303</v>
      </c>
      <c r="BO101" s="385">
        <f t="shared" si="519"/>
        <v>2303</v>
      </c>
      <c r="BP101" s="385">
        <f t="shared" si="519"/>
        <v>2303</v>
      </c>
      <c r="BQ101" s="385">
        <f t="shared" si="519"/>
        <v>2303</v>
      </c>
      <c r="BR101" s="385">
        <f t="shared" si="519"/>
        <v>2303</v>
      </c>
      <c r="BS101" s="385">
        <f t="shared" si="519"/>
        <v>2303</v>
      </c>
      <c r="BT101" s="387">
        <f t="shared" si="519"/>
        <v>2303</v>
      </c>
      <c r="BU101" s="360"/>
      <c r="BV101" s="385">
        <f>+BT101</f>
        <v>2303</v>
      </c>
      <c r="BW101" s="385">
        <f t="shared" ref="BW101:CG101" si="520">+BV101</f>
        <v>2303</v>
      </c>
      <c r="BX101" s="385">
        <f t="shared" si="520"/>
        <v>2303</v>
      </c>
      <c r="BY101" s="385">
        <f t="shared" si="520"/>
        <v>2303</v>
      </c>
      <c r="BZ101" s="385">
        <f t="shared" si="520"/>
        <v>2303</v>
      </c>
      <c r="CA101" s="385">
        <f t="shared" si="520"/>
        <v>2303</v>
      </c>
      <c r="CB101" s="385">
        <f t="shared" si="520"/>
        <v>2303</v>
      </c>
      <c r="CC101" s="385">
        <f t="shared" si="520"/>
        <v>2303</v>
      </c>
      <c r="CD101" s="385">
        <f t="shared" si="520"/>
        <v>2303</v>
      </c>
      <c r="CE101" s="385">
        <f t="shared" si="520"/>
        <v>2303</v>
      </c>
      <c r="CF101" s="385">
        <f t="shared" si="520"/>
        <v>2303</v>
      </c>
      <c r="CG101" s="387">
        <f t="shared" si="520"/>
        <v>2303</v>
      </c>
      <c r="CH101" s="360"/>
      <c r="CI101" s="385">
        <f>+CG101</f>
        <v>2303</v>
      </c>
      <c r="CJ101" s="385">
        <f t="shared" ref="CJ101:CT101" si="521">+CI101</f>
        <v>2303</v>
      </c>
      <c r="CK101" s="385">
        <f t="shared" si="521"/>
        <v>2303</v>
      </c>
      <c r="CL101" s="385">
        <f t="shared" si="521"/>
        <v>2303</v>
      </c>
      <c r="CM101" s="385">
        <f t="shared" si="521"/>
        <v>2303</v>
      </c>
      <c r="CN101" s="385">
        <f t="shared" si="521"/>
        <v>2303</v>
      </c>
      <c r="CO101" s="385">
        <f t="shared" si="521"/>
        <v>2303</v>
      </c>
      <c r="CP101" s="385">
        <f t="shared" si="521"/>
        <v>2303</v>
      </c>
      <c r="CQ101" s="385">
        <f t="shared" si="521"/>
        <v>2303</v>
      </c>
      <c r="CR101" s="385">
        <f t="shared" si="521"/>
        <v>2303</v>
      </c>
      <c r="CS101" s="385">
        <f t="shared" si="521"/>
        <v>2303</v>
      </c>
      <c r="CT101" s="387">
        <f t="shared" si="521"/>
        <v>2303</v>
      </c>
      <c r="CU101" s="360"/>
      <c r="CV101" s="385">
        <f>+CT101</f>
        <v>2303</v>
      </c>
      <c r="CW101" s="385">
        <f t="shared" ref="CW101:DG101" si="522">+CV101</f>
        <v>2303</v>
      </c>
      <c r="CX101" s="385">
        <f t="shared" si="522"/>
        <v>2303</v>
      </c>
      <c r="CY101" s="385">
        <f t="shared" si="522"/>
        <v>2303</v>
      </c>
      <c r="CZ101" s="385">
        <f t="shared" si="522"/>
        <v>2303</v>
      </c>
      <c r="DA101" s="385">
        <f t="shared" si="522"/>
        <v>2303</v>
      </c>
      <c r="DB101" s="385">
        <f t="shared" si="522"/>
        <v>2303</v>
      </c>
      <c r="DC101" s="385">
        <f t="shared" si="522"/>
        <v>2303</v>
      </c>
      <c r="DD101" s="385">
        <f t="shared" si="522"/>
        <v>2303</v>
      </c>
      <c r="DE101" s="385">
        <f t="shared" si="522"/>
        <v>2303</v>
      </c>
      <c r="DF101" s="385">
        <f t="shared" si="522"/>
        <v>2303</v>
      </c>
      <c r="DG101" s="387">
        <f t="shared" si="522"/>
        <v>2303</v>
      </c>
      <c r="DH101" s="360"/>
      <c r="DI101" s="385">
        <f>+DG101</f>
        <v>2303</v>
      </c>
      <c r="DJ101" s="385">
        <f t="shared" ref="DJ101:DT101" si="523">+DI101</f>
        <v>2303</v>
      </c>
      <c r="DK101" s="385">
        <f t="shared" si="523"/>
        <v>2303</v>
      </c>
      <c r="DL101" s="385">
        <f t="shared" si="523"/>
        <v>2303</v>
      </c>
      <c r="DM101" s="385">
        <f t="shared" si="523"/>
        <v>2303</v>
      </c>
      <c r="DN101" s="385">
        <f t="shared" si="523"/>
        <v>2303</v>
      </c>
      <c r="DO101" s="385">
        <f t="shared" si="523"/>
        <v>2303</v>
      </c>
      <c r="DP101" s="385">
        <f t="shared" si="523"/>
        <v>2303</v>
      </c>
      <c r="DQ101" s="385">
        <f t="shared" si="523"/>
        <v>2303</v>
      </c>
      <c r="DR101" s="385">
        <f t="shared" si="523"/>
        <v>2303</v>
      </c>
      <c r="DS101" s="385">
        <f t="shared" si="523"/>
        <v>2303</v>
      </c>
      <c r="DT101" s="387">
        <f t="shared" si="523"/>
        <v>2303</v>
      </c>
      <c r="DU101" s="360"/>
      <c r="DV101" s="385">
        <f>+DT101</f>
        <v>2303</v>
      </c>
      <c r="DW101" s="385">
        <f t="shared" ref="DW101:EG101" si="524">+DV101</f>
        <v>2303</v>
      </c>
      <c r="DX101" s="385">
        <f t="shared" si="524"/>
        <v>2303</v>
      </c>
      <c r="DY101" s="385">
        <f t="shared" si="524"/>
        <v>2303</v>
      </c>
      <c r="DZ101" s="385">
        <f t="shared" si="524"/>
        <v>2303</v>
      </c>
      <c r="EA101" s="385">
        <f t="shared" si="524"/>
        <v>2303</v>
      </c>
      <c r="EB101" s="385">
        <f t="shared" si="524"/>
        <v>2303</v>
      </c>
      <c r="EC101" s="385">
        <f t="shared" si="524"/>
        <v>2303</v>
      </c>
      <c r="ED101" s="385">
        <f t="shared" si="524"/>
        <v>2303</v>
      </c>
      <c r="EE101" s="385">
        <f t="shared" si="524"/>
        <v>2303</v>
      </c>
      <c r="EF101" s="385">
        <f t="shared" si="524"/>
        <v>2303</v>
      </c>
      <c r="EG101" s="387">
        <f t="shared" si="524"/>
        <v>2303</v>
      </c>
      <c r="EH101" s="360"/>
      <c r="EI101" s="25"/>
      <c r="EJ101" s="25"/>
      <c r="EK101" s="25"/>
      <c r="EL101" s="25"/>
      <c r="EM101" s="25"/>
    </row>
    <row r="102" spans="1:143" ht="14.25" customHeight="1">
      <c r="A102" s="25"/>
      <c r="B102" s="25"/>
      <c r="C102" s="25"/>
      <c r="D102" s="622">
        <f t="shared" ref="D102:D129" si="525">+D101+1</f>
        <v>93</v>
      </c>
      <c r="E102" s="1625"/>
      <c r="F102" s="656" t="s">
        <v>623</v>
      </c>
      <c r="G102" s="368"/>
      <c r="H102" s="369">
        <f>+Projection!H42+Projection!H44+Projection!H45</f>
        <v>10709</v>
      </c>
      <c r="I102" s="385">
        <f t="shared" ref="I102:T102" si="526">+H102+I54-I77</f>
        <v>70709</v>
      </c>
      <c r="J102" s="385">
        <f t="shared" si="526"/>
        <v>70709</v>
      </c>
      <c r="K102" s="385">
        <f t="shared" si="526"/>
        <v>70709</v>
      </c>
      <c r="L102" s="385">
        <f t="shared" si="526"/>
        <v>70709</v>
      </c>
      <c r="M102" s="385">
        <f t="shared" si="526"/>
        <v>70709</v>
      </c>
      <c r="N102" s="385">
        <f t="shared" si="526"/>
        <v>70709</v>
      </c>
      <c r="O102" s="385">
        <f t="shared" si="526"/>
        <v>70709</v>
      </c>
      <c r="P102" s="385">
        <f t="shared" si="526"/>
        <v>70709</v>
      </c>
      <c r="Q102" s="385">
        <f t="shared" si="526"/>
        <v>70709</v>
      </c>
      <c r="R102" s="385">
        <f t="shared" si="526"/>
        <v>70709</v>
      </c>
      <c r="S102" s="385">
        <f t="shared" si="526"/>
        <v>70709</v>
      </c>
      <c r="T102" s="386">
        <f t="shared" si="526"/>
        <v>70697</v>
      </c>
      <c r="U102" s="371" t="s">
        <v>624</v>
      </c>
      <c r="V102" s="385">
        <f>+T102+V54-V77</f>
        <v>70697</v>
      </c>
      <c r="W102" s="385">
        <f t="shared" ref="W102:AG102" si="527">+V102+W54-W77</f>
        <v>70697</v>
      </c>
      <c r="X102" s="385">
        <f t="shared" si="527"/>
        <v>70697</v>
      </c>
      <c r="Y102" s="385">
        <f t="shared" si="527"/>
        <v>70697</v>
      </c>
      <c r="Z102" s="385">
        <f t="shared" si="527"/>
        <v>70697</v>
      </c>
      <c r="AA102" s="385">
        <f t="shared" si="527"/>
        <v>70697</v>
      </c>
      <c r="AB102" s="385">
        <f t="shared" si="527"/>
        <v>70697</v>
      </c>
      <c r="AC102" s="385">
        <f t="shared" si="527"/>
        <v>70697</v>
      </c>
      <c r="AD102" s="385">
        <f t="shared" si="527"/>
        <v>70697</v>
      </c>
      <c r="AE102" s="385">
        <f t="shared" si="527"/>
        <v>70697</v>
      </c>
      <c r="AF102" s="385">
        <f t="shared" si="527"/>
        <v>70697</v>
      </c>
      <c r="AG102" s="386">
        <f t="shared" si="527"/>
        <v>70697</v>
      </c>
      <c r="AH102" s="371" t="s">
        <v>624</v>
      </c>
      <c r="AI102" s="385">
        <f>+AG102+AI54-AI77</f>
        <v>70697</v>
      </c>
      <c r="AJ102" s="385">
        <f t="shared" ref="AJ102:AT102" si="528">+AI102+AJ54-AJ77</f>
        <v>70697</v>
      </c>
      <c r="AK102" s="385">
        <f t="shared" si="528"/>
        <v>70697</v>
      </c>
      <c r="AL102" s="385">
        <f t="shared" si="528"/>
        <v>70697</v>
      </c>
      <c r="AM102" s="385">
        <f t="shared" si="528"/>
        <v>70697</v>
      </c>
      <c r="AN102" s="385">
        <f t="shared" si="528"/>
        <v>70697</v>
      </c>
      <c r="AO102" s="385">
        <f t="shared" si="528"/>
        <v>70697</v>
      </c>
      <c r="AP102" s="385">
        <f t="shared" si="528"/>
        <v>70697</v>
      </c>
      <c r="AQ102" s="385">
        <f t="shared" si="528"/>
        <v>70697</v>
      </c>
      <c r="AR102" s="385">
        <f t="shared" si="528"/>
        <v>70697</v>
      </c>
      <c r="AS102" s="385">
        <f t="shared" si="528"/>
        <v>70697</v>
      </c>
      <c r="AT102" s="386">
        <f t="shared" si="528"/>
        <v>70697</v>
      </c>
      <c r="AU102" s="371" t="s">
        <v>624</v>
      </c>
      <c r="AV102" s="385">
        <f>+AT102+AV54-AV77</f>
        <v>70697</v>
      </c>
      <c r="AW102" s="385">
        <f t="shared" ref="AW102:BG102" si="529">+AV102+AW54-AW77</f>
        <v>70697</v>
      </c>
      <c r="AX102" s="385">
        <f t="shared" si="529"/>
        <v>70697</v>
      </c>
      <c r="AY102" s="385">
        <f t="shared" si="529"/>
        <v>70697</v>
      </c>
      <c r="AZ102" s="385">
        <f t="shared" si="529"/>
        <v>70697</v>
      </c>
      <c r="BA102" s="385">
        <f t="shared" si="529"/>
        <v>70697</v>
      </c>
      <c r="BB102" s="385">
        <f t="shared" si="529"/>
        <v>70697</v>
      </c>
      <c r="BC102" s="385">
        <f t="shared" si="529"/>
        <v>70697</v>
      </c>
      <c r="BD102" s="385">
        <f t="shared" si="529"/>
        <v>70697</v>
      </c>
      <c r="BE102" s="385">
        <f t="shared" si="529"/>
        <v>70697</v>
      </c>
      <c r="BF102" s="385">
        <f t="shared" si="529"/>
        <v>70697</v>
      </c>
      <c r="BG102" s="386">
        <f t="shared" si="529"/>
        <v>70697</v>
      </c>
      <c r="BH102" s="371" t="s">
        <v>624</v>
      </c>
      <c r="BI102" s="385">
        <f>+BG102+BI54-BI77</f>
        <v>70697</v>
      </c>
      <c r="BJ102" s="385">
        <f t="shared" ref="BJ102:BT102" si="530">+BI102+BJ54-BJ77</f>
        <v>70697</v>
      </c>
      <c r="BK102" s="385">
        <f t="shared" si="530"/>
        <v>70697</v>
      </c>
      <c r="BL102" s="385">
        <f t="shared" si="530"/>
        <v>70697</v>
      </c>
      <c r="BM102" s="385">
        <f t="shared" si="530"/>
        <v>70697</v>
      </c>
      <c r="BN102" s="385">
        <f t="shared" si="530"/>
        <v>70697</v>
      </c>
      <c r="BO102" s="385">
        <f t="shared" si="530"/>
        <v>70697</v>
      </c>
      <c r="BP102" s="385">
        <f t="shared" si="530"/>
        <v>70697</v>
      </c>
      <c r="BQ102" s="385">
        <f t="shared" si="530"/>
        <v>70697</v>
      </c>
      <c r="BR102" s="385">
        <f t="shared" si="530"/>
        <v>70697</v>
      </c>
      <c r="BS102" s="385">
        <f t="shared" si="530"/>
        <v>70697</v>
      </c>
      <c r="BT102" s="386">
        <f t="shared" si="530"/>
        <v>70697</v>
      </c>
      <c r="BU102" s="371" t="s">
        <v>624</v>
      </c>
      <c r="BV102" s="385">
        <f>+BT102+BV54-BV77</f>
        <v>70697</v>
      </c>
      <c r="BW102" s="385">
        <f t="shared" ref="BW102:CG102" si="531">+BV102+BW54-BW77</f>
        <v>70697</v>
      </c>
      <c r="BX102" s="385">
        <f t="shared" si="531"/>
        <v>70697</v>
      </c>
      <c r="BY102" s="385">
        <f t="shared" si="531"/>
        <v>70697</v>
      </c>
      <c r="BZ102" s="385">
        <f t="shared" si="531"/>
        <v>70697</v>
      </c>
      <c r="CA102" s="385">
        <f t="shared" si="531"/>
        <v>70697</v>
      </c>
      <c r="CB102" s="385">
        <f t="shared" si="531"/>
        <v>70697</v>
      </c>
      <c r="CC102" s="385">
        <f t="shared" si="531"/>
        <v>70697</v>
      </c>
      <c r="CD102" s="385">
        <f t="shared" si="531"/>
        <v>70697</v>
      </c>
      <c r="CE102" s="385">
        <f t="shared" si="531"/>
        <v>70697</v>
      </c>
      <c r="CF102" s="385">
        <f t="shared" si="531"/>
        <v>70697</v>
      </c>
      <c r="CG102" s="386">
        <f t="shared" si="531"/>
        <v>70697</v>
      </c>
      <c r="CH102" s="371" t="s">
        <v>624</v>
      </c>
      <c r="CI102" s="385">
        <f>+CG102+CI54-CI77</f>
        <v>70697</v>
      </c>
      <c r="CJ102" s="385">
        <f t="shared" ref="CJ102:CT102" si="532">+CI102+CJ54-CJ77</f>
        <v>70697</v>
      </c>
      <c r="CK102" s="385">
        <f t="shared" si="532"/>
        <v>70697</v>
      </c>
      <c r="CL102" s="385">
        <f t="shared" si="532"/>
        <v>70697</v>
      </c>
      <c r="CM102" s="385">
        <f t="shared" si="532"/>
        <v>70697</v>
      </c>
      <c r="CN102" s="385">
        <f t="shared" si="532"/>
        <v>70697</v>
      </c>
      <c r="CO102" s="385">
        <f t="shared" si="532"/>
        <v>70697</v>
      </c>
      <c r="CP102" s="385">
        <f t="shared" si="532"/>
        <v>70697</v>
      </c>
      <c r="CQ102" s="385">
        <f t="shared" si="532"/>
        <v>70697</v>
      </c>
      <c r="CR102" s="385">
        <f t="shared" si="532"/>
        <v>70697</v>
      </c>
      <c r="CS102" s="385">
        <f t="shared" si="532"/>
        <v>70697</v>
      </c>
      <c r="CT102" s="386">
        <f t="shared" si="532"/>
        <v>70697</v>
      </c>
      <c r="CU102" s="371" t="s">
        <v>624</v>
      </c>
      <c r="CV102" s="385">
        <f>+CT102+CV54-CV77</f>
        <v>70697</v>
      </c>
      <c r="CW102" s="385">
        <f t="shared" ref="CW102:DG102" si="533">+CV102+CW54-CW77</f>
        <v>70697</v>
      </c>
      <c r="CX102" s="385">
        <f t="shared" si="533"/>
        <v>70697</v>
      </c>
      <c r="CY102" s="385">
        <f t="shared" si="533"/>
        <v>70697</v>
      </c>
      <c r="CZ102" s="385">
        <f t="shared" si="533"/>
        <v>70697</v>
      </c>
      <c r="DA102" s="385">
        <f t="shared" si="533"/>
        <v>70697</v>
      </c>
      <c r="DB102" s="385">
        <f t="shared" si="533"/>
        <v>70697</v>
      </c>
      <c r="DC102" s="385">
        <f t="shared" si="533"/>
        <v>70697</v>
      </c>
      <c r="DD102" s="385">
        <f t="shared" si="533"/>
        <v>70697</v>
      </c>
      <c r="DE102" s="385">
        <f t="shared" si="533"/>
        <v>70697</v>
      </c>
      <c r="DF102" s="385">
        <f t="shared" si="533"/>
        <v>70697</v>
      </c>
      <c r="DG102" s="386">
        <f t="shared" si="533"/>
        <v>70697</v>
      </c>
      <c r="DH102" s="371" t="s">
        <v>624</v>
      </c>
      <c r="DI102" s="385">
        <f>+DG102+DI54-DI77</f>
        <v>70697</v>
      </c>
      <c r="DJ102" s="385">
        <f t="shared" ref="DJ102:DT102" si="534">+DI102+DJ54-DJ77</f>
        <v>70697</v>
      </c>
      <c r="DK102" s="385">
        <f t="shared" si="534"/>
        <v>70697</v>
      </c>
      <c r="DL102" s="385">
        <f t="shared" si="534"/>
        <v>70697</v>
      </c>
      <c r="DM102" s="385">
        <f t="shared" si="534"/>
        <v>70697</v>
      </c>
      <c r="DN102" s="385">
        <f t="shared" si="534"/>
        <v>70697</v>
      </c>
      <c r="DO102" s="385">
        <f t="shared" si="534"/>
        <v>70697</v>
      </c>
      <c r="DP102" s="385">
        <f t="shared" si="534"/>
        <v>70697</v>
      </c>
      <c r="DQ102" s="385">
        <f t="shared" si="534"/>
        <v>70697</v>
      </c>
      <c r="DR102" s="385">
        <f t="shared" si="534"/>
        <v>70697</v>
      </c>
      <c r="DS102" s="385">
        <f t="shared" si="534"/>
        <v>70697</v>
      </c>
      <c r="DT102" s="386">
        <f t="shared" si="534"/>
        <v>70697</v>
      </c>
      <c r="DU102" s="371" t="s">
        <v>624</v>
      </c>
      <c r="DV102" s="385">
        <f>+DT102+DV54-DV77</f>
        <v>70697</v>
      </c>
      <c r="DW102" s="385">
        <f t="shared" ref="DW102:EG102" si="535">+DV102+DW54-DW77</f>
        <v>70697</v>
      </c>
      <c r="DX102" s="385">
        <f t="shared" si="535"/>
        <v>70697</v>
      </c>
      <c r="DY102" s="385">
        <f t="shared" si="535"/>
        <v>70697</v>
      </c>
      <c r="DZ102" s="385">
        <f t="shared" si="535"/>
        <v>70697</v>
      </c>
      <c r="EA102" s="385">
        <f t="shared" si="535"/>
        <v>70697</v>
      </c>
      <c r="EB102" s="385">
        <f t="shared" si="535"/>
        <v>70697</v>
      </c>
      <c r="EC102" s="385">
        <f t="shared" si="535"/>
        <v>70697</v>
      </c>
      <c r="ED102" s="385">
        <f t="shared" si="535"/>
        <v>70697</v>
      </c>
      <c r="EE102" s="385">
        <f t="shared" si="535"/>
        <v>70697</v>
      </c>
      <c r="EF102" s="385">
        <f t="shared" si="535"/>
        <v>70697</v>
      </c>
      <c r="EG102" s="386">
        <f t="shared" si="535"/>
        <v>70697</v>
      </c>
      <c r="EH102" s="371" t="s">
        <v>624</v>
      </c>
      <c r="EI102" s="25"/>
      <c r="EJ102" s="25"/>
      <c r="EK102" s="25"/>
      <c r="EL102" s="25"/>
      <c r="EM102" s="25"/>
    </row>
    <row r="103" spans="1:143" ht="14.25" customHeight="1">
      <c r="A103" s="21"/>
      <c r="B103" s="21"/>
      <c r="C103" s="21"/>
      <c r="D103" s="622">
        <f t="shared" si="525"/>
        <v>94</v>
      </c>
      <c r="E103" s="1625"/>
      <c r="F103" s="659" t="s">
        <v>625</v>
      </c>
      <c r="G103" s="296"/>
      <c r="H103" s="369">
        <f>+Assumption!G285</f>
        <v>6706</v>
      </c>
      <c r="I103" s="268">
        <f>+H103-I152</f>
        <v>6706</v>
      </c>
      <c r="J103" s="287">
        <f t="shared" ref="J103:T103" si="536">+I103-J152</f>
        <v>6706</v>
      </c>
      <c r="K103" s="287">
        <f t="shared" si="536"/>
        <v>6706</v>
      </c>
      <c r="L103" s="287">
        <f t="shared" si="536"/>
        <v>6706</v>
      </c>
      <c r="M103" s="287">
        <f t="shared" si="536"/>
        <v>6706</v>
      </c>
      <c r="N103" s="287">
        <f t="shared" si="536"/>
        <v>6706</v>
      </c>
      <c r="O103" s="287">
        <f t="shared" si="536"/>
        <v>6706</v>
      </c>
      <c r="P103" s="287">
        <f t="shared" si="536"/>
        <v>6706</v>
      </c>
      <c r="Q103" s="287">
        <f t="shared" si="536"/>
        <v>6706</v>
      </c>
      <c r="R103" s="287">
        <f t="shared" si="536"/>
        <v>6706</v>
      </c>
      <c r="S103" s="287">
        <f t="shared" si="536"/>
        <v>6706</v>
      </c>
      <c r="T103" s="288">
        <f t="shared" si="536"/>
        <v>6696</v>
      </c>
      <c r="U103" s="373" t="str">
        <f>+U94</f>
        <v>(IDR Million)</v>
      </c>
      <c r="V103" s="268">
        <f>+T103-V152</f>
        <v>6696</v>
      </c>
      <c r="W103" s="287">
        <f t="shared" ref="W103:AG103" si="537">+V103-W152</f>
        <v>6696</v>
      </c>
      <c r="X103" s="287">
        <f t="shared" si="537"/>
        <v>6696</v>
      </c>
      <c r="Y103" s="287">
        <f t="shared" si="537"/>
        <v>6696</v>
      </c>
      <c r="Z103" s="287">
        <f t="shared" si="537"/>
        <v>6696</v>
      </c>
      <c r="AA103" s="287">
        <f t="shared" si="537"/>
        <v>6696</v>
      </c>
      <c r="AB103" s="287">
        <f t="shared" si="537"/>
        <v>6696</v>
      </c>
      <c r="AC103" s="287">
        <f t="shared" si="537"/>
        <v>6696</v>
      </c>
      <c r="AD103" s="287">
        <f t="shared" si="537"/>
        <v>6696</v>
      </c>
      <c r="AE103" s="287">
        <f t="shared" si="537"/>
        <v>6696</v>
      </c>
      <c r="AF103" s="287">
        <f t="shared" si="537"/>
        <v>6696</v>
      </c>
      <c r="AG103" s="288">
        <f t="shared" si="537"/>
        <v>6696</v>
      </c>
      <c r="AH103" s="373" t="str">
        <f>+AH94</f>
        <v>(IDR Million)</v>
      </c>
      <c r="AI103" s="268">
        <f>+AG103-AI152</f>
        <v>6696</v>
      </c>
      <c r="AJ103" s="287">
        <f t="shared" ref="AJ103:AT103" si="538">+AI103-AJ152</f>
        <v>6696</v>
      </c>
      <c r="AK103" s="287">
        <f t="shared" si="538"/>
        <v>6696</v>
      </c>
      <c r="AL103" s="287">
        <f t="shared" si="538"/>
        <v>6696</v>
      </c>
      <c r="AM103" s="287">
        <f t="shared" si="538"/>
        <v>6696</v>
      </c>
      <c r="AN103" s="287">
        <f t="shared" si="538"/>
        <v>6696</v>
      </c>
      <c r="AO103" s="287">
        <f t="shared" si="538"/>
        <v>6696</v>
      </c>
      <c r="AP103" s="287">
        <f t="shared" si="538"/>
        <v>6696</v>
      </c>
      <c r="AQ103" s="287">
        <f t="shared" si="538"/>
        <v>6696</v>
      </c>
      <c r="AR103" s="287">
        <f t="shared" si="538"/>
        <v>6696</v>
      </c>
      <c r="AS103" s="287">
        <f t="shared" si="538"/>
        <v>6696</v>
      </c>
      <c r="AT103" s="288">
        <f t="shared" si="538"/>
        <v>6696</v>
      </c>
      <c r="AU103" s="373" t="str">
        <f>+AU94</f>
        <v>(IDR Million)</v>
      </c>
      <c r="AV103" s="268">
        <f>+AT103-AV152</f>
        <v>6696</v>
      </c>
      <c r="AW103" s="287">
        <f t="shared" ref="AW103:BG103" si="539">+AV103-AW152</f>
        <v>6696</v>
      </c>
      <c r="AX103" s="287">
        <f t="shared" si="539"/>
        <v>6696</v>
      </c>
      <c r="AY103" s="287">
        <f t="shared" si="539"/>
        <v>6696</v>
      </c>
      <c r="AZ103" s="287">
        <f t="shared" si="539"/>
        <v>6696</v>
      </c>
      <c r="BA103" s="287">
        <f t="shared" si="539"/>
        <v>6696</v>
      </c>
      <c r="BB103" s="287">
        <f t="shared" si="539"/>
        <v>6696</v>
      </c>
      <c r="BC103" s="287">
        <f t="shared" si="539"/>
        <v>6696</v>
      </c>
      <c r="BD103" s="287">
        <f t="shared" si="539"/>
        <v>6696</v>
      </c>
      <c r="BE103" s="287">
        <f t="shared" si="539"/>
        <v>6696</v>
      </c>
      <c r="BF103" s="287">
        <f t="shared" si="539"/>
        <v>6696</v>
      </c>
      <c r="BG103" s="288">
        <f t="shared" si="539"/>
        <v>6696</v>
      </c>
      <c r="BH103" s="373" t="str">
        <f>+BH94</f>
        <v>(IDR Million)</v>
      </c>
      <c r="BI103" s="268">
        <f>+BG103-BI152</f>
        <v>6696</v>
      </c>
      <c r="BJ103" s="287">
        <f t="shared" ref="BJ103:BT103" si="540">+BI103-BJ152</f>
        <v>6696</v>
      </c>
      <c r="BK103" s="287">
        <f t="shared" si="540"/>
        <v>6696</v>
      </c>
      <c r="BL103" s="287">
        <f t="shared" si="540"/>
        <v>6696</v>
      </c>
      <c r="BM103" s="287">
        <f t="shared" si="540"/>
        <v>6696</v>
      </c>
      <c r="BN103" s="287">
        <f t="shared" si="540"/>
        <v>6696</v>
      </c>
      <c r="BO103" s="287">
        <f t="shared" si="540"/>
        <v>6696</v>
      </c>
      <c r="BP103" s="287">
        <f t="shared" si="540"/>
        <v>6696</v>
      </c>
      <c r="BQ103" s="287">
        <f t="shared" si="540"/>
        <v>6696</v>
      </c>
      <c r="BR103" s="287">
        <f t="shared" si="540"/>
        <v>6696</v>
      </c>
      <c r="BS103" s="287">
        <f t="shared" si="540"/>
        <v>6696</v>
      </c>
      <c r="BT103" s="288">
        <f t="shared" si="540"/>
        <v>6696</v>
      </c>
      <c r="BU103" s="373" t="str">
        <f>+BU94</f>
        <v>(IDR Million)</v>
      </c>
      <c r="BV103" s="268">
        <f>+BT103-BV152</f>
        <v>6696</v>
      </c>
      <c r="BW103" s="287">
        <f t="shared" ref="BW103:CG103" si="541">+BV103-BW152</f>
        <v>6696</v>
      </c>
      <c r="BX103" s="287">
        <f t="shared" si="541"/>
        <v>6696</v>
      </c>
      <c r="BY103" s="287">
        <f t="shared" si="541"/>
        <v>6696</v>
      </c>
      <c r="BZ103" s="287">
        <f t="shared" si="541"/>
        <v>6696</v>
      </c>
      <c r="CA103" s="287">
        <f t="shared" si="541"/>
        <v>6696</v>
      </c>
      <c r="CB103" s="287">
        <f t="shared" si="541"/>
        <v>6696</v>
      </c>
      <c r="CC103" s="287">
        <f t="shared" si="541"/>
        <v>6696</v>
      </c>
      <c r="CD103" s="287">
        <f t="shared" si="541"/>
        <v>6696</v>
      </c>
      <c r="CE103" s="287">
        <f t="shared" si="541"/>
        <v>6696</v>
      </c>
      <c r="CF103" s="287">
        <f t="shared" si="541"/>
        <v>6696</v>
      </c>
      <c r="CG103" s="288">
        <f t="shared" si="541"/>
        <v>6696</v>
      </c>
      <c r="CH103" s="373" t="str">
        <f>+CH94</f>
        <v>(IDR Million)</v>
      </c>
      <c r="CI103" s="268">
        <f>+CG103-CI152</f>
        <v>6696</v>
      </c>
      <c r="CJ103" s="287">
        <f t="shared" ref="CJ103:CT103" si="542">+CI103-CJ152</f>
        <v>6696</v>
      </c>
      <c r="CK103" s="287">
        <f t="shared" si="542"/>
        <v>6696</v>
      </c>
      <c r="CL103" s="287">
        <f t="shared" si="542"/>
        <v>6696</v>
      </c>
      <c r="CM103" s="287">
        <f t="shared" si="542"/>
        <v>6696</v>
      </c>
      <c r="CN103" s="287">
        <f t="shared" si="542"/>
        <v>6696</v>
      </c>
      <c r="CO103" s="287">
        <f t="shared" si="542"/>
        <v>6696</v>
      </c>
      <c r="CP103" s="287">
        <f t="shared" si="542"/>
        <v>6696</v>
      </c>
      <c r="CQ103" s="287">
        <f t="shared" si="542"/>
        <v>6696</v>
      </c>
      <c r="CR103" s="287">
        <f t="shared" si="542"/>
        <v>6696</v>
      </c>
      <c r="CS103" s="287">
        <f t="shared" si="542"/>
        <v>6696</v>
      </c>
      <c r="CT103" s="288">
        <f t="shared" si="542"/>
        <v>6696</v>
      </c>
      <c r="CU103" s="373" t="str">
        <f>+CU94</f>
        <v>(IDR Million)</v>
      </c>
      <c r="CV103" s="268">
        <f>+CT103-CV152</f>
        <v>6696</v>
      </c>
      <c r="CW103" s="287">
        <f t="shared" ref="CW103:DG103" si="543">+CV103-CW152</f>
        <v>6696</v>
      </c>
      <c r="CX103" s="287">
        <f t="shared" si="543"/>
        <v>6696</v>
      </c>
      <c r="CY103" s="287">
        <f t="shared" si="543"/>
        <v>6696</v>
      </c>
      <c r="CZ103" s="287">
        <f t="shared" si="543"/>
        <v>6696</v>
      </c>
      <c r="DA103" s="287">
        <f t="shared" si="543"/>
        <v>6696</v>
      </c>
      <c r="DB103" s="287">
        <f t="shared" si="543"/>
        <v>6696</v>
      </c>
      <c r="DC103" s="287">
        <f t="shared" si="543"/>
        <v>6696</v>
      </c>
      <c r="DD103" s="287">
        <f t="shared" si="543"/>
        <v>6696</v>
      </c>
      <c r="DE103" s="287">
        <f t="shared" si="543"/>
        <v>6696</v>
      </c>
      <c r="DF103" s="287">
        <f t="shared" si="543"/>
        <v>6696</v>
      </c>
      <c r="DG103" s="288">
        <f t="shared" si="543"/>
        <v>6696</v>
      </c>
      <c r="DH103" s="373" t="str">
        <f>+DH94</f>
        <v>(IDR Million)</v>
      </c>
      <c r="DI103" s="268">
        <f>+DG103-DI152</f>
        <v>6696</v>
      </c>
      <c r="DJ103" s="287">
        <f t="shared" ref="DJ103:DT103" si="544">+DI103-DJ152</f>
        <v>6696</v>
      </c>
      <c r="DK103" s="287">
        <f t="shared" si="544"/>
        <v>6696</v>
      </c>
      <c r="DL103" s="287">
        <f t="shared" si="544"/>
        <v>6696</v>
      </c>
      <c r="DM103" s="287">
        <f t="shared" si="544"/>
        <v>6696</v>
      </c>
      <c r="DN103" s="287">
        <f t="shared" si="544"/>
        <v>6696</v>
      </c>
      <c r="DO103" s="287">
        <f t="shared" si="544"/>
        <v>6696</v>
      </c>
      <c r="DP103" s="287">
        <f t="shared" si="544"/>
        <v>6696</v>
      </c>
      <c r="DQ103" s="287">
        <f t="shared" si="544"/>
        <v>6696</v>
      </c>
      <c r="DR103" s="287">
        <f t="shared" si="544"/>
        <v>6696</v>
      </c>
      <c r="DS103" s="287">
        <f t="shared" si="544"/>
        <v>6696</v>
      </c>
      <c r="DT103" s="288">
        <f t="shared" si="544"/>
        <v>6696</v>
      </c>
      <c r="DU103" s="373" t="str">
        <f>+DU94</f>
        <v>(IDR Million)</v>
      </c>
      <c r="DV103" s="268">
        <f>+DT103-DV152</f>
        <v>6696</v>
      </c>
      <c r="DW103" s="287">
        <f t="shared" ref="DW103:EG103" si="545">+DV103-DW152</f>
        <v>6696</v>
      </c>
      <c r="DX103" s="287">
        <f t="shared" si="545"/>
        <v>6696</v>
      </c>
      <c r="DY103" s="287">
        <f t="shared" si="545"/>
        <v>6696</v>
      </c>
      <c r="DZ103" s="287">
        <f t="shared" si="545"/>
        <v>6696</v>
      </c>
      <c r="EA103" s="287">
        <f t="shared" si="545"/>
        <v>6696</v>
      </c>
      <c r="EB103" s="287">
        <f t="shared" si="545"/>
        <v>6696</v>
      </c>
      <c r="EC103" s="287">
        <f t="shared" si="545"/>
        <v>6696</v>
      </c>
      <c r="ED103" s="287">
        <f t="shared" si="545"/>
        <v>6696</v>
      </c>
      <c r="EE103" s="287">
        <f t="shared" si="545"/>
        <v>6696</v>
      </c>
      <c r="EF103" s="287">
        <f t="shared" si="545"/>
        <v>6696</v>
      </c>
      <c r="EG103" s="288">
        <f t="shared" si="545"/>
        <v>6696</v>
      </c>
      <c r="EH103" s="373" t="str">
        <f>+EH94</f>
        <v>(IDR Million)</v>
      </c>
      <c r="EI103" s="21"/>
      <c r="EJ103" s="21"/>
      <c r="EK103" s="21"/>
      <c r="EL103" s="21"/>
      <c r="EM103" s="21"/>
    </row>
    <row r="104" spans="1:143" ht="14.25" customHeight="1">
      <c r="A104" s="21"/>
      <c r="B104" s="21"/>
      <c r="C104" s="21"/>
      <c r="D104" s="622">
        <f t="shared" si="525"/>
        <v>95</v>
      </c>
      <c r="E104" s="1625"/>
      <c r="F104" s="659" t="s">
        <v>626</v>
      </c>
      <c r="G104" s="296"/>
      <c r="H104" s="369">
        <f>+Assumption!G286</f>
        <v>0</v>
      </c>
      <c r="I104" s="268">
        <f t="shared" ref="I104:T104" si="546">+H104+I136-I153</f>
        <v>60000</v>
      </c>
      <c r="J104" s="287">
        <f t="shared" si="546"/>
        <v>60000</v>
      </c>
      <c r="K104" s="287">
        <f t="shared" si="546"/>
        <v>60000</v>
      </c>
      <c r="L104" s="287">
        <f t="shared" si="546"/>
        <v>60000</v>
      </c>
      <c r="M104" s="287">
        <f t="shared" si="546"/>
        <v>60000</v>
      </c>
      <c r="N104" s="287">
        <f t="shared" si="546"/>
        <v>60000</v>
      </c>
      <c r="O104" s="287">
        <f t="shared" si="546"/>
        <v>60000</v>
      </c>
      <c r="P104" s="287">
        <f t="shared" si="546"/>
        <v>60000</v>
      </c>
      <c r="Q104" s="287">
        <f t="shared" si="546"/>
        <v>60000</v>
      </c>
      <c r="R104" s="287">
        <f t="shared" si="546"/>
        <v>60000</v>
      </c>
      <c r="S104" s="287">
        <f t="shared" si="546"/>
        <v>60000</v>
      </c>
      <c r="T104" s="288">
        <f t="shared" si="546"/>
        <v>59998</v>
      </c>
      <c r="U104" s="375" t="s">
        <v>614</v>
      </c>
      <c r="V104" s="268">
        <f t="shared" ref="V104:V106" si="547">+T104+V136-V153</f>
        <v>59998</v>
      </c>
      <c r="W104" s="287">
        <f t="shared" ref="W104:AG104" si="548">+V104+W136-W153</f>
        <v>59998</v>
      </c>
      <c r="X104" s="287">
        <f t="shared" si="548"/>
        <v>59998</v>
      </c>
      <c r="Y104" s="287">
        <f t="shared" si="548"/>
        <v>59998</v>
      </c>
      <c r="Z104" s="287">
        <f t="shared" si="548"/>
        <v>59998</v>
      </c>
      <c r="AA104" s="287">
        <f t="shared" si="548"/>
        <v>59998</v>
      </c>
      <c r="AB104" s="287">
        <f t="shared" si="548"/>
        <v>59998</v>
      </c>
      <c r="AC104" s="287">
        <f t="shared" si="548"/>
        <v>59998</v>
      </c>
      <c r="AD104" s="287">
        <f t="shared" si="548"/>
        <v>59998</v>
      </c>
      <c r="AE104" s="287">
        <f t="shared" si="548"/>
        <v>59998</v>
      </c>
      <c r="AF104" s="287">
        <f t="shared" si="548"/>
        <v>59998</v>
      </c>
      <c r="AG104" s="288">
        <f t="shared" si="548"/>
        <v>59998</v>
      </c>
      <c r="AH104" s="375" t="s">
        <v>614</v>
      </c>
      <c r="AI104" s="392">
        <f t="shared" ref="AI104:AI106" si="549">+AG104+AI136-AI153</f>
        <v>59998</v>
      </c>
      <c r="AJ104" s="287">
        <f t="shared" ref="AJ104:AT104" si="550">+AI104+AJ136-AJ153</f>
        <v>59998</v>
      </c>
      <c r="AK104" s="287">
        <f t="shared" si="550"/>
        <v>59998</v>
      </c>
      <c r="AL104" s="287">
        <f t="shared" si="550"/>
        <v>59998</v>
      </c>
      <c r="AM104" s="287">
        <f t="shared" si="550"/>
        <v>59998</v>
      </c>
      <c r="AN104" s="287">
        <f t="shared" si="550"/>
        <v>59998</v>
      </c>
      <c r="AO104" s="287">
        <f t="shared" si="550"/>
        <v>59998</v>
      </c>
      <c r="AP104" s="287">
        <f t="shared" si="550"/>
        <v>59998</v>
      </c>
      <c r="AQ104" s="287">
        <f t="shared" si="550"/>
        <v>59998</v>
      </c>
      <c r="AR104" s="287">
        <f t="shared" si="550"/>
        <v>59998</v>
      </c>
      <c r="AS104" s="287">
        <f t="shared" si="550"/>
        <v>59998</v>
      </c>
      <c r="AT104" s="288">
        <f t="shared" si="550"/>
        <v>59998</v>
      </c>
      <c r="AU104" s="375" t="s">
        <v>614</v>
      </c>
      <c r="AV104" s="392">
        <f t="shared" ref="AV104:AV106" si="551">+AT104+AV136-AV153</f>
        <v>59998</v>
      </c>
      <c r="AW104" s="287">
        <f t="shared" ref="AW104:BG104" si="552">+AV104+AW136-AW153</f>
        <v>59998</v>
      </c>
      <c r="AX104" s="287">
        <f t="shared" si="552"/>
        <v>59998</v>
      </c>
      <c r="AY104" s="287">
        <f t="shared" si="552"/>
        <v>59998</v>
      </c>
      <c r="AZ104" s="287">
        <f t="shared" si="552"/>
        <v>59998</v>
      </c>
      <c r="BA104" s="287">
        <f t="shared" si="552"/>
        <v>59998</v>
      </c>
      <c r="BB104" s="287">
        <f t="shared" si="552"/>
        <v>59998</v>
      </c>
      <c r="BC104" s="287">
        <f t="shared" si="552"/>
        <v>59998</v>
      </c>
      <c r="BD104" s="287">
        <f t="shared" si="552"/>
        <v>59998</v>
      </c>
      <c r="BE104" s="287">
        <f t="shared" si="552"/>
        <v>59998</v>
      </c>
      <c r="BF104" s="287">
        <f t="shared" si="552"/>
        <v>59998</v>
      </c>
      <c r="BG104" s="288">
        <f t="shared" si="552"/>
        <v>59998</v>
      </c>
      <c r="BH104" s="375" t="s">
        <v>614</v>
      </c>
      <c r="BI104" s="392">
        <f t="shared" ref="BI104:BI106" si="553">+BG104+BI136-BI153</f>
        <v>59998</v>
      </c>
      <c r="BJ104" s="287">
        <f t="shared" ref="BJ104:BT104" si="554">+BI104+BJ136-BJ153</f>
        <v>59998</v>
      </c>
      <c r="BK104" s="287">
        <f t="shared" si="554"/>
        <v>59998</v>
      </c>
      <c r="BL104" s="287">
        <f t="shared" si="554"/>
        <v>59998</v>
      </c>
      <c r="BM104" s="287">
        <f t="shared" si="554"/>
        <v>59998</v>
      </c>
      <c r="BN104" s="287">
        <f t="shared" si="554"/>
        <v>59998</v>
      </c>
      <c r="BO104" s="287">
        <f t="shared" si="554"/>
        <v>59998</v>
      </c>
      <c r="BP104" s="287">
        <f t="shared" si="554"/>
        <v>59998</v>
      </c>
      <c r="BQ104" s="287">
        <f t="shared" si="554"/>
        <v>59998</v>
      </c>
      <c r="BR104" s="287">
        <f t="shared" si="554"/>
        <v>59998</v>
      </c>
      <c r="BS104" s="287">
        <f t="shared" si="554"/>
        <v>59998</v>
      </c>
      <c r="BT104" s="288">
        <f t="shared" si="554"/>
        <v>59998</v>
      </c>
      <c r="BU104" s="375" t="s">
        <v>614</v>
      </c>
      <c r="BV104" s="392">
        <f t="shared" ref="BV104:BV106" si="555">+BT104+BV136-BV153</f>
        <v>59998</v>
      </c>
      <c r="BW104" s="287">
        <f t="shared" ref="BW104:CG104" si="556">+BV104+BW136-BW153</f>
        <v>59998</v>
      </c>
      <c r="BX104" s="287">
        <f t="shared" si="556"/>
        <v>59998</v>
      </c>
      <c r="BY104" s="287">
        <f t="shared" si="556"/>
        <v>59998</v>
      </c>
      <c r="BZ104" s="287">
        <f t="shared" si="556"/>
        <v>59998</v>
      </c>
      <c r="CA104" s="287">
        <f t="shared" si="556"/>
        <v>59998</v>
      </c>
      <c r="CB104" s="287">
        <f t="shared" si="556"/>
        <v>59998</v>
      </c>
      <c r="CC104" s="287">
        <f t="shared" si="556"/>
        <v>59998</v>
      </c>
      <c r="CD104" s="287">
        <f t="shared" si="556"/>
        <v>59998</v>
      </c>
      <c r="CE104" s="287">
        <f t="shared" si="556"/>
        <v>59998</v>
      </c>
      <c r="CF104" s="287">
        <f t="shared" si="556"/>
        <v>59998</v>
      </c>
      <c r="CG104" s="288">
        <f t="shared" si="556"/>
        <v>59998</v>
      </c>
      <c r="CH104" s="375" t="s">
        <v>614</v>
      </c>
      <c r="CI104" s="392">
        <f t="shared" ref="CI104:CI106" si="557">+CG104+CI136-CI153</f>
        <v>59998</v>
      </c>
      <c r="CJ104" s="287">
        <f t="shared" ref="CJ104:CT104" si="558">+CI104+CJ136-CJ153</f>
        <v>59998</v>
      </c>
      <c r="CK104" s="287">
        <f t="shared" si="558"/>
        <v>59998</v>
      </c>
      <c r="CL104" s="287">
        <f t="shared" si="558"/>
        <v>59998</v>
      </c>
      <c r="CM104" s="287">
        <f t="shared" si="558"/>
        <v>59998</v>
      </c>
      <c r="CN104" s="287">
        <f t="shared" si="558"/>
        <v>59998</v>
      </c>
      <c r="CO104" s="287">
        <f t="shared" si="558"/>
        <v>59998</v>
      </c>
      <c r="CP104" s="287">
        <f t="shared" si="558"/>
        <v>59998</v>
      </c>
      <c r="CQ104" s="287">
        <f t="shared" si="558"/>
        <v>59998</v>
      </c>
      <c r="CR104" s="287">
        <f t="shared" si="558"/>
        <v>59998</v>
      </c>
      <c r="CS104" s="287">
        <f t="shared" si="558"/>
        <v>59998</v>
      </c>
      <c r="CT104" s="288">
        <f t="shared" si="558"/>
        <v>59998</v>
      </c>
      <c r="CU104" s="375" t="s">
        <v>614</v>
      </c>
      <c r="CV104" s="392">
        <f t="shared" ref="CV104:CV106" si="559">+CT104+CV136-CV153</f>
        <v>59998</v>
      </c>
      <c r="CW104" s="287">
        <f t="shared" ref="CW104:DG104" si="560">+CV104+CW136-CW153</f>
        <v>59998</v>
      </c>
      <c r="CX104" s="287">
        <f t="shared" si="560"/>
        <v>59998</v>
      </c>
      <c r="CY104" s="287">
        <f t="shared" si="560"/>
        <v>59998</v>
      </c>
      <c r="CZ104" s="287">
        <f t="shared" si="560"/>
        <v>59998</v>
      </c>
      <c r="DA104" s="287">
        <f t="shared" si="560"/>
        <v>59998</v>
      </c>
      <c r="DB104" s="287">
        <f t="shared" si="560"/>
        <v>59998</v>
      </c>
      <c r="DC104" s="287">
        <f t="shared" si="560"/>
        <v>59998</v>
      </c>
      <c r="DD104" s="287">
        <f t="shared" si="560"/>
        <v>59998</v>
      </c>
      <c r="DE104" s="287">
        <f t="shared" si="560"/>
        <v>59998</v>
      </c>
      <c r="DF104" s="287">
        <f t="shared" si="560"/>
        <v>59998</v>
      </c>
      <c r="DG104" s="288">
        <f t="shared" si="560"/>
        <v>59998</v>
      </c>
      <c r="DH104" s="375" t="s">
        <v>614</v>
      </c>
      <c r="DI104" s="392">
        <f t="shared" ref="DI104:DI106" si="561">+DG104+DI136-DI153</f>
        <v>59998</v>
      </c>
      <c r="DJ104" s="287">
        <f t="shared" ref="DJ104:DT104" si="562">+DI104+DJ136-DJ153</f>
        <v>59998</v>
      </c>
      <c r="DK104" s="287">
        <f t="shared" si="562"/>
        <v>59998</v>
      </c>
      <c r="DL104" s="287">
        <f t="shared" si="562"/>
        <v>59998</v>
      </c>
      <c r="DM104" s="287">
        <f t="shared" si="562"/>
        <v>59998</v>
      </c>
      <c r="DN104" s="287">
        <f t="shared" si="562"/>
        <v>59998</v>
      </c>
      <c r="DO104" s="287">
        <f t="shared" si="562"/>
        <v>59998</v>
      </c>
      <c r="DP104" s="287">
        <f t="shared" si="562"/>
        <v>59998</v>
      </c>
      <c r="DQ104" s="287">
        <f t="shared" si="562"/>
        <v>59998</v>
      </c>
      <c r="DR104" s="287">
        <f t="shared" si="562"/>
        <v>59998</v>
      </c>
      <c r="DS104" s="287">
        <f t="shared" si="562"/>
        <v>59998</v>
      </c>
      <c r="DT104" s="288">
        <f t="shared" si="562"/>
        <v>59998</v>
      </c>
      <c r="DU104" s="375" t="s">
        <v>614</v>
      </c>
      <c r="DV104" s="392">
        <f t="shared" ref="DV104:DV106" si="563">+DT104+DV136-DV153</f>
        <v>59998</v>
      </c>
      <c r="DW104" s="287">
        <f t="shared" ref="DW104:EG104" si="564">+DV104+DW136-DW153</f>
        <v>59998</v>
      </c>
      <c r="DX104" s="287">
        <f t="shared" si="564"/>
        <v>59998</v>
      </c>
      <c r="DY104" s="287">
        <f t="shared" si="564"/>
        <v>59998</v>
      </c>
      <c r="DZ104" s="287">
        <f t="shared" si="564"/>
        <v>59998</v>
      </c>
      <c r="EA104" s="287">
        <f t="shared" si="564"/>
        <v>59998</v>
      </c>
      <c r="EB104" s="287">
        <f t="shared" si="564"/>
        <v>59998</v>
      </c>
      <c r="EC104" s="287">
        <f t="shared" si="564"/>
        <v>59998</v>
      </c>
      <c r="ED104" s="287">
        <f t="shared" si="564"/>
        <v>59998</v>
      </c>
      <c r="EE104" s="287">
        <f t="shared" si="564"/>
        <v>59998</v>
      </c>
      <c r="EF104" s="287">
        <f t="shared" si="564"/>
        <v>59998</v>
      </c>
      <c r="EG104" s="288">
        <f t="shared" si="564"/>
        <v>59998</v>
      </c>
      <c r="EH104" s="375" t="s">
        <v>614</v>
      </c>
      <c r="EI104" s="21"/>
      <c r="EJ104" s="21"/>
      <c r="EK104" s="21"/>
      <c r="EL104" s="21"/>
      <c r="EM104" s="21"/>
    </row>
    <row r="105" spans="1:143" ht="14.25" customHeight="1">
      <c r="A105" s="21"/>
      <c r="B105" s="21"/>
      <c r="C105" s="21"/>
      <c r="D105" s="622">
        <f t="shared" si="525"/>
        <v>96</v>
      </c>
      <c r="E105" s="1625"/>
      <c r="F105" s="659" t="s">
        <v>627</v>
      </c>
      <c r="G105" s="296"/>
      <c r="H105" s="369">
        <f>+Assumption!G287</f>
        <v>0</v>
      </c>
      <c r="I105" s="268">
        <f t="shared" ref="I105:T105" si="565">+H105+I137-I154</f>
        <v>0</v>
      </c>
      <c r="J105" s="287">
        <f t="shared" si="565"/>
        <v>0</v>
      </c>
      <c r="K105" s="287">
        <f t="shared" si="565"/>
        <v>0</v>
      </c>
      <c r="L105" s="287">
        <f t="shared" si="565"/>
        <v>0</v>
      </c>
      <c r="M105" s="287">
        <f t="shared" si="565"/>
        <v>0</v>
      </c>
      <c r="N105" s="287">
        <f t="shared" si="565"/>
        <v>0</v>
      </c>
      <c r="O105" s="287">
        <f t="shared" si="565"/>
        <v>0</v>
      </c>
      <c r="P105" s="287">
        <f t="shared" si="565"/>
        <v>0</v>
      </c>
      <c r="Q105" s="287">
        <f t="shared" si="565"/>
        <v>0</v>
      </c>
      <c r="R105" s="287">
        <f t="shared" si="565"/>
        <v>0</v>
      </c>
      <c r="S105" s="287">
        <f t="shared" si="565"/>
        <v>0</v>
      </c>
      <c r="T105" s="288">
        <f t="shared" si="565"/>
        <v>-20</v>
      </c>
      <c r="U105" s="375">
        <f>+MAX(I99:T99)</f>
        <v>2203</v>
      </c>
      <c r="V105" s="268">
        <f t="shared" si="547"/>
        <v>-20</v>
      </c>
      <c r="W105" s="287">
        <f t="shared" ref="W105:AG105" si="566">+V105+W137-W154</f>
        <v>-20</v>
      </c>
      <c r="X105" s="287">
        <f t="shared" si="566"/>
        <v>-20</v>
      </c>
      <c r="Y105" s="287">
        <f t="shared" si="566"/>
        <v>-20</v>
      </c>
      <c r="Z105" s="287">
        <f t="shared" si="566"/>
        <v>-20</v>
      </c>
      <c r="AA105" s="287">
        <f t="shared" si="566"/>
        <v>-20</v>
      </c>
      <c r="AB105" s="287">
        <f t="shared" si="566"/>
        <v>-20</v>
      </c>
      <c r="AC105" s="287">
        <f t="shared" si="566"/>
        <v>-20</v>
      </c>
      <c r="AD105" s="287">
        <f t="shared" si="566"/>
        <v>-20</v>
      </c>
      <c r="AE105" s="287">
        <f t="shared" si="566"/>
        <v>-20</v>
      </c>
      <c r="AF105" s="287">
        <f t="shared" si="566"/>
        <v>-20</v>
      </c>
      <c r="AG105" s="288">
        <f t="shared" si="566"/>
        <v>-20</v>
      </c>
      <c r="AH105" s="375">
        <f>+MAX(V99:AG99)</f>
        <v>0</v>
      </c>
      <c r="AI105" s="392">
        <f t="shared" si="549"/>
        <v>-20</v>
      </c>
      <c r="AJ105" s="287">
        <f t="shared" ref="AJ105:AT105" si="567">+AI105+AJ137-AJ154</f>
        <v>-20</v>
      </c>
      <c r="AK105" s="287">
        <f t="shared" si="567"/>
        <v>-20</v>
      </c>
      <c r="AL105" s="287">
        <f t="shared" si="567"/>
        <v>-20</v>
      </c>
      <c r="AM105" s="287">
        <f t="shared" si="567"/>
        <v>-20</v>
      </c>
      <c r="AN105" s="287">
        <f t="shared" si="567"/>
        <v>-20</v>
      </c>
      <c r="AO105" s="287">
        <f t="shared" si="567"/>
        <v>-20</v>
      </c>
      <c r="AP105" s="287">
        <f t="shared" si="567"/>
        <v>-20</v>
      </c>
      <c r="AQ105" s="287">
        <f t="shared" si="567"/>
        <v>-20</v>
      </c>
      <c r="AR105" s="287">
        <f t="shared" si="567"/>
        <v>-20</v>
      </c>
      <c r="AS105" s="287">
        <f t="shared" si="567"/>
        <v>-20</v>
      </c>
      <c r="AT105" s="288">
        <f t="shared" si="567"/>
        <v>-20</v>
      </c>
      <c r="AU105" s="375">
        <f>+MAX(AI99:AT99)</f>
        <v>0</v>
      </c>
      <c r="AV105" s="392">
        <f t="shared" si="551"/>
        <v>-20</v>
      </c>
      <c r="AW105" s="287">
        <f t="shared" ref="AW105:BG105" si="568">+AV105+AW137-AW154</f>
        <v>-20</v>
      </c>
      <c r="AX105" s="287">
        <f t="shared" si="568"/>
        <v>-20</v>
      </c>
      <c r="AY105" s="287">
        <f t="shared" si="568"/>
        <v>-20</v>
      </c>
      <c r="AZ105" s="287">
        <f t="shared" si="568"/>
        <v>-20</v>
      </c>
      <c r="BA105" s="287">
        <f t="shared" si="568"/>
        <v>-20</v>
      </c>
      <c r="BB105" s="287">
        <f t="shared" si="568"/>
        <v>-20</v>
      </c>
      <c r="BC105" s="287">
        <f t="shared" si="568"/>
        <v>-20</v>
      </c>
      <c r="BD105" s="287">
        <f t="shared" si="568"/>
        <v>-20</v>
      </c>
      <c r="BE105" s="287">
        <f t="shared" si="568"/>
        <v>-20</v>
      </c>
      <c r="BF105" s="287">
        <f t="shared" si="568"/>
        <v>-20</v>
      </c>
      <c r="BG105" s="288">
        <f t="shared" si="568"/>
        <v>-20</v>
      </c>
      <c r="BH105" s="375">
        <f>+MAX(AV99:BG99)</f>
        <v>0</v>
      </c>
      <c r="BI105" s="392">
        <f t="shared" si="553"/>
        <v>-20</v>
      </c>
      <c r="BJ105" s="287">
        <f t="shared" ref="BJ105:BT105" si="569">+BI105+BJ137-BJ154</f>
        <v>-20</v>
      </c>
      <c r="BK105" s="287">
        <f t="shared" si="569"/>
        <v>-20</v>
      </c>
      <c r="BL105" s="287">
        <f t="shared" si="569"/>
        <v>-20</v>
      </c>
      <c r="BM105" s="287">
        <f t="shared" si="569"/>
        <v>-20</v>
      </c>
      <c r="BN105" s="287">
        <f t="shared" si="569"/>
        <v>-20</v>
      </c>
      <c r="BO105" s="287">
        <f t="shared" si="569"/>
        <v>-20</v>
      </c>
      <c r="BP105" s="287">
        <f t="shared" si="569"/>
        <v>-20</v>
      </c>
      <c r="BQ105" s="287">
        <f t="shared" si="569"/>
        <v>-20</v>
      </c>
      <c r="BR105" s="287">
        <f t="shared" si="569"/>
        <v>-20</v>
      </c>
      <c r="BS105" s="287">
        <f t="shared" si="569"/>
        <v>-20</v>
      </c>
      <c r="BT105" s="288">
        <f t="shared" si="569"/>
        <v>-20</v>
      </c>
      <c r="BU105" s="375">
        <f>+MAX(BI99:BT99)</f>
        <v>0</v>
      </c>
      <c r="BV105" s="392">
        <f t="shared" si="555"/>
        <v>-20</v>
      </c>
      <c r="BW105" s="287">
        <f t="shared" ref="BW105:CG105" si="570">+BV105+BW137-BW154</f>
        <v>-20</v>
      </c>
      <c r="BX105" s="287">
        <f t="shared" si="570"/>
        <v>-20</v>
      </c>
      <c r="BY105" s="287">
        <f t="shared" si="570"/>
        <v>-20</v>
      </c>
      <c r="BZ105" s="287">
        <f t="shared" si="570"/>
        <v>-20</v>
      </c>
      <c r="CA105" s="287">
        <f t="shared" si="570"/>
        <v>-20</v>
      </c>
      <c r="CB105" s="287">
        <f t="shared" si="570"/>
        <v>-20</v>
      </c>
      <c r="CC105" s="287">
        <f t="shared" si="570"/>
        <v>-20</v>
      </c>
      <c r="CD105" s="287">
        <f t="shared" si="570"/>
        <v>-20</v>
      </c>
      <c r="CE105" s="287">
        <f t="shared" si="570"/>
        <v>-20</v>
      </c>
      <c r="CF105" s="287">
        <f t="shared" si="570"/>
        <v>-20</v>
      </c>
      <c r="CG105" s="288">
        <f t="shared" si="570"/>
        <v>-20</v>
      </c>
      <c r="CH105" s="375">
        <f>+MAX(BV99:CG99)</f>
        <v>0</v>
      </c>
      <c r="CI105" s="392">
        <f t="shared" si="557"/>
        <v>-20</v>
      </c>
      <c r="CJ105" s="287">
        <f t="shared" ref="CJ105:CT105" si="571">+CI105+CJ137-CJ154</f>
        <v>-20</v>
      </c>
      <c r="CK105" s="287">
        <f t="shared" si="571"/>
        <v>-20</v>
      </c>
      <c r="CL105" s="287">
        <f t="shared" si="571"/>
        <v>-20</v>
      </c>
      <c r="CM105" s="287">
        <f t="shared" si="571"/>
        <v>-20</v>
      </c>
      <c r="CN105" s="287">
        <f t="shared" si="571"/>
        <v>-20</v>
      </c>
      <c r="CO105" s="287">
        <f t="shared" si="571"/>
        <v>-20</v>
      </c>
      <c r="CP105" s="287">
        <f t="shared" si="571"/>
        <v>-20</v>
      </c>
      <c r="CQ105" s="287">
        <f t="shared" si="571"/>
        <v>-20</v>
      </c>
      <c r="CR105" s="287">
        <f t="shared" si="571"/>
        <v>-20</v>
      </c>
      <c r="CS105" s="287">
        <f t="shared" si="571"/>
        <v>-20</v>
      </c>
      <c r="CT105" s="288">
        <f t="shared" si="571"/>
        <v>-20</v>
      </c>
      <c r="CU105" s="375">
        <f>+MAX(CI99:CT99)</f>
        <v>0</v>
      </c>
      <c r="CV105" s="392">
        <f t="shared" si="559"/>
        <v>-20</v>
      </c>
      <c r="CW105" s="287">
        <f t="shared" ref="CW105:DG105" si="572">+CV105+CW137-CW154</f>
        <v>-20</v>
      </c>
      <c r="CX105" s="287">
        <f t="shared" si="572"/>
        <v>-20</v>
      </c>
      <c r="CY105" s="287">
        <f t="shared" si="572"/>
        <v>-20</v>
      </c>
      <c r="CZ105" s="287">
        <f t="shared" si="572"/>
        <v>-20</v>
      </c>
      <c r="DA105" s="287">
        <f t="shared" si="572"/>
        <v>-20</v>
      </c>
      <c r="DB105" s="287">
        <f t="shared" si="572"/>
        <v>-20</v>
      </c>
      <c r="DC105" s="287">
        <f t="shared" si="572"/>
        <v>-20</v>
      </c>
      <c r="DD105" s="287">
        <f t="shared" si="572"/>
        <v>-20</v>
      </c>
      <c r="DE105" s="287">
        <f t="shared" si="572"/>
        <v>-20</v>
      </c>
      <c r="DF105" s="287">
        <f t="shared" si="572"/>
        <v>-20</v>
      </c>
      <c r="DG105" s="288">
        <f t="shared" si="572"/>
        <v>-20</v>
      </c>
      <c r="DH105" s="375">
        <f>+MAX(CV99:DG99)</f>
        <v>0</v>
      </c>
      <c r="DI105" s="392">
        <f t="shared" si="561"/>
        <v>-20</v>
      </c>
      <c r="DJ105" s="287">
        <f t="shared" ref="DJ105:DT105" si="573">+DI105+DJ137-DJ154</f>
        <v>-20</v>
      </c>
      <c r="DK105" s="287">
        <f t="shared" si="573"/>
        <v>-20</v>
      </c>
      <c r="DL105" s="287">
        <f t="shared" si="573"/>
        <v>-20</v>
      </c>
      <c r="DM105" s="287">
        <f t="shared" si="573"/>
        <v>-20</v>
      </c>
      <c r="DN105" s="287">
        <f t="shared" si="573"/>
        <v>-20</v>
      </c>
      <c r="DO105" s="287">
        <f t="shared" si="573"/>
        <v>-20</v>
      </c>
      <c r="DP105" s="287">
        <f t="shared" si="573"/>
        <v>-20</v>
      </c>
      <c r="DQ105" s="287">
        <f t="shared" si="573"/>
        <v>-20</v>
      </c>
      <c r="DR105" s="287">
        <f t="shared" si="573"/>
        <v>-20</v>
      </c>
      <c r="DS105" s="287">
        <f t="shared" si="573"/>
        <v>-20</v>
      </c>
      <c r="DT105" s="288">
        <f t="shared" si="573"/>
        <v>-20</v>
      </c>
      <c r="DU105" s="375">
        <f>+MAX(DI99:DT99)</f>
        <v>0</v>
      </c>
      <c r="DV105" s="392">
        <f t="shared" si="563"/>
        <v>-20</v>
      </c>
      <c r="DW105" s="287">
        <f t="shared" ref="DW105:EG105" si="574">+DV105+DW137-DW154</f>
        <v>-20</v>
      </c>
      <c r="DX105" s="287">
        <f t="shared" si="574"/>
        <v>-20</v>
      </c>
      <c r="DY105" s="287">
        <f t="shared" si="574"/>
        <v>-20</v>
      </c>
      <c r="DZ105" s="287">
        <f t="shared" si="574"/>
        <v>-20</v>
      </c>
      <c r="EA105" s="287">
        <f t="shared" si="574"/>
        <v>-20</v>
      </c>
      <c r="EB105" s="287">
        <f t="shared" si="574"/>
        <v>-20</v>
      </c>
      <c r="EC105" s="287">
        <f t="shared" si="574"/>
        <v>-20</v>
      </c>
      <c r="ED105" s="287">
        <f t="shared" si="574"/>
        <v>-20</v>
      </c>
      <c r="EE105" s="287">
        <f t="shared" si="574"/>
        <v>-20</v>
      </c>
      <c r="EF105" s="287">
        <f t="shared" si="574"/>
        <v>-20</v>
      </c>
      <c r="EG105" s="288">
        <f t="shared" si="574"/>
        <v>-20</v>
      </c>
      <c r="EH105" s="375">
        <f>+MAX(DV99:EG99)</f>
        <v>0</v>
      </c>
      <c r="EI105" s="21"/>
      <c r="EJ105" s="21"/>
      <c r="EK105" s="21"/>
      <c r="EL105" s="21"/>
      <c r="EM105" s="21"/>
    </row>
    <row r="106" spans="1:143" ht="14.25" customHeight="1">
      <c r="A106" s="663"/>
      <c r="B106" s="663"/>
      <c r="C106" s="663"/>
      <c r="D106" s="376">
        <f t="shared" si="525"/>
        <v>97</v>
      </c>
      <c r="E106" s="1625"/>
      <c r="F106" s="393" t="s">
        <v>628</v>
      </c>
      <c r="G106" s="394"/>
      <c r="H106" s="369">
        <f>+Assumption!G288</f>
        <v>0</v>
      </c>
      <c r="I106" s="395">
        <f t="shared" ref="I106:T106" si="575">+H106+I138-I155</f>
        <v>0</v>
      </c>
      <c r="J106" s="396">
        <f t="shared" si="575"/>
        <v>0</v>
      </c>
      <c r="K106" s="396">
        <f t="shared" si="575"/>
        <v>0</v>
      </c>
      <c r="L106" s="396">
        <f t="shared" si="575"/>
        <v>0</v>
      </c>
      <c r="M106" s="396">
        <f t="shared" si="575"/>
        <v>0</v>
      </c>
      <c r="N106" s="396">
        <f t="shared" si="575"/>
        <v>0</v>
      </c>
      <c r="O106" s="396">
        <f t="shared" si="575"/>
        <v>0</v>
      </c>
      <c r="P106" s="396">
        <f t="shared" si="575"/>
        <v>0</v>
      </c>
      <c r="Q106" s="396">
        <f t="shared" si="575"/>
        <v>0</v>
      </c>
      <c r="R106" s="396">
        <f t="shared" si="575"/>
        <v>0</v>
      </c>
      <c r="S106" s="396">
        <f t="shared" si="575"/>
        <v>0</v>
      </c>
      <c r="T106" s="397">
        <f t="shared" si="575"/>
        <v>20</v>
      </c>
      <c r="U106" s="384" t="s">
        <v>616</v>
      </c>
      <c r="V106" s="395">
        <f t="shared" si="547"/>
        <v>20</v>
      </c>
      <c r="W106" s="396">
        <f t="shared" ref="W106:AG106" si="576">+V106+W138-W155</f>
        <v>20</v>
      </c>
      <c r="X106" s="396">
        <f t="shared" si="576"/>
        <v>20</v>
      </c>
      <c r="Y106" s="396">
        <f t="shared" si="576"/>
        <v>20</v>
      </c>
      <c r="Z106" s="396">
        <f t="shared" si="576"/>
        <v>20</v>
      </c>
      <c r="AA106" s="396">
        <f t="shared" si="576"/>
        <v>20</v>
      </c>
      <c r="AB106" s="396">
        <f t="shared" si="576"/>
        <v>20</v>
      </c>
      <c r="AC106" s="396">
        <f t="shared" si="576"/>
        <v>20</v>
      </c>
      <c r="AD106" s="396">
        <f t="shared" si="576"/>
        <v>20</v>
      </c>
      <c r="AE106" s="396">
        <f t="shared" si="576"/>
        <v>20</v>
      </c>
      <c r="AF106" s="396">
        <f t="shared" si="576"/>
        <v>20</v>
      </c>
      <c r="AG106" s="398">
        <f t="shared" si="576"/>
        <v>20</v>
      </c>
      <c r="AH106" s="384" t="s">
        <v>616</v>
      </c>
      <c r="AI106" s="399">
        <f t="shared" si="549"/>
        <v>20</v>
      </c>
      <c r="AJ106" s="396">
        <f t="shared" ref="AJ106:AT106" si="577">+AI106+AJ138-AJ155</f>
        <v>20</v>
      </c>
      <c r="AK106" s="396">
        <f t="shared" si="577"/>
        <v>20</v>
      </c>
      <c r="AL106" s="396">
        <f t="shared" si="577"/>
        <v>20</v>
      </c>
      <c r="AM106" s="396">
        <f t="shared" si="577"/>
        <v>20</v>
      </c>
      <c r="AN106" s="396">
        <f t="shared" si="577"/>
        <v>20</v>
      </c>
      <c r="AO106" s="396">
        <f t="shared" si="577"/>
        <v>20</v>
      </c>
      <c r="AP106" s="396">
        <f t="shared" si="577"/>
        <v>20</v>
      </c>
      <c r="AQ106" s="396">
        <f t="shared" si="577"/>
        <v>20</v>
      </c>
      <c r="AR106" s="396">
        <f t="shared" si="577"/>
        <v>20</v>
      </c>
      <c r="AS106" s="396">
        <f t="shared" si="577"/>
        <v>20</v>
      </c>
      <c r="AT106" s="398">
        <f t="shared" si="577"/>
        <v>20</v>
      </c>
      <c r="AU106" s="384" t="s">
        <v>616</v>
      </c>
      <c r="AV106" s="399">
        <f t="shared" si="551"/>
        <v>20</v>
      </c>
      <c r="AW106" s="396">
        <f t="shared" ref="AW106:BG106" si="578">+AV106+AW138-AW155</f>
        <v>20</v>
      </c>
      <c r="AX106" s="396">
        <f t="shared" si="578"/>
        <v>20</v>
      </c>
      <c r="AY106" s="396">
        <f t="shared" si="578"/>
        <v>20</v>
      </c>
      <c r="AZ106" s="396">
        <f t="shared" si="578"/>
        <v>20</v>
      </c>
      <c r="BA106" s="396">
        <f t="shared" si="578"/>
        <v>20</v>
      </c>
      <c r="BB106" s="396">
        <f t="shared" si="578"/>
        <v>20</v>
      </c>
      <c r="BC106" s="396">
        <f t="shared" si="578"/>
        <v>20</v>
      </c>
      <c r="BD106" s="396">
        <f t="shared" si="578"/>
        <v>20</v>
      </c>
      <c r="BE106" s="396">
        <f t="shared" si="578"/>
        <v>20</v>
      </c>
      <c r="BF106" s="396">
        <f t="shared" si="578"/>
        <v>20</v>
      </c>
      <c r="BG106" s="398">
        <f t="shared" si="578"/>
        <v>20</v>
      </c>
      <c r="BH106" s="384" t="s">
        <v>616</v>
      </c>
      <c r="BI106" s="399">
        <f t="shared" si="553"/>
        <v>20</v>
      </c>
      <c r="BJ106" s="396">
        <f t="shared" ref="BJ106:BT106" si="579">+BI106+BJ138-BJ155</f>
        <v>20</v>
      </c>
      <c r="BK106" s="396">
        <f t="shared" si="579"/>
        <v>20</v>
      </c>
      <c r="BL106" s="396">
        <f t="shared" si="579"/>
        <v>20</v>
      </c>
      <c r="BM106" s="396">
        <f t="shared" si="579"/>
        <v>20</v>
      </c>
      <c r="BN106" s="396">
        <f t="shared" si="579"/>
        <v>20</v>
      </c>
      <c r="BO106" s="396">
        <f t="shared" si="579"/>
        <v>20</v>
      </c>
      <c r="BP106" s="396">
        <f t="shared" si="579"/>
        <v>20</v>
      </c>
      <c r="BQ106" s="396">
        <f t="shared" si="579"/>
        <v>20</v>
      </c>
      <c r="BR106" s="396">
        <f t="shared" si="579"/>
        <v>20</v>
      </c>
      <c r="BS106" s="396">
        <f t="shared" si="579"/>
        <v>20</v>
      </c>
      <c r="BT106" s="398">
        <f t="shared" si="579"/>
        <v>20</v>
      </c>
      <c r="BU106" s="384" t="s">
        <v>616</v>
      </c>
      <c r="BV106" s="399">
        <f t="shared" si="555"/>
        <v>20</v>
      </c>
      <c r="BW106" s="396">
        <f t="shared" ref="BW106:CG106" si="580">+BV106+BW138-BW155</f>
        <v>20</v>
      </c>
      <c r="BX106" s="396">
        <f t="shared" si="580"/>
        <v>20</v>
      </c>
      <c r="BY106" s="396">
        <f t="shared" si="580"/>
        <v>20</v>
      </c>
      <c r="BZ106" s="396">
        <f t="shared" si="580"/>
        <v>20</v>
      </c>
      <c r="CA106" s="396">
        <f t="shared" si="580"/>
        <v>20</v>
      </c>
      <c r="CB106" s="396">
        <f t="shared" si="580"/>
        <v>20</v>
      </c>
      <c r="CC106" s="396">
        <f t="shared" si="580"/>
        <v>20</v>
      </c>
      <c r="CD106" s="396">
        <f t="shared" si="580"/>
        <v>20</v>
      </c>
      <c r="CE106" s="396">
        <f t="shared" si="580"/>
        <v>20</v>
      </c>
      <c r="CF106" s="396">
        <f t="shared" si="580"/>
        <v>20</v>
      </c>
      <c r="CG106" s="398">
        <f t="shared" si="580"/>
        <v>20</v>
      </c>
      <c r="CH106" s="384" t="s">
        <v>616</v>
      </c>
      <c r="CI106" s="399">
        <f t="shared" si="557"/>
        <v>20</v>
      </c>
      <c r="CJ106" s="396">
        <f t="shared" ref="CJ106:CT106" si="581">+CI106+CJ138-CJ155</f>
        <v>20</v>
      </c>
      <c r="CK106" s="396">
        <f t="shared" si="581"/>
        <v>20</v>
      </c>
      <c r="CL106" s="396">
        <f t="shared" si="581"/>
        <v>20</v>
      </c>
      <c r="CM106" s="396">
        <f t="shared" si="581"/>
        <v>20</v>
      </c>
      <c r="CN106" s="396">
        <f t="shared" si="581"/>
        <v>20</v>
      </c>
      <c r="CO106" s="396">
        <f t="shared" si="581"/>
        <v>20</v>
      </c>
      <c r="CP106" s="396">
        <f t="shared" si="581"/>
        <v>20</v>
      </c>
      <c r="CQ106" s="396">
        <f t="shared" si="581"/>
        <v>20</v>
      </c>
      <c r="CR106" s="396">
        <f t="shared" si="581"/>
        <v>20</v>
      </c>
      <c r="CS106" s="396">
        <f t="shared" si="581"/>
        <v>20</v>
      </c>
      <c r="CT106" s="398">
        <f t="shared" si="581"/>
        <v>20</v>
      </c>
      <c r="CU106" s="384" t="s">
        <v>616</v>
      </c>
      <c r="CV106" s="399">
        <f t="shared" si="559"/>
        <v>20</v>
      </c>
      <c r="CW106" s="396">
        <f t="shared" ref="CW106:DG106" si="582">+CV106+CW138-CW155</f>
        <v>20</v>
      </c>
      <c r="CX106" s="396">
        <f t="shared" si="582"/>
        <v>20</v>
      </c>
      <c r="CY106" s="396">
        <f t="shared" si="582"/>
        <v>20</v>
      </c>
      <c r="CZ106" s="396">
        <f t="shared" si="582"/>
        <v>20</v>
      </c>
      <c r="DA106" s="396">
        <f t="shared" si="582"/>
        <v>20</v>
      </c>
      <c r="DB106" s="396">
        <f t="shared" si="582"/>
        <v>20</v>
      </c>
      <c r="DC106" s="396">
        <f t="shared" si="582"/>
        <v>20</v>
      </c>
      <c r="DD106" s="396">
        <f t="shared" si="582"/>
        <v>20</v>
      </c>
      <c r="DE106" s="396">
        <f t="shared" si="582"/>
        <v>20</v>
      </c>
      <c r="DF106" s="396">
        <f t="shared" si="582"/>
        <v>20</v>
      </c>
      <c r="DG106" s="398">
        <f t="shared" si="582"/>
        <v>20</v>
      </c>
      <c r="DH106" s="384" t="s">
        <v>616</v>
      </c>
      <c r="DI106" s="399">
        <f t="shared" si="561"/>
        <v>20</v>
      </c>
      <c r="DJ106" s="396">
        <f t="shared" ref="DJ106:DT106" si="583">+DI106+DJ138-DJ155</f>
        <v>20</v>
      </c>
      <c r="DK106" s="396">
        <f t="shared" si="583"/>
        <v>20</v>
      </c>
      <c r="DL106" s="396">
        <f t="shared" si="583"/>
        <v>20</v>
      </c>
      <c r="DM106" s="396">
        <f t="shared" si="583"/>
        <v>20</v>
      </c>
      <c r="DN106" s="396">
        <f t="shared" si="583"/>
        <v>20</v>
      </c>
      <c r="DO106" s="396">
        <f t="shared" si="583"/>
        <v>20</v>
      </c>
      <c r="DP106" s="396">
        <f t="shared" si="583"/>
        <v>20</v>
      </c>
      <c r="DQ106" s="396">
        <f t="shared" si="583"/>
        <v>20</v>
      </c>
      <c r="DR106" s="396">
        <f t="shared" si="583"/>
        <v>20</v>
      </c>
      <c r="DS106" s="396">
        <f t="shared" si="583"/>
        <v>20</v>
      </c>
      <c r="DT106" s="398">
        <f t="shared" si="583"/>
        <v>20</v>
      </c>
      <c r="DU106" s="384" t="s">
        <v>616</v>
      </c>
      <c r="DV106" s="399">
        <f t="shared" si="563"/>
        <v>20</v>
      </c>
      <c r="DW106" s="396">
        <f t="shared" ref="DW106:EG106" si="584">+DV106+DW138-DW155</f>
        <v>20</v>
      </c>
      <c r="DX106" s="396">
        <f t="shared" si="584"/>
        <v>20</v>
      </c>
      <c r="DY106" s="396">
        <f t="shared" si="584"/>
        <v>20</v>
      </c>
      <c r="DZ106" s="396">
        <f t="shared" si="584"/>
        <v>20</v>
      </c>
      <c r="EA106" s="396">
        <f t="shared" si="584"/>
        <v>20</v>
      </c>
      <c r="EB106" s="396">
        <f t="shared" si="584"/>
        <v>20</v>
      </c>
      <c r="EC106" s="396">
        <f t="shared" si="584"/>
        <v>20</v>
      </c>
      <c r="ED106" s="396">
        <f t="shared" si="584"/>
        <v>20</v>
      </c>
      <c r="EE106" s="396">
        <f t="shared" si="584"/>
        <v>20</v>
      </c>
      <c r="EF106" s="396">
        <f t="shared" si="584"/>
        <v>20</v>
      </c>
      <c r="EG106" s="398">
        <f t="shared" si="584"/>
        <v>20</v>
      </c>
      <c r="EH106" s="384" t="s">
        <v>616</v>
      </c>
      <c r="EI106" s="663"/>
      <c r="EJ106" s="663"/>
      <c r="EK106" s="663"/>
      <c r="EL106" s="663"/>
      <c r="EM106" s="663"/>
    </row>
    <row r="107" spans="1:143" ht="14.25" customHeight="1">
      <c r="A107" s="21"/>
      <c r="B107" s="21"/>
      <c r="C107" s="21"/>
      <c r="D107" s="622">
        <f t="shared" si="525"/>
        <v>98</v>
      </c>
      <c r="E107" s="1625"/>
      <c r="F107" s="659" t="s">
        <v>629</v>
      </c>
      <c r="G107" s="296"/>
      <c r="H107" s="369">
        <f>+Assumption!G289</f>
        <v>0</v>
      </c>
      <c r="I107" s="268">
        <f t="shared" ref="I107:T107" si="585">+H107-I156</f>
        <v>0</v>
      </c>
      <c r="J107" s="287">
        <f>+I107-J156</f>
        <v>0</v>
      </c>
      <c r="K107" s="287">
        <f t="shared" si="585"/>
        <v>0</v>
      </c>
      <c r="L107" s="287">
        <f t="shared" si="585"/>
        <v>0</v>
      </c>
      <c r="M107" s="287">
        <f t="shared" si="585"/>
        <v>0</v>
      </c>
      <c r="N107" s="287">
        <f t="shared" si="585"/>
        <v>0</v>
      </c>
      <c r="O107" s="287">
        <f t="shared" si="585"/>
        <v>0</v>
      </c>
      <c r="P107" s="287">
        <f t="shared" si="585"/>
        <v>0</v>
      </c>
      <c r="Q107" s="287">
        <f t="shared" si="585"/>
        <v>0</v>
      </c>
      <c r="R107" s="287">
        <f t="shared" si="585"/>
        <v>0</v>
      </c>
      <c r="S107" s="287">
        <f t="shared" si="585"/>
        <v>0</v>
      </c>
      <c r="T107" s="288">
        <f t="shared" si="585"/>
        <v>-10</v>
      </c>
      <c r="U107" s="375">
        <f>+MIN(I99:T99)</f>
        <v>0</v>
      </c>
      <c r="V107" s="268">
        <f>+T107-V156</f>
        <v>-10</v>
      </c>
      <c r="W107" s="287">
        <f t="shared" ref="W107:AG107" si="586">+V107-W156</f>
        <v>-10</v>
      </c>
      <c r="X107" s="287">
        <f t="shared" si="586"/>
        <v>-10</v>
      </c>
      <c r="Y107" s="287">
        <f t="shared" si="586"/>
        <v>-10</v>
      </c>
      <c r="Z107" s="287">
        <f t="shared" si="586"/>
        <v>-10</v>
      </c>
      <c r="AA107" s="287">
        <f t="shared" si="586"/>
        <v>-10</v>
      </c>
      <c r="AB107" s="287">
        <f t="shared" si="586"/>
        <v>-10</v>
      </c>
      <c r="AC107" s="287">
        <f t="shared" si="586"/>
        <v>-10</v>
      </c>
      <c r="AD107" s="287">
        <f t="shared" si="586"/>
        <v>-10</v>
      </c>
      <c r="AE107" s="287">
        <f t="shared" si="586"/>
        <v>-10</v>
      </c>
      <c r="AF107" s="287">
        <f t="shared" si="586"/>
        <v>-10</v>
      </c>
      <c r="AG107" s="400">
        <f t="shared" si="586"/>
        <v>-10</v>
      </c>
      <c r="AH107" s="375">
        <f>+MIN(V99:AG99)</f>
        <v>0</v>
      </c>
      <c r="AI107" s="392">
        <f>+AG107-AI156</f>
        <v>-10</v>
      </c>
      <c r="AJ107" s="287">
        <f t="shared" ref="AJ107:AT107" si="587">+AI107-AJ156</f>
        <v>-10</v>
      </c>
      <c r="AK107" s="287">
        <f t="shared" si="587"/>
        <v>-10</v>
      </c>
      <c r="AL107" s="287">
        <f t="shared" si="587"/>
        <v>-10</v>
      </c>
      <c r="AM107" s="287">
        <f t="shared" si="587"/>
        <v>-10</v>
      </c>
      <c r="AN107" s="287">
        <f t="shared" si="587"/>
        <v>-10</v>
      </c>
      <c r="AO107" s="287">
        <f t="shared" si="587"/>
        <v>-10</v>
      </c>
      <c r="AP107" s="287">
        <f t="shared" si="587"/>
        <v>-10</v>
      </c>
      <c r="AQ107" s="287">
        <f t="shared" si="587"/>
        <v>-10</v>
      </c>
      <c r="AR107" s="287">
        <f t="shared" si="587"/>
        <v>-10</v>
      </c>
      <c r="AS107" s="287">
        <f t="shared" si="587"/>
        <v>-10</v>
      </c>
      <c r="AT107" s="400">
        <f t="shared" si="587"/>
        <v>-10</v>
      </c>
      <c r="AU107" s="375">
        <f>+MIN(AI99:AT99)</f>
        <v>0</v>
      </c>
      <c r="AV107" s="392">
        <f>+AT107-AV156</f>
        <v>-10</v>
      </c>
      <c r="AW107" s="287">
        <f t="shared" ref="AW107:BG107" si="588">+AV107-AW156</f>
        <v>-10</v>
      </c>
      <c r="AX107" s="287">
        <f t="shared" si="588"/>
        <v>-10</v>
      </c>
      <c r="AY107" s="287">
        <f t="shared" si="588"/>
        <v>-10</v>
      </c>
      <c r="AZ107" s="287">
        <f t="shared" si="588"/>
        <v>-10</v>
      </c>
      <c r="BA107" s="287">
        <f t="shared" si="588"/>
        <v>-10</v>
      </c>
      <c r="BB107" s="287">
        <f t="shared" si="588"/>
        <v>-10</v>
      </c>
      <c r="BC107" s="287">
        <f t="shared" si="588"/>
        <v>-10</v>
      </c>
      <c r="BD107" s="287">
        <f t="shared" si="588"/>
        <v>-10</v>
      </c>
      <c r="BE107" s="287">
        <f t="shared" si="588"/>
        <v>-10</v>
      </c>
      <c r="BF107" s="287">
        <f t="shared" si="588"/>
        <v>-10</v>
      </c>
      <c r="BG107" s="400">
        <f t="shared" si="588"/>
        <v>-10</v>
      </c>
      <c r="BH107" s="375">
        <f>+MIN(AV99:BG99)</f>
        <v>0</v>
      </c>
      <c r="BI107" s="392">
        <f>+BG107-BI156</f>
        <v>-10</v>
      </c>
      <c r="BJ107" s="287">
        <f t="shared" ref="BJ107:BT107" si="589">+BI107-BJ156</f>
        <v>-10</v>
      </c>
      <c r="BK107" s="287">
        <f t="shared" si="589"/>
        <v>-10</v>
      </c>
      <c r="BL107" s="287">
        <f t="shared" si="589"/>
        <v>-10</v>
      </c>
      <c r="BM107" s="287">
        <f t="shared" si="589"/>
        <v>-10</v>
      </c>
      <c r="BN107" s="287">
        <f t="shared" si="589"/>
        <v>-10</v>
      </c>
      <c r="BO107" s="287">
        <f t="shared" si="589"/>
        <v>-10</v>
      </c>
      <c r="BP107" s="287">
        <f t="shared" si="589"/>
        <v>-10</v>
      </c>
      <c r="BQ107" s="287">
        <f t="shared" si="589"/>
        <v>-10</v>
      </c>
      <c r="BR107" s="287">
        <f t="shared" si="589"/>
        <v>-10</v>
      </c>
      <c r="BS107" s="287">
        <f t="shared" si="589"/>
        <v>-10</v>
      </c>
      <c r="BT107" s="400">
        <f t="shared" si="589"/>
        <v>-10</v>
      </c>
      <c r="BU107" s="375">
        <f>+MIN(BI99:BT99)</f>
        <v>0</v>
      </c>
      <c r="BV107" s="392">
        <f>+BT107-BV156</f>
        <v>-10</v>
      </c>
      <c r="BW107" s="287">
        <f t="shared" ref="BW107:CG107" si="590">+BV107-BW156</f>
        <v>-10</v>
      </c>
      <c r="BX107" s="287">
        <f t="shared" si="590"/>
        <v>-10</v>
      </c>
      <c r="BY107" s="287">
        <f t="shared" si="590"/>
        <v>-10</v>
      </c>
      <c r="BZ107" s="287">
        <f t="shared" si="590"/>
        <v>-10</v>
      </c>
      <c r="CA107" s="287">
        <f t="shared" si="590"/>
        <v>-10</v>
      </c>
      <c r="CB107" s="287">
        <f t="shared" si="590"/>
        <v>-10</v>
      </c>
      <c r="CC107" s="287">
        <f t="shared" si="590"/>
        <v>-10</v>
      </c>
      <c r="CD107" s="287">
        <f t="shared" si="590"/>
        <v>-10</v>
      </c>
      <c r="CE107" s="287">
        <f t="shared" si="590"/>
        <v>-10</v>
      </c>
      <c r="CF107" s="287">
        <f t="shared" si="590"/>
        <v>-10</v>
      </c>
      <c r="CG107" s="400">
        <f t="shared" si="590"/>
        <v>-10</v>
      </c>
      <c r="CH107" s="375">
        <f>+MIN(BV99:CG99)</f>
        <v>0</v>
      </c>
      <c r="CI107" s="392">
        <f>+CG107-CI156</f>
        <v>-10</v>
      </c>
      <c r="CJ107" s="287">
        <f t="shared" ref="CJ107:CT107" si="591">+CI107-CJ156</f>
        <v>-10</v>
      </c>
      <c r="CK107" s="287">
        <f t="shared" si="591"/>
        <v>-10</v>
      </c>
      <c r="CL107" s="287">
        <f t="shared" si="591"/>
        <v>-10</v>
      </c>
      <c r="CM107" s="287">
        <f t="shared" si="591"/>
        <v>-10</v>
      </c>
      <c r="CN107" s="287">
        <f t="shared" si="591"/>
        <v>-10</v>
      </c>
      <c r="CO107" s="287">
        <f t="shared" si="591"/>
        <v>-10</v>
      </c>
      <c r="CP107" s="287">
        <f t="shared" si="591"/>
        <v>-10</v>
      </c>
      <c r="CQ107" s="287">
        <f t="shared" si="591"/>
        <v>-10</v>
      </c>
      <c r="CR107" s="287">
        <f t="shared" si="591"/>
        <v>-10</v>
      </c>
      <c r="CS107" s="287">
        <f t="shared" si="591"/>
        <v>-10</v>
      </c>
      <c r="CT107" s="400">
        <f t="shared" si="591"/>
        <v>-10</v>
      </c>
      <c r="CU107" s="375">
        <f>+MIN(CI99:CT99)</f>
        <v>0</v>
      </c>
      <c r="CV107" s="392">
        <f>+CT107-CV156</f>
        <v>-10</v>
      </c>
      <c r="CW107" s="287">
        <f t="shared" ref="CW107:DG107" si="592">+CV107-CW156</f>
        <v>-10</v>
      </c>
      <c r="CX107" s="287">
        <f t="shared" si="592"/>
        <v>-10</v>
      </c>
      <c r="CY107" s="287">
        <f t="shared" si="592"/>
        <v>-10</v>
      </c>
      <c r="CZ107" s="287">
        <f t="shared" si="592"/>
        <v>-10</v>
      </c>
      <c r="DA107" s="287">
        <f t="shared" si="592"/>
        <v>-10</v>
      </c>
      <c r="DB107" s="287">
        <f t="shared" si="592"/>
        <v>-10</v>
      </c>
      <c r="DC107" s="287">
        <f t="shared" si="592"/>
        <v>-10</v>
      </c>
      <c r="DD107" s="287">
        <f t="shared" si="592"/>
        <v>-10</v>
      </c>
      <c r="DE107" s="287">
        <f t="shared" si="592"/>
        <v>-10</v>
      </c>
      <c r="DF107" s="287">
        <f t="shared" si="592"/>
        <v>-10</v>
      </c>
      <c r="DG107" s="400">
        <f t="shared" si="592"/>
        <v>-10</v>
      </c>
      <c r="DH107" s="375">
        <f>+MIN(CV99:DG99)</f>
        <v>0</v>
      </c>
      <c r="DI107" s="392">
        <f>+DG107-DI156</f>
        <v>-10</v>
      </c>
      <c r="DJ107" s="287">
        <f t="shared" ref="DJ107:DT107" si="593">+DI107-DJ156</f>
        <v>-10</v>
      </c>
      <c r="DK107" s="287">
        <f t="shared" si="593"/>
        <v>-10</v>
      </c>
      <c r="DL107" s="287">
        <f t="shared" si="593"/>
        <v>-10</v>
      </c>
      <c r="DM107" s="287">
        <f t="shared" si="593"/>
        <v>-10</v>
      </c>
      <c r="DN107" s="287">
        <f t="shared" si="593"/>
        <v>-10</v>
      </c>
      <c r="DO107" s="287">
        <f t="shared" si="593"/>
        <v>-10</v>
      </c>
      <c r="DP107" s="287">
        <f t="shared" si="593"/>
        <v>-10</v>
      </c>
      <c r="DQ107" s="287">
        <f t="shared" si="593"/>
        <v>-10</v>
      </c>
      <c r="DR107" s="287">
        <f t="shared" si="593"/>
        <v>-10</v>
      </c>
      <c r="DS107" s="287">
        <f t="shared" si="593"/>
        <v>-10</v>
      </c>
      <c r="DT107" s="400">
        <f t="shared" si="593"/>
        <v>-10</v>
      </c>
      <c r="DU107" s="375">
        <f>+MIN(DI99:DT99)</f>
        <v>0</v>
      </c>
      <c r="DV107" s="392">
        <f>+DT107-DV156</f>
        <v>-10</v>
      </c>
      <c r="DW107" s="287">
        <f t="shared" ref="DW107:EG107" si="594">+DV107-DW156</f>
        <v>-10</v>
      </c>
      <c r="DX107" s="287">
        <f t="shared" si="594"/>
        <v>-10</v>
      </c>
      <c r="DY107" s="287">
        <f t="shared" si="594"/>
        <v>-10</v>
      </c>
      <c r="DZ107" s="287">
        <f t="shared" si="594"/>
        <v>-10</v>
      </c>
      <c r="EA107" s="287">
        <f t="shared" si="594"/>
        <v>-10</v>
      </c>
      <c r="EB107" s="287">
        <f t="shared" si="594"/>
        <v>-10</v>
      </c>
      <c r="EC107" s="287">
        <f t="shared" si="594"/>
        <v>-10</v>
      </c>
      <c r="ED107" s="287">
        <f t="shared" si="594"/>
        <v>-10</v>
      </c>
      <c r="EE107" s="287">
        <f t="shared" si="594"/>
        <v>-10</v>
      </c>
      <c r="EF107" s="287">
        <f t="shared" si="594"/>
        <v>-10</v>
      </c>
      <c r="EG107" s="400">
        <f t="shared" si="594"/>
        <v>-10</v>
      </c>
      <c r="EH107" s="375">
        <f>+MIN(DV99:EG99)</f>
        <v>0</v>
      </c>
      <c r="EI107" s="21"/>
      <c r="EJ107" s="21"/>
      <c r="EK107" s="21"/>
      <c r="EL107" s="21"/>
      <c r="EM107" s="21"/>
    </row>
    <row r="108" spans="1:143" ht="14.25" customHeight="1">
      <c r="A108" s="21"/>
      <c r="B108" s="21"/>
      <c r="C108" s="21"/>
      <c r="D108" s="622">
        <f t="shared" si="525"/>
        <v>99</v>
      </c>
      <c r="E108" s="1625"/>
      <c r="F108" s="659" t="s">
        <v>630</v>
      </c>
      <c r="G108" s="296"/>
      <c r="H108" s="369">
        <f>+Assumption!G290</f>
        <v>0</v>
      </c>
      <c r="I108" s="268">
        <f t="shared" ref="I108:T108" si="595">+H108+I139-I157</f>
        <v>0</v>
      </c>
      <c r="J108" s="287">
        <f>+I108+J139-J157</f>
        <v>0</v>
      </c>
      <c r="K108" s="287">
        <f t="shared" si="595"/>
        <v>0</v>
      </c>
      <c r="L108" s="287">
        <f t="shared" si="595"/>
        <v>0</v>
      </c>
      <c r="M108" s="287">
        <f t="shared" si="595"/>
        <v>0</v>
      </c>
      <c r="N108" s="287">
        <f t="shared" si="595"/>
        <v>0</v>
      </c>
      <c r="O108" s="287">
        <f t="shared" si="595"/>
        <v>0</v>
      </c>
      <c r="P108" s="287">
        <f t="shared" si="595"/>
        <v>0</v>
      </c>
      <c r="Q108" s="287">
        <f t="shared" si="595"/>
        <v>0</v>
      </c>
      <c r="R108" s="287">
        <f t="shared" si="595"/>
        <v>0</v>
      </c>
      <c r="S108" s="287">
        <f t="shared" si="595"/>
        <v>0</v>
      </c>
      <c r="T108" s="288">
        <f t="shared" si="595"/>
        <v>10</v>
      </c>
      <c r="U108" s="375" t="s">
        <v>620</v>
      </c>
      <c r="V108" s="268">
        <f t="shared" ref="V108:V118" si="596">+T108+V139-V157</f>
        <v>10</v>
      </c>
      <c r="W108" s="287">
        <f t="shared" ref="W108:AG108" si="597">+V108+W139-W157</f>
        <v>10</v>
      </c>
      <c r="X108" s="287">
        <f t="shared" si="597"/>
        <v>10</v>
      </c>
      <c r="Y108" s="287">
        <f t="shared" si="597"/>
        <v>10</v>
      </c>
      <c r="Z108" s="287">
        <f t="shared" si="597"/>
        <v>10</v>
      </c>
      <c r="AA108" s="287">
        <f t="shared" si="597"/>
        <v>10</v>
      </c>
      <c r="AB108" s="287">
        <f t="shared" si="597"/>
        <v>10</v>
      </c>
      <c r="AC108" s="287">
        <f t="shared" si="597"/>
        <v>10</v>
      </c>
      <c r="AD108" s="287">
        <f t="shared" si="597"/>
        <v>10</v>
      </c>
      <c r="AE108" s="287">
        <f t="shared" si="597"/>
        <v>10</v>
      </c>
      <c r="AF108" s="287">
        <f t="shared" si="597"/>
        <v>10</v>
      </c>
      <c r="AG108" s="400">
        <f t="shared" si="597"/>
        <v>10</v>
      </c>
      <c r="AH108" s="375" t="s">
        <v>620</v>
      </c>
      <c r="AI108" s="392">
        <f t="shared" ref="AI108:AI118" si="598">+AG108+AI139-AI157</f>
        <v>10</v>
      </c>
      <c r="AJ108" s="287">
        <f t="shared" ref="AJ108:AT108" si="599">+AI108+AJ139-AJ157</f>
        <v>10</v>
      </c>
      <c r="AK108" s="287">
        <f t="shared" si="599"/>
        <v>10</v>
      </c>
      <c r="AL108" s="287">
        <f t="shared" si="599"/>
        <v>10</v>
      </c>
      <c r="AM108" s="287">
        <f t="shared" si="599"/>
        <v>10</v>
      </c>
      <c r="AN108" s="287">
        <f t="shared" si="599"/>
        <v>10</v>
      </c>
      <c r="AO108" s="287">
        <f t="shared" si="599"/>
        <v>10</v>
      </c>
      <c r="AP108" s="287">
        <f t="shared" si="599"/>
        <v>10</v>
      </c>
      <c r="AQ108" s="287">
        <f t="shared" si="599"/>
        <v>10</v>
      </c>
      <c r="AR108" s="287">
        <f t="shared" si="599"/>
        <v>10</v>
      </c>
      <c r="AS108" s="287">
        <f t="shared" si="599"/>
        <v>10</v>
      </c>
      <c r="AT108" s="400">
        <f t="shared" si="599"/>
        <v>10</v>
      </c>
      <c r="AU108" s="375" t="s">
        <v>620</v>
      </c>
      <c r="AV108" s="392">
        <f t="shared" ref="AV108:AV118" si="600">+AT108+AV139-AV157</f>
        <v>10</v>
      </c>
      <c r="AW108" s="287">
        <f t="shared" ref="AW108:BG108" si="601">+AV108+AW139-AW157</f>
        <v>10</v>
      </c>
      <c r="AX108" s="287">
        <f t="shared" si="601"/>
        <v>10</v>
      </c>
      <c r="AY108" s="287">
        <f t="shared" si="601"/>
        <v>10</v>
      </c>
      <c r="AZ108" s="287">
        <f t="shared" si="601"/>
        <v>10</v>
      </c>
      <c r="BA108" s="287">
        <f t="shared" si="601"/>
        <v>10</v>
      </c>
      <c r="BB108" s="287">
        <f t="shared" si="601"/>
        <v>10</v>
      </c>
      <c r="BC108" s="287">
        <f t="shared" si="601"/>
        <v>10</v>
      </c>
      <c r="BD108" s="287">
        <f t="shared" si="601"/>
        <v>10</v>
      </c>
      <c r="BE108" s="287">
        <f t="shared" si="601"/>
        <v>10</v>
      </c>
      <c r="BF108" s="287">
        <f t="shared" si="601"/>
        <v>10</v>
      </c>
      <c r="BG108" s="400">
        <f t="shared" si="601"/>
        <v>10</v>
      </c>
      <c r="BH108" s="375" t="s">
        <v>620</v>
      </c>
      <c r="BI108" s="392">
        <f t="shared" ref="BI108:BI118" si="602">+BG108+BI139-BI157</f>
        <v>10</v>
      </c>
      <c r="BJ108" s="287">
        <f t="shared" ref="BJ108:BT108" si="603">+BI108+BJ139-BJ157</f>
        <v>10</v>
      </c>
      <c r="BK108" s="287">
        <f t="shared" si="603"/>
        <v>10</v>
      </c>
      <c r="BL108" s="287">
        <f t="shared" si="603"/>
        <v>10</v>
      </c>
      <c r="BM108" s="287">
        <f t="shared" si="603"/>
        <v>10</v>
      </c>
      <c r="BN108" s="287">
        <f t="shared" si="603"/>
        <v>10</v>
      </c>
      <c r="BO108" s="287">
        <f t="shared" si="603"/>
        <v>10</v>
      </c>
      <c r="BP108" s="287">
        <f t="shared" si="603"/>
        <v>10</v>
      </c>
      <c r="BQ108" s="287">
        <f t="shared" si="603"/>
        <v>10</v>
      </c>
      <c r="BR108" s="287">
        <f t="shared" si="603"/>
        <v>10</v>
      </c>
      <c r="BS108" s="287">
        <f t="shared" si="603"/>
        <v>10</v>
      </c>
      <c r="BT108" s="400">
        <f t="shared" si="603"/>
        <v>10</v>
      </c>
      <c r="BU108" s="375" t="s">
        <v>620</v>
      </c>
      <c r="BV108" s="392">
        <f t="shared" ref="BV108:BV118" si="604">+BT108+BV139-BV157</f>
        <v>10</v>
      </c>
      <c r="BW108" s="287">
        <f t="shared" ref="BW108:CG108" si="605">+BV108+BW139-BW157</f>
        <v>10</v>
      </c>
      <c r="BX108" s="287">
        <f t="shared" si="605"/>
        <v>10</v>
      </c>
      <c r="BY108" s="287">
        <f t="shared" si="605"/>
        <v>10</v>
      </c>
      <c r="BZ108" s="287">
        <f t="shared" si="605"/>
        <v>10</v>
      </c>
      <c r="CA108" s="287">
        <f t="shared" si="605"/>
        <v>10</v>
      </c>
      <c r="CB108" s="287">
        <f t="shared" si="605"/>
        <v>10</v>
      </c>
      <c r="CC108" s="287">
        <f t="shared" si="605"/>
        <v>10</v>
      </c>
      <c r="CD108" s="287">
        <f t="shared" si="605"/>
        <v>10</v>
      </c>
      <c r="CE108" s="287">
        <f t="shared" si="605"/>
        <v>10</v>
      </c>
      <c r="CF108" s="287">
        <f t="shared" si="605"/>
        <v>10</v>
      </c>
      <c r="CG108" s="400">
        <f t="shared" si="605"/>
        <v>10</v>
      </c>
      <c r="CH108" s="375" t="s">
        <v>620</v>
      </c>
      <c r="CI108" s="392">
        <f t="shared" ref="CI108:CI118" si="606">+CG108+CI139-CI157</f>
        <v>10</v>
      </c>
      <c r="CJ108" s="287">
        <f t="shared" ref="CJ108:CT108" si="607">+CI108+CJ139-CJ157</f>
        <v>10</v>
      </c>
      <c r="CK108" s="287">
        <f t="shared" si="607"/>
        <v>10</v>
      </c>
      <c r="CL108" s="287">
        <f t="shared" si="607"/>
        <v>10</v>
      </c>
      <c r="CM108" s="287">
        <f t="shared" si="607"/>
        <v>10</v>
      </c>
      <c r="CN108" s="287">
        <f t="shared" si="607"/>
        <v>10</v>
      </c>
      <c r="CO108" s="287">
        <f t="shared" si="607"/>
        <v>10</v>
      </c>
      <c r="CP108" s="287">
        <f t="shared" si="607"/>
        <v>10</v>
      </c>
      <c r="CQ108" s="287">
        <f t="shared" si="607"/>
        <v>10</v>
      </c>
      <c r="CR108" s="287">
        <f t="shared" si="607"/>
        <v>10</v>
      </c>
      <c r="CS108" s="287">
        <f t="shared" si="607"/>
        <v>10</v>
      </c>
      <c r="CT108" s="400">
        <f t="shared" si="607"/>
        <v>10</v>
      </c>
      <c r="CU108" s="375" t="s">
        <v>620</v>
      </c>
      <c r="CV108" s="392">
        <f t="shared" ref="CV108:CV118" si="608">+CT108+CV139-CV157</f>
        <v>10</v>
      </c>
      <c r="CW108" s="287">
        <f t="shared" ref="CW108:DG108" si="609">+CV108+CW139-CW157</f>
        <v>10</v>
      </c>
      <c r="CX108" s="287">
        <f t="shared" si="609"/>
        <v>10</v>
      </c>
      <c r="CY108" s="287">
        <f t="shared" si="609"/>
        <v>10</v>
      </c>
      <c r="CZ108" s="287">
        <f t="shared" si="609"/>
        <v>10</v>
      </c>
      <c r="DA108" s="287">
        <f t="shared" si="609"/>
        <v>10</v>
      </c>
      <c r="DB108" s="287">
        <f t="shared" si="609"/>
        <v>10</v>
      </c>
      <c r="DC108" s="287">
        <f t="shared" si="609"/>
        <v>10</v>
      </c>
      <c r="DD108" s="287">
        <f t="shared" si="609"/>
        <v>10</v>
      </c>
      <c r="DE108" s="287">
        <f t="shared" si="609"/>
        <v>10</v>
      </c>
      <c r="DF108" s="287">
        <f t="shared" si="609"/>
        <v>10</v>
      </c>
      <c r="DG108" s="400">
        <f t="shared" si="609"/>
        <v>10</v>
      </c>
      <c r="DH108" s="375" t="s">
        <v>620</v>
      </c>
      <c r="DI108" s="392">
        <f t="shared" ref="DI108:DI118" si="610">+DG108+DI139-DI157</f>
        <v>10</v>
      </c>
      <c r="DJ108" s="287">
        <f t="shared" ref="DJ108:DT108" si="611">+DI108+DJ139-DJ157</f>
        <v>10</v>
      </c>
      <c r="DK108" s="287">
        <f t="shared" si="611"/>
        <v>10</v>
      </c>
      <c r="DL108" s="287">
        <f t="shared" si="611"/>
        <v>10</v>
      </c>
      <c r="DM108" s="287">
        <f t="shared" si="611"/>
        <v>10</v>
      </c>
      <c r="DN108" s="287">
        <f t="shared" si="611"/>
        <v>10</v>
      </c>
      <c r="DO108" s="287">
        <f t="shared" si="611"/>
        <v>10</v>
      </c>
      <c r="DP108" s="287">
        <f t="shared" si="611"/>
        <v>10</v>
      </c>
      <c r="DQ108" s="287">
        <f t="shared" si="611"/>
        <v>10</v>
      </c>
      <c r="DR108" s="287">
        <f t="shared" si="611"/>
        <v>10</v>
      </c>
      <c r="DS108" s="287">
        <f t="shared" si="611"/>
        <v>10</v>
      </c>
      <c r="DT108" s="400">
        <f t="shared" si="611"/>
        <v>10</v>
      </c>
      <c r="DU108" s="375" t="s">
        <v>620</v>
      </c>
      <c r="DV108" s="392">
        <f t="shared" ref="DV108:DV118" si="612">+DT108+DV139-DV157</f>
        <v>10</v>
      </c>
      <c r="DW108" s="287">
        <f t="shared" ref="DW108:EG108" si="613">+DV108+DW139-DW157</f>
        <v>10</v>
      </c>
      <c r="DX108" s="287">
        <f t="shared" si="613"/>
        <v>10</v>
      </c>
      <c r="DY108" s="287">
        <f t="shared" si="613"/>
        <v>10</v>
      </c>
      <c r="DZ108" s="287">
        <f t="shared" si="613"/>
        <v>10</v>
      </c>
      <c r="EA108" s="287">
        <f t="shared" si="613"/>
        <v>10</v>
      </c>
      <c r="EB108" s="287">
        <f t="shared" si="613"/>
        <v>10</v>
      </c>
      <c r="EC108" s="287">
        <f t="shared" si="613"/>
        <v>10</v>
      </c>
      <c r="ED108" s="287">
        <f t="shared" si="613"/>
        <v>10</v>
      </c>
      <c r="EE108" s="287">
        <f t="shared" si="613"/>
        <v>10</v>
      </c>
      <c r="EF108" s="287">
        <f t="shared" si="613"/>
        <v>10</v>
      </c>
      <c r="EG108" s="400">
        <f t="shared" si="613"/>
        <v>10</v>
      </c>
      <c r="EH108" s="375" t="s">
        <v>620</v>
      </c>
      <c r="EI108" s="21"/>
      <c r="EJ108" s="21"/>
      <c r="EK108" s="21"/>
      <c r="EL108" s="21"/>
      <c r="EM108" s="21"/>
    </row>
    <row r="109" spans="1:143" ht="15" customHeight="1">
      <c r="A109" s="21"/>
      <c r="B109" s="21"/>
      <c r="C109" s="21"/>
      <c r="D109" s="622">
        <f t="shared" si="525"/>
        <v>100</v>
      </c>
      <c r="E109" s="1625"/>
      <c r="F109" s="659" t="str">
        <f>+Assumption!F291</f>
        <v>Bank 1</v>
      </c>
      <c r="G109" s="296"/>
      <c r="H109" s="369">
        <f>+Assumption!G291</f>
        <v>0</v>
      </c>
      <c r="I109" s="268">
        <f t="shared" ref="I109:T109" si="614">+H109+I140-I158</f>
        <v>0</v>
      </c>
      <c r="J109" s="287">
        <f t="shared" si="614"/>
        <v>0</v>
      </c>
      <c r="K109" s="287">
        <f t="shared" si="614"/>
        <v>0</v>
      </c>
      <c r="L109" s="287">
        <f t="shared" si="614"/>
        <v>0</v>
      </c>
      <c r="M109" s="287">
        <f t="shared" si="614"/>
        <v>0</v>
      </c>
      <c r="N109" s="287">
        <f t="shared" si="614"/>
        <v>0</v>
      </c>
      <c r="O109" s="287">
        <f t="shared" si="614"/>
        <v>0</v>
      </c>
      <c r="P109" s="287">
        <f t="shared" si="614"/>
        <v>0</v>
      </c>
      <c r="Q109" s="287">
        <f t="shared" si="614"/>
        <v>0</v>
      </c>
      <c r="R109" s="287">
        <f t="shared" si="614"/>
        <v>0</v>
      </c>
      <c r="S109" s="287">
        <f t="shared" si="614"/>
        <v>0</v>
      </c>
      <c r="T109" s="288">
        <f t="shared" si="614"/>
        <v>10</v>
      </c>
      <c r="U109" s="389">
        <f>+AVERAGE(I99:T99)</f>
        <v>1376.875</v>
      </c>
      <c r="V109" s="268">
        <f t="shared" si="596"/>
        <v>10</v>
      </c>
      <c r="W109" s="287">
        <f t="shared" ref="W109:AG109" si="615">+V109+W140-W158</f>
        <v>10</v>
      </c>
      <c r="X109" s="287">
        <f t="shared" si="615"/>
        <v>10</v>
      </c>
      <c r="Y109" s="287">
        <f t="shared" si="615"/>
        <v>10</v>
      </c>
      <c r="Z109" s="287">
        <f t="shared" si="615"/>
        <v>10</v>
      </c>
      <c r="AA109" s="287">
        <f t="shared" si="615"/>
        <v>10</v>
      </c>
      <c r="AB109" s="287">
        <f t="shared" si="615"/>
        <v>10</v>
      </c>
      <c r="AC109" s="287">
        <f t="shared" si="615"/>
        <v>10</v>
      </c>
      <c r="AD109" s="287">
        <f t="shared" si="615"/>
        <v>10</v>
      </c>
      <c r="AE109" s="287">
        <f t="shared" si="615"/>
        <v>10</v>
      </c>
      <c r="AF109" s="287">
        <f t="shared" si="615"/>
        <v>10</v>
      </c>
      <c r="AG109" s="288">
        <f t="shared" si="615"/>
        <v>10</v>
      </c>
      <c r="AH109" s="389">
        <f>+AVERAGE(V99:AG99)</f>
        <v>0</v>
      </c>
      <c r="AI109" s="392">
        <f t="shared" si="598"/>
        <v>10</v>
      </c>
      <c r="AJ109" s="287">
        <f t="shared" ref="AJ109:AT109" si="616">+AI109+AJ140-AJ158</f>
        <v>10</v>
      </c>
      <c r="AK109" s="287">
        <f t="shared" si="616"/>
        <v>10</v>
      </c>
      <c r="AL109" s="287">
        <f t="shared" si="616"/>
        <v>10</v>
      </c>
      <c r="AM109" s="287">
        <f t="shared" si="616"/>
        <v>10</v>
      </c>
      <c r="AN109" s="287">
        <f t="shared" si="616"/>
        <v>10</v>
      </c>
      <c r="AO109" s="287">
        <f t="shared" si="616"/>
        <v>10</v>
      </c>
      <c r="AP109" s="287">
        <f t="shared" si="616"/>
        <v>10</v>
      </c>
      <c r="AQ109" s="287">
        <f t="shared" si="616"/>
        <v>10</v>
      </c>
      <c r="AR109" s="287">
        <f t="shared" si="616"/>
        <v>10</v>
      </c>
      <c r="AS109" s="287">
        <f t="shared" si="616"/>
        <v>10</v>
      </c>
      <c r="AT109" s="288">
        <f t="shared" si="616"/>
        <v>10</v>
      </c>
      <c r="AU109" s="389">
        <f>+AVERAGE(AI99:AT99)</f>
        <v>0</v>
      </c>
      <c r="AV109" s="392">
        <f t="shared" si="600"/>
        <v>10</v>
      </c>
      <c r="AW109" s="287">
        <f t="shared" ref="AW109:BG109" si="617">+AV109+AW140-AW158</f>
        <v>10</v>
      </c>
      <c r="AX109" s="287">
        <f t="shared" si="617"/>
        <v>10</v>
      </c>
      <c r="AY109" s="287">
        <f t="shared" si="617"/>
        <v>10</v>
      </c>
      <c r="AZ109" s="287">
        <f t="shared" si="617"/>
        <v>10</v>
      </c>
      <c r="BA109" s="287">
        <f t="shared" si="617"/>
        <v>10</v>
      </c>
      <c r="BB109" s="287">
        <f t="shared" si="617"/>
        <v>10</v>
      </c>
      <c r="BC109" s="287">
        <f t="shared" si="617"/>
        <v>10</v>
      </c>
      <c r="BD109" s="287">
        <f t="shared" si="617"/>
        <v>10</v>
      </c>
      <c r="BE109" s="287">
        <f t="shared" si="617"/>
        <v>10</v>
      </c>
      <c r="BF109" s="287">
        <f t="shared" si="617"/>
        <v>10</v>
      </c>
      <c r="BG109" s="288">
        <f t="shared" si="617"/>
        <v>10</v>
      </c>
      <c r="BH109" s="389">
        <f>+AVERAGE(AV99:BG99)</f>
        <v>0</v>
      </c>
      <c r="BI109" s="392">
        <f t="shared" si="602"/>
        <v>10</v>
      </c>
      <c r="BJ109" s="287">
        <f t="shared" ref="BJ109:BT109" si="618">+BI109+BJ140-BJ158</f>
        <v>10</v>
      </c>
      <c r="BK109" s="287">
        <f t="shared" si="618"/>
        <v>10</v>
      </c>
      <c r="BL109" s="287">
        <f t="shared" si="618"/>
        <v>10</v>
      </c>
      <c r="BM109" s="287">
        <f t="shared" si="618"/>
        <v>10</v>
      </c>
      <c r="BN109" s="287">
        <f t="shared" si="618"/>
        <v>10</v>
      </c>
      <c r="BO109" s="287">
        <f t="shared" si="618"/>
        <v>10</v>
      </c>
      <c r="BP109" s="287">
        <f t="shared" si="618"/>
        <v>10</v>
      </c>
      <c r="BQ109" s="287">
        <f t="shared" si="618"/>
        <v>10</v>
      </c>
      <c r="BR109" s="287">
        <f t="shared" si="618"/>
        <v>10</v>
      </c>
      <c r="BS109" s="287">
        <f t="shared" si="618"/>
        <v>10</v>
      </c>
      <c r="BT109" s="288">
        <f t="shared" si="618"/>
        <v>10</v>
      </c>
      <c r="BU109" s="389">
        <f>+AVERAGE(BI99:BT99)</f>
        <v>0</v>
      </c>
      <c r="BV109" s="392">
        <f t="shared" si="604"/>
        <v>10</v>
      </c>
      <c r="BW109" s="287">
        <f t="shared" ref="BW109:CG109" si="619">+BV109+BW140-BW158</f>
        <v>10</v>
      </c>
      <c r="BX109" s="287">
        <f t="shared" si="619"/>
        <v>10</v>
      </c>
      <c r="BY109" s="287">
        <f t="shared" si="619"/>
        <v>10</v>
      </c>
      <c r="BZ109" s="287">
        <f t="shared" si="619"/>
        <v>10</v>
      </c>
      <c r="CA109" s="287">
        <f t="shared" si="619"/>
        <v>10</v>
      </c>
      <c r="CB109" s="287">
        <f t="shared" si="619"/>
        <v>10</v>
      </c>
      <c r="CC109" s="287">
        <f t="shared" si="619"/>
        <v>10</v>
      </c>
      <c r="CD109" s="287">
        <f t="shared" si="619"/>
        <v>10</v>
      </c>
      <c r="CE109" s="287">
        <f t="shared" si="619"/>
        <v>10</v>
      </c>
      <c r="CF109" s="287">
        <f t="shared" si="619"/>
        <v>10</v>
      </c>
      <c r="CG109" s="288">
        <f t="shared" si="619"/>
        <v>10</v>
      </c>
      <c r="CH109" s="389">
        <f>+AVERAGE(BV99:CG99)</f>
        <v>0</v>
      </c>
      <c r="CI109" s="392">
        <f t="shared" si="606"/>
        <v>10</v>
      </c>
      <c r="CJ109" s="287">
        <f t="shared" ref="CJ109:CT109" si="620">+CI109+CJ140-CJ158</f>
        <v>10</v>
      </c>
      <c r="CK109" s="287">
        <f t="shared" si="620"/>
        <v>10</v>
      </c>
      <c r="CL109" s="287">
        <f t="shared" si="620"/>
        <v>10</v>
      </c>
      <c r="CM109" s="287">
        <f t="shared" si="620"/>
        <v>10</v>
      </c>
      <c r="CN109" s="287">
        <f t="shared" si="620"/>
        <v>10</v>
      </c>
      <c r="CO109" s="287">
        <f t="shared" si="620"/>
        <v>10</v>
      </c>
      <c r="CP109" s="287">
        <f t="shared" si="620"/>
        <v>10</v>
      </c>
      <c r="CQ109" s="287">
        <f t="shared" si="620"/>
        <v>10</v>
      </c>
      <c r="CR109" s="287">
        <f t="shared" si="620"/>
        <v>10</v>
      </c>
      <c r="CS109" s="287">
        <f t="shared" si="620"/>
        <v>10</v>
      </c>
      <c r="CT109" s="288">
        <f t="shared" si="620"/>
        <v>10</v>
      </c>
      <c r="CU109" s="389">
        <f>+AVERAGE(CI99:CT99)</f>
        <v>0</v>
      </c>
      <c r="CV109" s="392">
        <f t="shared" si="608"/>
        <v>10</v>
      </c>
      <c r="CW109" s="287">
        <f t="shared" ref="CW109:DG109" si="621">+CV109+CW140-CW158</f>
        <v>10</v>
      </c>
      <c r="CX109" s="287">
        <f t="shared" si="621"/>
        <v>10</v>
      </c>
      <c r="CY109" s="287">
        <f t="shared" si="621"/>
        <v>10</v>
      </c>
      <c r="CZ109" s="287">
        <f t="shared" si="621"/>
        <v>10</v>
      </c>
      <c r="DA109" s="287">
        <f t="shared" si="621"/>
        <v>10</v>
      </c>
      <c r="DB109" s="287">
        <f t="shared" si="621"/>
        <v>10</v>
      </c>
      <c r="DC109" s="287">
        <f t="shared" si="621"/>
        <v>10</v>
      </c>
      <c r="DD109" s="287">
        <f t="shared" si="621"/>
        <v>10</v>
      </c>
      <c r="DE109" s="287">
        <f t="shared" si="621"/>
        <v>10</v>
      </c>
      <c r="DF109" s="287">
        <f t="shared" si="621"/>
        <v>10</v>
      </c>
      <c r="DG109" s="288">
        <f t="shared" si="621"/>
        <v>10</v>
      </c>
      <c r="DH109" s="389">
        <f>+AVERAGE(CV99:DG99)</f>
        <v>0</v>
      </c>
      <c r="DI109" s="392">
        <f t="shared" si="610"/>
        <v>10</v>
      </c>
      <c r="DJ109" s="287">
        <f t="shared" ref="DJ109:DT109" si="622">+DI109+DJ140-DJ158</f>
        <v>10</v>
      </c>
      <c r="DK109" s="287">
        <f t="shared" si="622"/>
        <v>10</v>
      </c>
      <c r="DL109" s="287">
        <f t="shared" si="622"/>
        <v>10</v>
      </c>
      <c r="DM109" s="287">
        <f t="shared" si="622"/>
        <v>10</v>
      </c>
      <c r="DN109" s="287">
        <f t="shared" si="622"/>
        <v>10</v>
      </c>
      <c r="DO109" s="287">
        <f t="shared" si="622"/>
        <v>10</v>
      </c>
      <c r="DP109" s="287">
        <f t="shared" si="622"/>
        <v>10</v>
      </c>
      <c r="DQ109" s="287">
        <f t="shared" si="622"/>
        <v>10</v>
      </c>
      <c r="DR109" s="287">
        <f t="shared" si="622"/>
        <v>10</v>
      </c>
      <c r="DS109" s="287">
        <f t="shared" si="622"/>
        <v>10</v>
      </c>
      <c r="DT109" s="288">
        <f t="shared" si="622"/>
        <v>10</v>
      </c>
      <c r="DU109" s="389">
        <f>+AVERAGE(DI99:DT99)</f>
        <v>0</v>
      </c>
      <c r="DV109" s="392">
        <f t="shared" si="612"/>
        <v>10</v>
      </c>
      <c r="DW109" s="287">
        <f t="shared" ref="DW109:EG109" si="623">+DV109+DW140-DW158</f>
        <v>10</v>
      </c>
      <c r="DX109" s="287">
        <f t="shared" si="623"/>
        <v>10</v>
      </c>
      <c r="DY109" s="287">
        <f t="shared" si="623"/>
        <v>10</v>
      </c>
      <c r="DZ109" s="287">
        <f t="shared" si="623"/>
        <v>10</v>
      </c>
      <c r="EA109" s="287">
        <f t="shared" si="623"/>
        <v>10</v>
      </c>
      <c r="EB109" s="287">
        <f t="shared" si="623"/>
        <v>10</v>
      </c>
      <c r="EC109" s="287">
        <f t="shared" si="623"/>
        <v>10</v>
      </c>
      <c r="ED109" s="287">
        <f t="shared" si="623"/>
        <v>10</v>
      </c>
      <c r="EE109" s="287">
        <f t="shared" si="623"/>
        <v>10</v>
      </c>
      <c r="EF109" s="287">
        <f t="shared" si="623"/>
        <v>10</v>
      </c>
      <c r="EG109" s="288">
        <f t="shared" si="623"/>
        <v>10</v>
      </c>
      <c r="EH109" s="389">
        <f>+AVERAGE(DV99:EG99)</f>
        <v>0</v>
      </c>
      <c r="EI109" s="21"/>
      <c r="EJ109" s="21"/>
      <c r="EK109" s="21"/>
      <c r="EL109" s="21"/>
      <c r="EM109" s="21"/>
    </row>
    <row r="110" spans="1:143" ht="14.25" customHeight="1">
      <c r="A110" s="21"/>
      <c r="B110" s="21"/>
      <c r="C110" s="21"/>
      <c r="D110" s="622">
        <f t="shared" si="525"/>
        <v>101</v>
      </c>
      <c r="E110" s="1625"/>
      <c r="F110" s="659" t="str">
        <f>+Assumption!F292</f>
        <v>Bank 2</v>
      </c>
      <c r="G110" s="296"/>
      <c r="H110" s="369">
        <f>+Assumption!G292</f>
        <v>0</v>
      </c>
      <c r="I110" s="268">
        <f t="shared" ref="I110:T110" si="624">+H110+I141-I159</f>
        <v>0</v>
      </c>
      <c r="J110" s="287">
        <f t="shared" si="624"/>
        <v>0</v>
      </c>
      <c r="K110" s="287">
        <f t="shared" si="624"/>
        <v>0</v>
      </c>
      <c r="L110" s="287">
        <f t="shared" si="624"/>
        <v>0</v>
      </c>
      <c r="M110" s="287">
        <f t="shared" si="624"/>
        <v>0</v>
      </c>
      <c r="N110" s="287">
        <f t="shared" si="624"/>
        <v>0</v>
      </c>
      <c r="O110" s="287">
        <f t="shared" si="624"/>
        <v>0</v>
      </c>
      <c r="P110" s="287">
        <f t="shared" si="624"/>
        <v>0</v>
      </c>
      <c r="Q110" s="287">
        <f t="shared" si="624"/>
        <v>0</v>
      </c>
      <c r="R110" s="287">
        <f t="shared" si="624"/>
        <v>0</v>
      </c>
      <c r="S110" s="287">
        <f t="shared" si="624"/>
        <v>0</v>
      </c>
      <c r="T110" s="400">
        <f t="shared" si="624"/>
        <v>10</v>
      </c>
      <c r="U110" s="360"/>
      <c r="V110" s="392">
        <f t="shared" si="596"/>
        <v>10</v>
      </c>
      <c r="W110" s="287">
        <f t="shared" ref="W110:AG110" si="625">+V110+W141-W159</f>
        <v>10</v>
      </c>
      <c r="X110" s="287">
        <f t="shared" si="625"/>
        <v>10</v>
      </c>
      <c r="Y110" s="287">
        <f t="shared" si="625"/>
        <v>10</v>
      </c>
      <c r="Z110" s="287">
        <f t="shared" si="625"/>
        <v>10</v>
      </c>
      <c r="AA110" s="287">
        <f t="shared" si="625"/>
        <v>10</v>
      </c>
      <c r="AB110" s="287">
        <f t="shared" si="625"/>
        <v>10</v>
      </c>
      <c r="AC110" s="287">
        <f t="shared" si="625"/>
        <v>10</v>
      </c>
      <c r="AD110" s="287">
        <f t="shared" si="625"/>
        <v>10</v>
      </c>
      <c r="AE110" s="287">
        <f t="shared" si="625"/>
        <v>10</v>
      </c>
      <c r="AF110" s="287">
        <f t="shared" si="625"/>
        <v>10</v>
      </c>
      <c r="AG110" s="288">
        <f t="shared" si="625"/>
        <v>10</v>
      </c>
      <c r="AH110" s="360"/>
      <c r="AI110" s="392">
        <f t="shared" si="598"/>
        <v>10</v>
      </c>
      <c r="AJ110" s="287">
        <f t="shared" ref="AJ110:AT110" si="626">+AI110+AJ141-AJ159</f>
        <v>10</v>
      </c>
      <c r="AK110" s="287">
        <f t="shared" si="626"/>
        <v>10</v>
      </c>
      <c r="AL110" s="287">
        <f t="shared" si="626"/>
        <v>10</v>
      </c>
      <c r="AM110" s="287">
        <f t="shared" si="626"/>
        <v>10</v>
      </c>
      <c r="AN110" s="287">
        <f t="shared" si="626"/>
        <v>10</v>
      </c>
      <c r="AO110" s="287">
        <f t="shared" si="626"/>
        <v>10</v>
      </c>
      <c r="AP110" s="287">
        <f t="shared" si="626"/>
        <v>10</v>
      </c>
      <c r="AQ110" s="287">
        <f t="shared" si="626"/>
        <v>10</v>
      </c>
      <c r="AR110" s="287">
        <f t="shared" si="626"/>
        <v>10</v>
      </c>
      <c r="AS110" s="287">
        <f t="shared" si="626"/>
        <v>10</v>
      </c>
      <c r="AT110" s="288">
        <f t="shared" si="626"/>
        <v>10</v>
      </c>
      <c r="AU110" s="360"/>
      <c r="AV110" s="392">
        <f t="shared" si="600"/>
        <v>10</v>
      </c>
      <c r="AW110" s="287">
        <f t="shared" ref="AW110:BG110" si="627">+AV110+AW141-AW159</f>
        <v>10</v>
      </c>
      <c r="AX110" s="287">
        <f t="shared" si="627"/>
        <v>10</v>
      </c>
      <c r="AY110" s="287">
        <f t="shared" si="627"/>
        <v>10</v>
      </c>
      <c r="AZ110" s="287">
        <f t="shared" si="627"/>
        <v>10</v>
      </c>
      <c r="BA110" s="287">
        <f t="shared" si="627"/>
        <v>10</v>
      </c>
      <c r="BB110" s="287">
        <f t="shared" si="627"/>
        <v>10</v>
      </c>
      <c r="BC110" s="287">
        <f t="shared" si="627"/>
        <v>10</v>
      </c>
      <c r="BD110" s="287">
        <f t="shared" si="627"/>
        <v>10</v>
      </c>
      <c r="BE110" s="287">
        <f t="shared" si="627"/>
        <v>10</v>
      </c>
      <c r="BF110" s="287">
        <f t="shared" si="627"/>
        <v>10</v>
      </c>
      <c r="BG110" s="288">
        <f t="shared" si="627"/>
        <v>10</v>
      </c>
      <c r="BH110" s="360"/>
      <c r="BI110" s="392">
        <f t="shared" si="602"/>
        <v>10</v>
      </c>
      <c r="BJ110" s="287">
        <f t="shared" ref="BJ110:BT110" si="628">+BI110+BJ141-BJ159</f>
        <v>10</v>
      </c>
      <c r="BK110" s="287">
        <f t="shared" si="628"/>
        <v>10</v>
      </c>
      <c r="BL110" s="287">
        <f t="shared" si="628"/>
        <v>10</v>
      </c>
      <c r="BM110" s="287">
        <f t="shared" si="628"/>
        <v>10</v>
      </c>
      <c r="BN110" s="287">
        <f t="shared" si="628"/>
        <v>10</v>
      </c>
      <c r="BO110" s="287">
        <f t="shared" si="628"/>
        <v>10</v>
      </c>
      <c r="BP110" s="287">
        <f t="shared" si="628"/>
        <v>10</v>
      </c>
      <c r="BQ110" s="287">
        <f t="shared" si="628"/>
        <v>10</v>
      </c>
      <c r="BR110" s="287">
        <f t="shared" si="628"/>
        <v>10</v>
      </c>
      <c r="BS110" s="287">
        <f t="shared" si="628"/>
        <v>10</v>
      </c>
      <c r="BT110" s="288">
        <f t="shared" si="628"/>
        <v>10</v>
      </c>
      <c r="BU110" s="360"/>
      <c r="BV110" s="392">
        <f t="shared" si="604"/>
        <v>10</v>
      </c>
      <c r="BW110" s="287">
        <f t="shared" ref="BW110:CG110" si="629">+BV110+BW141-BW159</f>
        <v>10</v>
      </c>
      <c r="BX110" s="287">
        <f t="shared" si="629"/>
        <v>10</v>
      </c>
      <c r="BY110" s="287">
        <f t="shared" si="629"/>
        <v>10</v>
      </c>
      <c r="BZ110" s="287">
        <f t="shared" si="629"/>
        <v>10</v>
      </c>
      <c r="CA110" s="287">
        <f t="shared" si="629"/>
        <v>10</v>
      </c>
      <c r="CB110" s="287">
        <f t="shared" si="629"/>
        <v>10</v>
      </c>
      <c r="CC110" s="287">
        <f t="shared" si="629"/>
        <v>10</v>
      </c>
      <c r="CD110" s="287">
        <f t="shared" si="629"/>
        <v>10</v>
      </c>
      <c r="CE110" s="287">
        <f t="shared" si="629"/>
        <v>10</v>
      </c>
      <c r="CF110" s="287">
        <f t="shared" si="629"/>
        <v>10</v>
      </c>
      <c r="CG110" s="288">
        <f t="shared" si="629"/>
        <v>10</v>
      </c>
      <c r="CH110" s="360"/>
      <c r="CI110" s="392">
        <f t="shared" si="606"/>
        <v>10</v>
      </c>
      <c r="CJ110" s="287">
        <f t="shared" ref="CJ110:CT110" si="630">+CI110+CJ141-CJ159</f>
        <v>10</v>
      </c>
      <c r="CK110" s="287">
        <f t="shared" si="630"/>
        <v>10</v>
      </c>
      <c r="CL110" s="287">
        <f t="shared" si="630"/>
        <v>10</v>
      </c>
      <c r="CM110" s="287">
        <f t="shared" si="630"/>
        <v>10</v>
      </c>
      <c r="CN110" s="287">
        <f t="shared" si="630"/>
        <v>10</v>
      </c>
      <c r="CO110" s="287">
        <f t="shared" si="630"/>
        <v>10</v>
      </c>
      <c r="CP110" s="287">
        <f t="shared" si="630"/>
        <v>10</v>
      </c>
      <c r="CQ110" s="287">
        <f t="shared" si="630"/>
        <v>10</v>
      </c>
      <c r="CR110" s="287">
        <f t="shared" si="630"/>
        <v>10</v>
      </c>
      <c r="CS110" s="287">
        <f t="shared" si="630"/>
        <v>10</v>
      </c>
      <c r="CT110" s="288">
        <f t="shared" si="630"/>
        <v>10</v>
      </c>
      <c r="CU110" s="360"/>
      <c r="CV110" s="392">
        <f t="shared" si="608"/>
        <v>10</v>
      </c>
      <c r="CW110" s="287">
        <f t="shared" ref="CW110:DG110" si="631">+CV110+CW141-CW159</f>
        <v>10</v>
      </c>
      <c r="CX110" s="287">
        <f t="shared" si="631"/>
        <v>10</v>
      </c>
      <c r="CY110" s="287">
        <f t="shared" si="631"/>
        <v>10</v>
      </c>
      <c r="CZ110" s="287">
        <f t="shared" si="631"/>
        <v>10</v>
      </c>
      <c r="DA110" s="287">
        <f t="shared" si="631"/>
        <v>10</v>
      </c>
      <c r="DB110" s="287">
        <f t="shared" si="631"/>
        <v>10</v>
      </c>
      <c r="DC110" s="287">
        <f t="shared" si="631"/>
        <v>10</v>
      </c>
      <c r="DD110" s="287">
        <f t="shared" si="631"/>
        <v>10</v>
      </c>
      <c r="DE110" s="287">
        <f t="shared" si="631"/>
        <v>10</v>
      </c>
      <c r="DF110" s="287">
        <f t="shared" si="631"/>
        <v>10</v>
      </c>
      <c r="DG110" s="288">
        <f t="shared" si="631"/>
        <v>10</v>
      </c>
      <c r="DH110" s="360"/>
      <c r="DI110" s="392">
        <f t="shared" si="610"/>
        <v>10</v>
      </c>
      <c r="DJ110" s="287">
        <f t="shared" ref="DJ110:DT110" si="632">+DI110+DJ141-DJ159</f>
        <v>10</v>
      </c>
      <c r="DK110" s="287">
        <f t="shared" si="632"/>
        <v>10</v>
      </c>
      <c r="DL110" s="287">
        <f t="shared" si="632"/>
        <v>10</v>
      </c>
      <c r="DM110" s="287">
        <f t="shared" si="632"/>
        <v>10</v>
      </c>
      <c r="DN110" s="287">
        <f t="shared" si="632"/>
        <v>10</v>
      </c>
      <c r="DO110" s="287">
        <f t="shared" si="632"/>
        <v>10</v>
      </c>
      <c r="DP110" s="287">
        <f t="shared" si="632"/>
        <v>10</v>
      </c>
      <c r="DQ110" s="287">
        <f t="shared" si="632"/>
        <v>10</v>
      </c>
      <c r="DR110" s="287">
        <f t="shared" si="632"/>
        <v>10</v>
      </c>
      <c r="DS110" s="287">
        <f t="shared" si="632"/>
        <v>10</v>
      </c>
      <c r="DT110" s="288">
        <f t="shared" si="632"/>
        <v>10</v>
      </c>
      <c r="DU110" s="360"/>
      <c r="DV110" s="392">
        <f t="shared" si="612"/>
        <v>10</v>
      </c>
      <c r="DW110" s="287">
        <f t="shared" ref="DW110:EG110" si="633">+DV110+DW141-DW159</f>
        <v>10</v>
      </c>
      <c r="DX110" s="287">
        <f t="shared" si="633"/>
        <v>10</v>
      </c>
      <c r="DY110" s="287">
        <f t="shared" si="633"/>
        <v>10</v>
      </c>
      <c r="DZ110" s="287">
        <f t="shared" si="633"/>
        <v>10</v>
      </c>
      <c r="EA110" s="287">
        <f t="shared" si="633"/>
        <v>10</v>
      </c>
      <c r="EB110" s="287">
        <f t="shared" si="633"/>
        <v>10</v>
      </c>
      <c r="EC110" s="287">
        <f t="shared" si="633"/>
        <v>10</v>
      </c>
      <c r="ED110" s="287">
        <f t="shared" si="633"/>
        <v>10</v>
      </c>
      <c r="EE110" s="287">
        <f t="shared" si="633"/>
        <v>10</v>
      </c>
      <c r="EF110" s="287">
        <f t="shared" si="633"/>
        <v>10</v>
      </c>
      <c r="EG110" s="288">
        <f t="shared" si="633"/>
        <v>10</v>
      </c>
      <c r="EH110" s="360"/>
      <c r="EI110" s="21"/>
      <c r="EJ110" s="21"/>
      <c r="EK110" s="21"/>
      <c r="EL110" s="21"/>
      <c r="EM110" s="21"/>
    </row>
    <row r="111" spans="1:143" ht="14.25" customHeight="1">
      <c r="A111" s="21"/>
      <c r="B111" s="21"/>
      <c r="C111" s="21"/>
      <c r="D111" s="622">
        <f t="shared" si="525"/>
        <v>102</v>
      </c>
      <c r="E111" s="1625"/>
      <c r="F111" s="659" t="str">
        <f>+Assumption!F293</f>
        <v>Bank 3</v>
      </c>
      <c r="G111" s="296"/>
      <c r="H111" s="369">
        <f>+Assumption!G293</f>
        <v>0</v>
      </c>
      <c r="I111" s="268">
        <f t="shared" ref="I111:T111" si="634">+H111+I142-I160</f>
        <v>0</v>
      </c>
      <c r="J111" s="287">
        <f t="shared" si="634"/>
        <v>0</v>
      </c>
      <c r="K111" s="287">
        <f t="shared" si="634"/>
        <v>0</v>
      </c>
      <c r="L111" s="287">
        <f t="shared" si="634"/>
        <v>0</v>
      </c>
      <c r="M111" s="287">
        <f t="shared" si="634"/>
        <v>0</v>
      </c>
      <c r="N111" s="287">
        <f t="shared" si="634"/>
        <v>0</v>
      </c>
      <c r="O111" s="287">
        <f t="shared" si="634"/>
        <v>0</v>
      </c>
      <c r="P111" s="287">
        <f t="shared" si="634"/>
        <v>0</v>
      </c>
      <c r="Q111" s="287">
        <f t="shared" si="634"/>
        <v>0</v>
      </c>
      <c r="R111" s="287">
        <f t="shared" si="634"/>
        <v>0</v>
      </c>
      <c r="S111" s="287">
        <f t="shared" si="634"/>
        <v>0</v>
      </c>
      <c r="T111" s="400">
        <f t="shared" si="634"/>
        <v>-40</v>
      </c>
      <c r="U111" s="360"/>
      <c r="V111" s="392">
        <f t="shared" si="596"/>
        <v>-40</v>
      </c>
      <c r="W111" s="287">
        <f t="shared" ref="W111:AG111" si="635">+V111+W142-W160</f>
        <v>-40</v>
      </c>
      <c r="X111" s="287">
        <f t="shared" si="635"/>
        <v>-40</v>
      </c>
      <c r="Y111" s="287">
        <f t="shared" si="635"/>
        <v>-40</v>
      </c>
      <c r="Z111" s="287">
        <f t="shared" si="635"/>
        <v>-40</v>
      </c>
      <c r="AA111" s="287">
        <f t="shared" si="635"/>
        <v>-40</v>
      </c>
      <c r="AB111" s="287">
        <f t="shared" si="635"/>
        <v>-40</v>
      </c>
      <c r="AC111" s="287">
        <f t="shared" si="635"/>
        <v>-40</v>
      </c>
      <c r="AD111" s="287">
        <f t="shared" si="635"/>
        <v>-40</v>
      </c>
      <c r="AE111" s="287">
        <f t="shared" si="635"/>
        <v>-40</v>
      </c>
      <c r="AF111" s="287">
        <f t="shared" si="635"/>
        <v>-40</v>
      </c>
      <c r="AG111" s="288">
        <f t="shared" si="635"/>
        <v>-40</v>
      </c>
      <c r="AH111" s="360"/>
      <c r="AI111" s="392">
        <f t="shared" si="598"/>
        <v>-40</v>
      </c>
      <c r="AJ111" s="287">
        <f t="shared" ref="AJ111:AT111" si="636">+AI111+AJ142-AJ160</f>
        <v>-40</v>
      </c>
      <c r="AK111" s="287">
        <f t="shared" si="636"/>
        <v>-40</v>
      </c>
      <c r="AL111" s="287">
        <f t="shared" si="636"/>
        <v>-40</v>
      </c>
      <c r="AM111" s="287">
        <f t="shared" si="636"/>
        <v>-40</v>
      </c>
      <c r="AN111" s="287">
        <f t="shared" si="636"/>
        <v>-40</v>
      </c>
      <c r="AO111" s="287">
        <f t="shared" si="636"/>
        <v>-40</v>
      </c>
      <c r="AP111" s="287">
        <f t="shared" si="636"/>
        <v>-40</v>
      </c>
      <c r="AQ111" s="287">
        <f t="shared" si="636"/>
        <v>-40</v>
      </c>
      <c r="AR111" s="287">
        <f t="shared" si="636"/>
        <v>-40</v>
      </c>
      <c r="AS111" s="287">
        <f t="shared" si="636"/>
        <v>-40</v>
      </c>
      <c r="AT111" s="288">
        <f t="shared" si="636"/>
        <v>-40</v>
      </c>
      <c r="AU111" s="360"/>
      <c r="AV111" s="392">
        <f t="shared" si="600"/>
        <v>-40</v>
      </c>
      <c r="AW111" s="287">
        <f t="shared" ref="AW111:BG111" si="637">+AV111+AW142-AW160</f>
        <v>-40</v>
      </c>
      <c r="AX111" s="287">
        <f t="shared" si="637"/>
        <v>-40</v>
      </c>
      <c r="AY111" s="287">
        <f t="shared" si="637"/>
        <v>-40</v>
      </c>
      <c r="AZ111" s="287">
        <f t="shared" si="637"/>
        <v>-40</v>
      </c>
      <c r="BA111" s="287">
        <f t="shared" si="637"/>
        <v>-40</v>
      </c>
      <c r="BB111" s="287">
        <f t="shared" si="637"/>
        <v>-40</v>
      </c>
      <c r="BC111" s="287">
        <f t="shared" si="637"/>
        <v>-40</v>
      </c>
      <c r="BD111" s="287">
        <f t="shared" si="637"/>
        <v>-40</v>
      </c>
      <c r="BE111" s="287">
        <f t="shared" si="637"/>
        <v>-40</v>
      </c>
      <c r="BF111" s="287">
        <f t="shared" si="637"/>
        <v>-40</v>
      </c>
      <c r="BG111" s="288">
        <f t="shared" si="637"/>
        <v>-40</v>
      </c>
      <c r="BH111" s="360"/>
      <c r="BI111" s="392">
        <f t="shared" si="602"/>
        <v>-40</v>
      </c>
      <c r="BJ111" s="287">
        <f t="shared" ref="BJ111:BT111" si="638">+BI111+BJ142-BJ160</f>
        <v>-40</v>
      </c>
      <c r="BK111" s="287">
        <f t="shared" si="638"/>
        <v>-40</v>
      </c>
      <c r="BL111" s="287">
        <f t="shared" si="638"/>
        <v>-40</v>
      </c>
      <c r="BM111" s="287">
        <f t="shared" si="638"/>
        <v>-40</v>
      </c>
      <c r="BN111" s="287">
        <f t="shared" si="638"/>
        <v>-40</v>
      </c>
      <c r="BO111" s="287">
        <f t="shared" si="638"/>
        <v>-40</v>
      </c>
      <c r="BP111" s="287">
        <f t="shared" si="638"/>
        <v>-40</v>
      </c>
      <c r="BQ111" s="287">
        <f t="shared" si="638"/>
        <v>-40</v>
      </c>
      <c r="BR111" s="287">
        <f t="shared" si="638"/>
        <v>-40</v>
      </c>
      <c r="BS111" s="287">
        <f t="shared" si="638"/>
        <v>-40</v>
      </c>
      <c r="BT111" s="288">
        <f t="shared" si="638"/>
        <v>-40</v>
      </c>
      <c r="BU111" s="360"/>
      <c r="BV111" s="392">
        <f t="shared" si="604"/>
        <v>-40</v>
      </c>
      <c r="BW111" s="287">
        <f t="shared" ref="BW111:CG111" si="639">+BV111+BW142-BW160</f>
        <v>-40</v>
      </c>
      <c r="BX111" s="287">
        <f t="shared" si="639"/>
        <v>-40</v>
      </c>
      <c r="BY111" s="287">
        <f t="shared" si="639"/>
        <v>-40</v>
      </c>
      <c r="BZ111" s="287">
        <f t="shared" si="639"/>
        <v>-40</v>
      </c>
      <c r="CA111" s="287">
        <f t="shared" si="639"/>
        <v>-40</v>
      </c>
      <c r="CB111" s="287">
        <f t="shared" si="639"/>
        <v>-40</v>
      </c>
      <c r="CC111" s="287">
        <f t="shared" si="639"/>
        <v>-40</v>
      </c>
      <c r="CD111" s="287">
        <f t="shared" si="639"/>
        <v>-40</v>
      </c>
      <c r="CE111" s="287">
        <f t="shared" si="639"/>
        <v>-40</v>
      </c>
      <c r="CF111" s="287">
        <f t="shared" si="639"/>
        <v>-40</v>
      </c>
      <c r="CG111" s="288">
        <f t="shared" si="639"/>
        <v>-40</v>
      </c>
      <c r="CH111" s="360"/>
      <c r="CI111" s="392">
        <f t="shared" si="606"/>
        <v>-40</v>
      </c>
      <c r="CJ111" s="287">
        <f t="shared" ref="CJ111:CT111" si="640">+CI111+CJ142-CJ160</f>
        <v>-40</v>
      </c>
      <c r="CK111" s="287">
        <f t="shared" si="640"/>
        <v>-40</v>
      </c>
      <c r="CL111" s="287">
        <f t="shared" si="640"/>
        <v>-40</v>
      </c>
      <c r="CM111" s="287">
        <f t="shared" si="640"/>
        <v>-40</v>
      </c>
      <c r="CN111" s="287">
        <f t="shared" si="640"/>
        <v>-40</v>
      </c>
      <c r="CO111" s="287">
        <f t="shared" si="640"/>
        <v>-40</v>
      </c>
      <c r="CP111" s="287">
        <f t="shared" si="640"/>
        <v>-40</v>
      </c>
      <c r="CQ111" s="287">
        <f t="shared" si="640"/>
        <v>-40</v>
      </c>
      <c r="CR111" s="287">
        <f t="shared" si="640"/>
        <v>-40</v>
      </c>
      <c r="CS111" s="287">
        <f t="shared" si="640"/>
        <v>-40</v>
      </c>
      <c r="CT111" s="288">
        <f t="shared" si="640"/>
        <v>-40</v>
      </c>
      <c r="CU111" s="360"/>
      <c r="CV111" s="392">
        <f t="shared" si="608"/>
        <v>-40</v>
      </c>
      <c r="CW111" s="287">
        <f t="shared" ref="CW111:DG111" si="641">+CV111+CW142-CW160</f>
        <v>-40</v>
      </c>
      <c r="CX111" s="287">
        <f t="shared" si="641"/>
        <v>-40</v>
      </c>
      <c r="CY111" s="287">
        <f t="shared" si="641"/>
        <v>-40</v>
      </c>
      <c r="CZ111" s="287">
        <f t="shared" si="641"/>
        <v>-40</v>
      </c>
      <c r="DA111" s="287">
        <f t="shared" si="641"/>
        <v>-40</v>
      </c>
      <c r="DB111" s="287">
        <f t="shared" si="641"/>
        <v>-40</v>
      </c>
      <c r="DC111" s="287">
        <f t="shared" si="641"/>
        <v>-40</v>
      </c>
      <c r="DD111" s="287">
        <f t="shared" si="641"/>
        <v>-40</v>
      </c>
      <c r="DE111" s="287">
        <f t="shared" si="641"/>
        <v>-40</v>
      </c>
      <c r="DF111" s="287">
        <f t="shared" si="641"/>
        <v>-40</v>
      </c>
      <c r="DG111" s="288">
        <f t="shared" si="641"/>
        <v>-40</v>
      </c>
      <c r="DH111" s="360"/>
      <c r="DI111" s="392">
        <f t="shared" si="610"/>
        <v>-40</v>
      </c>
      <c r="DJ111" s="287">
        <f t="shared" ref="DJ111:DT111" si="642">+DI111+DJ142-DJ160</f>
        <v>-40</v>
      </c>
      <c r="DK111" s="287">
        <f t="shared" si="642"/>
        <v>-40</v>
      </c>
      <c r="DL111" s="287">
        <f t="shared" si="642"/>
        <v>-40</v>
      </c>
      <c r="DM111" s="287">
        <f t="shared" si="642"/>
        <v>-40</v>
      </c>
      <c r="DN111" s="287">
        <f t="shared" si="642"/>
        <v>-40</v>
      </c>
      <c r="DO111" s="287">
        <f t="shared" si="642"/>
        <v>-40</v>
      </c>
      <c r="DP111" s="287">
        <f t="shared" si="642"/>
        <v>-40</v>
      </c>
      <c r="DQ111" s="287">
        <f t="shared" si="642"/>
        <v>-40</v>
      </c>
      <c r="DR111" s="287">
        <f t="shared" si="642"/>
        <v>-40</v>
      </c>
      <c r="DS111" s="287">
        <f t="shared" si="642"/>
        <v>-40</v>
      </c>
      <c r="DT111" s="288">
        <f t="shared" si="642"/>
        <v>-40</v>
      </c>
      <c r="DU111" s="360"/>
      <c r="DV111" s="392">
        <f t="shared" si="612"/>
        <v>-40</v>
      </c>
      <c r="DW111" s="287">
        <f t="shared" ref="DW111:EG111" si="643">+DV111+DW142-DW160</f>
        <v>-40</v>
      </c>
      <c r="DX111" s="287">
        <f t="shared" si="643"/>
        <v>-40</v>
      </c>
      <c r="DY111" s="287">
        <f t="shared" si="643"/>
        <v>-40</v>
      </c>
      <c r="DZ111" s="287">
        <f t="shared" si="643"/>
        <v>-40</v>
      </c>
      <c r="EA111" s="287">
        <f t="shared" si="643"/>
        <v>-40</v>
      </c>
      <c r="EB111" s="287">
        <f t="shared" si="643"/>
        <v>-40</v>
      </c>
      <c r="EC111" s="287">
        <f t="shared" si="643"/>
        <v>-40</v>
      </c>
      <c r="ED111" s="287">
        <f t="shared" si="643"/>
        <v>-40</v>
      </c>
      <c r="EE111" s="287">
        <f t="shared" si="643"/>
        <v>-40</v>
      </c>
      <c r="EF111" s="287">
        <f t="shared" si="643"/>
        <v>-40</v>
      </c>
      <c r="EG111" s="288">
        <f t="shared" si="643"/>
        <v>-40</v>
      </c>
      <c r="EH111" s="360"/>
      <c r="EI111" s="21"/>
      <c r="EJ111" s="21"/>
      <c r="EK111" s="21"/>
      <c r="EL111" s="21"/>
      <c r="EM111" s="21"/>
    </row>
    <row r="112" spans="1:143" ht="14.25" customHeight="1">
      <c r="A112" s="21"/>
      <c r="B112" s="21"/>
      <c r="C112" s="21"/>
      <c r="D112" s="622">
        <f t="shared" si="525"/>
        <v>103</v>
      </c>
      <c r="E112" s="1625"/>
      <c r="F112" s="659" t="str">
        <f>+Assumption!F294</f>
        <v>Bank 4</v>
      </c>
      <c r="G112" s="296"/>
      <c r="H112" s="369">
        <f>+Assumption!G294</f>
        <v>0</v>
      </c>
      <c r="I112" s="268">
        <f t="shared" ref="I112:T112" si="644">+H112+I143-I161</f>
        <v>0</v>
      </c>
      <c r="J112" s="287">
        <f t="shared" si="644"/>
        <v>0</v>
      </c>
      <c r="K112" s="287">
        <f t="shared" si="644"/>
        <v>0</v>
      </c>
      <c r="L112" s="287">
        <f t="shared" si="644"/>
        <v>0</v>
      </c>
      <c r="M112" s="287">
        <f t="shared" si="644"/>
        <v>0</v>
      </c>
      <c r="N112" s="287">
        <f t="shared" si="644"/>
        <v>0</v>
      </c>
      <c r="O112" s="287">
        <f t="shared" si="644"/>
        <v>0</v>
      </c>
      <c r="P112" s="287">
        <f t="shared" si="644"/>
        <v>0</v>
      </c>
      <c r="Q112" s="287">
        <f t="shared" si="644"/>
        <v>0</v>
      </c>
      <c r="R112" s="287">
        <f t="shared" si="644"/>
        <v>0</v>
      </c>
      <c r="S112" s="287">
        <f t="shared" si="644"/>
        <v>0</v>
      </c>
      <c r="T112" s="400">
        <f t="shared" si="644"/>
        <v>10</v>
      </c>
      <c r="U112" s="360"/>
      <c r="V112" s="392">
        <f t="shared" si="596"/>
        <v>10</v>
      </c>
      <c r="W112" s="287">
        <f t="shared" ref="W112:AG112" si="645">+V112+W143-W161</f>
        <v>10</v>
      </c>
      <c r="X112" s="287">
        <f t="shared" si="645"/>
        <v>10</v>
      </c>
      <c r="Y112" s="287">
        <f t="shared" si="645"/>
        <v>10</v>
      </c>
      <c r="Z112" s="287">
        <f t="shared" si="645"/>
        <v>10</v>
      </c>
      <c r="AA112" s="287">
        <f t="shared" si="645"/>
        <v>10</v>
      </c>
      <c r="AB112" s="287">
        <f t="shared" si="645"/>
        <v>10</v>
      </c>
      <c r="AC112" s="287">
        <f t="shared" si="645"/>
        <v>10</v>
      </c>
      <c r="AD112" s="287">
        <f t="shared" si="645"/>
        <v>10</v>
      </c>
      <c r="AE112" s="287">
        <f t="shared" si="645"/>
        <v>10</v>
      </c>
      <c r="AF112" s="287">
        <f t="shared" si="645"/>
        <v>10</v>
      </c>
      <c r="AG112" s="288">
        <f t="shared" si="645"/>
        <v>10</v>
      </c>
      <c r="AH112" s="360"/>
      <c r="AI112" s="392">
        <f t="shared" si="598"/>
        <v>10</v>
      </c>
      <c r="AJ112" s="287">
        <f t="shared" ref="AJ112:AT112" si="646">+AI112+AJ143-AJ161</f>
        <v>10</v>
      </c>
      <c r="AK112" s="287">
        <f t="shared" si="646"/>
        <v>10</v>
      </c>
      <c r="AL112" s="287">
        <f t="shared" si="646"/>
        <v>10</v>
      </c>
      <c r="AM112" s="287">
        <f t="shared" si="646"/>
        <v>10</v>
      </c>
      <c r="AN112" s="287">
        <f t="shared" si="646"/>
        <v>10</v>
      </c>
      <c r="AO112" s="287">
        <f t="shared" si="646"/>
        <v>10</v>
      </c>
      <c r="AP112" s="287">
        <f t="shared" si="646"/>
        <v>10</v>
      </c>
      <c r="AQ112" s="287">
        <f t="shared" si="646"/>
        <v>10</v>
      </c>
      <c r="AR112" s="287">
        <f t="shared" si="646"/>
        <v>10</v>
      </c>
      <c r="AS112" s="287">
        <f t="shared" si="646"/>
        <v>10</v>
      </c>
      <c r="AT112" s="288">
        <f t="shared" si="646"/>
        <v>10</v>
      </c>
      <c r="AU112" s="360"/>
      <c r="AV112" s="392">
        <f t="shared" si="600"/>
        <v>10</v>
      </c>
      <c r="AW112" s="287">
        <f t="shared" ref="AW112:BG112" si="647">+AV112+AW143-AW161</f>
        <v>10</v>
      </c>
      <c r="AX112" s="287">
        <f t="shared" si="647"/>
        <v>10</v>
      </c>
      <c r="AY112" s="287">
        <f t="shared" si="647"/>
        <v>10</v>
      </c>
      <c r="AZ112" s="287">
        <f t="shared" si="647"/>
        <v>10</v>
      </c>
      <c r="BA112" s="287">
        <f t="shared" si="647"/>
        <v>10</v>
      </c>
      <c r="BB112" s="287">
        <f t="shared" si="647"/>
        <v>10</v>
      </c>
      <c r="BC112" s="287">
        <f t="shared" si="647"/>
        <v>10</v>
      </c>
      <c r="BD112" s="287">
        <f t="shared" si="647"/>
        <v>10</v>
      </c>
      <c r="BE112" s="287">
        <f t="shared" si="647"/>
        <v>10</v>
      </c>
      <c r="BF112" s="287">
        <f t="shared" si="647"/>
        <v>10</v>
      </c>
      <c r="BG112" s="288">
        <f t="shared" si="647"/>
        <v>10</v>
      </c>
      <c r="BH112" s="360"/>
      <c r="BI112" s="392">
        <f t="shared" si="602"/>
        <v>10</v>
      </c>
      <c r="BJ112" s="287">
        <f t="shared" ref="BJ112:BT112" si="648">+BI112+BJ143-BJ161</f>
        <v>10</v>
      </c>
      <c r="BK112" s="287">
        <f t="shared" si="648"/>
        <v>10</v>
      </c>
      <c r="BL112" s="287">
        <f t="shared" si="648"/>
        <v>10</v>
      </c>
      <c r="BM112" s="287">
        <f t="shared" si="648"/>
        <v>10</v>
      </c>
      <c r="BN112" s="287">
        <f t="shared" si="648"/>
        <v>10</v>
      </c>
      <c r="BO112" s="287">
        <f t="shared" si="648"/>
        <v>10</v>
      </c>
      <c r="BP112" s="287">
        <f t="shared" si="648"/>
        <v>10</v>
      </c>
      <c r="BQ112" s="287">
        <f t="shared" si="648"/>
        <v>10</v>
      </c>
      <c r="BR112" s="287">
        <f t="shared" si="648"/>
        <v>10</v>
      </c>
      <c r="BS112" s="287">
        <f t="shared" si="648"/>
        <v>10</v>
      </c>
      <c r="BT112" s="288">
        <f t="shared" si="648"/>
        <v>10</v>
      </c>
      <c r="BU112" s="360"/>
      <c r="BV112" s="392">
        <f t="shared" si="604"/>
        <v>10</v>
      </c>
      <c r="BW112" s="287">
        <f t="shared" ref="BW112:CG112" si="649">+BV112+BW143-BW161</f>
        <v>10</v>
      </c>
      <c r="BX112" s="287">
        <f t="shared" si="649"/>
        <v>10</v>
      </c>
      <c r="BY112" s="287">
        <f t="shared" si="649"/>
        <v>10</v>
      </c>
      <c r="BZ112" s="287">
        <f t="shared" si="649"/>
        <v>10</v>
      </c>
      <c r="CA112" s="287">
        <f t="shared" si="649"/>
        <v>10</v>
      </c>
      <c r="CB112" s="287">
        <f t="shared" si="649"/>
        <v>10</v>
      </c>
      <c r="CC112" s="287">
        <f t="shared" si="649"/>
        <v>10</v>
      </c>
      <c r="CD112" s="287">
        <f t="shared" si="649"/>
        <v>10</v>
      </c>
      <c r="CE112" s="287">
        <f t="shared" si="649"/>
        <v>10</v>
      </c>
      <c r="CF112" s="287">
        <f t="shared" si="649"/>
        <v>10</v>
      </c>
      <c r="CG112" s="288">
        <f t="shared" si="649"/>
        <v>10</v>
      </c>
      <c r="CH112" s="360"/>
      <c r="CI112" s="392">
        <f t="shared" si="606"/>
        <v>10</v>
      </c>
      <c r="CJ112" s="287">
        <f t="shared" ref="CJ112:CT112" si="650">+CI112+CJ143-CJ161</f>
        <v>10</v>
      </c>
      <c r="CK112" s="287">
        <f t="shared" si="650"/>
        <v>10</v>
      </c>
      <c r="CL112" s="287">
        <f t="shared" si="650"/>
        <v>10</v>
      </c>
      <c r="CM112" s="287">
        <f t="shared" si="650"/>
        <v>10</v>
      </c>
      <c r="CN112" s="287">
        <f t="shared" si="650"/>
        <v>10</v>
      </c>
      <c r="CO112" s="287">
        <f t="shared" si="650"/>
        <v>10</v>
      </c>
      <c r="CP112" s="287">
        <f t="shared" si="650"/>
        <v>10</v>
      </c>
      <c r="CQ112" s="287">
        <f t="shared" si="650"/>
        <v>10</v>
      </c>
      <c r="CR112" s="287">
        <f t="shared" si="650"/>
        <v>10</v>
      </c>
      <c r="CS112" s="287">
        <f t="shared" si="650"/>
        <v>10</v>
      </c>
      <c r="CT112" s="288">
        <f t="shared" si="650"/>
        <v>10</v>
      </c>
      <c r="CU112" s="360"/>
      <c r="CV112" s="392">
        <f t="shared" si="608"/>
        <v>10</v>
      </c>
      <c r="CW112" s="287">
        <f t="shared" ref="CW112:DG112" si="651">+CV112+CW143-CW161</f>
        <v>10</v>
      </c>
      <c r="CX112" s="287">
        <f t="shared" si="651"/>
        <v>10</v>
      </c>
      <c r="CY112" s="287">
        <f t="shared" si="651"/>
        <v>10</v>
      </c>
      <c r="CZ112" s="287">
        <f t="shared" si="651"/>
        <v>10</v>
      </c>
      <c r="DA112" s="287">
        <f t="shared" si="651"/>
        <v>10</v>
      </c>
      <c r="DB112" s="287">
        <f t="shared" si="651"/>
        <v>10</v>
      </c>
      <c r="DC112" s="287">
        <f t="shared" si="651"/>
        <v>10</v>
      </c>
      <c r="DD112" s="287">
        <f t="shared" si="651"/>
        <v>10</v>
      </c>
      <c r="DE112" s="287">
        <f t="shared" si="651"/>
        <v>10</v>
      </c>
      <c r="DF112" s="287">
        <f t="shared" si="651"/>
        <v>10</v>
      </c>
      <c r="DG112" s="288">
        <f t="shared" si="651"/>
        <v>10</v>
      </c>
      <c r="DH112" s="360"/>
      <c r="DI112" s="392">
        <f t="shared" si="610"/>
        <v>10</v>
      </c>
      <c r="DJ112" s="287">
        <f t="shared" ref="DJ112:DT112" si="652">+DI112+DJ143-DJ161</f>
        <v>10</v>
      </c>
      <c r="DK112" s="287">
        <f t="shared" si="652"/>
        <v>10</v>
      </c>
      <c r="DL112" s="287">
        <f t="shared" si="652"/>
        <v>10</v>
      </c>
      <c r="DM112" s="287">
        <f t="shared" si="652"/>
        <v>10</v>
      </c>
      <c r="DN112" s="287">
        <f t="shared" si="652"/>
        <v>10</v>
      </c>
      <c r="DO112" s="287">
        <f t="shared" si="652"/>
        <v>10</v>
      </c>
      <c r="DP112" s="287">
        <f t="shared" si="652"/>
        <v>10</v>
      </c>
      <c r="DQ112" s="287">
        <f t="shared" si="652"/>
        <v>10</v>
      </c>
      <c r="DR112" s="287">
        <f t="shared" si="652"/>
        <v>10</v>
      </c>
      <c r="DS112" s="287">
        <f t="shared" si="652"/>
        <v>10</v>
      </c>
      <c r="DT112" s="288">
        <f t="shared" si="652"/>
        <v>10</v>
      </c>
      <c r="DU112" s="360"/>
      <c r="DV112" s="392">
        <f t="shared" si="612"/>
        <v>10</v>
      </c>
      <c r="DW112" s="287">
        <f t="shared" ref="DW112:EG112" si="653">+DV112+DW143-DW161</f>
        <v>10</v>
      </c>
      <c r="DX112" s="287">
        <f t="shared" si="653"/>
        <v>10</v>
      </c>
      <c r="DY112" s="287">
        <f t="shared" si="653"/>
        <v>10</v>
      </c>
      <c r="DZ112" s="287">
        <f t="shared" si="653"/>
        <v>10</v>
      </c>
      <c r="EA112" s="287">
        <f t="shared" si="653"/>
        <v>10</v>
      </c>
      <c r="EB112" s="287">
        <f t="shared" si="653"/>
        <v>10</v>
      </c>
      <c r="EC112" s="287">
        <f t="shared" si="653"/>
        <v>10</v>
      </c>
      <c r="ED112" s="287">
        <f t="shared" si="653"/>
        <v>10</v>
      </c>
      <c r="EE112" s="287">
        <f t="shared" si="653"/>
        <v>10</v>
      </c>
      <c r="EF112" s="287">
        <f t="shared" si="653"/>
        <v>10</v>
      </c>
      <c r="EG112" s="288">
        <f t="shared" si="653"/>
        <v>10</v>
      </c>
      <c r="EH112" s="360"/>
      <c r="EI112" s="21"/>
      <c r="EJ112" s="21"/>
      <c r="EK112" s="21"/>
      <c r="EL112" s="21"/>
      <c r="EM112" s="21"/>
    </row>
    <row r="113" spans="1:143" ht="14.25" customHeight="1">
      <c r="A113" s="21"/>
      <c r="B113" s="21"/>
      <c r="C113" s="21"/>
      <c r="D113" s="622">
        <f t="shared" si="525"/>
        <v>104</v>
      </c>
      <c r="E113" s="1625"/>
      <c r="F113" s="659" t="str">
        <f>+Assumption!F295</f>
        <v>Bank 5</v>
      </c>
      <c r="G113" s="296"/>
      <c r="H113" s="369">
        <f>+Assumption!G295</f>
        <v>0</v>
      </c>
      <c r="I113" s="268">
        <f t="shared" ref="I113:T113" si="654">+H113+I144-I162</f>
        <v>0</v>
      </c>
      <c r="J113" s="287">
        <f t="shared" si="654"/>
        <v>0</v>
      </c>
      <c r="K113" s="287">
        <f t="shared" si="654"/>
        <v>0</v>
      </c>
      <c r="L113" s="287">
        <f t="shared" si="654"/>
        <v>0</v>
      </c>
      <c r="M113" s="287">
        <f t="shared" si="654"/>
        <v>0</v>
      </c>
      <c r="N113" s="287">
        <f t="shared" si="654"/>
        <v>0</v>
      </c>
      <c r="O113" s="287">
        <f t="shared" si="654"/>
        <v>0</v>
      </c>
      <c r="P113" s="287">
        <f t="shared" si="654"/>
        <v>0</v>
      </c>
      <c r="Q113" s="287">
        <f t="shared" si="654"/>
        <v>0</v>
      </c>
      <c r="R113" s="287">
        <f t="shared" si="654"/>
        <v>0</v>
      </c>
      <c r="S113" s="287">
        <f t="shared" si="654"/>
        <v>0</v>
      </c>
      <c r="T113" s="400">
        <f t="shared" si="654"/>
        <v>10</v>
      </c>
      <c r="U113" s="360"/>
      <c r="V113" s="392">
        <f t="shared" si="596"/>
        <v>10</v>
      </c>
      <c r="W113" s="287">
        <f t="shared" ref="W113:AG113" si="655">+V113+W144-W162</f>
        <v>10</v>
      </c>
      <c r="X113" s="287">
        <f t="shared" si="655"/>
        <v>10</v>
      </c>
      <c r="Y113" s="287">
        <f t="shared" si="655"/>
        <v>10</v>
      </c>
      <c r="Z113" s="287">
        <f t="shared" si="655"/>
        <v>10</v>
      </c>
      <c r="AA113" s="287">
        <f t="shared" si="655"/>
        <v>10</v>
      </c>
      <c r="AB113" s="287">
        <f t="shared" si="655"/>
        <v>10</v>
      </c>
      <c r="AC113" s="287">
        <f t="shared" si="655"/>
        <v>10</v>
      </c>
      <c r="AD113" s="287">
        <f t="shared" si="655"/>
        <v>10</v>
      </c>
      <c r="AE113" s="287">
        <f t="shared" si="655"/>
        <v>10</v>
      </c>
      <c r="AF113" s="287">
        <f t="shared" si="655"/>
        <v>10</v>
      </c>
      <c r="AG113" s="288">
        <f t="shared" si="655"/>
        <v>10</v>
      </c>
      <c r="AH113" s="360"/>
      <c r="AI113" s="392">
        <f t="shared" si="598"/>
        <v>10</v>
      </c>
      <c r="AJ113" s="287">
        <f t="shared" ref="AJ113:AT113" si="656">+AI113+AJ144-AJ162</f>
        <v>10</v>
      </c>
      <c r="AK113" s="287">
        <f t="shared" si="656"/>
        <v>10</v>
      </c>
      <c r="AL113" s="287">
        <f t="shared" si="656"/>
        <v>10</v>
      </c>
      <c r="AM113" s="287">
        <f t="shared" si="656"/>
        <v>10</v>
      </c>
      <c r="AN113" s="287">
        <f t="shared" si="656"/>
        <v>10</v>
      </c>
      <c r="AO113" s="287">
        <f t="shared" si="656"/>
        <v>10</v>
      </c>
      <c r="AP113" s="287">
        <f t="shared" si="656"/>
        <v>10</v>
      </c>
      <c r="AQ113" s="287">
        <f t="shared" si="656"/>
        <v>10</v>
      </c>
      <c r="AR113" s="287">
        <f t="shared" si="656"/>
        <v>10</v>
      </c>
      <c r="AS113" s="287">
        <f t="shared" si="656"/>
        <v>10</v>
      </c>
      <c r="AT113" s="288">
        <f t="shared" si="656"/>
        <v>10</v>
      </c>
      <c r="AU113" s="360"/>
      <c r="AV113" s="392">
        <f t="shared" si="600"/>
        <v>10</v>
      </c>
      <c r="AW113" s="287">
        <f t="shared" ref="AW113:BG113" si="657">+AV113+AW144-AW162</f>
        <v>10</v>
      </c>
      <c r="AX113" s="287">
        <f t="shared" si="657"/>
        <v>10</v>
      </c>
      <c r="AY113" s="287">
        <f t="shared" si="657"/>
        <v>10</v>
      </c>
      <c r="AZ113" s="287">
        <f t="shared" si="657"/>
        <v>10</v>
      </c>
      <c r="BA113" s="287">
        <f t="shared" si="657"/>
        <v>10</v>
      </c>
      <c r="BB113" s="287">
        <f t="shared" si="657"/>
        <v>10</v>
      </c>
      <c r="BC113" s="287">
        <f t="shared" si="657"/>
        <v>10</v>
      </c>
      <c r="BD113" s="287">
        <f t="shared" si="657"/>
        <v>10</v>
      </c>
      <c r="BE113" s="287">
        <f t="shared" si="657"/>
        <v>10</v>
      </c>
      <c r="BF113" s="287">
        <f t="shared" si="657"/>
        <v>10</v>
      </c>
      <c r="BG113" s="288">
        <f t="shared" si="657"/>
        <v>10</v>
      </c>
      <c r="BH113" s="360"/>
      <c r="BI113" s="392">
        <f t="shared" si="602"/>
        <v>10</v>
      </c>
      <c r="BJ113" s="287">
        <f t="shared" ref="BJ113:BT113" si="658">+BI113+BJ144-BJ162</f>
        <v>10</v>
      </c>
      <c r="BK113" s="287">
        <f t="shared" si="658"/>
        <v>10</v>
      </c>
      <c r="BL113" s="287">
        <f t="shared" si="658"/>
        <v>10</v>
      </c>
      <c r="BM113" s="287">
        <f t="shared" si="658"/>
        <v>10</v>
      </c>
      <c r="BN113" s="287">
        <f t="shared" si="658"/>
        <v>10</v>
      </c>
      <c r="BO113" s="287">
        <f t="shared" si="658"/>
        <v>10</v>
      </c>
      <c r="BP113" s="287">
        <f t="shared" si="658"/>
        <v>10</v>
      </c>
      <c r="BQ113" s="287">
        <f t="shared" si="658"/>
        <v>10</v>
      </c>
      <c r="BR113" s="287">
        <f t="shared" si="658"/>
        <v>10</v>
      </c>
      <c r="BS113" s="287">
        <f t="shared" si="658"/>
        <v>10</v>
      </c>
      <c r="BT113" s="288">
        <f t="shared" si="658"/>
        <v>10</v>
      </c>
      <c r="BU113" s="360"/>
      <c r="BV113" s="392">
        <f t="shared" si="604"/>
        <v>10</v>
      </c>
      <c r="BW113" s="287">
        <f t="shared" ref="BW113:CG113" si="659">+BV113+BW144-BW162</f>
        <v>10</v>
      </c>
      <c r="BX113" s="287">
        <f t="shared" si="659"/>
        <v>10</v>
      </c>
      <c r="BY113" s="287">
        <f t="shared" si="659"/>
        <v>10</v>
      </c>
      <c r="BZ113" s="287">
        <f t="shared" si="659"/>
        <v>10</v>
      </c>
      <c r="CA113" s="287">
        <f t="shared" si="659"/>
        <v>10</v>
      </c>
      <c r="CB113" s="287">
        <f t="shared" si="659"/>
        <v>10</v>
      </c>
      <c r="CC113" s="287">
        <f t="shared" si="659"/>
        <v>10</v>
      </c>
      <c r="CD113" s="287">
        <f t="shared" si="659"/>
        <v>10</v>
      </c>
      <c r="CE113" s="287">
        <f t="shared" si="659"/>
        <v>10</v>
      </c>
      <c r="CF113" s="287">
        <f t="shared" si="659"/>
        <v>10</v>
      </c>
      <c r="CG113" s="288">
        <f t="shared" si="659"/>
        <v>10</v>
      </c>
      <c r="CH113" s="360"/>
      <c r="CI113" s="392">
        <f t="shared" si="606"/>
        <v>10</v>
      </c>
      <c r="CJ113" s="287">
        <f t="shared" ref="CJ113:CT113" si="660">+CI113+CJ144-CJ162</f>
        <v>10</v>
      </c>
      <c r="CK113" s="287">
        <f t="shared" si="660"/>
        <v>10</v>
      </c>
      <c r="CL113" s="287">
        <f t="shared" si="660"/>
        <v>10</v>
      </c>
      <c r="CM113" s="287">
        <f t="shared" si="660"/>
        <v>10</v>
      </c>
      <c r="CN113" s="287">
        <f t="shared" si="660"/>
        <v>10</v>
      </c>
      <c r="CO113" s="287">
        <f t="shared" si="660"/>
        <v>10</v>
      </c>
      <c r="CP113" s="287">
        <f t="shared" si="660"/>
        <v>10</v>
      </c>
      <c r="CQ113" s="287">
        <f t="shared" si="660"/>
        <v>10</v>
      </c>
      <c r="CR113" s="287">
        <f t="shared" si="660"/>
        <v>10</v>
      </c>
      <c r="CS113" s="287">
        <f t="shared" si="660"/>
        <v>10</v>
      </c>
      <c r="CT113" s="288">
        <f t="shared" si="660"/>
        <v>10</v>
      </c>
      <c r="CU113" s="360"/>
      <c r="CV113" s="392">
        <f t="shared" si="608"/>
        <v>10</v>
      </c>
      <c r="CW113" s="287">
        <f t="shared" ref="CW113:DG113" si="661">+CV113+CW144-CW162</f>
        <v>10</v>
      </c>
      <c r="CX113" s="287">
        <f t="shared" si="661"/>
        <v>10</v>
      </c>
      <c r="CY113" s="287">
        <f t="shared" si="661"/>
        <v>10</v>
      </c>
      <c r="CZ113" s="287">
        <f t="shared" si="661"/>
        <v>10</v>
      </c>
      <c r="DA113" s="287">
        <f t="shared" si="661"/>
        <v>10</v>
      </c>
      <c r="DB113" s="287">
        <f t="shared" si="661"/>
        <v>10</v>
      </c>
      <c r="DC113" s="287">
        <f t="shared" si="661"/>
        <v>10</v>
      </c>
      <c r="DD113" s="287">
        <f t="shared" si="661"/>
        <v>10</v>
      </c>
      <c r="DE113" s="287">
        <f t="shared" si="661"/>
        <v>10</v>
      </c>
      <c r="DF113" s="287">
        <f t="shared" si="661"/>
        <v>10</v>
      </c>
      <c r="DG113" s="288">
        <f t="shared" si="661"/>
        <v>10</v>
      </c>
      <c r="DH113" s="360"/>
      <c r="DI113" s="392">
        <f t="shared" si="610"/>
        <v>10</v>
      </c>
      <c r="DJ113" s="287">
        <f t="shared" ref="DJ113:DT113" si="662">+DI113+DJ144-DJ162</f>
        <v>10</v>
      </c>
      <c r="DK113" s="287">
        <f t="shared" si="662"/>
        <v>10</v>
      </c>
      <c r="DL113" s="287">
        <f t="shared" si="662"/>
        <v>10</v>
      </c>
      <c r="DM113" s="287">
        <f t="shared" si="662"/>
        <v>10</v>
      </c>
      <c r="DN113" s="287">
        <f t="shared" si="662"/>
        <v>10</v>
      </c>
      <c r="DO113" s="287">
        <f t="shared" si="662"/>
        <v>10</v>
      </c>
      <c r="DP113" s="287">
        <f t="shared" si="662"/>
        <v>10</v>
      </c>
      <c r="DQ113" s="287">
        <f t="shared" si="662"/>
        <v>10</v>
      </c>
      <c r="DR113" s="287">
        <f t="shared" si="662"/>
        <v>10</v>
      </c>
      <c r="DS113" s="287">
        <f t="shared" si="662"/>
        <v>10</v>
      </c>
      <c r="DT113" s="288">
        <f t="shared" si="662"/>
        <v>10</v>
      </c>
      <c r="DU113" s="360"/>
      <c r="DV113" s="392">
        <f t="shared" si="612"/>
        <v>10</v>
      </c>
      <c r="DW113" s="287">
        <f t="shared" ref="DW113:EG113" si="663">+DV113+DW144-DW162</f>
        <v>10</v>
      </c>
      <c r="DX113" s="287">
        <f t="shared" si="663"/>
        <v>10</v>
      </c>
      <c r="DY113" s="287">
        <f t="shared" si="663"/>
        <v>10</v>
      </c>
      <c r="DZ113" s="287">
        <f t="shared" si="663"/>
        <v>10</v>
      </c>
      <c r="EA113" s="287">
        <f t="shared" si="663"/>
        <v>10</v>
      </c>
      <c r="EB113" s="287">
        <f t="shared" si="663"/>
        <v>10</v>
      </c>
      <c r="EC113" s="287">
        <f t="shared" si="663"/>
        <v>10</v>
      </c>
      <c r="ED113" s="287">
        <f t="shared" si="663"/>
        <v>10</v>
      </c>
      <c r="EE113" s="287">
        <f t="shared" si="663"/>
        <v>10</v>
      </c>
      <c r="EF113" s="287">
        <f t="shared" si="663"/>
        <v>10</v>
      </c>
      <c r="EG113" s="288">
        <f t="shared" si="663"/>
        <v>10</v>
      </c>
      <c r="EH113" s="360"/>
      <c r="EI113" s="21"/>
      <c r="EJ113" s="21"/>
      <c r="EK113" s="21"/>
      <c r="EL113" s="21"/>
      <c r="EM113" s="21"/>
    </row>
    <row r="114" spans="1:143" ht="14.25" customHeight="1">
      <c r="A114" s="21"/>
      <c r="B114" s="21"/>
      <c r="C114" s="21"/>
      <c r="D114" s="622">
        <f t="shared" si="525"/>
        <v>105</v>
      </c>
      <c r="E114" s="1625"/>
      <c r="F114" s="659" t="str">
        <f>+Assumption!F296</f>
        <v>Bank 6</v>
      </c>
      <c r="G114" s="296"/>
      <c r="H114" s="369">
        <f>+Assumption!G296</f>
        <v>0</v>
      </c>
      <c r="I114" s="268">
        <f t="shared" ref="I114:T114" si="664">+H114+I145-I163</f>
        <v>0</v>
      </c>
      <c r="J114" s="287">
        <f t="shared" si="664"/>
        <v>0</v>
      </c>
      <c r="K114" s="287">
        <f t="shared" si="664"/>
        <v>0</v>
      </c>
      <c r="L114" s="287">
        <f t="shared" si="664"/>
        <v>0</v>
      </c>
      <c r="M114" s="287">
        <f t="shared" si="664"/>
        <v>0</v>
      </c>
      <c r="N114" s="287">
        <f t="shared" si="664"/>
        <v>0</v>
      </c>
      <c r="O114" s="287">
        <f t="shared" si="664"/>
        <v>0</v>
      </c>
      <c r="P114" s="287">
        <f t="shared" si="664"/>
        <v>0</v>
      </c>
      <c r="Q114" s="287">
        <f t="shared" si="664"/>
        <v>0</v>
      </c>
      <c r="R114" s="287">
        <f t="shared" si="664"/>
        <v>0</v>
      </c>
      <c r="S114" s="287">
        <f t="shared" si="664"/>
        <v>0</v>
      </c>
      <c r="T114" s="400">
        <f t="shared" si="664"/>
        <v>10</v>
      </c>
      <c r="U114" s="360"/>
      <c r="V114" s="392">
        <f t="shared" si="596"/>
        <v>10</v>
      </c>
      <c r="W114" s="287">
        <f t="shared" ref="W114:AG114" si="665">+V114+W145-W163</f>
        <v>10</v>
      </c>
      <c r="X114" s="287">
        <f t="shared" si="665"/>
        <v>10</v>
      </c>
      <c r="Y114" s="287">
        <f t="shared" si="665"/>
        <v>10</v>
      </c>
      <c r="Z114" s="287">
        <f t="shared" si="665"/>
        <v>10</v>
      </c>
      <c r="AA114" s="287">
        <f t="shared" si="665"/>
        <v>10</v>
      </c>
      <c r="AB114" s="287">
        <f t="shared" si="665"/>
        <v>10</v>
      </c>
      <c r="AC114" s="287">
        <f t="shared" si="665"/>
        <v>10</v>
      </c>
      <c r="AD114" s="287">
        <f t="shared" si="665"/>
        <v>10</v>
      </c>
      <c r="AE114" s="287">
        <f t="shared" si="665"/>
        <v>10</v>
      </c>
      <c r="AF114" s="287">
        <f t="shared" si="665"/>
        <v>10</v>
      </c>
      <c r="AG114" s="288">
        <f t="shared" si="665"/>
        <v>10</v>
      </c>
      <c r="AH114" s="360"/>
      <c r="AI114" s="392">
        <f t="shared" si="598"/>
        <v>10</v>
      </c>
      <c r="AJ114" s="287">
        <f t="shared" ref="AJ114:AT114" si="666">+AI114+AJ145-AJ163</f>
        <v>10</v>
      </c>
      <c r="AK114" s="287">
        <f t="shared" si="666"/>
        <v>10</v>
      </c>
      <c r="AL114" s="287">
        <f t="shared" si="666"/>
        <v>10</v>
      </c>
      <c r="AM114" s="287">
        <f t="shared" si="666"/>
        <v>10</v>
      </c>
      <c r="AN114" s="287">
        <f t="shared" si="666"/>
        <v>10</v>
      </c>
      <c r="AO114" s="287">
        <f t="shared" si="666"/>
        <v>10</v>
      </c>
      <c r="AP114" s="287">
        <f t="shared" si="666"/>
        <v>10</v>
      </c>
      <c r="AQ114" s="287">
        <f t="shared" si="666"/>
        <v>10</v>
      </c>
      <c r="AR114" s="287">
        <f t="shared" si="666"/>
        <v>10</v>
      </c>
      <c r="AS114" s="287">
        <f t="shared" si="666"/>
        <v>10</v>
      </c>
      <c r="AT114" s="288">
        <f t="shared" si="666"/>
        <v>10</v>
      </c>
      <c r="AU114" s="360"/>
      <c r="AV114" s="392">
        <f t="shared" si="600"/>
        <v>10</v>
      </c>
      <c r="AW114" s="287">
        <f t="shared" ref="AW114:BG114" si="667">+AV114+AW145-AW163</f>
        <v>10</v>
      </c>
      <c r="AX114" s="287">
        <f t="shared" si="667"/>
        <v>10</v>
      </c>
      <c r="AY114" s="287">
        <f t="shared" si="667"/>
        <v>10</v>
      </c>
      <c r="AZ114" s="287">
        <f t="shared" si="667"/>
        <v>10</v>
      </c>
      <c r="BA114" s="287">
        <f t="shared" si="667"/>
        <v>10</v>
      </c>
      <c r="BB114" s="287">
        <f t="shared" si="667"/>
        <v>10</v>
      </c>
      <c r="BC114" s="287">
        <f t="shared" si="667"/>
        <v>10</v>
      </c>
      <c r="BD114" s="287">
        <f t="shared" si="667"/>
        <v>10</v>
      </c>
      <c r="BE114" s="287">
        <f t="shared" si="667"/>
        <v>10</v>
      </c>
      <c r="BF114" s="287">
        <f t="shared" si="667"/>
        <v>10</v>
      </c>
      <c r="BG114" s="288">
        <f t="shared" si="667"/>
        <v>10</v>
      </c>
      <c r="BH114" s="360"/>
      <c r="BI114" s="392">
        <f t="shared" si="602"/>
        <v>10</v>
      </c>
      <c r="BJ114" s="287">
        <f t="shared" ref="BJ114:BT114" si="668">+BI114+BJ145-BJ163</f>
        <v>10</v>
      </c>
      <c r="BK114" s="287">
        <f t="shared" si="668"/>
        <v>10</v>
      </c>
      <c r="BL114" s="287">
        <f t="shared" si="668"/>
        <v>10</v>
      </c>
      <c r="BM114" s="287">
        <f t="shared" si="668"/>
        <v>10</v>
      </c>
      <c r="BN114" s="287">
        <f t="shared" si="668"/>
        <v>10</v>
      </c>
      <c r="BO114" s="287">
        <f t="shared" si="668"/>
        <v>10</v>
      </c>
      <c r="BP114" s="287">
        <f t="shared" si="668"/>
        <v>10</v>
      </c>
      <c r="BQ114" s="287">
        <f t="shared" si="668"/>
        <v>10</v>
      </c>
      <c r="BR114" s="287">
        <f t="shared" si="668"/>
        <v>10</v>
      </c>
      <c r="BS114" s="287">
        <f t="shared" si="668"/>
        <v>10</v>
      </c>
      <c r="BT114" s="288">
        <f t="shared" si="668"/>
        <v>10</v>
      </c>
      <c r="BU114" s="360"/>
      <c r="BV114" s="392">
        <f t="shared" si="604"/>
        <v>10</v>
      </c>
      <c r="BW114" s="287">
        <f t="shared" ref="BW114:CG114" si="669">+BV114+BW145-BW163</f>
        <v>10</v>
      </c>
      <c r="BX114" s="287">
        <f t="shared" si="669"/>
        <v>10</v>
      </c>
      <c r="BY114" s="287">
        <f t="shared" si="669"/>
        <v>10</v>
      </c>
      <c r="BZ114" s="287">
        <f t="shared" si="669"/>
        <v>10</v>
      </c>
      <c r="CA114" s="287">
        <f t="shared" si="669"/>
        <v>10</v>
      </c>
      <c r="CB114" s="287">
        <f t="shared" si="669"/>
        <v>10</v>
      </c>
      <c r="CC114" s="287">
        <f t="shared" si="669"/>
        <v>10</v>
      </c>
      <c r="CD114" s="287">
        <f t="shared" si="669"/>
        <v>10</v>
      </c>
      <c r="CE114" s="287">
        <f t="shared" si="669"/>
        <v>10</v>
      </c>
      <c r="CF114" s="287">
        <f t="shared" si="669"/>
        <v>10</v>
      </c>
      <c r="CG114" s="288">
        <f t="shared" si="669"/>
        <v>10</v>
      </c>
      <c r="CH114" s="360"/>
      <c r="CI114" s="392">
        <f t="shared" si="606"/>
        <v>10</v>
      </c>
      <c r="CJ114" s="287">
        <f t="shared" ref="CJ114:CT114" si="670">+CI114+CJ145-CJ163</f>
        <v>10</v>
      </c>
      <c r="CK114" s="287">
        <f t="shared" si="670"/>
        <v>10</v>
      </c>
      <c r="CL114" s="287">
        <f t="shared" si="670"/>
        <v>10</v>
      </c>
      <c r="CM114" s="287">
        <f t="shared" si="670"/>
        <v>10</v>
      </c>
      <c r="CN114" s="287">
        <f t="shared" si="670"/>
        <v>10</v>
      </c>
      <c r="CO114" s="287">
        <f t="shared" si="670"/>
        <v>10</v>
      </c>
      <c r="CP114" s="287">
        <f t="shared" si="670"/>
        <v>10</v>
      </c>
      <c r="CQ114" s="287">
        <f t="shared" si="670"/>
        <v>10</v>
      </c>
      <c r="CR114" s="287">
        <f t="shared" si="670"/>
        <v>10</v>
      </c>
      <c r="CS114" s="287">
        <f t="shared" si="670"/>
        <v>10</v>
      </c>
      <c r="CT114" s="288">
        <f t="shared" si="670"/>
        <v>10</v>
      </c>
      <c r="CU114" s="360"/>
      <c r="CV114" s="392">
        <f t="shared" si="608"/>
        <v>10</v>
      </c>
      <c r="CW114" s="287">
        <f t="shared" ref="CW114:DG114" si="671">+CV114+CW145-CW163</f>
        <v>10</v>
      </c>
      <c r="CX114" s="287">
        <f t="shared" si="671"/>
        <v>10</v>
      </c>
      <c r="CY114" s="287">
        <f t="shared" si="671"/>
        <v>10</v>
      </c>
      <c r="CZ114" s="287">
        <f t="shared" si="671"/>
        <v>10</v>
      </c>
      <c r="DA114" s="287">
        <f t="shared" si="671"/>
        <v>10</v>
      </c>
      <c r="DB114" s="287">
        <f t="shared" si="671"/>
        <v>10</v>
      </c>
      <c r="DC114" s="287">
        <f t="shared" si="671"/>
        <v>10</v>
      </c>
      <c r="DD114" s="287">
        <f t="shared" si="671"/>
        <v>10</v>
      </c>
      <c r="DE114" s="287">
        <f t="shared" si="671"/>
        <v>10</v>
      </c>
      <c r="DF114" s="287">
        <f t="shared" si="671"/>
        <v>10</v>
      </c>
      <c r="DG114" s="288">
        <f t="shared" si="671"/>
        <v>10</v>
      </c>
      <c r="DH114" s="360"/>
      <c r="DI114" s="392">
        <f t="shared" si="610"/>
        <v>10</v>
      </c>
      <c r="DJ114" s="287">
        <f t="shared" ref="DJ114:DT114" si="672">+DI114+DJ145-DJ163</f>
        <v>10</v>
      </c>
      <c r="DK114" s="287">
        <f t="shared" si="672"/>
        <v>10</v>
      </c>
      <c r="DL114" s="287">
        <f t="shared" si="672"/>
        <v>10</v>
      </c>
      <c r="DM114" s="287">
        <f t="shared" si="672"/>
        <v>10</v>
      </c>
      <c r="DN114" s="287">
        <f t="shared" si="672"/>
        <v>10</v>
      </c>
      <c r="DO114" s="287">
        <f t="shared" si="672"/>
        <v>10</v>
      </c>
      <c r="DP114" s="287">
        <f t="shared" si="672"/>
        <v>10</v>
      </c>
      <c r="DQ114" s="287">
        <f t="shared" si="672"/>
        <v>10</v>
      </c>
      <c r="DR114" s="287">
        <f t="shared" si="672"/>
        <v>10</v>
      </c>
      <c r="DS114" s="287">
        <f t="shared" si="672"/>
        <v>10</v>
      </c>
      <c r="DT114" s="288">
        <f t="shared" si="672"/>
        <v>10</v>
      </c>
      <c r="DU114" s="360"/>
      <c r="DV114" s="392">
        <f t="shared" si="612"/>
        <v>10</v>
      </c>
      <c r="DW114" s="287">
        <f t="shared" ref="DW114:EG114" si="673">+DV114+DW145-DW163</f>
        <v>10</v>
      </c>
      <c r="DX114" s="287">
        <f t="shared" si="673"/>
        <v>10</v>
      </c>
      <c r="DY114" s="287">
        <f t="shared" si="673"/>
        <v>10</v>
      </c>
      <c r="DZ114" s="287">
        <f t="shared" si="673"/>
        <v>10</v>
      </c>
      <c r="EA114" s="287">
        <f t="shared" si="673"/>
        <v>10</v>
      </c>
      <c r="EB114" s="287">
        <f t="shared" si="673"/>
        <v>10</v>
      </c>
      <c r="EC114" s="287">
        <f t="shared" si="673"/>
        <v>10</v>
      </c>
      <c r="ED114" s="287">
        <f t="shared" si="673"/>
        <v>10</v>
      </c>
      <c r="EE114" s="287">
        <f t="shared" si="673"/>
        <v>10</v>
      </c>
      <c r="EF114" s="287">
        <f t="shared" si="673"/>
        <v>10</v>
      </c>
      <c r="EG114" s="288">
        <f t="shared" si="673"/>
        <v>10</v>
      </c>
      <c r="EH114" s="360"/>
      <c r="EI114" s="21"/>
      <c r="EJ114" s="21"/>
      <c r="EK114" s="21"/>
      <c r="EL114" s="21"/>
      <c r="EM114" s="21"/>
    </row>
    <row r="115" spans="1:143" ht="14.25" customHeight="1">
      <c r="A115" s="21"/>
      <c r="B115" s="21"/>
      <c r="C115" s="21"/>
      <c r="D115" s="622">
        <f t="shared" si="525"/>
        <v>106</v>
      </c>
      <c r="E115" s="1625"/>
      <c r="F115" s="659" t="str">
        <f>+Assumption!F297</f>
        <v>Bank 7</v>
      </c>
      <c r="G115" s="296"/>
      <c r="H115" s="369">
        <f>+Assumption!G297</f>
        <v>0</v>
      </c>
      <c r="I115" s="268">
        <f t="shared" ref="I115:T115" si="674">+H115+I146-I164</f>
        <v>0</v>
      </c>
      <c r="J115" s="287">
        <f t="shared" si="674"/>
        <v>0</v>
      </c>
      <c r="K115" s="287">
        <f t="shared" si="674"/>
        <v>0</v>
      </c>
      <c r="L115" s="287">
        <f t="shared" si="674"/>
        <v>0</v>
      </c>
      <c r="M115" s="287">
        <f t="shared" si="674"/>
        <v>0</v>
      </c>
      <c r="N115" s="287">
        <f t="shared" si="674"/>
        <v>0</v>
      </c>
      <c r="O115" s="287">
        <f t="shared" si="674"/>
        <v>0</v>
      </c>
      <c r="P115" s="287">
        <f t="shared" si="674"/>
        <v>0</v>
      </c>
      <c r="Q115" s="287">
        <f t="shared" si="674"/>
        <v>0</v>
      </c>
      <c r="R115" s="287">
        <f t="shared" si="674"/>
        <v>0</v>
      </c>
      <c r="S115" s="287">
        <f t="shared" si="674"/>
        <v>0</v>
      </c>
      <c r="T115" s="400">
        <f t="shared" si="674"/>
        <v>10</v>
      </c>
      <c r="U115" s="360"/>
      <c r="V115" s="392">
        <f t="shared" si="596"/>
        <v>10</v>
      </c>
      <c r="W115" s="287">
        <f t="shared" ref="W115:AG115" si="675">+V115+W146-W164</f>
        <v>10</v>
      </c>
      <c r="X115" s="287">
        <f t="shared" si="675"/>
        <v>10</v>
      </c>
      <c r="Y115" s="287">
        <f t="shared" si="675"/>
        <v>10</v>
      </c>
      <c r="Z115" s="287">
        <f t="shared" si="675"/>
        <v>10</v>
      </c>
      <c r="AA115" s="287">
        <f t="shared" si="675"/>
        <v>10</v>
      </c>
      <c r="AB115" s="287">
        <f t="shared" si="675"/>
        <v>10</v>
      </c>
      <c r="AC115" s="287">
        <f t="shared" si="675"/>
        <v>10</v>
      </c>
      <c r="AD115" s="287">
        <f t="shared" si="675"/>
        <v>10</v>
      </c>
      <c r="AE115" s="287">
        <f t="shared" si="675"/>
        <v>10</v>
      </c>
      <c r="AF115" s="287">
        <f t="shared" si="675"/>
        <v>10</v>
      </c>
      <c r="AG115" s="288">
        <f t="shared" si="675"/>
        <v>10</v>
      </c>
      <c r="AH115" s="360"/>
      <c r="AI115" s="392">
        <f t="shared" si="598"/>
        <v>10</v>
      </c>
      <c r="AJ115" s="287">
        <f t="shared" ref="AJ115:AT115" si="676">+AI115+AJ146-AJ164</f>
        <v>10</v>
      </c>
      <c r="AK115" s="287">
        <f t="shared" si="676"/>
        <v>10</v>
      </c>
      <c r="AL115" s="287">
        <f t="shared" si="676"/>
        <v>10</v>
      </c>
      <c r="AM115" s="287">
        <f t="shared" si="676"/>
        <v>10</v>
      </c>
      <c r="AN115" s="287">
        <f t="shared" si="676"/>
        <v>10</v>
      </c>
      <c r="AO115" s="287">
        <f t="shared" si="676"/>
        <v>10</v>
      </c>
      <c r="AP115" s="287">
        <f t="shared" si="676"/>
        <v>10</v>
      </c>
      <c r="AQ115" s="287">
        <f t="shared" si="676"/>
        <v>10</v>
      </c>
      <c r="AR115" s="287">
        <f t="shared" si="676"/>
        <v>10</v>
      </c>
      <c r="AS115" s="287">
        <f t="shared" si="676"/>
        <v>10</v>
      </c>
      <c r="AT115" s="288">
        <f t="shared" si="676"/>
        <v>10</v>
      </c>
      <c r="AU115" s="360"/>
      <c r="AV115" s="392">
        <f t="shared" si="600"/>
        <v>10</v>
      </c>
      <c r="AW115" s="287">
        <f t="shared" ref="AW115:BG115" si="677">+AV115+AW146-AW164</f>
        <v>10</v>
      </c>
      <c r="AX115" s="287">
        <f t="shared" si="677"/>
        <v>10</v>
      </c>
      <c r="AY115" s="287">
        <f t="shared" si="677"/>
        <v>10</v>
      </c>
      <c r="AZ115" s="287">
        <f t="shared" si="677"/>
        <v>10</v>
      </c>
      <c r="BA115" s="287">
        <f t="shared" si="677"/>
        <v>10</v>
      </c>
      <c r="BB115" s="287">
        <f t="shared" si="677"/>
        <v>10</v>
      </c>
      <c r="BC115" s="287">
        <f t="shared" si="677"/>
        <v>10</v>
      </c>
      <c r="BD115" s="287">
        <f t="shared" si="677"/>
        <v>10</v>
      </c>
      <c r="BE115" s="287">
        <f t="shared" si="677"/>
        <v>10</v>
      </c>
      <c r="BF115" s="287">
        <f t="shared" si="677"/>
        <v>10</v>
      </c>
      <c r="BG115" s="288">
        <f t="shared" si="677"/>
        <v>10</v>
      </c>
      <c r="BH115" s="360"/>
      <c r="BI115" s="392">
        <f t="shared" si="602"/>
        <v>10</v>
      </c>
      <c r="BJ115" s="287">
        <f t="shared" ref="BJ115:BT115" si="678">+BI115+BJ146-BJ164</f>
        <v>10</v>
      </c>
      <c r="BK115" s="287">
        <f t="shared" si="678"/>
        <v>10</v>
      </c>
      <c r="BL115" s="287">
        <f t="shared" si="678"/>
        <v>10</v>
      </c>
      <c r="BM115" s="287">
        <f t="shared" si="678"/>
        <v>10</v>
      </c>
      <c r="BN115" s="287">
        <f t="shared" si="678"/>
        <v>10</v>
      </c>
      <c r="BO115" s="287">
        <f t="shared" si="678"/>
        <v>10</v>
      </c>
      <c r="BP115" s="287">
        <f t="shared" si="678"/>
        <v>10</v>
      </c>
      <c r="BQ115" s="287">
        <f t="shared" si="678"/>
        <v>10</v>
      </c>
      <c r="BR115" s="287">
        <f t="shared" si="678"/>
        <v>10</v>
      </c>
      <c r="BS115" s="287">
        <f t="shared" si="678"/>
        <v>10</v>
      </c>
      <c r="BT115" s="288">
        <f t="shared" si="678"/>
        <v>10</v>
      </c>
      <c r="BU115" s="360"/>
      <c r="BV115" s="392">
        <f t="shared" si="604"/>
        <v>10</v>
      </c>
      <c r="BW115" s="287">
        <f t="shared" ref="BW115:CG115" si="679">+BV115+BW146-BW164</f>
        <v>10</v>
      </c>
      <c r="BX115" s="287">
        <f t="shared" si="679"/>
        <v>10</v>
      </c>
      <c r="BY115" s="287">
        <f t="shared" si="679"/>
        <v>10</v>
      </c>
      <c r="BZ115" s="287">
        <f t="shared" si="679"/>
        <v>10</v>
      </c>
      <c r="CA115" s="287">
        <f t="shared" si="679"/>
        <v>10</v>
      </c>
      <c r="CB115" s="287">
        <f t="shared" si="679"/>
        <v>10</v>
      </c>
      <c r="CC115" s="287">
        <f t="shared" si="679"/>
        <v>10</v>
      </c>
      <c r="CD115" s="287">
        <f t="shared" si="679"/>
        <v>10</v>
      </c>
      <c r="CE115" s="287">
        <f t="shared" si="679"/>
        <v>10</v>
      </c>
      <c r="CF115" s="287">
        <f t="shared" si="679"/>
        <v>10</v>
      </c>
      <c r="CG115" s="288">
        <f t="shared" si="679"/>
        <v>10</v>
      </c>
      <c r="CH115" s="360"/>
      <c r="CI115" s="392">
        <f t="shared" si="606"/>
        <v>10</v>
      </c>
      <c r="CJ115" s="287">
        <f t="shared" ref="CJ115:CT115" si="680">+CI115+CJ146-CJ164</f>
        <v>10</v>
      </c>
      <c r="CK115" s="287">
        <f t="shared" si="680"/>
        <v>10</v>
      </c>
      <c r="CL115" s="287">
        <f t="shared" si="680"/>
        <v>10</v>
      </c>
      <c r="CM115" s="287">
        <f t="shared" si="680"/>
        <v>10</v>
      </c>
      <c r="CN115" s="287">
        <f t="shared" si="680"/>
        <v>10</v>
      </c>
      <c r="CO115" s="287">
        <f t="shared" si="680"/>
        <v>10</v>
      </c>
      <c r="CP115" s="287">
        <f t="shared" si="680"/>
        <v>10</v>
      </c>
      <c r="CQ115" s="287">
        <f t="shared" si="680"/>
        <v>10</v>
      </c>
      <c r="CR115" s="287">
        <f t="shared" si="680"/>
        <v>10</v>
      </c>
      <c r="CS115" s="287">
        <f t="shared" si="680"/>
        <v>10</v>
      </c>
      <c r="CT115" s="288">
        <f t="shared" si="680"/>
        <v>10</v>
      </c>
      <c r="CU115" s="360"/>
      <c r="CV115" s="392">
        <f t="shared" si="608"/>
        <v>10</v>
      </c>
      <c r="CW115" s="287">
        <f t="shared" ref="CW115:DG115" si="681">+CV115+CW146-CW164</f>
        <v>10</v>
      </c>
      <c r="CX115" s="287">
        <f t="shared" si="681"/>
        <v>10</v>
      </c>
      <c r="CY115" s="287">
        <f t="shared" si="681"/>
        <v>10</v>
      </c>
      <c r="CZ115" s="287">
        <f t="shared" si="681"/>
        <v>10</v>
      </c>
      <c r="DA115" s="287">
        <f t="shared" si="681"/>
        <v>10</v>
      </c>
      <c r="DB115" s="287">
        <f t="shared" si="681"/>
        <v>10</v>
      </c>
      <c r="DC115" s="287">
        <f t="shared" si="681"/>
        <v>10</v>
      </c>
      <c r="DD115" s="287">
        <f t="shared" si="681"/>
        <v>10</v>
      </c>
      <c r="DE115" s="287">
        <f t="shared" si="681"/>
        <v>10</v>
      </c>
      <c r="DF115" s="287">
        <f t="shared" si="681"/>
        <v>10</v>
      </c>
      <c r="DG115" s="288">
        <f t="shared" si="681"/>
        <v>10</v>
      </c>
      <c r="DH115" s="360"/>
      <c r="DI115" s="392">
        <f t="shared" si="610"/>
        <v>10</v>
      </c>
      <c r="DJ115" s="287">
        <f t="shared" ref="DJ115:DT115" si="682">+DI115+DJ146-DJ164</f>
        <v>10</v>
      </c>
      <c r="DK115" s="287">
        <f t="shared" si="682"/>
        <v>10</v>
      </c>
      <c r="DL115" s="287">
        <f t="shared" si="682"/>
        <v>10</v>
      </c>
      <c r="DM115" s="287">
        <f t="shared" si="682"/>
        <v>10</v>
      </c>
      <c r="DN115" s="287">
        <f t="shared" si="682"/>
        <v>10</v>
      </c>
      <c r="DO115" s="287">
        <f t="shared" si="682"/>
        <v>10</v>
      </c>
      <c r="DP115" s="287">
        <f t="shared" si="682"/>
        <v>10</v>
      </c>
      <c r="DQ115" s="287">
        <f t="shared" si="682"/>
        <v>10</v>
      </c>
      <c r="DR115" s="287">
        <f t="shared" si="682"/>
        <v>10</v>
      </c>
      <c r="DS115" s="287">
        <f t="shared" si="682"/>
        <v>10</v>
      </c>
      <c r="DT115" s="288">
        <f t="shared" si="682"/>
        <v>10</v>
      </c>
      <c r="DU115" s="360"/>
      <c r="DV115" s="392">
        <f t="shared" si="612"/>
        <v>10</v>
      </c>
      <c r="DW115" s="287">
        <f t="shared" ref="DW115:EG115" si="683">+DV115+DW146-DW164</f>
        <v>10</v>
      </c>
      <c r="DX115" s="287">
        <f t="shared" si="683"/>
        <v>10</v>
      </c>
      <c r="DY115" s="287">
        <f t="shared" si="683"/>
        <v>10</v>
      </c>
      <c r="DZ115" s="287">
        <f t="shared" si="683"/>
        <v>10</v>
      </c>
      <c r="EA115" s="287">
        <f t="shared" si="683"/>
        <v>10</v>
      </c>
      <c r="EB115" s="287">
        <f t="shared" si="683"/>
        <v>10</v>
      </c>
      <c r="EC115" s="287">
        <f t="shared" si="683"/>
        <v>10</v>
      </c>
      <c r="ED115" s="287">
        <f t="shared" si="683"/>
        <v>10</v>
      </c>
      <c r="EE115" s="287">
        <f t="shared" si="683"/>
        <v>10</v>
      </c>
      <c r="EF115" s="287">
        <f t="shared" si="683"/>
        <v>10</v>
      </c>
      <c r="EG115" s="288">
        <f t="shared" si="683"/>
        <v>10</v>
      </c>
      <c r="EH115" s="360"/>
      <c r="EI115" s="21"/>
      <c r="EJ115" s="21"/>
      <c r="EK115" s="21"/>
      <c r="EL115" s="21"/>
      <c r="EM115" s="21"/>
    </row>
    <row r="116" spans="1:143" ht="14.25" customHeight="1">
      <c r="A116" s="21"/>
      <c r="B116" s="21"/>
      <c r="C116" s="21"/>
      <c r="D116" s="622">
        <f t="shared" si="525"/>
        <v>107</v>
      </c>
      <c r="E116" s="1625"/>
      <c r="F116" s="659" t="str">
        <f>+Assumption!F298</f>
        <v>Bank 8</v>
      </c>
      <c r="G116" s="296"/>
      <c r="H116" s="369">
        <f>+Assumption!G298</f>
        <v>0</v>
      </c>
      <c r="I116" s="268">
        <f t="shared" ref="I116:T116" si="684">+H116+I147-I165</f>
        <v>0</v>
      </c>
      <c r="J116" s="287">
        <f t="shared" si="684"/>
        <v>0</v>
      </c>
      <c r="K116" s="287">
        <f t="shared" si="684"/>
        <v>0</v>
      </c>
      <c r="L116" s="287">
        <f t="shared" si="684"/>
        <v>0</v>
      </c>
      <c r="M116" s="287">
        <f t="shared" si="684"/>
        <v>0</v>
      </c>
      <c r="N116" s="287">
        <f t="shared" si="684"/>
        <v>0</v>
      </c>
      <c r="O116" s="287">
        <f t="shared" si="684"/>
        <v>0</v>
      </c>
      <c r="P116" s="287">
        <f t="shared" si="684"/>
        <v>0</v>
      </c>
      <c r="Q116" s="287">
        <f t="shared" si="684"/>
        <v>0</v>
      </c>
      <c r="R116" s="287">
        <f t="shared" si="684"/>
        <v>0</v>
      </c>
      <c r="S116" s="287">
        <f t="shared" si="684"/>
        <v>0</v>
      </c>
      <c r="T116" s="400">
        <f t="shared" si="684"/>
        <v>-40</v>
      </c>
      <c r="U116" s="360"/>
      <c r="V116" s="392">
        <f t="shared" si="596"/>
        <v>-40</v>
      </c>
      <c r="W116" s="287">
        <f t="shared" ref="W116:AG116" si="685">+V116+W147-W165</f>
        <v>-40</v>
      </c>
      <c r="X116" s="287">
        <f t="shared" si="685"/>
        <v>-40</v>
      </c>
      <c r="Y116" s="287">
        <f t="shared" si="685"/>
        <v>-40</v>
      </c>
      <c r="Z116" s="287">
        <f t="shared" si="685"/>
        <v>-40</v>
      </c>
      <c r="AA116" s="287">
        <f t="shared" si="685"/>
        <v>-40</v>
      </c>
      <c r="AB116" s="287">
        <f t="shared" si="685"/>
        <v>-40</v>
      </c>
      <c r="AC116" s="287">
        <f t="shared" si="685"/>
        <v>-40</v>
      </c>
      <c r="AD116" s="287">
        <f t="shared" si="685"/>
        <v>-40</v>
      </c>
      <c r="AE116" s="287">
        <f t="shared" si="685"/>
        <v>-40</v>
      </c>
      <c r="AF116" s="287">
        <f t="shared" si="685"/>
        <v>-40</v>
      </c>
      <c r="AG116" s="288">
        <f t="shared" si="685"/>
        <v>-40</v>
      </c>
      <c r="AH116" s="360"/>
      <c r="AI116" s="392">
        <f t="shared" si="598"/>
        <v>-40</v>
      </c>
      <c r="AJ116" s="287">
        <f t="shared" ref="AJ116:AT116" si="686">+AI116+AJ147-AJ165</f>
        <v>-40</v>
      </c>
      <c r="AK116" s="287">
        <f t="shared" si="686"/>
        <v>-40</v>
      </c>
      <c r="AL116" s="287">
        <f t="shared" si="686"/>
        <v>-40</v>
      </c>
      <c r="AM116" s="287">
        <f t="shared" si="686"/>
        <v>-40</v>
      </c>
      <c r="AN116" s="287">
        <f t="shared" si="686"/>
        <v>-40</v>
      </c>
      <c r="AO116" s="287">
        <f t="shared" si="686"/>
        <v>-40</v>
      </c>
      <c r="AP116" s="287">
        <f t="shared" si="686"/>
        <v>-40</v>
      </c>
      <c r="AQ116" s="287">
        <f t="shared" si="686"/>
        <v>-40</v>
      </c>
      <c r="AR116" s="287">
        <f t="shared" si="686"/>
        <v>-40</v>
      </c>
      <c r="AS116" s="287">
        <f t="shared" si="686"/>
        <v>-40</v>
      </c>
      <c r="AT116" s="288">
        <f t="shared" si="686"/>
        <v>-40</v>
      </c>
      <c r="AU116" s="360"/>
      <c r="AV116" s="392">
        <f t="shared" si="600"/>
        <v>-40</v>
      </c>
      <c r="AW116" s="287">
        <f t="shared" ref="AW116:BG116" si="687">+AV116+AW147-AW165</f>
        <v>-40</v>
      </c>
      <c r="AX116" s="287">
        <f t="shared" si="687"/>
        <v>-40</v>
      </c>
      <c r="AY116" s="287">
        <f t="shared" si="687"/>
        <v>-40</v>
      </c>
      <c r="AZ116" s="287">
        <f t="shared" si="687"/>
        <v>-40</v>
      </c>
      <c r="BA116" s="287">
        <f t="shared" si="687"/>
        <v>-40</v>
      </c>
      <c r="BB116" s="287">
        <f t="shared" si="687"/>
        <v>-40</v>
      </c>
      <c r="BC116" s="287">
        <f t="shared" si="687"/>
        <v>-40</v>
      </c>
      <c r="BD116" s="287">
        <f t="shared" si="687"/>
        <v>-40</v>
      </c>
      <c r="BE116" s="287">
        <f t="shared" si="687"/>
        <v>-40</v>
      </c>
      <c r="BF116" s="287">
        <f t="shared" si="687"/>
        <v>-40</v>
      </c>
      <c r="BG116" s="288">
        <f t="shared" si="687"/>
        <v>-40</v>
      </c>
      <c r="BH116" s="360"/>
      <c r="BI116" s="392">
        <f t="shared" si="602"/>
        <v>-40</v>
      </c>
      <c r="BJ116" s="287">
        <f t="shared" ref="BJ116:BT116" si="688">+BI116+BJ147-BJ165</f>
        <v>-40</v>
      </c>
      <c r="BK116" s="287">
        <f t="shared" si="688"/>
        <v>-40</v>
      </c>
      <c r="BL116" s="287">
        <f t="shared" si="688"/>
        <v>-40</v>
      </c>
      <c r="BM116" s="287">
        <f t="shared" si="688"/>
        <v>-40</v>
      </c>
      <c r="BN116" s="287">
        <f t="shared" si="688"/>
        <v>-40</v>
      </c>
      <c r="BO116" s="287">
        <f t="shared" si="688"/>
        <v>-40</v>
      </c>
      <c r="BP116" s="287">
        <f t="shared" si="688"/>
        <v>-40</v>
      </c>
      <c r="BQ116" s="287">
        <f t="shared" si="688"/>
        <v>-40</v>
      </c>
      <c r="BR116" s="287">
        <f t="shared" si="688"/>
        <v>-40</v>
      </c>
      <c r="BS116" s="287">
        <f t="shared" si="688"/>
        <v>-40</v>
      </c>
      <c r="BT116" s="288">
        <f t="shared" si="688"/>
        <v>-40</v>
      </c>
      <c r="BU116" s="360"/>
      <c r="BV116" s="392">
        <f t="shared" si="604"/>
        <v>-40</v>
      </c>
      <c r="BW116" s="287">
        <f t="shared" ref="BW116:CG116" si="689">+BV116+BW147-BW165</f>
        <v>-40</v>
      </c>
      <c r="BX116" s="287">
        <f t="shared" si="689"/>
        <v>-40</v>
      </c>
      <c r="BY116" s="287">
        <f t="shared" si="689"/>
        <v>-40</v>
      </c>
      <c r="BZ116" s="287">
        <f t="shared" si="689"/>
        <v>-40</v>
      </c>
      <c r="CA116" s="287">
        <f t="shared" si="689"/>
        <v>-40</v>
      </c>
      <c r="CB116" s="287">
        <f t="shared" si="689"/>
        <v>-40</v>
      </c>
      <c r="CC116" s="287">
        <f t="shared" si="689"/>
        <v>-40</v>
      </c>
      <c r="CD116" s="287">
        <f t="shared" si="689"/>
        <v>-40</v>
      </c>
      <c r="CE116" s="287">
        <f t="shared" si="689"/>
        <v>-40</v>
      </c>
      <c r="CF116" s="287">
        <f t="shared" si="689"/>
        <v>-40</v>
      </c>
      <c r="CG116" s="288">
        <f t="shared" si="689"/>
        <v>-40</v>
      </c>
      <c r="CH116" s="360"/>
      <c r="CI116" s="392">
        <f t="shared" si="606"/>
        <v>-40</v>
      </c>
      <c r="CJ116" s="287">
        <f t="shared" ref="CJ116:CT116" si="690">+CI116+CJ147-CJ165</f>
        <v>-40</v>
      </c>
      <c r="CK116" s="287">
        <f t="shared" si="690"/>
        <v>-40</v>
      </c>
      <c r="CL116" s="287">
        <f t="shared" si="690"/>
        <v>-40</v>
      </c>
      <c r="CM116" s="287">
        <f t="shared" si="690"/>
        <v>-40</v>
      </c>
      <c r="CN116" s="287">
        <f t="shared" si="690"/>
        <v>-40</v>
      </c>
      <c r="CO116" s="287">
        <f t="shared" si="690"/>
        <v>-40</v>
      </c>
      <c r="CP116" s="287">
        <f t="shared" si="690"/>
        <v>-40</v>
      </c>
      <c r="CQ116" s="287">
        <f t="shared" si="690"/>
        <v>-40</v>
      </c>
      <c r="CR116" s="287">
        <f t="shared" si="690"/>
        <v>-40</v>
      </c>
      <c r="CS116" s="287">
        <f t="shared" si="690"/>
        <v>-40</v>
      </c>
      <c r="CT116" s="288">
        <f t="shared" si="690"/>
        <v>-40</v>
      </c>
      <c r="CU116" s="360"/>
      <c r="CV116" s="392">
        <f t="shared" si="608"/>
        <v>-40</v>
      </c>
      <c r="CW116" s="287">
        <f t="shared" ref="CW116:DG116" si="691">+CV116+CW147-CW165</f>
        <v>-40</v>
      </c>
      <c r="CX116" s="287">
        <f t="shared" si="691"/>
        <v>-40</v>
      </c>
      <c r="CY116" s="287">
        <f t="shared" si="691"/>
        <v>-40</v>
      </c>
      <c r="CZ116" s="287">
        <f t="shared" si="691"/>
        <v>-40</v>
      </c>
      <c r="DA116" s="287">
        <f t="shared" si="691"/>
        <v>-40</v>
      </c>
      <c r="DB116" s="287">
        <f t="shared" si="691"/>
        <v>-40</v>
      </c>
      <c r="DC116" s="287">
        <f t="shared" si="691"/>
        <v>-40</v>
      </c>
      <c r="DD116" s="287">
        <f t="shared" si="691"/>
        <v>-40</v>
      </c>
      <c r="DE116" s="287">
        <f t="shared" si="691"/>
        <v>-40</v>
      </c>
      <c r="DF116" s="287">
        <f t="shared" si="691"/>
        <v>-40</v>
      </c>
      <c r="DG116" s="288">
        <f t="shared" si="691"/>
        <v>-40</v>
      </c>
      <c r="DH116" s="360"/>
      <c r="DI116" s="392">
        <f t="shared" si="610"/>
        <v>-40</v>
      </c>
      <c r="DJ116" s="287">
        <f t="shared" ref="DJ116:DT116" si="692">+DI116+DJ147-DJ165</f>
        <v>-40</v>
      </c>
      <c r="DK116" s="287">
        <f t="shared" si="692"/>
        <v>-40</v>
      </c>
      <c r="DL116" s="287">
        <f t="shared" si="692"/>
        <v>-40</v>
      </c>
      <c r="DM116" s="287">
        <f t="shared" si="692"/>
        <v>-40</v>
      </c>
      <c r="DN116" s="287">
        <f t="shared" si="692"/>
        <v>-40</v>
      </c>
      <c r="DO116" s="287">
        <f t="shared" si="692"/>
        <v>-40</v>
      </c>
      <c r="DP116" s="287">
        <f t="shared" si="692"/>
        <v>-40</v>
      </c>
      <c r="DQ116" s="287">
        <f t="shared" si="692"/>
        <v>-40</v>
      </c>
      <c r="DR116" s="287">
        <f t="shared" si="692"/>
        <v>-40</v>
      </c>
      <c r="DS116" s="287">
        <f t="shared" si="692"/>
        <v>-40</v>
      </c>
      <c r="DT116" s="288">
        <f t="shared" si="692"/>
        <v>-40</v>
      </c>
      <c r="DU116" s="360"/>
      <c r="DV116" s="392">
        <f t="shared" si="612"/>
        <v>-40</v>
      </c>
      <c r="DW116" s="287">
        <f t="shared" ref="DW116:EG116" si="693">+DV116+DW147-DW165</f>
        <v>-40</v>
      </c>
      <c r="DX116" s="287">
        <f t="shared" si="693"/>
        <v>-40</v>
      </c>
      <c r="DY116" s="287">
        <f t="shared" si="693"/>
        <v>-40</v>
      </c>
      <c r="DZ116" s="287">
        <f t="shared" si="693"/>
        <v>-40</v>
      </c>
      <c r="EA116" s="287">
        <f t="shared" si="693"/>
        <v>-40</v>
      </c>
      <c r="EB116" s="287">
        <f t="shared" si="693"/>
        <v>-40</v>
      </c>
      <c r="EC116" s="287">
        <f t="shared" si="693"/>
        <v>-40</v>
      </c>
      <c r="ED116" s="287">
        <f t="shared" si="693"/>
        <v>-40</v>
      </c>
      <c r="EE116" s="287">
        <f t="shared" si="693"/>
        <v>-40</v>
      </c>
      <c r="EF116" s="287">
        <f t="shared" si="693"/>
        <v>-40</v>
      </c>
      <c r="EG116" s="288">
        <f t="shared" si="693"/>
        <v>-40</v>
      </c>
      <c r="EH116" s="360"/>
      <c r="EI116" s="21"/>
      <c r="EJ116" s="21"/>
      <c r="EK116" s="21"/>
      <c r="EL116" s="21"/>
      <c r="EM116" s="21"/>
    </row>
    <row r="117" spans="1:143" ht="14.25" customHeight="1">
      <c r="A117" s="21"/>
      <c r="B117" s="21"/>
      <c r="C117" s="21"/>
      <c r="D117" s="622">
        <f t="shared" si="525"/>
        <v>108</v>
      </c>
      <c r="E117" s="1625"/>
      <c r="F117" s="659" t="str">
        <f>+Assumption!F299</f>
        <v>Bank 9</v>
      </c>
      <c r="G117" s="296"/>
      <c r="H117" s="369">
        <f>+Assumption!G299</f>
        <v>0</v>
      </c>
      <c r="I117" s="268">
        <f t="shared" ref="I117:T117" si="694">+H117+I148-I166</f>
        <v>0</v>
      </c>
      <c r="J117" s="287">
        <f t="shared" si="694"/>
        <v>0</v>
      </c>
      <c r="K117" s="287">
        <f t="shared" si="694"/>
        <v>0</v>
      </c>
      <c r="L117" s="287">
        <f t="shared" si="694"/>
        <v>0</v>
      </c>
      <c r="M117" s="287">
        <f t="shared" si="694"/>
        <v>0</v>
      </c>
      <c r="N117" s="287">
        <f t="shared" si="694"/>
        <v>0</v>
      </c>
      <c r="O117" s="287">
        <f t="shared" si="694"/>
        <v>0</v>
      </c>
      <c r="P117" s="287">
        <f t="shared" si="694"/>
        <v>0</v>
      </c>
      <c r="Q117" s="287">
        <f t="shared" si="694"/>
        <v>0</v>
      </c>
      <c r="R117" s="287">
        <f t="shared" si="694"/>
        <v>0</v>
      </c>
      <c r="S117" s="287">
        <f t="shared" si="694"/>
        <v>0</v>
      </c>
      <c r="T117" s="400">
        <f t="shared" si="694"/>
        <v>10</v>
      </c>
      <c r="U117" s="360"/>
      <c r="V117" s="392">
        <f t="shared" si="596"/>
        <v>10</v>
      </c>
      <c r="W117" s="287">
        <f t="shared" ref="W117:AG117" si="695">+V117+W148-W166</f>
        <v>10</v>
      </c>
      <c r="X117" s="287">
        <f t="shared" si="695"/>
        <v>10</v>
      </c>
      <c r="Y117" s="287">
        <f t="shared" si="695"/>
        <v>10</v>
      </c>
      <c r="Z117" s="287">
        <f t="shared" si="695"/>
        <v>10</v>
      </c>
      <c r="AA117" s="287">
        <f t="shared" si="695"/>
        <v>10</v>
      </c>
      <c r="AB117" s="287">
        <f t="shared" si="695"/>
        <v>10</v>
      </c>
      <c r="AC117" s="287">
        <f t="shared" si="695"/>
        <v>10</v>
      </c>
      <c r="AD117" s="287">
        <f t="shared" si="695"/>
        <v>10</v>
      </c>
      <c r="AE117" s="287">
        <f t="shared" si="695"/>
        <v>10</v>
      </c>
      <c r="AF117" s="287">
        <f t="shared" si="695"/>
        <v>10</v>
      </c>
      <c r="AG117" s="288">
        <f t="shared" si="695"/>
        <v>10</v>
      </c>
      <c r="AH117" s="360"/>
      <c r="AI117" s="392">
        <f t="shared" si="598"/>
        <v>10</v>
      </c>
      <c r="AJ117" s="287">
        <f t="shared" ref="AJ117:AT117" si="696">+AI117+AJ148-AJ166</f>
        <v>10</v>
      </c>
      <c r="AK117" s="287">
        <f t="shared" si="696"/>
        <v>10</v>
      </c>
      <c r="AL117" s="287">
        <f t="shared" si="696"/>
        <v>10</v>
      </c>
      <c r="AM117" s="287">
        <f t="shared" si="696"/>
        <v>10</v>
      </c>
      <c r="AN117" s="287">
        <f t="shared" si="696"/>
        <v>10</v>
      </c>
      <c r="AO117" s="287">
        <f t="shared" si="696"/>
        <v>10</v>
      </c>
      <c r="AP117" s="287">
        <f t="shared" si="696"/>
        <v>10</v>
      </c>
      <c r="AQ117" s="287">
        <f t="shared" si="696"/>
        <v>10</v>
      </c>
      <c r="AR117" s="287">
        <f t="shared" si="696"/>
        <v>10</v>
      </c>
      <c r="AS117" s="287">
        <f t="shared" si="696"/>
        <v>10</v>
      </c>
      <c r="AT117" s="288">
        <f t="shared" si="696"/>
        <v>10</v>
      </c>
      <c r="AU117" s="360"/>
      <c r="AV117" s="392">
        <f t="shared" si="600"/>
        <v>10</v>
      </c>
      <c r="AW117" s="287">
        <f t="shared" ref="AW117:BG117" si="697">+AV117+AW148-AW166</f>
        <v>10</v>
      </c>
      <c r="AX117" s="287">
        <f t="shared" si="697"/>
        <v>10</v>
      </c>
      <c r="AY117" s="287">
        <f t="shared" si="697"/>
        <v>10</v>
      </c>
      <c r="AZ117" s="287">
        <f t="shared" si="697"/>
        <v>10</v>
      </c>
      <c r="BA117" s="287">
        <f t="shared" si="697"/>
        <v>10</v>
      </c>
      <c r="BB117" s="287">
        <f t="shared" si="697"/>
        <v>10</v>
      </c>
      <c r="BC117" s="287">
        <f t="shared" si="697"/>
        <v>10</v>
      </c>
      <c r="BD117" s="287">
        <f t="shared" si="697"/>
        <v>10</v>
      </c>
      <c r="BE117" s="287">
        <f t="shared" si="697"/>
        <v>10</v>
      </c>
      <c r="BF117" s="287">
        <f t="shared" si="697"/>
        <v>10</v>
      </c>
      <c r="BG117" s="288">
        <f t="shared" si="697"/>
        <v>10</v>
      </c>
      <c r="BH117" s="360"/>
      <c r="BI117" s="392">
        <f t="shared" si="602"/>
        <v>10</v>
      </c>
      <c r="BJ117" s="287">
        <f t="shared" ref="BJ117:BT117" si="698">+BI117+BJ148-BJ166</f>
        <v>10</v>
      </c>
      <c r="BK117" s="287">
        <f t="shared" si="698"/>
        <v>10</v>
      </c>
      <c r="BL117" s="287">
        <f t="shared" si="698"/>
        <v>10</v>
      </c>
      <c r="BM117" s="287">
        <f t="shared" si="698"/>
        <v>10</v>
      </c>
      <c r="BN117" s="287">
        <f t="shared" si="698"/>
        <v>10</v>
      </c>
      <c r="BO117" s="287">
        <f t="shared" si="698"/>
        <v>10</v>
      </c>
      <c r="BP117" s="287">
        <f t="shared" si="698"/>
        <v>10</v>
      </c>
      <c r="BQ117" s="287">
        <f t="shared" si="698"/>
        <v>10</v>
      </c>
      <c r="BR117" s="287">
        <f t="shared" si="698"/>
        <v>10</v>
      </c>
      <c r="BS117" s="287">
        <f t="shared" si="698"/>
        <v>10</v>
      </c>
      <c r="BT117" s="288">
        <f t="shared" si="698"/>
        <v>10</v>
      </c>
      <c r="BU117" s="360"/>
      <c r="BV117" s="392">
        <f t="shared" si="604"/>
        <v>10</v>
      </c>
      <c r="BW117" s="287">
        <f t="shared" ref="BW117:CG117" si="699">+BV117+BW148-BW166</f>
        <v>10</v>
      </c>
      <c r="BX117" s="287">
        <f t="shared" si="699"/>
        <v>10</v>
      </c>
      <c r="BY117" s="287">
        <f t="shared" si="699"/>
        <v>10</v>
      </c>
      <c r="BZ117" s="287">
        <f t="shared" si="699"/>
        <v>10</v>
      </c>
      <c r="CA117" s="287">
        <f t="shared" si="699"/>
        <v>10</v>
      </c>
      <c r="CB117" s="287">
        <f t="shared" si="699"/>
        <v>10</v>
      </c>
      <c r="CC117" s="287">
        <f t="shared" si="699"/>
        <v>10</v>
      </c>
      <c r="CD117" s="287">
        <f t="shared" si="699"/>
        <v>10</v>
      </c>
      <c r="CE117" s="287">
        <f t="shared" si="699"/>
        <v>10</v>
      </c>
      <c r="CF117" s="287">
        <f t="shared" si="699"/>
        <v>10</v>
      </c>
      <c r="CG117" s="288">
        <f t="shared" si="699"/>
        <v>10</v>
      </c>
      <c r="CH117" s="360"/>
      <c r="CI117" s="392">
        <f t="shared" si="606"/>
        <v>10</v>
      </c>
      <c r="CJ117" s="287">
        <f t="shared" ref="CJ117:CT117" si="700">+CI117+CJ148-CJ166</f>
        <v>10</v>
      </c>
      <c r="CK117" s="287">
        <f t="shared" si="700"/>
        <v>10</v>
      </c>
      <c r="CL117" s="287">
        <f t="shared" si="700"/>
        <v>10</v>
      </c>
      <c r="CM117" s="287">
        <f t="shared" si="700"/>
        <v>10</v>
      </c>
      <c r="CN117" s="287">
        <f t="shared" si="700"/>
        <v>10</v>
      </c>
      <c r="CO117" s="287">
        <f t="shared" si="700"/>
        <v>10</v>
      </c>
      <c r="CP117" s="287">
        <f t="shared" si="700"/>
        <v>10</v>
      </c>
      <c r="CQ117" s="287">
        <f t="shared" si="700"/>
        <v>10</v>
      </c>
      <c r="CR117" s="287">
        <f t="shared" si="700"/>
        <v>10</v>
      </c>
      <c r="CS117" s="287">
        <f t="shared" si="700"/>
        <v>10</v>
      </c>
      <c r="CT117" s="288">
        <f t="shared" si="700"/>
        <v>10</v>
      </c>
      <c r="CU117" s="360"/>
      <c r="CV117" s="392">
        <f t="shared" si="608"/>
        <v>10</v>
      </c>
      <c r="CW117" s="287">
        <f t="shared" ref="CW117:DG117" si="701">+CV117+CW148-CW166</f>
        <v>10</v>
      </c>
      <c r="CX117" s="287">
        <f t="shared" si="701"/>
        <v>10</v>
      </c>
      <c r="CY117" s="287">
        <f t="shared" si="701"/>
        <v>10</v>
      </c>
      <c r="CZ117" s="287">
        <f t="shared" si="701"/>
        <v>10</v>
      </c>
      <c r="DA117" s="287">
        <f t="shared" si="701"/>
        <v>10</v>
      </c>
      <c r="DB117" s="287">
        <f t="shared" si="701"/>
        <v>10</v>
      </c>
      <c r="DC117" s="287">
        <f t="shared" si="701"/>
        <v>10</v>
      </c>
      <c r="DD117" s="287">
        <f t="shared" si="701"/>
        <v>10</v>
      </c>
      <c r="DE117" s="287">
        <f t="shared" si="701"/>
        <v>10</v>
      </c>
      <c r="DF117" s="287">
        <f t="shared" si="701"/>
        <v>10</v>
      </c>
      <c r="DG117" s="288">
        <f t="shared" si="701"/>
        <v>10</v>
      </c>
      <c r="DH117" s="360"/>
      <c r="DI117" s="392">
        <f t="shared" si="610"/>
        <v>10</v>
      </c>
      <c r="DJ117" s="287">
        <f t="shared" ref="DJ117:DT117" si="702">+DI117+DJ148-DJ166</f>
        <v>10</v>
      </c>
      <c r="DK117" s="287">
        <f t="shared" si="702"/>
        <v>10</v>
      </c>
      <c r="DL117" s="287">
        <f t="shared" si="702"/>
        <v>10</v>
      </c>
      <c r="DM117" s="287">
        <f t="shared" si="702"/>
        <v>10</v>
      </c>
      <c r="DN117" s="287">
        <f t="shared" si="702"/>
        <v>10</v>
      </c>
      <c r="DO117" s="287">
        <f t="shared" si="702"/>
        <v>10</v>
      </c>
      <c r="DP117" s="287">
        <f t="shared" si="702"/>
        <v>10</v>
      </c>
      <c r="DQ117" s="287">
        <f t="shared" si="702"/>
        <v>10</v>
      </c>
      <c r="DR117" s="287">
        <f t="shared" si="702"/>
        <v>10</v>
      </c>
      <c r="DS117" s="287">
        <f t="shared" si="702"/>
        <v>10</v>
      </c>
      <c r="DT117" s="288">
        <f t="shared" si="702"/>
        <v>10</v>
      </c>
      <c r="DU117" s="360"/>
      <c r="DV117" s="392">
        <f t="shared" si="612"/>
        <v>10</v>
      </c>
      <c r="DW117" s="287">
        <f t="shared" ref="DW117:EG117" si="703">+DV117+DW148-DW166</f>
        <v>10</v>
      </c>
      <c r="DX117" s="287">
        <f t="shared" si="703"/>
        <v>10</v>
      </c>
      <c r="DY117" s="287">
        <f t="shared" si="703"/>
        <v>10</v>
      </c>
      <c r="DZ117" s="287">
        <f t="shared" si="703"/>
        <v>10</v>
      </c>
      <c r="EA117" s="287">
        <f t="shared" si="703"/>
        <v>10</v>
      </c>
      <c r="EB117" s="287">
        <f t="shared" si="703"/>
        <v>10</v>
      </c>
      <c r="EC117" s="287">
        <f t="shared" si="703"/>
        <v>10</v>
      </c>
      <c r="ED117" s="287">
        <f t="shared" si="703"/>
        <v>10</v>
      </c>
      <c r="EE117" s="287">
        <f t="shared" si="703"/>
        <v>10</v>
      </c>
      <c r="EF117" s="287">
        <f t="shared" si="703"/>
        <v>10</v>
      </c>
      <c r="EG117" s="288">
        <f t="shared" si="703"/>
        <v>10</v>
      </c>
      <c r="EH117" s="360"/>
      <c r="EI117" s="21"/>
      <c r="EJ117" s="21"/>
      <c r="EK117" s="21"/>
      <c r="EL117" s="21"/>
      <c r="EM117" s="21"/>
    </row>
    <row r="118" spans="1:143" ht="15.75" customHeight="1">
      <c r="A118" s="21"/>
      <c r="B118" s="21"/>
      <c r="C118" s="21"/>
      <c r="D118" s="622">
        <f t="shared" si="525"/>
        <v>109</v>
      </c>
      <c r="E118" s="1625"/>
      <c r="F118" s="659" t="str">
        <f>+Assumption!F300</f>
        <v>Bank 10</v>
      </c>
      <c r="G118" s="296"/>
      <c r="H118" s="401">
        <f>+Assumption!G300</f>
        <v>6906</v>
      </c>
      <c r="I118" s="268">
        <f t="shared" ref="I118:T118" si="704">+H118+I149-I167</f>
        <v>6906</v>
      </c>
      <c r="J118" s="287">
        <f t="shared" si="704"/>
        <v>6906</v>
      </c>
      <c r="K118" s="287">
        <f t="shared" si="704"/>
        <v>6906</v>
      </c>
      <c r="L118" s="287">
        <f t="shared" si="704"/>
        <v>6906</v>
      </c>
      <c r="M118" s="287">
        <f t="shared" si="704"/>
        <v>6906</v>
      </c>
      <c r="N118" s="287">
        <f t="shared" si="704"/>
        <v>6906</v>
      </c>
      <c r="O118" s="287">
        <f t="shared" si="704"/>
        <v>6906</v>
      </c>
      <c r="P118" s="287">
        <f t="shared" si="704"/>
        <v>6906</v>
      </c>
      <c r="Q118" s="287">
        <f t="shared" si="704"/>
        <v>6906</v>
      </c>
      <c r="R118" s="287">
        <f t="shared" si="704"/>
        <v>6906</v>
      </c>
      <c r="S118" s="287">
        <f t="shared" si="704"/>
        <v>6906</v>
      </c>
      <c r="T118" s="400">
        <f t="shared" si="704"/>
        <v>6916</v>
      </c>
      <c r="U118" s="360"/>
      <c r="V118" s="392">
        <f t="shared" si="596"/>
        <v>6916</v>
      </c>
      <c r="W118" s="287">
        <f t="shared" ref="W118:AG118" si="705">+V118+W149-W167</f>
        <v>6916</v>
      </c>
      <c r="X118" s="287">
        <f t="shared" si="705"/>
        <v>6916</v>
      </c>
      <c r="Y118" s="287">
        <f t="shared" si="705"/>
        <v>6916</v>
      </c>
      <c r="Z118" s="287">
        <f t="shared" si="705"/>
        <v>6916</v>
      </c>
      <c r="AA118" s="287">
        <f t="shared" si="705"/>
        <v>6916</v>
      </c>
      <c r="AB118" s="287">
        <f t="shared" si="705"/>
        <v>6916</v>
      </c>
      <c r="AC118" s="287">
        <f t="shared" si="705"/>
        <v>6916</v>
      </c>
      <c r="AD118" s="287">
        <f t="shared" si="705"/>
        <v>6916</v>
      </c>
      <c r="AE118" s="287">
        <f t="shared" si="705"/>
        <v>6916</v>
      </c>
      <c r="AF118" s="287">
        <f t="shared" si="705"/>
        <v>6916</v>
      </c>
      <c r="AG118" s="288">
        <f t="shared" si="705"/>
        <v>6916</v>
      </c>
      <c r="AH118" s="360"/>
      <c r="AI118" s="392">
        <f t="shared" si="598"/>
        <v>6916</v>
      </c>
      <c r="AJ118" s="287">
        <f t="shared" ref="AJ118:AT118" si="706">+AI118+AJ149-AJ167</f>
        <v>6916</v>
      </c>
      <c r="AK118" s="287">
        <f t="shared" si="706"/>
        <v>6916</v>
      </c>
      <c r="AL118" s="287">
        <f t="shared" si="706"/>
        <v>6916</v>
      </c>
      <c r="AM118" s="287">
        <f t="shared" si="706"/>
        <v>6916</v>
      </c>
      <c r="AN118" s="287">
        <f t="shared" si="706"/>
        <v>6916</v>
      </c>
      <c r="AO118" s="287">
        <f t="shared" si="706"/>
        <v>6916</v>
      </c>
      <c r="AP118" s="287">
        <f t="shared" si="706"/>
        <v>6916</v>
      </c>
      <c r="AQ118" s="287">
        <f t="shared" si="706"/>
        <v>6916</v>
      </c>
      <c r="AR118" s="287">
        <f t="shared" si="706"/>
        <v>6916</v>
      </c>
      <c r="AS118" s="287">
        <f t="shared" si="706"/>
        <v>6916</v>
      </c>
      <c r="AT118" s="288">
        <f t="shared" si="706"/>
        <v>6916</v>
      </c>
      <c r="AU118" s="360"/>
      <c r="AV118" s="392">
        <f t="shared" si="600"/>
        <v>6916</v>
      </c>
      <c r="AW118" s="287">
        <f t="shared" ref="AW118:BG118" si="707">+AV118+AW149-AW167</f>
        <v>6916</v>
      </c>
      <c r="AX118" s="287">
        <f t="shared" si="707"/>
        <v>6916</v>
      </c>
      <c r="AY118" s="287">
        <f t="shared" si="707"/>
        <v>6916</v>
      </c>
      <c r="AZ118" s="287">
        <f t="shared" si="707"/>
        <v>6916</v>
      </c>
      <c r="BA118" s="287">
        <f t="shared" si="707"/>
        <v>6916</v>
      </c>
      <c r="BB118" s="287">
        <f t="shared" si="707"/>
        <v>6916</v>
      </c>
      <c r="BC118" s="287">
        <f t="shared" si="707"/>
        <v>6916</v>
      </c>
      <c r="BD118" s="287">
        <f t="shared" si="707"/>
        <v>6916</v>
      </c>
      <c r="BE118" s="287">
        <f t="shared" si="707"/>
        <v>6916</v>
      </c>
      <c r="BF118" s="287">
        <f t="shared" si="707"/>
        <v>6916</v>
      </c>
      <c r="BG118" s="288">
        <f t="shared" si="707"/>
        <v>6916</v>
      </c>
      <c r="BH118" s="360"/>
      <c r="BI118" s="392">
        <f t="shared" si="602"/>
        <v>6916</v>
      </c>
      <c r="BJ118" s="287">
        <f t="shared" ref="BJ118:BT118" si="708">+BI118+BJ149-BJ167</f>
        <v>6916</v>
      </c>
      <c r="BK118" s="287">
        <f t="shared" si="708"/>
        <v>6916</v>
      </c>
      <c r="BL118" s="287">
        <f t="shared" si="708"/>
        <v>6916</v>
      </c>
      <c r="BM118" s="287">
        <f t="shared" si="708"/>
        <v>6916</v>
      </c>
      <c r="BN118" s="287">
        <f t="shared" si="708"/>
        <v>6916</v>
      </c>
      <c r="BO118" s="287">
        <f t="shared" si="708"/>
        <v>6916</v>
      </c>
      <c r="BP118" s="287">
        <f t="shared" si="708"/>
        <v>6916</v>
      </c>
      <c r="BQ118" s="287">
        <f t="shared" si="708"/>
        <v>6916</v>
      </c>
      <c r="BR118" s="287">
        <f t="shared" si="708"/>
        <v>6916</v>
      </c>
      <c r="BS118" s="287">
        <f t="shared" si="708"/>
        <v>6916</v>
      </c>
      <c r="BT118" s="288">
        <f t="shared" si="708"/>
        <v>6916</v>
      </c>
      <c r="BU118" s="360"/>
      <c r="BV118" s="392">
        <f t="shared" si="604"/>
        <v>6916</v>
      </c>
      <c r="BW118" s="287">
        <f t="shared" ref="BW118:CG118" si="709">+BV118+BW149-BW167</f>
        <v>6916</v>
      </c>
      <c r="BX118" s="287">
        <f t="shared" si="709"/>
        <v>6916</v>
      </c>
      <c r="BY118" s="287">
        <f t="shared" si="709"/>
        <v>6916</v>
      </c>
      <c r="BZ118" s="287">
        <f t="shared" si="709"/>
        <v>6916</v>
      </c>
      <c r="CA118" s="287">
        <f t="shared" si="709"/>
        <v>6916</v>
      </c>
      <c r="CB118" s="287">
        <f t="shared" si="709"/>
        <v>6916</v>
      </c>
      <c r="CC118" s="287">
        <f t="shared" si="709"/>
        <v>6916</v>
      </c>
      <c r="CD118" s="287">
        <f t="shared" si="709"/>
        <v>6916</v>
      </c>
      <c r="CE118" s="287">
        <f t="shared" si="709"/>
        <v>6916</v>
      </c>
      <c r="CF118" s="287">
        <f t="shared" si="709"/>
        <v>6916</v>
      </c>
      <c r="CG118" s="288">
        <f t="shared" si="709"/>
        <v>6916</v>
      </c>
      <c r="CH118" s="360"/>
      <c r="CI118" s="392">
        <f t="shared" si="606"/>
        <v>6916</v>
      </c>
      <c r="CJ118" s="287">
        <f t="shared" ref="CJ118:CT118" si="710">+CI118+CJ149-CJ167</f>
        <v>6916</v>
      </c>
      <c r="CK118" s="287">
        <f t="shared" si="710"/>
        <v>6916</v>
      </c>
      <c r="CL118" s="287">
        <f t="shared" si="710"/>
        <v>6916</v>
      </c>
      <c r="CM118" s="287">
        <f t="shared" si="710"/>
        <v>6916</v>
      </c>
      <c r="CN118" s="287">
        <f t="shared" si="710"/>
        <v>6916</v>
      </c>
      <c r="CO118" s="287">
        <f t="shared" si="710"/>
        <v>6916</v>
      </c>
      <c r="CP118" s="287">
        <f t="shared" si="710"/>
        <v>6916</v>
      </c>
      <c r="CQ118" s="287">
        <f t="shared" si="710"/>
        <v>6916</v>
      </c>
      <c r="CR118" s="287">
        <f t="shared" si="710"/>
        <v>6916</v>
      </c>
      <c r="CS118" s="287">
        <f t="shared" si="710"/>
        <v>6916</v>
      </c>
      <c r="CT118" s="288">
        <f t="shared" si="710"/>
        <v>6916</v>
      </c>
      <c r="CU118" s="360"/>
      <c r="CV118" s="392">
        <f t="shared" si="608"/>
        <v>6916</v>
      </c>
      <c r="CW118" s="287">
        <f t="shared" ref="CW118:DG118" si="711">+CV118+CW149-CW167</f>
        <v>6916</v>
      </c>
      <c r="CX118" s="287">
        <f t="shared" si="711"/>
        <v>6916</v>
      </c>
      <c r="CY118" s="287">
        <f t="shared" si="711"/>
        <v>6916</v>
      </c>
      <c r="CZ118" s="287">
        <f t="shared" si="711"/>
        <v>6916</v>
      </c>
      <c r="DA118" s="287">
        <f t="shared" si="711"/>
        <v>6916</v>
      </c>
      <c r="DB118" s="287">
        <f t="shared" si="711"/>
        <v>6916</v>
      </c>
      <c r="DC118" s="287">
        <f t="shared" si="711"/>
        <v>6916</v>
      </c>
      <c r="DD118" s="287">
        <f t="shared" si="711"/>
        <v>6916</v>
      </c>
      <c r="DE118" s="287">
        <f t="shared" si="711"/>
        <v>6916</v>
      </c>
      <c r="DF118" s="287">
        <f t="shared" si="711"/>
        <v>6916</v>
      </c>
      <c r="DG118" s="288">
        <f t="shared" si="711"/>
        <v>6916</v>
      </c>
      <c r="DH118" s="360"/>
      <c r="DI118" s="392">
        <f t="shared" si="610"/>
        <v>6916</v>
      </c>
      <c r="DJ118" s="287">
        <f t="shared" ref="DJ118:DT118" si="712">+DI118+DJ149-DJ167</f>
        <v>6916</v>
      </c>
      <c r="DK118" s="287">
        <f t="shared" si="712"/>
        <v>6916</v>
      </c>
      <c r="DL118" s="287">
        <f t="shared" si="712"/>
        <v>6916</v>
      </c>
      <c r="DM118" s="287">
        <f t="shared" si="712"/>
        <v>6916</v>
      </c>
      <c r="DN118" s="287">
        <f t="shared" si="712"/>
        <v>6916</v>
      </c>
      <c r="DO118" s="287">
        <f t="shared" si="712"/>
        <v>6916</v>
      </c>
      <c r="DP118" s="287">
        <f t="shared" si="712"/>
        <v>6916</v>
      </c>
      <c r="DQ118" s="287">
        <f t="shared" si="712"/>
        <v>6916</v>
      </c>
      <c r="DR118" s="287">
        <f t="shared" si="712"/>
        <v>6916</v>
      </c>
      <c r="DS118" s="287">
        <f t="shared" si="712"/>
        <v>6916</v>
      </c>
      <c r="DT118" s="288">
        <f t="shared" si="712"/>
        <v>6916</v>
      </c>
      <c r="DU118" s="360"/>
      <c r="DV118" s="392">
        <f t="shared" si="612"/>
        <v>6916</v>
      </c>
      <c r="DW118" s="287">
        <f t="shared" ref="DW118:EG118" si="713">+DV118+DW149-DW167</f>
        <v>6916</v>
      </c>
      <c r="DX118" s="287">
        <f t="shared" si="713"/>
        <v>6916</v>
      </c>
      <c r="DY118" s="287">
        <f t="shared" si="713"/>
        <v>6916</v>
      </c>
      <c r="DZ118" s="287">
        <f t="shared" si="713"/>
        <v>6916</v>
      </c>
      <c r="EA118" s="287">
        <f t="shared" si="713"/>
        <v>6916</v>
      </c>
      <c r="EB118" s="287">
        <f t="shared" si="713"/>
        <v>6916</v>
      </c>
      <c r="EC118" s="287">
        <f t="shared" si="713"/>
        <v>6916</v>
      </c>
      <c r="ED118" s="287">
        <f t="shared" si="713"/>
        <v>6916</v>
      </c>
      <c r="EE118" s="287">
        <f t="shared" si="713"/>
        <v>6916</v>
      </c>
      <c r="EF118" s="287">
        <f t="shared" si="713"/>
        <v>6916</v>
      </c>
      <c r="EG118" s="288">
        <f t="shared" si="713"/>
        <v>6916</v>
      </c>
      <c r="EH118" s="360"/>
      <c r="EI118" s="21"/>
      <c r="EJ118" s="21"/>
      <c r="EK118" s="21"/>
      <c r="EL118" s="21"/>
      <c r="EM118" s="21"/>
    </row>
    <row r="119" spans="1:143" ht="15.75" customHeight="1">
      <c r="A119" s="21"/>
      <c r="B119" s="21"/>
      <c r="C119" s="21"/>
      <c r="D119" s="622">
        <f t="shared" si="525"/>
        <v>110</v>
      </c>
      <c r="E119" s="1625"/>
      <c r="F119" s="402" t="s">
        <v>631</v>
      </c>
      <c r="G119" s="296"/>
      <c r="H119" s="369">
        <f t="shared" ref="H119:T119" si="714">+SUM(H120:H129)</f>
        <v>7306</v>
      </c>
      <c r="I119" s="268">
        <f>+SUM(I120:I129)</f>
        <v>7306</v>
      </c>
      <c r="J119" s="287">
        <f>+SUM(J120:J129)</f>
        <v>7306</v>
      </c>
      <c r="K119" s="287">
        <f t="shared" si="714"/>
        <v>7306</v>
      </c>
      <c r="L119" s="287">
        <f t="shared" si="714"/>
        <v>7306</v>
      </c>
      <c r="M119" s="287">
        <f t="shared" si="714"/>
        <v>7306</v>
      </c>
      <c r="N119" s="287">
        <f t="shared" si="714"/>
        <v>7306</v>
      </c>
      <c r="O119" s="287">
        <f t="shared" si="714"/>
        <v>7306</v>
      </c>
      <c r="P119" s="287">
        <f t="shared" si="714"/>
        <v>7306</v>
      </c>
      <c r="Q119" s="287">
        <f t="shared" si="714"/>
        <v>7306</v>
      </c>
      <c r="R119" s="287">
        <f t="shared" si="714"/>
        <v>7306</v>
      </c>
      <c r="S119" s="287">
        <f t="shared" si="714"/>
        <v>7306</v>
      </c>
      <c r="T119" s="400">
        <f t="shared" si="714"/>
        <v>7306</v>
      </c>
      <c r="U119" s="360"/>
      <c r="V119" s="392">
        <f t="shared" ref="V119:AG119" si="715">+SUM(V120:V129)</f>
        <v>7306</v>
      </c>
      <c r="W119" s="287">
        <f t="shared" si="715"/>
        <v>7306</v>
      </c>
      <c r="X119" s="287">
        <f t="shared" si="715"/>
        <v>7306</v>
      </c>
      <c r="Y119" s="287">
        <f t="shared" si="715"/>
        <v>7306</v>
      </c>
      <c r="Z119" s="287">
        <f t="shared" si="715"/>
        <v>7306</v>
      </c>
      <c r="AA119" s="287">
        <f t="shared" si="715"/>
        <v>7306</v>
      </c>
      <c r="AB119" s="287">
        <f t="shared" si="715"/>
        <v>7306</v>
      </c>
      <c r="AC119" s="287">
        <f t="shared" si="715"/>
        <v>7306</v>
      </c>
      <c r="AD119" s="287">
        <f t="shared" si="715"/>
        <v>7306</v>
      </c>
      <c r="AE119" s="287">
        <f t="shared" si="715"/>
        <v>7306</v>
      </c>
      <c r="AF119" s="287">
        <f t="shared" si="715"/>
        <v>7306</v>
      </c>
      <c r="AG119" s="400">
        <f t="shared" si="715"/>
        <v>7306</v>
      </c>
      <c r="AH119" s="360"/>
      <c r="AI119" s="392">
        <f t="shared" ref="AI119:AT119" si="716">+SUM(AI120:AI129)</f>
        <v>7306</v>
      </c>
      <c r="AJ119" s="287">
        <f t="shared" si="716"/>
        <v>7306</v>
      </c>
      <c r="AK119" s="287">
        <f t="shared" si="716"/>
        <v>7306</v>
      </c>
      <c r="AL119" s="287">
        <f t="shared" si="716"/>
        <v>7306</v>
      </c>
      <c r="AM119" s="287">
        <f t="shared" si="716"/>
        <v>7306</v>
      </c>
      <c r="AN119" s="287">
        <f t="shared" si="716"/>
        <v>7306</v>
      </c>
      <c r="AO119" s="287">
        <f t="shared" si="716"/>
        <v>7306</v>
      </c>
      <c r="AP119" s="287">
        <f t="shared" si="716"/>
        <v>7306</v>
      </c>
      <c r="AQ119" s="287">
        <f t="shared" si="716"/>
        <v>7306</v>
      </c>
      <c r="AR119" s="287">
        <f t="shared" si="716"/>
        <v>7306</v>
      </c>
      <c r="AS119" s="287">
        <f t="shared" si="716"/>
        <v>7306</v>
      </c>
      <c r="AT119" s="400">
        <f t="shared" si="716"/>
        <v>7306</v>
      </c>
      <c r="AU119" s="360"/>
      <c r="AV119" s="392">
        <f t="shared" ref="AV119:BG119" si="717">+SUM(AV120:AV129)</f>
        <v>7306</v>
      </c>
      <c r="AW119" s="287">
        <f t="shared" si="717"/>
        <v>7306</v>
      </c>
      <c r="AX119" s="287">
        <f t="shared" si="717"/>
        <v>7306</v>
      </c>
      <c r="AY119" s="287">
        <f t="shared" si="717"/>
        <v>7306</v>
      </c>
      <c r="AZ119" s="287">
        <f t="shared" si="717"/>
        <v>7306</v>
      </c>
      <c r="BA119" s="287">
        <f t="shared" si="717"/>
        <v>7306</v>
      </c>
      <c r="BB119" s="287">
        <f t="shared" si="717"/>
        <v>7306</v>
      </c>
      <c r="BC119" s="287">
        <f t="shared" si="717"/>
        <v>7306</v>
      </c>
      <c r="BD119" s="287">
        <f t="shared" si="717"/>
        <v>7306</v>
      </c>
      <c r="BE119" s="287">
        <f t="shared" si="717"/>
        <v>7306</v>
      </c>
      <c r="BF119" s="287">
        <f t="shared" si="717"/>
        <v>7306</v>
      </c>
      <c r="BG119" s="400">
        <f t="shared" si="717"/>
        <v>7306</v>
      </c>
      <c r="BH119" s="360"/>
      <c r="BI119" s="392">
        <f t="shared" ref="BI119:BT119" si="718">+SUM(BI120:BI129)</f>
        <v>7306</v>
      </c>
      <c r="BJ119" s="287">
        <f t="shared" si="718"/>
        <v>7306</v>
      </c>
      <c r="BK119" s="287">
        <f t="shared" si="718"/>
        <v>7306</v>
      </c>
      <c r="BL119" s="287">
        <f t="shared" si="718"/>
        <v>7306</v>
      </c>
      <c r="BM119" s="287">
        <f t="shared" si="718"/>
        <v>7306</v>
      </c>
      <c r="BN119" s="287">
        <f t="shared" si="718"/>
        <v>7306</v>
      </c>
      <c r="BO119" s="287">
        <f t="shared" si="718"/>
        <v>7306</v>
      </c>
      <c r="BP119" s="287">
        <f t="shared" si="718"/>
        <v>7306</v>
      </c>
      <c r="BQ119" s="287">
        <f t="shared" si="718"/>
        <v>7306</v>
      </c>
      <c r="BR119" s="287">
        <f t="shared" si="718"/>
        <v>7306</v>
      </c>
      <c r="BS119" s="287">
        <f t="shared" si="718"/>
        <v>7306</v>
      </c>
      <c r="BT119" s="400">
        <f t="shared" si="718"/>
        <v>7306</v>
      </c>
      <c r="BU119" s="360"/>
      <c r="BV119" s="392">
        <f t="shared" ref="BV119:CG119" si="719">+SUM(BV120:BV129)</f>
        <v>7306</v>
      </c>
      <c r="BW119" s="287">
        <f t="shared" si="719"/>
        <v>7306</v>
      </c>
      <c r="BX119" s="287">
        <f t="shared" si="719"/>
        <v>7306</v>
      </c>
      <c r="BY119" s="287">
        <f t="shared" si="719"/>
        <v>7306</v>
      </c>
      <c r="BZ119" s="287">
        <f t="shared" si="719"/>
        <v>7306</v>
      </c>
      <c r="CA119" s="287">
        <f t="shared" si="719"/>
        <v>7306</v>
      </c>
      <c r="CB119" s="287">
        <f t="shared" si="719"/>
        <v>7306</v>
      </c>
      <c r="CC119" s="287">
        <f t="shared" si="719"/>
        <v>7306</v>
      </c>
      <c r="CD119" s="287">
        <f t="shared" si="719"/>
        <v>7306</v>
      </c>
      <c r="CE119" s="287">
        <f t="shared" si="719"/>
        <v>7306</v>
      </c>
      <c r="CF119" s="287">
        <f t="shared" si="719"/>
        <v>7306</v>
      </c>
      <c r="CG119" s="400">
        <f t="shared" si="719"/>
        <v>7306</v>
      </c>
      <c r="CH119" s="360"/>
      <c r="CI119" s="392">
        <f t="shared" ref="CI119:CT119" si="720">+SUM(CI120:CI129)</f>
        <v>7306</v>
      </c>
      <c r="CJ119" s="287">
        <f t="shared" si="720"/>
        <v>7306</v>
      </c>
      <c r="CK119" s="287">
        <f t="shared" si="720"/>
        <v>7306</v>
      </c>
      <c r="CL119" s="287">
        <f t="shared" si="720"/>
        <v>7306</v>
      </c>
      <c r="CM119" s="287">
        <f t="shared" si="720"/>
        <v>7306</v>
      </c>
      <c r="CN119" s="287">
        <f t="shared" si="720"/>
        <v>7306</v>
      </c>
      <c r="CO119" s="287">
        <f t="shared" si="720"/>
        <v>7306</v>
      </c>
      <c r="CP119" s="287">
        <f t="shared" si="720"/>
        <v>7306</v>
      </c>
      <c r="CQ119" s="287">
        <f t="shared" si="720"/>
        <v>7306</v>
      </c>
      <c r="CR119" s="287">
        <f t="shared" si="720"/>
        <v>7306</v>
      </c>
      <c r="CS119" s="287">
        <f t="shared" si="720"/>
        <v>7306</v>
      </c>
      <c r="CT119" s="400">
        <f t="shared" si="720"/>
        <v>7306</v>
      </c>
      <c r="CU119" s="360"/>
      <c r="CV119" s="392">
        <f t="shared" ref="CV119:DG119" si="721">+SUM(CV120:CV129)</f>
        <v>7306</v>
      </c>
      <c r="CW119" s="287">
        <f t="shared" si="721"/>
        <v>7306</v>
      </c>
      <c r="CX119" s="287">
        <f t="shared" si="721"/>
        <v>7306</v>
      </c>
      <c r="CY119" s="287">
        <f t="shared" si="721"/>
        <v>7306</v>
      </c>
      <c r="CZ119" s="287">
        <f t="shared" si="721"/>
        <v>7306</v>
      </c>
      <c r="DA119" s="287">
        <f t="shared" si="721"/>
        <v>7306</v>
      </c>
      <c r="DB119" s="287">
        <f t="shared" si="721"/>
        <v>7306</v>
      </c>
      <c r="DC119" s="287">
        <f t="shared" si="721"/>
        <v>7306</v>
      </c>
      <c r="DD119" s="287">
        <f t="shared" si="721"/>
        <v>7306</v>
      </c>
      <c r="DE119" s="287">
        <f t="shared" si="721"/>
        <v>7306</v>
      </c>
      <c r="DF119" s="287">
        <f t="shared" si="721"/>
        <v>7306</v>
      </c>
      <c r="DG119" s="400">
        <f t="shared" si="721"/>
        <v>7306</v>
      </c>
      <c r="DH119" s="360"/>
      <c r="DI119" s="392">
        <f t="shared" ref="DI119:DT119" si="722">+SUM(DI120:DI129)</f>
        <v>7306</v>
      </c>
      <c r="DJ119" s="287">
        <f t="shared" si="722"/>
        <v>7306</v>
      </c>
      <c r="DK119" s="287">
        <f t="shared" si="722"/>
        <v>7306</v>
      </c>
      <c r="DL119" s="287">
        <f t="shared" si="722"/>
        <v>7306</v>
      </c>
      <c r="DM119" s="287">
        <f t="shared" si="722"/>
        <v>7306</v>
      </c>
      <c r="DN119" s="287">
        <f t="shared" si="722"/>
        <v>7306</v>
      </c>
      <c r="DO119" s="287">
        <f t="shared" si="722"/>
        <v>7306</v>
      </c>
      <c r="DP119" s="287">
        <f t="shared" si="722"/>
        <v>7306</v>
      </c>
      <c r="DQ119" s="287">
        <f t="shared" si="722"/>
        <v>7306</v>
      </c>
      <c r="DR119" s="287">
        <f t="shared" si="722"/>
        <v>7306</v>
      </c>
      <c r="DS119" s="287">
        <f t="shared" si="722"/>
        <v>7306</v>
      </c>
      <c r="DT119" s="400">
        <f t="shared" si="722"/>
        <v>7306</v>
      </c>
      <c r="DU119" s="360"/>
      <c r="DV119" s="392">
        <f t="shared" ref="DV119:EG119" si="723">+SUM(DV120:DV129)</f>
        <v>7306</v>
      </c>
      <c r="DW119" s="287">
        <f t="shared" si="723"/>
        <v>7306</v>
      </c>
      <c r="DX119" s="287">
        <f t="shared" si="723"/>
        <v>7306</v>
      </c>
      <c r="DY119" s="287">
        <f t="shared" si="723"/>
        <v>7306</v>
      </c>
      <c r="DZ119" s="287">
        <f t="shared" si="723"/>
        <v>7306</v>
      </c>
      <c r="EA119" s="287">
        <f t="shared" si="723"/>
        <v>7306</v>
      </c>
      <c r="EB119" s="287">
        <f t="shared" si="723"/>
        <v>7306</v>
      </c>
      <c r="EC119" s="287">
        <f t="shared" si="723"/>
        <v>7306</v>
      </c>
      <c r="ED119" s="287">
        <f t="shared" si="723"/>
        <v>7306</v>
      </c>
      <c r="EE119" s="287">
        <f t="shared" si="723"/>
        <v>7306</v>
      </c>
      <c r="EF119" s="287">
        <f t="shared" si="723"/>
        <v>7306</v>
      </c>
      <c r="EG119" s="400">
        <f t="shared" si="723"/>
        <v>7306</v>
      </c>
      <c r="EH119" s="360"/>
      <c r="EI119" s="21"/>
      <c r="EJ119" s="21"/>
      <c r="EK119" s="21"/>
      <c r="EL119" s="21"/>
      <c r="EM119" s="21"/>
    </row>
    <row r="120" spans="1:143" ht="15.75" customHeight="1">
      <c r="A120" s="21"/>
      <c r="B120" s="21"/>
      <c r="C120" s="21"/>
      <c r="D120" s="622">
        <f t="shared" si="525"/>
        <v>111</v>
      </c>
      <c r="E120" s="1625"/>
      <c r="F120" s="403" t="str">
        <f>+Assumption!F319</f>
        <v>Bonds/MTN/Securities 1</v>
      </c>
      <c r="G120" s="296"/>
      <c r="H120" s="369">
        <f>+Assumption!G319</f>
        <v>0</v>
      </c>
      <c r="I120" s="268">
        <f t="shared" ref="I120:T120" si="724">+H120+I171-I183</f>
        <v>0</v>
      </c>
      <c r="J120" s="287">
        <f>+I120+J171-J183</f>
        <v>0</v>
      </c>
      <c r="K120" s="287">
        <f t="shared" si="724"/>
        <v>0</v>
      </c>
      <c r="L120" s="287">
        <f t="shared" si="724"/>
        <v>0</v>
      </c>
      <c r="M120" s="287">
        <f t="shared" si="724"/>
        <v>0</v>
      </c>
      <c r="N120" s="287">
        <f t="shared" si="724"/>
        <v>0</v>
      </c>
      <c r="O120" s="287">
        <f t="shared" si="724"/>
        <v>0</v>
      </c>
      <c r="P120" s="287">
        <f t="shared" si="724"/>
        <v>0</v>
      </c>
      <c r="Q120" s="287">
        <f t="shared" si="724"/>
        <v>0</v>
      </c>
      <c r="R120" s="287">
        <f t="shared" si="724"/>
        <v>0</v>
      </c>
      <c r="S120" s="287">
        <f t="shared" si="724"/>
        <v>0</v>
      </c>
      <c r="T120" s="400">
        <f t="shared" si="724"/>
        <v>0</v>
      </c>
      <c r="U120" s="360"/>
      <c r="V120" s="392">
        <f t="shared" ref="V120:V129" si="725">+T120+V171-V183</f>
        <v>0</v>
      </c>
      <c r="W120" s="287">
        <f t="shared" ref="W120:AG120" si="726">+V120+W171-W183</f>
        <v>0</v>
      </c>
      <c r="X120" s="287">
        <f t="shared" si="726"/>
        <v>0</v>
      </c>
      <c r="Y120" s="287">
        <f t="shared" si="726"/>
        <v>0</v>
      </c>
      <c r="Z120" s="287">
        <f t="shared" si="726"/>
        <v>0</v>
      </c>
      <c r="AA120" s="287">
        <f t="shared" si="726"/>
        <v>0</v>
      </c>
      <c r="AB120" s="287">
        <f t="shared" si="726"/>
        <v>0</v>
      </c>
      <c r="AC120" s="287">
        <f t="shared" si="726"/>
        <v>0</v>
      </c>
      <c r="AD120" s="287">
        <f t="shared" si="726"/>
        <v>0</v>
      </c>
      <c r="AE120" s="287">
        <f t="shared" si="726"/>
        <v>0</v>
      </c>
      <c r="AF120" s="287">
        <f t="shared" si="726"/>
        <v>0</v>
      </c>
      <c r="AG120" s="400">
        <f t="shared" si="726"/>
        <v>0</v>
      </c>
      <c r="AH120" s="360"/>
      <c r="AI120" s="392">
        <f t="shared" ref="AI120:AI129" si="727">+AG120+AI171-AI183</f>
        <v>0</v>
      </c>
      <c r="AJ120" s="287">
        <f t="shared" ref="AJ120:AT120" si="728">+AI120+AJ171-AJ183</f>
        <v>0</v>
      </c>
      <c r="AK120" s="287">
        <f t="shared" si="728"/>
        <v>0</v>
      </c>
      <c r="AL120" s="287">
        <f t="shared" si="728"/>
        <v>0</v>
      </c>
      <c r="AM120" s="287">
        <f t="shared" si="728"/>
        <v>0</v>
      </c>
      <c r="AN120" s="287">
        <f t="shared" si="728"/>
        <v>0</v>
      </c>
      <c r="AO120" s="287">
        <f t="shared" si="728"/>
        <v>0</v>
      </c>
      <c r="AP120" s="287">
        <f t="shared" si="728"/>
        <v>0</v>
      </c>
      <c r="AQ120" s="287">
        <f t="shared" si="728"/>
        <v>0</v>
      </c>
      <c r="AR120" s="287">
        <f t="shared" si="728"/>
        <v>0</v>
      </c>
      <c r="AS120" s="287">
        <f t="shared" si="728"/>
        <v>0</v>
      </c>
      <c r="AT120" s="400">
        <f t="shared" si="728"/>
        <v>0</v>
      </c>
      <c r="AU120" s="360"/>
      <c r="AV120" s="392">
        <f t="shared" ref="AV120:AV129" si="729">+AT120+AV171-AV183</f>
        <v>0</v>
      </c>
      <c r="AW120" s="287">
        <f t="shared" ref="AW120:BG120" si="730">+AV120+AW171-AW183</f>
        <v>0</v>
      </c>
      <c r="AX120" s="287">
        <f t="shared" si="730"/>
        <v>0</v>
      </c>
      <c r="AY120" s="287">
        <f t="shared" si="730"/>
        <v>0</v>
      </c>
      <c r="AZ120" s="287">
        <f t="shared" si="730"/>
        <v>0</v>
      </c>
      <c r="BA120" s="287">
        <f t="shared" si="730"/>
        <v>0</v>
      </c>
      <c r="BB120" s="287">
        <f t="shared" si="730"/>
        <v>0</v>
      </c>
      <c r="BC120" s="287">
        <f t="shared" si="730"/>
        <v>0</v>
      </c>
      <c r="BD120" s="287">
        <f t="shared" si="730"/>
        <v>0</v>
      </c>
      <c r="BE120" s="287">
        <f t="shared" si="730"/>
        <v>0</v>
      </c>
      <c r="BF120" s="287">
        <f t="shared" si="730"/>
        <v>0</v>
      </c>
      <c r="BG120" s="400">
        <f t="shared" si="730"/>
        <v>0</v>
      </c>
      <c r="BH120" s="360"/>
      <c r="BI120" s="392">
        <f t="shared" ref="BI120:BI129" si="731">+BG120+BI171-BI183</f>
        <v>0</v>
      </c>
      <c r="BJ120" s="287">
        <f t="shared" ref="BJ120:BT120" si="732">+BI120+BJ171-BJ183</f>
        <v>0</v>
      </c>
      <c r="BK120" s="287">
        <f t="shared" si="732"/>
        <v>0</v>
      </c>
      <c r="BL120" s="287">
        <f t="shared" si="732"/>
        <v>0</v>
      </c>
      <c r="BM120" s="287">
        <f t="shared" si="732"/>
        <v>0</v>
      </c>
      <c r="BN120" s="287">
        <f t="shared" si="732"/>
        <v>0</v>
      </c>
      <c r="BO120" s="287">
        <f t="shared" si="732"/>
        <v>0</v>
      </c>
      <c r="BP120" s="287">
        <f t="shared" si="732"/>
        <v>0</v>
      </c>
      <c r="BQ120" s="287">
        <f t="shared" si="732"/>
        <v>0</v>
      </c>
      <c r="BR120" s="287">
        <f t="shared" si="732"/>
        <v>0</v>
      </c>
      <c r="BS120" s="287">
        <f t="shared" si="732"/>
        <v>0</v>
      </c>
      <c r="BT120" s="400">
        <f t="shared" si="732"/>
        <v>0</v>
      </c>
      <c r="BU120" s="360"/>
      <c r="BV120" s="392">
        <f t="shared" ref="BV120:BV129" si="733">+BT120+BV171-BV183</f>
        <v>0</v>
      </c>
      <c r="BW120" s="287">
        <f t="shared" ref="BW120:CG120" si="734">+BV120+BW171-BW183</f>
        <v>0</v>
      </c>
      <c r="BX120" s="287">
        <f t="shared" si="734"/>
        <v>0</v>
      </c>
      <c r="BY120" s="287">
        <f t="shared" si="734"/>
        <v>0</v>
      </c>
      <c r="BZ120" s="287">
        <f t="shared" si="734"/>
        <v>0</v>
      </c>
      <c r="CA120" s="287">
        <f t="shared" si="734"/>
        <v>0</v>
      </c>
      <c r="CB120" s="287">
        <f t="shared" si="734"/>
        <v>0</v>
      </c>
      <c r="CC120" s="287">
        <f t="shared" si="734"/>
        <v>0</v>
      </c>
      <c r="CD120" s="287">
        <f t="shared" si="734"/>
        <v>0</v>
      </c>
      <c r="CE120" s="287">
        <f t="shared" si="734"/>
        <v>0</v>
      </c>
      <c r="CF120" s="287">
        <f t="shared" si="734"/>
        <v>0</v>
      </c>
      <c r="CG120" s="400">
        <f t="shared" si="734"/>
        <v>0</v>
      </c>
      <c r="CH120" s="360"/>
      <c r="CI120" s="392">
        <f t="shared" ref="CI120:CI129" si="735">+CG120+CI171-CI183</f>
        <v>0</v>
      </c>
      <c r="CJ120" s="287">
        <f t="shared" ref="CJ120:CT120" si="736">+CI120+CJ171-CJ183</f>
        <v>0</v>
      </c>
      <c r="CK120" s="287">
        <f t="shared" si="736"/>
        <v>0</v>
      </c>
      <c r="CL120" s="287">
        <f t="shared" si="736"/>
        <v>0</v>
      </c>
      <c r="CM120" s="287">
        <f t="shared" si="736"/>
        <v>0</v>
      </c>
      <c r="CN120" s="287">
        <f t="shared" si="736"/>
        <v>0</v>
      </c>
      <c r="CO120" s="287">
        <f t="shared" si="736"/>
        <v>0</v>
      </c>
      <c r="CP120" s="287">
        <f t="shared" si="736"/>
        <v>0</v>
      </c>
      <c r="CQ120" s="287">
        <f t="shared" si="736"/>
        <v>0</v>
      </c>
      <c r="CR120" s="287">
        <f t="shared" si="736"/>
        <v>0</v>
      </c>
      <c r="CS120" s="287">
        <f t="shared" si="736"/>
        <v>0</v>
      </c>
      <c r="CT120" s="400">
        <f t="shared" si="736"/>
        <v>0</v>
      </c>
      <c r="CU120" s="360"/>
      <c r="CV120" s="392">
        <f t="shared" ref="CV120:CV129" si="737">+CT120+CV171-CV183</f>
        <v>0</v>
      </c>
      <c r="CW120" s="287">
        <f t="shared" ref="CW120:DG120" si="738">+CV120+CW171-CW183</f>
        <v>0</v>
      </c>
      <c r="CX120" s="287">
        <f t="shared" si="738"/>
        <v>0</v>
      </c>
      <c r="CY120" s="287">
        <f t="shared" si="738"/>
        <v>0</v>
      </c>
      <c r="CZ120" s="287">
        <f t="shared" si="738"/>
        <v>0</v>
      </c>
      <c r="DA120" s="287">
        <f t="shared" si="738"/>
        <v>0</v>
      </c>
      <c r="DB120" s="287">
        <f t="shared" si="738"/>
        <v>0</v>
      </c>
      <c r="DC120" s="287">
        <f t="shared" si="738"/>
        <v>0</v>
      </c>
      <c r="DD120" s="287">
        <f t="shared" si="738"/>
        <v>0</v>
      </c>
      <c r="DE120" s="287">
        <f t="shared" si="738"/>
        <v>0</v>
      </c>
      <c r="DF120" s="287">
        <f t="shared" si="738"/>
        <v>0</v>
      </c>
      <c r="DG120" s="400">
        <f t="shared" si="738"/>
        <v>0</v>
      </c>
      <c r="DH120" s="360"/>
      <c r="DI120" s="392">
        <f t="shared" ref="DI120:DI129" si="739">+DG120+DI171-DI183</f>
        <v>0</v>
      </c>
      <c r="DJ120" s="287">
        <f t="shared" ref="DJ120:DT120" si="740">+DI120+DJ171-DJ183</f>
        <v>0</v>
      </c>
      <c r="DK120" s="287">
        <f t="shared" si="740"/>
        <v>0</v>
      </c>
      <c r="DL120" s="287">
        <f t="shared" si="740"/>
        <v>0</v>
      </c>
      <c r="DM120" s="287">
        <f t="shared" si="740"/>
        <v>0</v>
      </c>
      <c r="DN120" s="287">
        <f t="shared" si="740"/>
        <v>0</v>
      </c>
      <c r="DO120" s="287">
        <f t="shared" si="740"/>
        <v>0</v>
      </c>
      <c r="DP120" s="287">
        <f t="shared" si="740"/>
        <v>0</v>
      </c>
      <c r="DQ120" s="287">
        <f t="shared" si="740"/>
        <v>0</v>
      </c>
      <c r="DR120" s="287">
        <f t="shared" si="740"/>
        <v>0</v>
      </c>
      <c r="DS120" s="287">
        <f t="shared" si="740"/>
        <v>0</v>
      </c>
      <c r="DT120" s="400">
        <f t="shared" si="740"/>
        <v>0</v>
      </c>
      <c r="DU120" s="360"/>
      <c r="DV120" s="392">
        <f t="shared" ref="DV120:DV129" si="741">+DT120+DV171-DV183</f>
        <v>0</v>
      </c>
      <c r="DW120" s="287">
        <f t="shared" ref="DW120:EG120" si="742">+DV120+DW171-DW183</f>
        <v>0</v>
      </c>
      <c r="DX120" s="287">
        <f t="shared" si="742"/>
        <v>0</v>
      </c>
      <c r="DY120" s="287">
        <f t="shared" si="742"/>
        <v>0</v>
      </c>
      <c r="DZ120" s="287">
        <f t="shared" si="742"/>
        <v>0</v>
      </c>
      <c r="EA120" s="287">
        <f t="shared" si="742"/>
        <v>0</v>
      </c>
      <c r="EB120" s="287">
        <f t="shared" si="742"/>
        <v>0</v>
      </c>
      <c r="EC120" s="287">
        <f t="shared" si="742"/>
        <v>0</v>
      </c>
      <c r="ED120" s="287">
        <f t="shared" si="742"/>
        <v>0</v>
      </c>
      <c r="EE120" s="287">
        <f t="shared" si="742"/>
        <v>0</v>
      </c>
      <c r="EF120" s="287">
        <f t="shared" si="742"/>
        <v>0</v>
      </c>
      <c r="EG120" s="400">
        <f t="shared" si="742"/>
        <v>0</v>
      </c>
      <c r="EH120" s="360"/>
      <c r="EI120" s="21"/>
      <c r="EJ120" s="21"/>
      <c r="EK120" s="21"/>
      <c r="EL120" s="21"/>
      <c r="EM120" s="21"/>
    </row>
    <row r="121" spans="1:143" ht="15.75" customHeight="1">
      <c r="A121" s="21"/>
      <c r="B121" s="21"/>
      <c r="C121" s="21"/>
      <c r="D121" s="622">
        <f t="shared" si="525"/>
        <v>112</v>
      </c>
      <c r="E121" s="1625"/>
      <c r="F121" s="403" t="str">
        <f>+Assumption!F320</f>
        <v>Bonds/MTN/Securities 2</v>
      </c>
      <c r="G121" s="296"/>
      <c r="H121" s="369">
        <f>+Assumption!G320</f>
        <v>0</v>
      </c>
      <c r="I121" s="268">
        <f t="shared" ref="I121:T121" si="743">+H121+I172-I184</f>
        <v>0</v>
      </c>
      <c r="J121" s="287">
        <f t="shared" si="743"/>
        <v>0</v>
      </c>
      <c r="K121" s="287">
        <f t="shared" si="743"/>
        <v>0</v>
      </c>
      <c r="L121" s="287">
        <f t="shared" si="743"/>
        <v>0</v>
      </c>
      <c r="M121" s="287">
        <f t="shared" si="743"/>
        <v>0</v>
      </c>
      <c r="N121" s="287">
        <f t="shared" si="743"/>
        <v>0</v>
      </c>
      <c r="O121" s="287">
        <f t="shared" si="743"/>
        <v>0</v>
      </c>
      <c r="P121" s="287">
        <f t="shared" si="743"/>
        <v>0</v>
      </c>
      <c r="Q121" s="287">
        <f t="shared" si="743"/>
        <v>0</v>
      </c>
      <c r="R121" s="287">
        <f t="shared" si="743"/>
        <v>0</v>
      </c>
      <c r="S121" s="287">
        <f t="shared" si="743"/>
        <v>0</v>
      </c>
      <c r="T121" s="400">
        <f t="shared" si="743"/>
        <v>0</v>
      </c>
      <c r="U121" s="360"/>
      <c r="V121" s="392">
        <f t="shared" si="725"/>
        <v>0</v>
      </c>
      <c r="W121" s="287">
        <f t="shared" ref="W121:AG121" si="744">+V121+W172-W184</f>
        <v>0</v>
      </c>
      <c r="X121" s="287">
        <f t="shared" si="744"/>
        <v>0</v>
      </c>
      <c r="Y121" s="287">
        <f t="shared" si="744"/>
        <v>0</v>
      </c>
      <c r="Z121" s="287">
        <f t="shared" si="744"/>
        <v>0</v>
      </c>
      <c r="AA121" s="287">
        <f t="shared" si="744"/>
        <v>0</v>
      </c>
      <c r="AB121" s="287">
        <f t="shared" si="744"/>
        <v>0</v>
      </c>
      <c r="AC121" s="287">
        <f t="shared" si="744"/>
        <v>0</v>
      </c>
      <c r="AD121" s="287">
        <f t="shared" si="744"/>
        <v>0</v>
      </c>
      <c r="AE121" s="287">
        <f t="shared" si="744"/>
        <v>0</v>
      </c>
      <c r="AF121" s="287">
        <f t="shared" si="744"/>
        <v>0</v>
      </c>
      <c r="AG121" s="400">
        <f t="shared" si="744"/>
        <v>0</v>
      </c>
      <c r="AH121" s="360"/>
      <c r="AI121" s="392">
        <f t="shared" si="727"/>
        <v>0</v>
      </c>
      <c r="AJ121" s="287">
        <f t="shared" ref="AJ121:AT121" si="745">+AI121+AJ172-AJ184</f>
        <v>0</v>
      </c>
      <c r="AK121" s="287">
        <f t="shared" si="745"/>
        <v>0</v>
      </c>
      <c r="AL121" s="287">
        <f t="shared" si="745"/>
        <v>0</v>
      </c>
      <c r="AM121" s="287">
        <f t="shared" si="745"/>
        <v>0</v>
      </c>
      <c r="AN121" s="287">
        <f t="shared" si="745"/>
        <v>0</v>
      </c>
      <c r="AO121" s="287">
        <f t="shared" si="745"/>
        <v>0</v>
      </c>
      <c r="AP121" s="287">
        <f t="shared" si="745"/>
        <v>0</v>
      </c>
      <c r="AQ121" s="287">
        <f t="shared" si="745"/>
        <v>0</v>
      </c>
      <c r="AR121" s="287">
        <f t="shared" si="745"/>
        <v>0</v>
      </c>
      <c r="AS121" s="287">
        <f t="shared" si="745"/>
        <v>0</v>
      </c>
      <c r="AT121" s="400">
        <f t="shared" si="745"/>
        <v>0</v>
      </c>
      <c r="AU121" s="360"/>
      <c r="AV121" s="392">
        <f t="shared" si="729"/>
        <v>0</v>
      </c>
      <c r="AW121" s="287">
        <f t="shared" ref="AW121:BG121" si="746">+AV121+AW172-AW184</f>
        <v>0</v>
      </c>
      <c r="AX121" s="287">
        <f t="shared" si="746"/>
        <v>0</v>
      </c>
      <c r="AY121" s="287">
        <f t="shared" si="746"/>
        <v>0</v>
      </c>
      <c r="AZ121" s="287">
        <f t="shared" si="746"/>
        <v>0</v>
      </c>
      <c r="BA121" s="287">
        <f t="shared" si="746"/>
        <v>0</v>
      </c>
      <c r="BB121" s="287">
        <f t="shared" si="746"/>
        <v>0</v>
      </c>
      <c r="BC121" s="287">
        <f t="shared" si="746"/>
        <v>0</v>
      </c>
      <c r="BD121" s="287">
        <f t="shared" si="746"/>
        <v>0</v>
      </c>
      <c r="BE121" s="287">
        <f t="shared" si="746"/>
        <v>0</v>
      </c>
      <c r="BF121" s="287">
        <f t="shared" si="746"/>
        <v>0</v>
      </c>
      <c r="BG121" s="400">
        <f t="shared" si="746"/>
        <v>0</v>
      </c>
      <c r="BH121" s="360"/>
      <c r="BI121" s="392">
        <f t="shared" si="731"/>
        <v>0</v>
      </c>
      <c r="BJ121" s="287">
        <f t="shared" ref="BJ121:BT121" si="747">+BI121+BJ172-BJ184</f>
        <v>0</v>
      </c>
      <c r="BK121" s="287">
        <f t="shared" si="747"/>
        <v>0</v>
      </c>
      <c r="BL121" s="287">
        <f t="shared" si="747"/>
        <v>0</v>
      </c>
      <c r="BM121" s="287">
        <f t="shared" si="747"/>
        <v>0</v>
      </c>
      <c r="BN121" s="287">
        <f t="shared" si="747"/>
        <v>0</v>
      </c>
      <c r="BO121" s="287">
        <f t="shared" si="747"/>
        <v>0</v>
      </c>
      <c r="BP121" s="287">
        <f t="shared" si="747"/>
        <v>0</v>
      </c>
      <c r="BQ121" s="287">
        <f t="shared" si="747"/>
        <v>0</v>
      </c>
      <c r="BR121" s="287">
        <f t="shared" si="747"/>
        <v>0</v>
      </c>
      <c r="BS121" s="287">
        <f t="shared" si="747"/>
        <v>0</v>
      </c>
      <c r="BT121" s="400">
        <f t="shared" si="747"/>
        <v>0</v>
      </c>
      <c r="BU121" s="360"/>
      <c r="BV121" s="392">
        <f t="shared" si="733"/>
        <v>0</v>
      </c>
      <c r="BW121" s="287">
        <f t="shared" ref="BW121:CG121" si="748">+BV121+BW172-BW184</f>
        <v>0</v>
      </c>
      <c r="BX121" s="287">
        <f t="shared" si="748"/>
        <v>0</v>
      </c>
      <c r="BY121" s="287">
        <f t="shared" si="748"/>
        <v>0</v>
      </c>
      <c r="BZ121" s="287">
        <f t="shared" si="748"/>
        <v>0</v>
      </c>
      <c r="CA121" s="287">
        <f t="shared" si="748"/>
        <v>0</v>
      </c>
      <c r="CB121" s="287">
        <f t="shared" si="748"/>
        <v>0</v>
      </c>
      <c r="CC121" s="287">
        <f t="shared" si="748"/>
        <v>0</v>
      </c>
      <c r="CD121" s="287">
        <f t="shared" si="748"/>
        <v>0</v>
      </c>
      <c r="CE121" s="287">
        <f t="shared" si="748"/>
        <v>0</v>
      </c>
      <c r="CF121" s="287">
        <f t="shared" si="748"/>
        <v>0</v>
      </c>
      <c r="CG121" s="400">
        <f t="shared" si="748"/>
        <v>0</v>
      </c>
      <c r="CH121" s="360"/>
      <c r="CI121" s="392">
        <f t="shared" si="735"/>
        <v>0</v>
      </c>
      <c r="CJ121" s="287">
        <f t="shared" ref="CJ121:CT121" si="749">+CI121+CJ172-CJ184</f>
        <v>0</v>
      </c>
      <c r="CK121" s="287">
        <f t="shared" si="749"/>
        <v>0</v>
      </c>
      <c r="CL121" s="287">
        <f t="shared" si="749"/>
        <v>0</v>
      </c>
      <c r="CM121" s="287">
        <f t="shared" si="749"/>
        <v>0</v>
      </c>
      <c r="CN121" s="287">
        <f t="shared" si="749"/>
        <v>0</v>
      </c>
      <c r="CO121" s="287">
        <f t="shared" si="749"/>
        <v>0</v>
      </c>
      <c r="CP121" s="287">
        <f t="shared" si="749"/>
        <v>0</v>
      </c>
      <c r="CQ121" s="287">
        <f t="shared" si="749"/>
        <v>0</v>
      </c>
      <c r="CR121" s="287">
        <f t="shared" si="749"/>
        <v>0</v>
      </c>
      <c r="CS121" s="287">
        <f t="shared" si="749"/>
        <v>0</v>
      </c>
      <c r="CT121" s="400">
        <f t="shared" si="749"/>
        <v>0</v>
      </c>
      <c r="CU121" s="360"/>
      <c r="CV121" s="392">
        <f t="shared" si="737"/>
        <v>0</v>
      </c>
      <c r="CW121" s="287">
        <f t="shared" ref="CW121:DG121" si="750">+CV121+CW172-CW184</f>
        <v>0</v>
      </c>
      <c r="CX121" s="287">
        <f t="shared" si="750"/>
        <v>0</v>
      </c>
      <c r="CY121" s="287">
        <f t="shared" si="750"/>
        <v>0</v>
      </c>
      <c r="CZ121" s="287">
        <f t="shared" si="750"/>
        <v>0</v>
      </c>
      <c r="DA121" s="287">
        <f t="shared" si="750"/>
        <v>0</v>
      </c>
      <c r="DB121" s="287">
        <f t="shared" si="750"/>
        <v>0</v>
      </c>
      <c r="DC121" s="287">
        <f t="shared" si="750"/>
        <v>0</v>
      </c>
      <c r="DD121" s="287">
        <f t="shared" si="750"/>
        <v>0</v>
      </c>
      <c r="DE121" s="287">
        <f t="shared" si="750"/>
        <v>0</v>
      </c>
      <c r="DF121" s="287">
        <f t="shared" si="750"/>
        <v>0</v>
      </c>
      <c r="DG121" s="400">
        <f t="shared" si="750"/>
        <v>0</v>
      </c>
      <c r="DH121" s="360"/>
      <c r="DI121" s="392">
        <f t="shared" si="739"/>
        <v>0</v>
      </c>
      <c r="DJ121" s="287">
        <f t="shared" ref="DJ121:DT121" si="751">+DI121+DJ172-DJ184</f>
        <v>0</v>
      </c>
      <c r="DK121" s="287">
        <f t="shared" si="751"/>
        <v>0</v>
      </c>
      <c r="DL121" s="287">
        <f t="shared" si="751"/>
        <v>0</v>
      </c>
      <c r="DM121" s="287">
        <f t="shared" si="751"/>
        <v>0</v>
      </c>
      <c r="DN121" s="287">
        <f t="shared" si="751"/>
        <v>0</v>
      </c>
      <c r="DO121" s="287">
        <f t="shared" si="751"/>
        <v>0</v>
      </c>
      <c r="DP121" s="287">
        <f t="shared" si="751"/>
        <v>0</v>
      </c>
      <c r="DQ121" s="287">
        <f t="shared" si="751"/>
        <v>0</v>
      </c>
      <c r="DR121" s="287">
        <f t="shared" si="751"/>
        <v>0</v>
      </c>
      <c r="DS121" s="287">
        <f t="shared" si="751"/>
        <v>0</v>
      </c>
      <c r="DT121" s="400">
        <f t="shared" si="751"/>
        <v>0</v>
      </c>
      <c r="DU121" s="360"/>
      <c r="DV121" s="392">
        <f t="shared" si="741"/>
        <v>0</v>
      </c>
      <c r="DW121" s="287">
        <f t="shared" ref="DW121:EG121" si="752">+DV121+DW172-DW184</f>
        <v>0</v>
      </c>
      <c r="DX121" s="287">
        <f t="shared" si="752"/>
        <v>0</v>
      </c>
      <c r="DY121" s="287">
        <f t="shared" si="752"/>
        <v>0</v>
      </c>
      <c r="DZ121" s="287">
        <f t="shared" si="752"/>
        <v>0</v>
      </c>
      <c r="EA121" s="287">
        <f t="shared" si="752"/>
        <v>0</v>
      </c>
      <c r="EB121" s="287">
        <f t="shared" si="752"/>
        <v>0</v>
      </c>
      <c r="EC121" s="287">
        <f t="shared" si="752"/>
        <v>0</v>
      </c>
      <c r="ED121" s="287">
        <f t="shared" si="752"/>
        <v>0</v>
      </c>
      <c r="EE121" s="287">
        <f t="shared" si="752"/>
        <v>0</v>
      </c>
      <c r="EF121" s="287">
        <f t="shared" si="752"/>
        <v>0</v>
      </c>
      <c r="EG121" s="400">
        <f t="shared" si="752"/>
        <v>0</v>
      </c>
      <c r="EH121" s="360"/>
      <c r="EI121" s="21"/>
      <c r="EJ121" s="21"/>
      <c r="EK121" s="21"/>
      <c r="EL121" s="21"/>
      <c r="EM121" s="21"/>
    </row>
    <row r="122" spans="1:143" ht="15.75" customHeight="1">
      <c r="A122" s="21"/>
      <c r="B122" s="21"/>
      <c r="C122" s="21"/>
      <c r="D122" s="622">
        <f t="shared" si="525"/>
        <v>113</v>
      </c>
      <c r="E122" s="1625"/>
      <c r="F122" s="403" t="str">
        <f>+Assumption!F321</f>
        <v>Bonds/MTN/Securities 3</v>
      </c>
      <c r="G122" s="296"/>
      <c r="H122" s="369">
        <f>+Assumption!G321</f>
        <v>0</v>
      </c>
      <c r="I122" s="268">
        <f t="shared" ref="I122:T122" si="753">+H122+I173-I185</f>
        <v>0</v>
      </c>
      <c r="J122" s="287">
        <f t="shared" si="753"/>
        <v>0</v>
      </c>
      <c r="K122" s="287">
        <f t="shared" si="753"/>
        <v>0</v>
      </c>
      <c r="L122" s="287">
        <f t="shared" si="753"/>
        <v>0</v>
      </c>
      <c r="M122" s="287">
        <f t="shared" si="753"/>
        <v>0</v>
      </c>
      <c r="N122" s="287">
        <f t="shared" si="753"/>
        <v>0</v>
      </c>
      <c r="O122" s="287">
        <f t="shared" si="753"/>
        <v>0</v>
      </c>
      <c r="P122" s="287">
        <f t="shared" si="753"/>
        <v>0</v>
      </c>
      <c r="Q122" s="287">
        <f t="shared" si="753"/>
        <v>0</v>
      </c>
      <c r="R122" s="287">
        <f t="shared" si="753"/>
        <v>0</v>
      </c>
      <c r="S122" s="287">
        <f t="shared" si="753"/>
        <v>0</v>
      </c>
      <c r="T122" s="400">
        <f t="shared" si="753"/>
        <v>0</v>
      </c>
      <c r="U122" s="360"/>
      <c r="V122" s="392">
        <f t="shared" si="725"/>
        <v>0</v>
      </c>
      <c r="W122" s="287">
        <f t="shared" ref="W122:AG122" si="754">+V122+W173-W185</f>
        <v>0</v>
      </c>
      <c r="X122" s="287">
        <f t="shared" si="754"/>
        <v>0</v>
      </c>
      <c r="Y122" s="287">
        <f t="shared" si="754"/>
        <v>0</v>
      </c>
      <c r="Z122" s="287">
        <f t="shared" si="754"/>
        <v>0</v>
      </c>
      <c r="AA122" s="287">
        <f t="shared" si="754"/>
        <v>0</v>
      </c>
      <c r="AB122" s="287">
        <f t="shared" si="754"/>
        <v>0</v>
      </c>
      <c r="AC122" s="287">
        <f t="shared" si="754"/>
        <v>0</v>
      </c>
      <c r="AD122" s="287">
        <f t="shared" si="754"/>
        <v>0</v>
      </c>
      <c r="AE122" s="287">
        <f t="shared" si="754"/>
        <v>0</v>
      </c>
      <c r="AF122" s="287">
        <f t="shared" si="754"/>
        <v>0</v>
      </c>
      <c r="AG122" s="400">
        <f t="shared" si="754"/>
        <v>0</v>
      </c>
      <c r="AH122" s="360"/>
      <c r="AI122" s="392">
        <f t="shared" si="727"/>
        <v>0</v>
      </c>
      <c r="AJ122" s="287">
        <f t="shared" ref="AJ122:AT122" si="755">+AI122+AJ173-AJ185</f>
        <v>0</v>
      </c>
      <c r="AK122" s="287">
        <f t="shared" si="755"/>
        <v>0</v>
      </c>
      <c r="AL122" s="287">
        <f t="shared" si="755"/>
        <v>0</v>
      </c>
      <c r="AM122" s="287">
        <f t="shared" si="755"/>
        <v>0</v>
      </c>
      <c r="AN122" s="287">
        <f t="shared" si="755"/>
        <v>0</v>
      </c>
      <c r="AO122" s="287">
        <f t="shared" si="755"/>
        <v>0</v>
      </c>
      <c r="AP122" s="287">
        <f t="shared" si="755"/>
        <v>0</v>
      </c>
      <c r="AQ122" s="287">
        <f t="shared" si="755"/>
        <v>0</v>
      </c>
      <c r="AR122" s="287">
        <f t="shared" si="755"/>
        <v>0</v>
      </c>
      <c r="AS122" s="287">
        <f t="shared" si="755"/>
        <v>0</v>
      </c>
      <c r="AT122" s="400">
        <f t="shared" si="755"/>
        <v>0</v>
      </c>
      <c r="AU122" s="360"/>
      <c r="AV122" s="392">
        <f t="shared" si="729"/>
        <v>0</v>
      </c>
      <c r="AW122" s="287">
        <f t="shared" ref="AW122:BG122" si="756">+AV122+AW173-AW185</f>
        <v>0</v>
      </c>
      <c r="AX122" s="287">
        <f t="shared" si="756"/>
        <v>0</v>
      </c>
      <c r="AY122" s="287">
        <f t="shared" si="756"/>
        <v>0</v>
      </c>
      <c r="AZ122" s="287">
        <f t="shared" si="756"/>
        <v>0</v>
      </c>
      <c r="BA122" s="287">
        <f t="shared" si="756"/>
        <v>0</v>
      </c>
      <c r="BB122" s="287">
        <f t="shared" si="756"/>
        <v>0</v>
      </c>
      <c r="BC122" s="287">
        <f t="shared" si="756"/>
        <v>0</v>
      </c>
      <c r="BD122" s="287">
        <f t="shared" si="756"/>
        <v>0</v>
      </c>
      <c r="BE122" s="287">
        <f t="shared" si="756"/>
        <v>0</v>
      </c>
      <c r="BF122" s="287">
        <f t="shared" si="756"/>
        <v>0</v>
      </c>
      <c r="BG122" s="400">
        <f t="shared" si="756"/>
        <v>0</v>
      </c>
      <c r="BH122" s="360"/>
      <c r="BI122" s="392">
        <f t="shared" si="731"/>
        <v>0</v>
      </c>
      <c r="BJ122" s="287">
        <f t="shared" ref="BJ122:BT122" si="757">+BI122+BJ173-BJ185</f>
        <v>0</v>
      </c>
      <c r="BK122" s="287">
        <f t="shared" si="757"/>
        <v>0</v>
      </c>
      <c r="BL122" s="287">
        <f t="shared" si="757"/>
        <v>0</v>
      </c>
      <c r="BM122" s="287">
        <f t="shared" si="757"/>
        <v>0</v>
      </c>
      <c r="BN122" s="287">
        <f t="shared" si="757"/>
        <v>0</v>
      </c>
      <c r="BO122" s="287">
        <f t="shared" si="757"/>
        <v>0</v>
      </c>
      <c r="BP122" s="287">
        <f t="shared" si="757"/>
        <v>0</v>
      </c>
      <c r="BQ122" s="287">
        <f t="shared" si="757"/>
        <v>0</v>
      </c>
      <c r="BR122" s="287">
        <f t="shared" si="757"/>
        <v>0</v>
      </c>
      <c r="BS122" s="287">
        <f t="shared" si="757"/>
        <v>0</v>
      </c>
      <c r="BT122" s="400">
        <f t="shared" si="757"/>
        <v>0</v>
      </c>
      <c r="BU122" s="360"/>
      <c r="BV122" s="392">
        <f t="shared" si="733"/>
        <v>0</v>
      </c>
      <c r="BW122" s="287">
        <f t="shared" ref="BW122:CG122" si="758">+BV122+BW173-BW185</f>
        <v>0</v>
      </c>
      <c r="BX122" s="287">
        <f t="shared" si="758"/>
        <v>0</v>
      </c>
      <c r="BY122" s="287">
        <f t="shared" si="758"/>
        <v>0</v>
      </c>
      <c r="BZ122" s="287">
        <f t="shared" si="758"/>
        <v>0</v>
      </c>
      <c r="CA122" s="287">
        <f t="shared" si="758"/>
        <v>0</v>
      </c>
      <c r="CB122" s="287">
        <f t="shared" si="758"/>
        <v>0</v>
      </c>
      <c r="CC122" s="287">
        <f t="shared" si="758"/>
        <v>0</v>
      </c>
      <c r="CD122" s="287">
        <f t="shared" si="758"/>
        <v>0</v>
      </c>
      <c r="CE122" s="287">
        <f t="shared" si="758"/>
        <v>0</v>
      </c>
      <c r="CF122" s="287">
        <f t="shared" si="758"/>
        <v>0</v>
      </c>
      <c r="CG122" s="400">
        <f t="shared" si="758"/>
        <v>0</v>
      </c>
      <c r="CH122" s="360"/>
      <c r="CI122" s="392">
        <f t="shared" si="735"/>
        <v>0</v>
      </c>
      <c r="CJ122" s="287">
        <f t="shared" ref="CJ122:CT122" si="759">+CI122+CJ173-CJ185</f>
        <v>0</v>
      </c>
      <c r="CK122" s="287">
        <f t="shared" si="759"/>
        <v>0</v>
      </c>
      <c r="CL122" s="287">
        <f t="shared" si="759"/>
        <v>0</v>
      </c>
      <c r="CM122" s="287">
        <f t="shared" si="759"/>
        <v>0</v>
      </c>
      <c r="CN122" s="287">
        <f t="shared" si="759"/>
        <v>0</v>
      </c>
      <c r="CO122" s="287">
        <f t="shared" si="759"/>
        <v>0</v>
      </c>
      <c r="CP122" s="287">
        <f t="shared" si="759"/>
        <v>0</v>
      </c>
      <c r="CQ122" s="287">
        <f t="shared" si="759"/>
        <v>0</v>
      </c>
      <c r="CR122" s="287">
        <f t="shared" si="759"/>
        <v>0</v>
      </c>
      <c r="CS122" s="287">
        <f t="shared" si="759"/>
        <v>0</v>
      </c>
      <c r="CT122" s="400">
        <f t="shared" si="759"/>
        <v>0</v>
      </c>
      <c r="CU122" s="360"/>
      <c r="CV122" s="392">
        <f t="shared" si="737"/>
        <v>0</v>
      </c>
      <c r="CW122" s="287">
        <f t="shared" ref="CW122:DG122" si="760">+CV122+CW173-CW185</f>
        <v>0</v>
      </c>
      <c r="CX122" s="287">
        <f t="shared" si="760"/>
        <v>0</v>
      </c>
      <c r="CY122" s="287">
        <f t="shared" si="760"/>
        <v>0</v>
      </c>
      <c r="CZ122" s="287">
        <f t="shared" si="760"/>
        <v>0</v>
      </c>
      <c r="DA122" s="287">
        <f t="shared" si="760"/>
        <v>0</v>
      </c>
      <c r="DB122" s="287">
        <f t="shared" si="760"/>
        <v>0</v>
      </c>
      <c r="DC122" s="287">
        <f t="shared" si="760"/>
        <v>0</v>
      </c>
      <c r="DD122" s="287">
        <f t="shared" si="760"/>
        <v>0</v>
      </c>
      <c r="DE122" s="287">
        <f t="shared" si="760"/>
        <v>0</v>
      </c>
      <c r="DF122" s="287">
        <f t="shared" si="760"/>
        <v>0</v>
      </c>
      <c r="DG122" s="400">
        <f t="shared" si="760"/>
        <v>0</v>
      </c>
      <c r="DH122" s="360"/>
      <c r="DI122" s="392">
        <f t="shared" si="739"/>
        <v>0</v>
      </c>
      <c r="DJ122" s="287">
        <f t="shared" ref="DJ122:DT122" si="761">+DI122+DJ173-DJ185</f>
        <v>0</v>
      </c>
      <c r="DK122" s="287">
        <f t="shared" si="761"/>
        <v>0</v>
      </c>
      <c r="DL122" s="287">
        <f t="shared" si="761"/>
        <v>0</v>
      </c>
      <c r="DM122" s="287">
        <f t="shared" si="761"/>
        <v>0</v>
      </c>
      <c r="DN122" s="287">
        <f t="shared" si="761"/>
        <v>0</v>
      </c>
      <c r="DO122" s="287">
        <f t="shared" si="761"/>
        <v>0</v>
      </c>
      <c r="DP122" s="287">
        <f t="shared" si="761"/>
        <v>0</v>
      </c>
      <c r="DQ122" s="287">
        <f t="shared" si="761"/>
        <v>0</v>
      </c>
      <c r="DR122" s="287">
        <f t="shared" si="761"/>
        <v>0</v>
      </c>
      <c r="DS122" s="287">
        <f t="shared" si="761"/>
        <v>0</v>
      </c>
      <c r="DT122" s="400">
        <f t="shared" si="761"/>
        <v>0</v>
      </c>
      <c r="DU122" s="360"/>
      <c r="DV122" s="392">
        <f t="shared" si="741"/>
        <v>0</v>
      </c>
      <c r="DW122" s="287">
        <f t="shared" ref="DW122:EG122" si="762">+DV122+DW173-DW185</f>
        <v>0</v>
      </c>
      <c r="DX122" s="287">
        <f t="shared" si="762"/>
        <v>0</v>
      </c>
      <c r="DY122" s="287">
        <f t="shared" si="762"/>
        <v>0</v>
      </c>
      <c r="DZ122" s="287">
        <f t="shared" si="762"/>
        <v>0</v>
      </c>
      <c r="EA122" s="287">
        <f t="shared" si="762"/>
        <v>0</v>
      </c>
      <c r="EB122" s="287">
        <f t="shared" si="762"/>
        <v>0</v>
      </c>
      <c r="EC122" s="287">
        <f t="shared" si="762"/>
        <v>0</v>
      </c>
      <c r="ED122" s="287">
        <f t="shared" si="762"/>
        <v>0</v>
      </c>
      <c r="EE122" s="287">
        <f t="shared" si="762"/>
        <v>0</v>
      </c>
      <c r="EF122" s="287">
        <f t="shared" si="762"/>
        <v>0</v>
      </c>
      <c r="EG122" s="400">
        <f t="shared" si="762"/>
        <v>0</v>
      </c>
      <c r="EH122" s="360"/>
      <c r="EI122" s="21"/>
      <c r="EJ122" s="21"/>
      <c r="EK122" s="21"/>
      <c r="EL122" s="21"/>
      <c r="EM122" s="21"/>
    </row>
    <row r="123" spans="1:143" ht="15.75" customHeight="1">
      <c r="A123" s="21"/>
      <c r="B123" s="21"/>
      <c r="C123" s="21"/>
      <c r="D123" s="622">
        <f t="shared" si="525"/>
        <v>114</v>
      </c>
      <c r="E123" s="1625"/>
      <c r="F123" s="403" t="str">
        <f>+Assumption!F322</f>
        <v>Bonds/MTN/Securities 4</v>
      </c>
      <c r="G123" s="296"/>
      <c r="H123" s="369">
        <f>+Assumption!G322</f>
        <v>0</v>
      </c>
      <c r="I123" s="268">
        <f t="shared" ref="I123:T123" si="763">+H123+I174-I186</f>
        <v>0</v>
      </c>
      <c r="J123" s="287">
        <f t="shared" si="763"/>
        <v>0</v>
      </c>
      <c r="K123" s="287">
        <f t="shared" si="763"/>
        <v>0</v>
      </c>
      <c r="L123" s="287">
        <f t="shared" si="763"/>
        <v>0</v>
      </c>
      <c r="M123" s="287">
        <f t="shared" si="763"/>
        <v>0</v>
      </c>
      <c r="N123" s="287">
        <f t="shared" si="763"/>
        <v>0</v>
      </c>
      <c r="O123" s="287">
        <f t="shared" si="763"/>
        <v>0</v>
      </c>
      <c r="P123" s="287">
        <f t="shared" si="763"/>
        <v>0</v>
      </c>
      <c r="Q123" s="287">
        <f t="shared" si="763"/>
        <v>0</v>
      </c>
      <c r="R123" s="287">
        <f t="shared" si="763"/>
        <v>0</v>
      </c>
      <c r="S123" s="287">
        <f t="shared" si="763"/>
        <v>0</v>
      </c>
      <c r="T123" s="400">
        <f t="shared" si="763"/>
        <v>0</v>
      </c>
      <c r="U123" s="360"/>
      <c r="V123" s="392">
        <f t="shared" si="725"/>
        <v>0</v>
      </c>
      <c r="W123" s="287">
        <f t="shared" ref="W123:AG123" si="764">+V123+W174-W186</f>
        <v>0</v>
      </c>
      <c r="X123" s="287">
        <f t="shared" si="764"/>
        <v>0</v>
      </c>
      <c r="Y123" s="287">
        <f t="shared" si="764"/>
        <v>0</v>
      </c>
      <c r="Z123" s="287">
        <f t="shared" si="764"/>
        <v>0</v>
      </c>
      <c r="AA123" s="287">
        <f t="shared" si="764"/>
        <v>0</v>
      </c>
      <c r="AB123" s="287">
        <f t="shared" si="764"/>
        <v>0</v>
      </c>
      <c r="AC123" s="287">
        <f t="shared" si="764"/>
        <v>0</v>
      </c>
      <c r="AD123" s="287">
        <f t="shared" si="764"/>
        <v>0</v>
      </c>
      <c r="AE123" s="287">
        <f t="shared" si="764"/>
        <v>0</v>
      </c>
      <c r="AF123" s="287">
        <f t="shared" si="764"/>
        <v>0</v>
      </c>
      <c r="AG123" s="400">
        <f t="shared" si="764"/>
        <v>0</v>
      </c>
      <c r="AH123" s="360"/>
      <c r="AI123" s="392">
        <f t="shared" si="727"/>
        <v>0</v>
      </c>
      <c r="AJ123" s="287">
        <f t="shared" ref="AJ123:AT123" si="765">+AI123+AJ174-AJ186</f>
        <v>0</v>
      </c>
      <c r="AK123" s="287">
        <f t="shared" si="765"/>
        <v>0</v>
      </c>
      <c r="AL123" s="287">
        <f t="shared" si="765"/>
        <v>0</v>
      </c>
      <c r="AM123" s="287">
        <f t="shared" si="765"/>
        <v>0</v>
      </c>
      <c r="AN123" s="287">
        <f t="shared" si="765"/>
        <v>0</v>
      </c>
      <c r="AO123" s="287">
        <f t="shared" si="765"/>
        <v>0</v>
      </c>
      <c r="AP123" s="287">
        <f t="shared" si="765"/>
        <v>0</v>
      </c>
      <c r="AQ123" s="287">
        <f t="shared" si="765"/>
        <v>0</v>
      </c>
      <c r="AR123" s="287">
        <f t="shared" si="765"/>
        <v>0</v>
      </c>
      <c r="AS123" s="287">
        <f t="shared" si="765"/>
        <v>0</v>
      </c>
      <c r="AT123" s="400">
        <f t="shared" si="765"/>
        <v>0</v>
      </c>
      <c r="AU123" s="360"/>
      <c r="AV123" s="392">
        <f t="shared" si="729"/>
        <v>0</v>
      </c>
      <c r="AW123" s="287">
        <f t="shared" ref="AW123:BG123" si="766">+AV123+AW174-AW186</f>
        <v>0</v>
      </c>
      <c r="AX123" s="287">
        <f t="shared" si="766"/>
        <v>0</v>
      </c>
      <c r="AY123" s="287">
        <f t="shared" si="766"/>
        <v>0</v>
      </c>
      <c r="AZ123" s="287">
        <f t="shared" si="766"/>
        <v>0</v>
      </c>
      <c r="BA123" s="287">
        <f t="shared" si="766"/>
        <v>0</v>
      </c>
      <c r="BB123" s="287">
        <f t="shared" si="766"/>
        <v>0</v>
      </c>
      <c r="BC123" s="287">
        <f t="shared" si="766"/>
        <v>0</v>
      </c>
      <c r="BD123" s="287">
        <f t="shared" si="766"/>
        <v>0</v>
      </c>
      <c r="BE123" s="287">
        <f t="shared" si="766"/>
        <v>0</v>
      </c>
      <c r="BF123" s="287">
        <f t="shared" si="766"/>
        <v>0</v>
      </c>
      <c r="BG123" s="400">
        <f t="shared" si="766"/>
        <v>0</v>
      </c>
      <c r="BH123" s="360"/>
      <c r="BI123" s="392">
        <f t="shared" si="731"/>
        <v>0</v>
      </c>
      <c r="BJ123" s="287">
        <f t="shared" ref="BJ123:BT123" si="767">+BI123+BJ174-BJ186</f>
        <v>0</v>
      </c>
      <c r="BK123" s="287">
        <f t="shared" si="767"/>
        <v>0</v>
      </c>
      <c r="BL123" s="287">
        <f t="shared" si="767"/>
        <v>0</v>
      </c>
      <c r="BM123" s="287">
        <f t="shared" si="767"/>
        <v>0</v>
      </c>
      <c r="BN123" s="287">
        <f t="shared" si="767"/>
        <v>0</v>
      </c>
      <c r="BO123" s="287">
        <f t="shared" si="767"/>
        <v>0</v>
      </c>
      <c r="BP123" s="287">
        <f t="shared" si="767"/>
        <v>0</v>
      </c>
      <c r="BQ123" s="287">
        <f t="shared" si="767"/>
        <v>0</v>
      </c>
      <c r="BR123" s="287">
        <f t="shared" si="767"/>
        <v>0</v>
      </c>
      <c r="BS123" s="287">
        <f t="shared" si="767"/>
        <v>0</v>
      </c>
      <c r="BT123" s="400">
        <f t="shared" si="767"/>
        <v>0</v>
      </c>
      <c r="BU123" s="360"/>
      <c r="BV123" s="392">
        <f t="shared" si="733"/>
        <v>0</v>
      </c>
      <c r="BW123" s="287">
        <f t="shared" ref="BW123:CG123" si="768">+BV123+BW174-BW186</f>
        <v>0</v>
      </c>
      <c r="BX123" s="287">
        <f t="shared" si="768"/>
        <v>0</v>
      </c>
      <c r="BY123" s="287">
        <f t="shared" si="768"/>
        <v>0</v>
      </c>
      <c r="BZ123" s="287">
        <f t="shared" si="768"/>
        <v>0</v>
      </c>
      <c r="CA123" s="287">
        <f t="shared" si="768"/>
        <v>0</v>
      </c>
      <c r="CB123" s="287">
        <f t="shared" si="768"/>
        <v>0</v>
      </c>
      <c r="CC123" s="287">
        <f t="shared" si="768"/>
        <v>0</v>
      </c>
      <c r="CD123" s="287">
        <f t="shared" si="768"/>
        <v>0</v>
      </c>
      <c r="CE123" s="287">
        <f t="shared" si="768"/>
        <v>0</v>
      </c>
      <c r="CF123" s="287">
        <f t="shared" si="768"/>
        <v>0</v>
      </c>
      <c r="CG123" s="400">
        <f t="shared" si="768"/>
        <v>0</v>
      </c>
      <c r="CH123" s="360"/>
      <c r="CI123" s="392">
        <f t="shared" si="735"/>
        <v>0</v>
      </c>
      <c r="CJ123" s="287">
        <f t="shared" ref="CJ123:CT123" si="769">+CI123+CJ174-CJ186</f>
        <v>0</v>
      </c>
      <c r="CK123" s="287">
        <f t="shared" si="769"/>
        <v>0</v>
      </c>
      <c r="CL123" s="287">
        <f t="shared" si="769"/>
        <v>0</v>
      </c>
      <c r="CM123" s="287">
        <f t="shared" si="769"/>
        <v>0</v>
      </c>
      <c r="CN123" s="287">
        <f t="shared" si="769"/>
        <v>0</v>
      </c>
      <c r="CO123" s="287">
        <f t="shared" si="769"/>
        <v>0</v>
      </c>
      <c r="CP123" s="287">
        <f t="shared" si="769"/>
        <v>0</v>
      </c>
      <c r="CQ123" s="287">
        <f t="shared" si="769"/>
        <v>0</v>
      </c>
      <c r="CR123" s="287">
        <f t="shared" si="769"/>
        <v>0</v>
      </c>
      <c r="CS123" s="287">
        <f t="shared" si="769"/>
        <v>0</v>
      </c>
      <c r="CT123" s="400">
        <f t="shared" si="769"/>
        <v>0</v>
      </c>
      <c r="CU123" s="360"/>
      <c r="CV123" s="392">
        <f t="shared" si="737"/>
        <v>0</v>
      </c>
      <c r="CW123" s="287">
        <f t="shared" ref="CW123:DG123" si="770">+CV123+CW174-CW186</f>
        <v>0</v>
      </c>
      <c r="CX123" s="287">
        <f t="shared" si="770"/>
        <v>0</v>
      </c>
      <c r="CY123" s="287">
        <f t="shared" si="770"/>
        <v>0</v>
      </c>
      <c r="CZ123" s="287">
        <f t="shared" si="770"/>
        <v>0</v>
      </c>
      <c r="DA123" s="287">
        <f t="shared" si="770"/>
        <v>0</v>
      </c>
      <c r="DB123" s="287">
        <f t="shared" si="770"/>
        <v>0</v>
      </c>
      <c r="DC123" s="287">
        <f t="shared" si="770"/>
        <v>0</v>
      </c>
      <c r="DD123" s="287">
        <f t="shared" si="770"/>
        <v>0</v>
      </c>
      <c r="DE123" s="287">
        <f t="shared" si="770"/>
        <v>0</v>
      </c>
      <c r="DF123" s="287">
        <f t="shared" si="770"/>
        <v>0</v>
      </c>
      <c r="DG123" s="400">
        <f t="shared" si="770"/>
        <v>0</v>
      </c>
      <c r="DH123" s="360"/>
      <c r="DI123" s="392">
        <f t="shared" si="739"/>
        <v>0</v>
      </c>
      <c r="DJ123" s="287">
        <f t="shared" ref="DJ123:DT123" si="771">+DI123+DJ174-DJ186</f>
        <v>0</v>
      </c>
      <c r="DK123" s="287">
        <f t="shared" si="771"/>
        <v>0</v>
      </c>
      <c r="DL123" s="287">
        <f t="shared" si="771"/>
        <v>0</v>
      </c>
      <c r="DM123" s="287">
        <f t="shared" si="771"/>
        <v>0</v>
      </c>
      <c r="DN123" s="287">
        <f t="shared" si="771"/>
        <v>0</v>
      </c>
      <c r="DO123" s="287">
        <f t="shared" si="771"/>
        <v>0</v>
      </c>
      <c r="DP123" s="287">
        <f t="shared" si="771"/>
        <v>0</v>
      </c>
      <c r="DQ123" s="287">
        <f t="shared" si="771"/>
        <v>0</v>
      </c>
      <c r="DR123" s="287">
        <f t="shared" si="771"/>
        <v>0</v>
      </c>
      <c r="DS123" s="287">
        <f t="shared" si="771"/>
        <v>0</v>
      </c>
      <c r="DT123" s="400">
        <f t="shared" si="771"/>
        <v>0</v>
      </c>
      <c r="DU123" s="360"/>
      <c r="DV123" s="392">
        <f t="shared" si="741"/>
        <v>0</v>
      </c>
      <c r="DW123" s="287">
        <f t="shared" ref="DW123:EG123" si="772">+DV123+DW174-DW186</f>
        <v>0</v>
      </c>
      <c r="DX123" s="287">
        <f t="shared" si="772"/>
        <v>0</v>
      </c>
      <c r="DY123" s="287">
        <f t="shared" si="772"/>
        <v>0</v>
      </c>
      <c r="DZ123" s="287">
        <f t="shared" si="772"/>
        <v>0</v>
      </c>
      <c r="EA123" s="287">
        <f t="shared" si="772"/>
        <v>0</v>
      </c>
      <c r="EB123" s="287">
        <f t="shared" si="772"/>
        <v>0</v>
      </c>
      <c r="EC123" s="287">
        <f t="shared" si="772"/>
        <v>0</v>
      </c>
      <c r="ED123" s="287">
        <f t="shared" si="772"/>
        <v>0</v>
      </c>
      <c r="EE123" s="287">
        <f t="shared" si="772"/>
        <v>0</v>
      </c>
      <c r="EF123" s="287">
        <f t="shared" si="772"/>
        <v>0</v>
      </c>
      <c r="EG123" s="400">
        <f t="shared" si="772"/>
        <v>0</v>
      </c>
      <c r="EH123" s="360"/>
      <c r="EI123" s="21"/>
      <c r="EJ123" s="21"/>
      <c r="EK123" s="21"/>
      <c r="EL123" s="21"/>
      <c r="EM123" s="21"/>
    </row>
    <row r="124" spans="1:143" ht="15.75" customHeight="1">
      <c r="A124" s="21"/>
      <c r="B124" s="21"/>
      <c r="C124" s="21"/>
      <c r="D124" s="622">
        <f t="shared" si="525"/>
        <v>115</v>
      </c>
      <c r="E124" s="1625"/>
      <c r="F124" s="403" t="str">
        <f>+Assumption!F323</f>
        <v>Bonds/MTN/Securities 5</v>
      </c>
      <c r="G124" s="296"/>
      <c r="H124" s="369">
        <f>+Assumption!G323</f>
        <v>0</v>
      </c>
      <c r="I124" s="268">
        <f t="shared" ref="I124:T124" si="773">+H124+I175-I187</f>
        <v>0</v>
      </c>
      <c r="J124" s="287">
        <f t="shared" si="773"/>
        <v>0</v>
      </c>
      <c r="K124" s="287">
        <f t="shared" si="773"/>
        <v>0</v>
      </c>
      <c r="L124" s="287">
        <f t="shared" si="773"/>
        <v>0</v>
      </c>
      <c r="M124" s="287">
        <f t="shared" si="773"/>
        <v>0</v>
      </c>
      <c r="N124" s="287">
        <f t="shared" si="773"/>
        <v>0</v>
      </c>
      <c r="O124" s="287">
        <f t="shared" si="773"/>
        <v>0</v>
      </c>
      <c r="P124" s="287">
        <f t="shared" si="773"/>
        <v>0</v>
      </c>
      <c r="Q124" s="287">
        <f t="shared" si="773"/>
        <v>0</v>
      </c>
      <c r="R124" s="287">
        <f t="shared" si="773"/>
        <v>0</v>
      </c>
      <c r="S124" s="287">
        <f t="shared" si="773"/>
        <v>0</v>
      </c>
      <c r="T124" s="400">
        <f t="shared" si="773"/>
        <v>0</v>
      </c>
      <c r="U124" s="360"/>
      <c r="V124" s="392">
        <f t="shared" si="725"/>
        <v>0</v>
      </c>
      <c r="W124" s="287">
        <f t="shared" ref="W124:AG124" si="774">+V124+W175-W187</f>
        <v>0</v>
      </c>
      <c r="X124" s="287">
        <f t="shared" si="774"/>
        <v>0</v>
      </c>
      <c r="Y124" s="287">
        <f t="shared" si="774"/>
        <v>0</v>
      </c>
      <c r="Z124" s="287">
        <f t="shared" si="774"/>
        <v>0</v>
      </c>
      <c r="AA124" s="287">
        <f t="shared" si="774"/>
        <v>0</v>
      </c>
      <c r="AB124" s="287">
        <f t="shared" si="774"/>
        <v>0</v>
      </c>
      <c r="AC124" s="287">
        <f t="shared" si="774"/>
        <v>0</v>
      </c>
      <c r="AD124" s="287">
        <f t="shared" si="774"/>
        <v>0</v>
      </c>
      <c r="AE124" s="287">
        <f t="shared" si="774"/>
        <v>0</v>
      </c>
      <c r="AF124" s="287">
        <f t="shared" si="774"/>
        <v>0</v>
      </c>
      <c r="AG124" s="400">
        <f t="shared" si="774"/>
        <v>0</v>
      </c>
      <c r="AH124" s="360"/>
      <c r="AI124" s="392">
        <f t="shared" si="727"/>
        <v>0</v>
      </c>
      <c r="AJ124" s="287">
        <f t="shared" ref="AJ124:AT124" si="775">+AI124+AJ175-AJ187</f>
        <v>0</v>
      </c>
      <c r="AK124" s="287">
        <f t="shared" si="775"/>
        <v>0</v>
      </c>
      <c r="AL124" s="287">
        <f t="shared" si="775"/>
        <v>0</v>
      </c>
      <c r="AM124" s="287">
        <f t="shared" si="775"/>
        <v>0</v>
      </c>
      <c r="AN124" s="287">
        <f t="shared" si="775"/>
        <v>0</v>
      </c>
      <c r="AO124" s="287">
        <f t="shared" si="775"/>
        <v>0</v>
      </c>
      <c r="AP124" s="287">
        <f t="shared" si="775"/>
        <v>0</v>
      </c>
      <c r="AQ124" s="287">
        <f t="shared" si="775"/>
        <v>0</v>
      </c>
      <c r="AR124" s="287">
        <f t="shared" si="775"/>
        <v>0</v>
      </c>
      <c r="AS124" s="287">
        <f t="shared" si="775"/>
        <v>0</v>
      </c>
      <c r="AT124" s="400">
        <f t="shared" si="775"/>
        <v>0</v>
      </c>
      <c r="AU124" s="360"/>
      <c r="AV124" s="392">
        <f t="shared" si="729"/>
        <v>0</v>
      </c>
      <c r="AW124" s="287">
        <f t="shared" ref="AW124:BG124" si="776">+AV124+AW175-AW187</f>
        <v>0</v>
      </c>
      <c r="AX124" s="287">
        <f t="shared" si="776"/>
        <v>0</v>
      </c>
      <c r="AY124" s="287">
        <f t="shared" si="776"/>
        <v>0</v>
      </c>
      <c r="AZ124" s="287">
        <f t="shared" si="776"/>
        <v>0</v>
      </c>
      <c r="BA124" s="287">
        <f t="shared" si="776"/>
        <v>0</v>
      </c>
      <c r="BB124" s="287">
        <f t="shared" si="776"/>
        <v>0</v>
      </c>
      <c r="BC124" s="287">
        <f t="shared" si="776"/>
        <v>0</v>
      </c>
      <c r="BD124" s="287">
        <f t="shared" si="776"/>
        <v>0</v>
      </c>
      <c r="BE124" s="287">
        <f t="shared" si="776"/>
        <v>0</v>
      </c>
      <c r="BF124" s="287">
        <f t="shared" si="776"/>
        <v>0</v>
      </c>
      <c r="BG124" s="400">
        <f t="shared" si="776"/>
        <v>0</v>
      </c>
      <c r="BH124" s="360"/>
      <c r="BI124" s="392">
        <f t="shared" si="731"/>
        <v>0</v>
      </c>
      <c r="BJ124" s="287">
        <f t="shared" ref="BJ124:BT124" si="777">+BI124+BJ175-BJ187</f>
        <v>0</v>
      </c>
      <c r="BK124" s="287">
        <f t="shared" si="777"/>
        <v>0</v>
      </c>
      <c r="BL124" s="287">
        <f t="shared" si="777"/>
        <v>0</v>
      </c>
      <c r="BM124" s="287">
        <f t="shared" si="777"/>
        <v>0</v>
      </c>
      <c r="BN124" s="287">
        <f t="shared" si="777"/>
        <v>0</v>
      </c>
      <c r="BO124" s="287">
        <f t="shared" si="777"/>
        <v>0</v>
      </c>
      <c r="BP124" s="287">
        <f t="shared" si="777"/>
        <v>0</v>
      </c>
      <c r="BQ124" s="287">
        <f t="shared" si="777"/>
        <v>0</v>
      </c>
      <c r="BR124" s="287">
        <f t="shared" si="777"/>
        <v>0</v>
      </c>
      <c r="BS124" s="287">
        <f t="shared" si="777"/>
        <v>0</v>
      </c>
      <c r="BT124" s="400">
        <f t="shared" si="777"/>
        <v>0</v>
      </c>
      <c r="BU124" s="360"/>
      <c r="BV124" s="392">
        <f t="shared" si="733"/>
        <v>0</v>
      </c>
      <c r="BW124" s="287">
        <f t="shared" ref="BW124:CG124" si="778">+BV124+BW175-BW187</f>
        <v>0</v>
      </c>
      <c r="BX124" s="287">
        <f t="shared" si="778"/>
        <v>0</v>
      </c>
      <c r="BY124" s="287">
        <f t="shared" si="778"/>
        <v>0</v>
      </c>
      <c r="BZ124" s="287">
        <f t="shared" si="778"/>
        <v>0</v>
      </c>
      <c r="CA124" s="287">
        <f t="shared" si="778"/>
        <v>0</v>
      </c>
      <c r="CB124" s="287">
        <f t="shared" si="778"/>
        <v>0</v>
      </c>
      <c r="CC124" s="287">
        <f t="shared" si="778"/>
        <v>0</v>
      </c>
      <c r="CD124" s="287">
        <f t="shared" si="778"/>
        <v>0</v>
      </c>
      <c r="CE124" s="287">
        <f t="shared" si="778"/>
        <v>0</v>
      </c>
      <c r="CF124" s="287">
        <f t="shared" si="778"/>
        <v>0</v>
      </c>
      <c r="CG124" s="400">
        <f t="shared" si="778"/>
        <v>0</v>
      </c>
      <c r="CH124" s="360"/>
      <c r="CI124" s="392">
        <f t="shared" si="735"/>
        <v>0</v>
      </c>
      <c r="CJ124" s="287">
        <f t="shared" ref="CJ124:CT124" si="779">+CI124+CJ175-CJ187</f>
        <v>0</v>
      </c>
      <c r="CK124" s="287">
        <f t="shared" si="779"/>
        <v>0</v>
      </c>
      <c r="CL124" s="287">
        <f t="shared" si="779"/>
        <v>0</v>
      </c>
      <c r="CM124" s="287">
        <f t="shared" si="779"/>
        <v>0</v>
      </c>
      <c r="CN124" s="287">
        <f t="shared" si="779"/>
        <v>0</v>
      </c>
      <c r="CO124" s="287">
        <f t="shared" si="779"/>
        <v>0</v>
      </c>
      <c r="CP124" s="287">
        <f t="shared" si="779"/>
        <v>0</v>
      </c>
      <c r="CQ124" s="287">
        <f t="shared" si="779"/>
        <v>0</v>
      </c>
      <c r="CR124" s="287">
        <f t="shared" si="779"/>
        <v>0</v>
      </c>
      <c r="CS124" s="287">
        <f t="shared" si="779"/>
        <v>0</v>
      </c>
      <c r="CT124" s="400">
        <f t="shared" si="779"/>
        <v>0</v>
      </c>
      <c r="CU124" s="360"/>
      <c r="CV124" s="392">
        <f t="shared" si="737"/>
        <v>0</v>
      </c>
      <c r="CW124" s="287">
        <f t="shared" ref="CW124:DG124" si="780">+CV124+CW175-CW187</f>
        <v>0</v>
      </c>
      <c r="CX124" s="287">
        <f t="shared" si="780"/>
        <v>0</v>
      </c>
      <c r="CY124" s="287">
        <f t="shared" si="780"/>
        <v>0</v>
      </c>
      <c r="CZ124" s="287">
        <f t="shared" si="780"/>
        <v>0</v>
      </c>
      <c r="DA124" s="287">
        <f t="shared" si="780"/>
        <v>0</v>
      </c>
      <c r="DB124" s="287">
        <f t="shared" si="780"/>
        <v>0</v>
      </c>
      <c r="DC124" s="287">
        <f t="shared" si="780"/>
        <v>0</v>
      </c>
      <c r="DD124" s="287">
        <f t="shared" si="780"/>
        <v>0</v>
      </c>
      <c r="DE124" s="287">
        <f t="shared" si="780"/>
        <v>0</v>
      </c>
      <c r="DF124" s="287">
        <f t="shared" si="780"/>
        <v>0</v>
      </c>
      <c r="DG124" s="400">
        <f t="shared" si="780"/>
        <v>0</v>
      </c>
      <c r="DH124" s="360"/>
      <c r="DI124" s="392">
        <f t="shared" si="739"/>
        <v>0</v>
      </c>
      <c r="DJ124" s="287">
        <f t="shared" ref="DJ124:DT124" si="781">+DI124+DJ175-DJ187</f>
        <v>0</v>
      </c>
      <c r="DK124" s="287">
        <f t="shared" si="781"/>
        <v>0</v>
      </c>
      <c r="DL124" s="287">
        <f t="shared" si="781"/>
        <v>0</v>
      </c>
      <c r="DM124" s="287">
        <f t="shared" si="781"/>
        <v>0</v>
      </c>
      <c r="DN124" s="287">
        <f t="shared" si="781"/>
        <v>0</v>
      </c>
      <c r="DO124" s="287">
        <f t="shared" si="781"/>
        <v>0</v>
      </c>
      <c r="DP124" s="287">
        <f t="shared" si="781"/>
        <v>0</v>
      </c>
      <c r="DQ124" s="287">
        <f t="shared" si="781"/>
        <v>0</v>
      </c>
      <c r="DR124" s="287">
        <f t="shared" si="781"/>
        <v>0</v>
      </c>
      <c r="DS124" s="287">
        <f t="shared" si="781"/>
        <v>0</v>
      </c>
      <c r="DT124" s="400">
        <f t="shared" si="781"/>
        <v>0</v>
      </c>
      <c r="DU124" s="360"/>
      <c r="DV124" s="392">
        <f t="shared" si="741"/>
        <v>0</v>
      </c>
      <c r="DW124" s="287">
        <f t="shared" ref="DW124:EG124" si="782">+DV124+DW175-DW187</f>
        <v>0</v>
      </c>
      <c r="DX124" s="287">
        <f t="shared" si="782"/>
        <v>0</v>
      </c>
      <c r="DY124" s="287">
        <f t="shared" si="782"/>
        <v>0</v>
      </c>
      <c r="DZ124" s="287">
        <f t="shared" si="782"/>
        <v>0</v>
      </c>
      <c r="EA124" s="287">
        <f t="shared" si="782"/>
        <v>0</v>
      </c>
      <c r="EB124" s="287">
        <f t="shared" si="782"/>
        <v>0</v>
      </c>
      <c r="EC124" s="287">
        <f t="shared" si="782"/>
        <v>0</v>
      </c>
      <c r="ED124" s="287">
        <f t="shared" si="782"/>
        <v>0</v>
      </c>
      <c r="EE124" s="287">
        <f t="shared" si="782"/>
        <v>0</v>
      </c>
      <c r="EF124" s="287">
        <f t="shared" si="782"/>
        <v>0</v>
      </c>
      <c r="EG124" s="400">
        <f t="shared" si="782"/>
        <v>0</v>
      </c>
      <c r="EH124" s="360"/>
      <c r="EI124" s="21"/>
      <c r="EJ124" s="21"/>
      <c r="EK124" s="21"/>
      <c r="EL124" s="21"/>
      <c r="EM124" s="21"/>
    </row>
    <row r="125" spans="1:143" ht="15.75" customHeight="1">
      <c r="A125" s="21"/>
      <c r="B125" s="21"/>
      <c r="C125" s="21"/>
      <c r="D125" s="622">
        <f t="shared" si="525"/>
        <v>116</v>
      </c>
      <c r="E125" s="1625"/>
      <c r="F125" s="403" t="str">
        <f>+Assumption!F324</f>
        <v>Bonds/MTN/Securities 6</v>
      </c>
      <c r="G125" s="296"/>
      <c r="H125" s="369">
        <f>+Assumption!G324</f>
        <v>0</v>
      </c>
      <c r="I125" s="268">
        <f t="shared" ref="I125:T125" si="783">+H125+I176-I188</f>
        <v>0</v>
      </c>
      <c r="J125" s="287">
        <f t="shared" si="783"/>
        <v>0</v>
      </c>
      <c r="K125" s="287">
        <f t="shared" si="783"/>
        <v>0</v>
      </c>
      <c r="L125" s="287">
        <f t="shared" si="783"/>
        <v>0</v>
      </c>
      <c r="M125" s="287">
        <f t="shared" si="783"/>
        <v>0</v>
      </c>
      <c r="N125" s="287">
        <f t="shared" si="783"/>
        <v>0</v>
      </c>
      <c r="O125" s="287">
        <f t="shared" si="783"/>
        <v>0</v>
      </c>
      <c r="P125" s="287">
        <f t="shared" si="783"/>
        <v>0</v>
      </c>
      <c r="Q125" s="287">
        <f t="shared" si="783"/>
        <v>0</v>
      </c>
      <c r="R125" s="287">
        <f t="shared" si="783"/>
        <v>0</v>
      </c>
      <c r="S125" s="287">
        <f t="shared" si="783"/>
        <v>0</v>
      </c>
      <c r="T125" s="400">
        <f t="shared" si="783"/>
        <v>0</v>
      </c>
      <c r="U125" s="360"/>
      <c r="V125" s="392">
        <f t="shared" si="725"/>
        <v>0</v>
      </c>
      <c r="W125" s="287">
        <f t="shared" ref="W125:AG125" si="784">+V125+W176-W188</f>
        <v>0</v>
      </c>
      <c r="X125" s="287">
        <f t="shared" si="784"/>
        <v>0</v>
      </c>
      <c r="Y125" s="287">
        <f t="shared" si="784"/>
        <v>0</v>
      </c>
      <c r="Z125" s="287">
        <f t="shared" si="784"/>
        <v>0</v>
      </c>
      <c r="AA125" s="287">
        <f t="shared" si="784"/>
        <v>0</v>
      </c>
      <c r="AB125" s="287">
        <f t="shared" si="784"/>
        <v>0</v>
      </c>
      <c r="AC125" s="287">
        <f t="shared" si="784"/>
        <v>0</v>
      </c>
      <c r="AD125" s="287">
        <f t="shared" si="784"/>
        <v>0</v>
      </c>
      <c r="AE125" s="287">
        <f t="shared" si="784"/>
        <v>0</v>
      </c>
      <c r="AF125" s="287">
        <f t="shared" si="784"/>
        <v>0</v>
      </c>
      <c r="AG125" s="400">
        <f t="shared" si="784"/>
        <v>0</v>
      </c>
      <c r="AH125" s="360"/>
      <c r="AI125" s="392">
        <f t="shared" si="727"/>
        <v>0</v>
      </c>
      <c r="AJ125" s="287">
        <f t="shared" ref="AJ125:AT125" si="785">+AI125+AJ176-AJ188</f>
        <v>0</v>
      </c>
      <c r="AK125" s="287">
        <f t="shared" si="785"/>
        <v>0</v>
      </c>
      <c r="AL125" s="287">
        <f t="shared" si="785"/>
        <v>0</v>
      </c>
      <c r="AM125" s="287">
        <f t="shared" si="785"/>
        <v>0</v>
      </c>
      <c r="AN125" s="287">
        <f t="shared" si="785"/>
        <v>0</v>
      </c>
      <c r="AO125" s="287">
        <f t="shared" si="785"/>
        <v>0</v>
      </c>
      <c r="AP125" s="287">
        <f t="shared" si="785"/>
        <v>0</v>
      </c>
      <c r="AQ125" s="287">
        <f t="shared" si="785"/>
        <v>0</v>
      </c>
      <c r="AR125" s="287">
        <f t="shared" si="785"/>
        <v>0</v>
      </c>
      <c r="AS125" s="287">
        <f t="shared" si="785"/>
        <v>0</v>
      </c>
      <c r="AT125" s="400">
        <f t="shared" si="785"/>
        <v>0</v>
      </c>
      <c r="AU125" s="360"/>
      <c r="AV125" s="392">
        <f t="shared" si="729"/>
        <v>0</v>
      </c>
      <c r="AW125" s="287">
        <f t="shared" ref="AW125:BG125" si="786">+AV125+AW176-AW188</f>
        <v>0</v>
      </c>
      <c r="AX125" s="287">
        <f t="shared" si="786"/>
        <v>0</v>
      </c>
      <c r="AY125" s="287">
        <f t="shared" si="786"/>
        <v>0</v>
      </c>
      <c r="AZ125" s="287">
        <f t="shared" si="786"/>
        <v>0</v>
      </c>
      <c r="BA125" s="287">
        <f t="shared" si="786"/>
        <v>0</v>
      </c>
      <c r="BB125" s="287">
        <f t="shared" si="786"/>
        <v>0</v>
      </c>
      <c r="BC125" s="287">
        <f t="shared" si="786"/>
        <v>0</v>
      </c>
      <c r="BD125" s="287">
        <f t="shared" si="786"/>
        <v>0</v>
      </c>
      <c r="BE125" s="287">
        <f t="shared" si="786"/>
        <v>0</v>
      </c>
      <c r="BF125" s="287">
        <f t="shared" si="786"/>
        <v>0</v>
      </c>
      <c r="BG125" s="400">
        <f t="shared" si="786"/>
        <v>0</v>
      </c>
      <c r="BH125" s="360"/>
      <c r="BI125" s="392">
        <f t="shared" si="731"/>
        <v>0</v>
      </c>
      <c r="BJ125" s="287">
        <f t="shared" ref="BJ125:BT125" si="787">+BI125+BJ176-BJ188</f>
        <v>0</v>
      </c>
      <c r="BK125" s="287">
        <f t="shared" si="787"/>
        <v>0</v>
      </c>
      <c r="BL125" s="287">
        <f t="shared" si="787"/>
        <v>0</v>
      </c>
      <c r="BM125" s="287">
        <f t="shared" si="787"/>
        <v>0</v>
      </c>
      <c r="BN125" s="287">
        <f t="shared" si="787"/>
        <v>0</v>
      </c>
      <c r="BO125" s="287">
        <f t="shared" si="787"/>
        <v>0</v>
      </c>
      <c r="BP125" s="287">
        <f t="shared" si="787"/>
        <v>0</v>
      </c>
      <c r="BQ125" s="287">
        <f t="shared" si="787"/>
        <v>0</v>
      </c>
      <c r="BR125" s="287">
        <f t="shared" si="787"/>
        <v>0</v>
      </c>
      <c r="BS125" s="287">
        <f t="shared" si="787"/>
        <v>0</v>
      </c>
      <c r="BT125" s="400">
        <f t="shared" si="787"/>
        <v>0</v>
      </c>
      <c r="BU125" s="360"/>
      <c r="BV125" s="392">
        <f t="shared" si="733"/>
        <v>0</v>
      </c>
      <c r="BW125" s="287">
        <f t="shared" ref="BW125:CG125" si="788">+BV125+BW176-BW188</f>
        <v>0</v>
      </c>
      <c r="BX125" s="287">
        <f t="shared" si="788"/>
        <v>0</v>
      </c>
      <c r="BY125" s="287">
        <f t="shared" si="788"/>
        <v>0</v>
      </c>
      <c r="BZ125" s="287">
        <f t="shared" si="788"/>
        <v>0</v>
      </c>
      <c r="CA125" s="287">
        <f t="shared" si="788"/>
        <v>0</v>
      </c>
      <c r="CB125" s="287">
        <f t="shared" si="788"/>
        <v>0</v>
      </c>
      <c r="CC125" s="287">
        <f t="shared" si="788"/>
        <v>0</v>
      </c>
      <c r="CD125" s="287">
        <f t="shared" si="788"/>
        <v>0</v>
      </c>
      <c r="CE125" s="287">
        <f t="shared" si="788"/>
        <v>0</v>
      </c>
      <c r="CF125" s="287">
        <f t="shared" si="788"/>
        <v>0</v>
      </c>
      <c r="CG125" s="400">
        <f t="shared" si="788"/>
        <v>0</v>
      </c>
      <c r="CH125" s="360"/>
      <c r="CI125" s="392">
        <f t="shared" si="735"/>
        <v>0</v>
      </c>
      <c r="CJ125" s="287">
        <f t="shared" ref="CJ125:CT125" si="789">+CI125+CJ176-CJ188</f>
        <v>0</v>
      </c>
      <c r="CK125" s="287">
        <f t="shared" si="789"/>
        <v>0</v>
      </c>
      <c r="CL125" s="287">
        <f t="shared" si="789"/>
        <v>0</v>
      </c>
      <c r="CM125" s="287">
        <f t="shared" si="789"/>
        <v>0</v>
      </c>
      <c r="CN125" s="287">
        <f t="shared" si="789"/>
        <v>0</v>
      </c>
      <c r="CO125" s="287">
        <f t="shared" si="789"/>
        <v>0</v>
      </c>
      <c r="CP125" s="287">
        <f t="shared" si="789"/>
        <v>0</v>
      </c>
      <c r="CQ125" s="287">
        <f t="shared" si="789"/>
        <v>0</v>
      </c>
      <c r="CR125" s="287">
        <f t="shared" si="789"/>
        <v>0</v>
      </c>
      <c r="CS125" s="287">
        <f t="shared" si="789"/>
        <v>0</v>
      </c>
      <c r="CT125" s="400">
        <f t="shared" si="789"/>
        <v>0</v>
      </c>
      <c r="CU125" s="360"/>
      <c r="CV125" s="392">
        <f t="shared" si="737"/>
        <v>0</v>
      </c>
      <c r="CW125" s="287">
        <f t="shared" ref="CW125:DG125" si="790">+CV125+CW176-CW188</f>
        <v>0</v>
      </c>
      <c r="CX125" s="287">
        <f t="shared" si="790"/>
        <v>0</v>
      </c>
      <c r="CY125" s="287">
        <f t="shared" si="790"/>
        <v>0</v>
      </c>
      <c r="CZ125" s="287">
        <f t="shared" si="790"/>
        <v>0</v>
      </c>
      <c r="DA125" s="287">
        <f t="shared" si="790"/>
        <v>0</v>
      </c>
      <c r="DB125" s="287">
        <f t="shared" si="790"/>
        <v>0</v>
      </c>
      <c r="DC125" s="287">
        <f t="shared" si="790"/>
        <v>0</v>
      </c>
      <c r="DD125" s="287">
        <f t="shared" si="790"/>
        <v>0</v>
      </c>
      <c r="DE125" s="287">
        <f t="shared" si="790"/>
        <v>0</v>
      </c>
      <c r="DF125" s="287">
        <f t="shared" si="790"/>
        <v>0</v>
      </c>
      <c r="DG125" s="400">
        <f t="shared" si="790"/>
        <v>0</v>
      </c>
      <c r="DH125" s="360"/>
      <c r="DI125" s="392">
        <f t="shared" si="739"/>
        <v>0</v>
      </c>
      <c r="DJ125" s="287">
        <f t="shared" ref="DJ125:DT125" si="791">+DI125+DJ176-DJ188</f>
        <v>0</v>
      </c>
      <c r="DK125" s="287">
        <f t="shared" si="791"/>
        <v>0</v>
      </c>
      <c r="DL125" s="287">
        <f t="shared" si="791"/>
        <v>0</v>
      </c>
      <c r="DM125" s="287">
        <f t="shared" si="791"/>
        <v>0</v>
      </c>
      <c r="DN125" s="287">
        <f t="shared" si="791"/>
        <v>0</v>
      </c>
      <c r="DO125" s="287">
        <f t="shared" si="791"/>
        <v>0</v>
      </c>
      <c r="DP125" s="287">
        <f t="shared" si="791"/>
        <v>0</v>
      </c>
      <c r="DQ125" s="287">
        <f t="shared" si="791"/>
        <v>0</v>
      </c>
      <c r="DR125" s="287">
        <f t="shared" si="791"/>
        <v>0</v>
      </c>
      <c r="DS125" s="287">
        <f t="shared" si="791"/>
        <v>0</v>
      </c>
      <c r="DT125" s="400">
        <f t="shared" si="791"/>
        <v>0</v>
      </c>
      <c r="DU125" s="360"/>
      <c r="DV125" s="392">
        <f t="shared" si="741"/>
        <v>0</v>
      </c>
      <c r="DW125" s="287">
        <f t="shared" ref="DW125:EG125" si="792">+DV125+DW176-DW188</f>
        <v>0</v>
      </c>
      <c r="DX125" s="287">
        <f t="shared" si="792"/>
        <v>0</v>
      </c>
      <c r="DY125" s="287">
        <f t="shared" si="792"/>
        <v>0</v>
      </c>
      <c r="DZ125" s="287">
        <f t="shared" si="792"/>
        <v>0</v>
      </c>
      <c r="EA125" s="287">
        <f t="shared" si="792"/>
        <v>0</v>
      </c>
      <c r="EB125" s="287">
        <f t="shared" si="792"/>
        <v>0</v>
      </c>
      <c r="EC125" s="287">
        <f t="shared" si="792"/>
        <v>0</v>
      </c>
      <c r="ED125" s="287">
        <f t="shared" si="792"/>
        <v>0</v>
      </c>
      <c r="EE125" s="287">
        <f t="shared" si="792"/>
        <v>0</v>
      </c>
      <c r="EF125" s="287">
        <f t="shared" si="792"/>
        <v>0</v>
      </c>
      <c r="EG125" s="400">
        <f t="shared" si="792"/>
        <v>0</v>
      </c>
      <c r="EH125" s="360"/>
      <c r="EI125" s="21"/>
      <c r="EJ125" s="21"/>
      <c r="EK125" s="21"/>
      <c r="EL125" s="21"/>
      <c r="EM125" s="21"/>
    </row>
    <row r="126" spans="1:143" ht="15.75" customHeight="1">
      <c r="A126" s="21"/>
      <c r="B126" s="21"/>
      <c r="C126" s="21"/>
      <c r="D126" s="622">
        <f t="shared" si="525"/>
        <v>117</v>
      </c>
      <c r="E126" s="1625"/>
      <c r="F126" s="403" t="str">
        <f>+Assumption!F325</f>
        <v>Bonds/MTN/Securities 7</v>
      </c>
      <c r="G126" s="296"/>
      <c r="H126" s="369">
        <f>+Assumption!G325</f>
        <v>0</v>
      </c>
      <c r="I126" s="268">
        <f t="shared" ref="I126:T126" si="793">+H126+I177-I189</f>
        <v>0</v>
      </c>
      <c r="J126" s="287">
        <f t="shared" si="793"/>
        <v>0</v>
      </c>
      <c r="K126" s="287">
        <f t="shared" si="793"/>
        <v>0</v>
      </c>
      <c r="L126" s="287">
        <f t="shared" si="793"/>
        <v>0</v>
      </c>
      <c r="M126" s="287">
        <f t="shared" si="793"/>
        <v>0</v>
      </c>
      <c r="N126" s="287">
        <f t="shared" si="793"/>
        <v>0</v>
      </c>
      <c r="O126" s="287">
        <f t="shared" si="793"/>
        <v>0</v>
      </c>
      <c r="P126" s="287">
        <f t="shared" si="793"/>
        <v>0</v>
      </c>
      <c r="Q126" s="287">
        <f t="shared" si="793"/>
        <v>0</v>
      </c>
      <c r="R126" s="287">
        <f t="shared" si="793"/>
        <v>0</v>
      </c>
      <c r="S126" s="287">
        <f t="shared" si="793"/>
        <v>0</v>
      </c>
      <c r="T126" s="400">
        <f t="shared" si="793"/>
        <v>0</v>
      </c>
      <c r="U126" s="360"/>
      <c r="V126" s="392">
        <f t="shared" si="725"/>
        <v>0</v>
      </c>
      <c r="W126" s="287">
        <f t="shared" ref="W126:AG126" si="794">+V126+W177-W189</f>
        <v>0</v>
      </c>
      <c r="X126" s="287">
        <f t="shared" si="794"/>
        <v>0</v>
      </c>
      <c r="Y126" s="287">
        <f t="shared" si="794"/>
        <v>0</v>
      </c>
      <c r="Z126" s="287">
        <f t="shared" si="794"/>
        <v>0</v>
      </c>
      <c r="AA126" s="287">
        <f t="shared" si="794"/>
        <v>0</v>
      </c>
      <c r="AB126" s="287">
        <f t="shared" si="794"/>
        <v>0</v>
      </c>
      <c r="AC126" s="287">
        <f t="shared" si="794"/>
        <v>0</v>
      </c>
      <c r="AD126" s="287">
        <f t="shared" si="794"/>
        <v>0</v>
      </c>
      <c r="AE126" s="287">
        <f t="shared" si="794"/>
        <v>0</v>
      </c>
      <c r="AF126" s="287">
        <f t="shared" si="794"/>
        <v>0</v>
      </c>
      <c r="AG126" s="400">
        <f t="shared" si="794"/>
        <v>0</v>
      </c>
      <c r="AH126" s="360"/>
      <c r="AI126" s="392">
        <f t="shared" si="727"/>
        <v>0</v>
      </c>
      <c r="AJ126" s="287">
        <f t="shared" ref="AJ126:AT126" si="795">+AI126+AJ177-AJ189</f>
        <v>0</v>
      </c>
      <c r="AK126" s="287">
        <f t="shared" si="795"/>
        <v>0</v>
      </c>
      <c r="AL126" s="287">
        <f t="shared" si="795"/>
        <v>0</v>
      </c>
      <c r="AM126" s="287">
        <f t="shared" si="795"/>
        <v>0</v>
      </c>
      <c r="AN126" s="287">
        <f t="shared" si="795"/>
        <v>0</v>
      </c>
      <c r="AO126" s="287">
        <f t="shared" si="795"/>
        <v>0</v>
      </c>
      <c r="AP126" s="287">
        <f t="shared" si="795"/>
        <v>0</v>
      </c>
      <c r="AQ126" s="287">
        <f t="shared" si="795"/>
        <v>0</v>
      </c>
      <c r="AR126" s="287">
        <f t="shared" si="795"/>
        <v>0</v>
      </c>
      <c r="AS126" s="287">
        <f t="shared" si="795"/>
        <v>0</v>
      </c>
      <c r="AT126" s="400">
        <f t="shared" si="795"/>
        <v>0</v>
      </c>
      <c r="AU126" s="360"/>
      <c r="AV126" s="392">
        <f t="shared" si="729"/>
        <v>0</v>
      </c>
      <c r="AW126" s="287">
        <f t="shared" ref="AW126:BG126" si="796">+AV126+AW177-AW189</f>
        <v>0</v>
      </c>
      <c r="AX126" s="287">
        <f t="shared" si="796"/>
        <v>0</v>
      </c>
      <c r="AY126" s="287">
        <f t="shared" si="796"/>
        <v>0</v>
      </c>
      <c r="AZ126" s="287">
        <f t="shared" si="796"/>
        <v>0</v>
      </c>
      <c r="BA126" s="287">
        <f t="shared" si="796"/>
        <v>0</v>
      </c>
      <c r="BB126" s="287">
        <f t="shared" si="796"/>
        <v>0</v>
      </c>
      <c r="BC126" s="287">
        <f t="shared" si="796"/>
        <v>0</v>
      </c>
      <c r="BD126" s="287">
        <f t="shared" si="796"/>
        <v>0</v>
      </c>
      <c r="BE126" s="287">
        <f t="shared" si="796"/>
        <v>0</v>
      </c>
      <c r="BF126" s="287">
        <f t="shared" si="796"/>
        <v>0</v>
      </c>
      <c r="BG126" s="400">
        <f t="shared" si="796"/>
        <v>0</v>
      </c>
      <c r="BH126" s="360"/>
      <c r="BI126" s="392">
        <f t="shared" si="731"/>
        <v>0</v>
      </c>
      <c r="BJ126" s="287">
        <f t="shared" ref="BJ126:BT126" si="797">+BI126+BJ177-BJ189</f>
        <v>0</v>
      </c>
      <c r="BK126" s="287">
        <f t="shared" si="797"/>
        <v>0</v>
      </c>
      <c r="BL126" s="287">
        <f t="shared" si="797"/>
        <v>0</v>
      </c>
      <c r="BM126" s="287">
        <f t="shared" si="797"/>
        <v>0</v>
      </c>
      <c r="BN126" s="287">
        <f t="shared" si="797"/>
        <v>0</v>
      </c>
      <c r="BO126" s="287">
        <f t="shared" si="797"/>
        <v>0</v>
      </c>
      <c r="BP126" s="287">
        <f t="shared" si="797"/>
        <v>0</v>
      </c>
      <c r="BQ126" s="287">
        <f t="shared" si="797"/>
        <v>0</v>
      </c>
      <c r="BR126" s="287">
        <f t="shared" si="797"/>
        <v>0</v>
      </c>
      <c r="BS126" s="287">
        <f t="shared" si="797"/>
        <v>0</v>
      </c>
      <c r="BT126" s="400">
        <f t="shared" si="797"/>
        <v>0</v>
      </c>
      <c r="BU126" s="360"/>
      <c r="BV126" s="392">
        <f t="shared" si="733"/>
        <v>0</v>
      </c>
      <c r="BW126" s="287">
        <f t="shared" ref="BW126:CG126" si="798">+BV126+BW177-BW189</f>
        <v>0</v>
      </c>
      <c r="BX126" s="287">
        <f t="shared" si="798"/>
        <v>0</v>
      </c>
      <c r="BY126" s="287">
        <f t="shared" si="798"/>
        <v>0</v>
      </c>
      <c r="BZ126" s="287">
        <f t="shared" si="798"/>
        <v>0</v>
      </c>
      <c r="CA126" s="287">
        <f t="shared" si="798"/>
        <v>0</v>
      </c>
      <c r="CB126" s="287">
        <f t="shared" si="798"/>
        <v>0</v>
      </c>
      <c r="CC126" s="287">
        <f t="shared" si="798"/>
        <v>0</v>
      </c>
      <c r="CD126" s="287">
        <f t="shared" si="798"/>
        <v>0</v>
      </c>
      <c r="CE126" s="287">
        <f t="shared" si="798"/>
        <v>0</v>
      </c>
      <c r="CF126" s="287">
        <f t="shared" si="798"/>
        <v>0</v>
      </c>
      <c r="CG126" s="400">
        <f t="shared" si="798"/>
        <v>0</v>
      </c>
      <c r="CH126" s="360"/>
      <c r="CI126" s="392">
        <f t="shared" si="735"/>
        <v>0</v>
      </c>
      <c r="CJ126" s="287">
        <f t="shared" ref="CJ126:CT126" si="799">+CI126+CJ177-CJ189</f>
        <v>0</v>
      </c>
      <c r="CK126" s="287">
        <f t="shared" si="799"/>
        <v>0</v>
      </c>
      <c r="CL126" s="287">
        <f t="shared" si="799"/>
        <v>0</v>
      </c>
      <c r="CM126" s="287">
        <f t="shared" si="799"/>
        <v>0</v>
      </c>
      <c r="CN126" s="287">
        <f t="shared" si="799"/>
        <v>0</v>
      </c>
      <c r="CO126" s="287">
        <f t="shared" si="799"/>
        <v>0</v>
      </c>
      <c r="CP126" s="287">
        <f t="shared" si="799"/>
        <v>0</v>
      </c>
      <c r="CQ126" s="287">
        <f t="shared" si="799"/>
        <v>0</v>
      </c>
      <c r="CR126" s="287">
        <f t="shared" si="799"/>
        <v>0</v>
      </c>
      <c r="CS126" s="287">
        <f t="shared" si="799"/>
        <v>0</v>
      </c>
      <c r="CT126" s="400">
        <f t="shared" si="799"/>
        <v>0</v>
      </c>
      <c r="CU126" s="360"/>
      <c r="CV126" s="392">
        <f t="shared" si="737"/>
        <v>0</v>
      </c>
      <c r="CW126" s="287">
        <f t="shared" ref="CW126:DG126" si="800">+CV126+CW177-CW189</f>
        <v>0</v>
      </c>
      <c r="CX126" s="287">
        <f t="shared" si="800"/>
        <v>0</v>
      </c>
      <c r="CY126" s="287">
        <f t="shared" si="800"/>
        <v>0</v>
      </c>
      <c r="CZ126" s="287">
        <f t="shared" si="800"/>
        <v>0</v>
      </c>
      <c r="DA126" s="287">
        <f t="shared" si="800"/>
        <v>0</v>
      </c>
      <c r="DB126" s="287">
        <f t="shared" si="800"/>
        <v>0</v>
      </c>
      <c r="DC126" s="287">
        <f t="shared" si="800"/>
        <v>0</v>
      </c>
      <c r="DD126" s="287">
        <f t="shared" si="800"/>
        <v>0</v>
      </c>
      <c r="DE126" s="287">
        <f t="shared" si="800"/>
        <v>0</v>
      </c>
      <c r="DF126" s="287">
        <f t="shared" si="800"/>
        <v>0</v>
      </c>
      <c r="DG126" s="400">
        <f t="shared" si="800"/>
        <v>0</v>
      </c>
      <c r="DH126" s="360"/>
      <c r="DI126" s="392">
        <f t="shared" si="739"/>
        <v>0</v>
      </c>
      <c r="DJ126" s="287">
        <f t="shared" ref="DJ126:DT126" si="801">+DI126+DJ177-DJ189</f>
        <v>0</v>
      </c>
      <c r="DK126" s="287">
        <f t="shared" si="801"/>
        <v>0</v>
      </c>
      <c r="DL126" s="287">
        <f t="shared" si="801"/>
        <v>0</v>
      </c>
      <c r="DM126" s="287">
        <f t="shared" si="801"/>
        <v>0</v>
      </c>
      <c r="DN126" s="287">
        <f t="shared" si="801"/>
        <v>0</v>
      </c>
      <c r="DO126" s="287">
        <f t="shared" si="801"/>
        <v>0</v>
      </c>
      <c r="DP126" s="287">
        <f t="shared" si="801"/>
        <v>0</v>
      </c>
      <c r="DQ126" s="287">
        <f t="shared" si="801"/>
        <v>0</v>
      </c>
      <c r="DR126" s="287">
        <f t="shared" si="801"/>
        <v>0</v>
      </c>
      <c r="DS126" s="287">
        <f t="shared" si="801"/>
        <v>0</v>
      </c>
      <c r="DT126" s="400">
        <f t="shared" si="801"/>
        <v>0</v>
      </c>
      <c r="DU126" s="360"/>
      <c r="DV126" s="392">
        <f t="shared" si="741"/>
        <v>0</v>
      </c>
      <c r="DW126" s="287">
        <f t="shared" ref="DW126:EG126" si="802">+DV126+DW177-DW189</f>
        <v>0</v>
      </c>
      <c r="DX126" s="287">
        <f t="shared" si="802"/>
        <v>0</v>
      </c>
      <c r="DY126" s="287">
        <f t="shared" si="802"/>
        <v>0</v>
      </c>
      <c r="DZ126" s="287">
        <f t="shared" si="802"/>
        <v>0</v>
      </c>
      <c r="EA126" s="287">
        <f t="shared" si="802"/>
        <v>0</v>
      </c>
      <c r="EB126" s="287">
        <f t="shared" si="802"/>
        <v>0</v>
      </c>
      <c r="EC126" s="287">
        <f t="shared" si="802"/>
        <v>0</v>
      </c>
      <c r="ED126" s="287">
        <f t="shared" si="802"/>
        <v>0</v>
      </c>
      <c r="EE126" s="287">
        <f t="shared" si="802"/>
        <v>0</v>
      </c>
      <c r="EF126" s="287">
        <f t="shared" si="802"/>
        <v>0</v>
      </c>
      <c r="EG126" s="400">
        <f t="shared" si="802"/>
        <v>0</v>
      </c>
      <c r="EH126" s="360"/>
      <c r="EI126" s="21"/>
      <c r="EJ126" s="21"/>
      <c r="EK126" s="21"/>
      <c r="EL126" s="21"/>
      <c r="EM126" s="21"/>
    </row>
    <row r="127" spans="1:143" ht="15.75" customHeight="1">
      <c r="A127" s="21"/>
      <c r="B127" s="21"/>
      <c r="C127" s="21"/>
      <c r="D127" s="622">
        <f t="shared" si="525"/>
        <v>118</v>
      </c>
      <c r="E127" s="1625"/>
      <c r="F127" s="403" t="str">
        <f>+Assumption!F326</f>
        <v>Bonds/MTN/Securities 8</v>
      </c>
      <c r="G127" s="296"/>
      <c r="H127" s="369">
        <f>+Assumption!G326</f>
        <v>0</v>
      </c>
      <c r="I127" s="268">
        <f t="shared" ref="I127:T127" si="803">+H127+I178-I190</f>
        <v>0</v>
      </c>
      <c r="J127" s="287">
        <f t="shared" si="803"/>
        <v>0</v>
      </c>
      <c r="K127" s="287">
        <f t="shared" si="803"/>
        <v>0</v>
      </c>
      <c r="L127" s="287">
        <f t="shared" si="803"/>
        <v>0</v>
      </c>
      <c r="M127" s="287">
        <f t="shared" si="803"/>
        <v>0</v>
      </c>
      <c r="N127" s="287">
        <f t="shared" si="803"/>
        <v>0</v>
      </c>
      <c r="O127" s="287">
        <f t="shared" si="803"/>
        <v>0</v>
      </c>
      <c r="P127" s="287">
        <f t="shared" si="803"/>
        <v>0</v>
      </c>
      <c r="Q127" s="287">
        <f t="shared" si="803"/>
        <v>0</v>
      </c>
      <c r="R127" s="287">
        <f t="shared" si="803"/>
        <v>0</v>
      </c>
      <c r="S127" s="287">
        <f t="shared" si="803"/>
        <v>0</v>
      </c>
      <c r="T127" s="400">
        <f t="shared" si="803"/>
        <v>0</v>
      </c>
      <c r="U127" s="360"/>
      <c r="V127" s="392">
        <f t="shared" si="725"/>
        <v>0</v>
      </c>
      <c r="W127" s="287">
        <f t="shared" ref="W127:AG127" si="804">+V127+W178-W190</f>
        <v>0</v>
      </c>
      <c r="X127" s="287">
        <f t="shared" si="804"/>
        <v>0</v>
      </c>
      <c r="Y127" s="287">
        <f t="shared" si="804"/>
        <v>0</v>
      </c>
      <c r="Z127" s="287">
        <f t="shared" si="804"/>
        <v>0</v>
      </c>
      <c r="AA127" s="287">
        <f t="shared" si="804"/>
        <v>0</v>
      </c>
      <c r="AB127" s="287">
        <f t="shared" si="804"/>
        <v>0</v>
      </c>
      <c r="AC127" s="287">
        <f t="shared" si="804"/>
        <v>0</v>
      </c>
      <c r="AD127" s="287">
        <f t="shared" si="804"/>
        <v>0</v>
      </c>
      <c r="AE127" s="287">
        <f t="shared" si="804"/>
        <v>0</v>
      </c>
      <c r="AF127" s="287">
        <f t="shared" si="804"/>
        <v>0</v>
      </c>
      <c r="AG127" s="400">
        <f t="shared" si="804"/>
        <v>0</v>
      </c>
      <c r="AH127" s="360"/>
      <c r="AI127" s="392">
        <f t="shared" si="727"/>
        <v>0</v>
      </c>
      <c r="AJ127" s="287">
        <f t="shared" ref="AJ127:AT127" si="805">+AI127+AJ178-AJ190</f>
        <v>0</v>
      </c>
      <c r="AK127" s="287">
        <f t="shared" si="805"/>
        <v>0</v>
      </c>
      <c r="AL127" s="287">
        <f t="shared" si="805"/>
        <v>0</v>
      </c>
      <c r="AM127" s="287">
        <f t="shared" si="805"/>
        <v>0</v>
      </c>
      <c r="AN127" s="287">
        <f t="shared" si="805"/>
        <v>0</v>
      </c>
      <c r="AO127" s="287">
        <f t="shared" si="805"/>
        <v>0</v>
      </c>
      <c r="AP127" s="287">
        <f t="shared" si="805"/>
        <v>0</v>
      </c>
      <c r="AQ127" s="287">
        <f t="shared" si="805"/>
        <v>0</v>
      </c>
      <c r="AR127" s="287">
        <f t="shared" si="805"/>
        <v>0</v>
      </c>
      <c r="AS127" s="287">
        <f t="shared" si="805"/>
        <v>0</v>
      </c>
      <c r="AT127" s="400">
        <f t="shared" si="805"/>
        <v>0</v>
      </c>
      <c r="AU127" s="360"/>
      <c r="AV127" s="392">
        <f t="shared" si="729"/>
        <v>0</v>
      </c>
      <c r="AW127" s="287">
        <f t="shared" ref="AW127:BG127" si="806">+AV127+AW178-AW190</f>
        <v>0</v>
      </c>
      <c r="AX127" s="287">
        <f t="shared" si="806"/>
        <v>0</v>
      </c>
      <c r="AY127" s="287">
        <f t="shared" si="806"/>
        <v>0</v>
      </c>
      <c r="AZ127" s="287">
        <f t="shared" si="806"/>
        <v>0</v>
      </c>
      <c r="BA127" s="287">
        <f t="shared" si="806"/>
        <v>0</v>
      </c>
      <c r="BB127" s="287">
        <f t="shared" si="806"/>
        <v>0</v>
      </c>
      <c r="BC127" s="287">
        <f t="shared" si="806"/>
        <v>0</v>
      </c>
      <c r="BD127" s="287">
        <f t="shared" si="806"/>
        <v>0</v>
      </c>
      <c r="BE127" s="287">
        <f t="shared" si="806"/>
        <v>0</v>
      </c>
      <c r="BF127" s="287">
        <f t="shared" si="806"/>
        <v>0</v>
      </c>
      <c r="BG127" s="400">
        <f t="shared" si="806"/>
        <v>0</v>
      </c>
      <c r="BH127" s="360"/>
      <c r="BI127" s="392">
        <f t="shared" si="731"/>
        <v>0</v>
      </c>
      <c r="BJ127" s="287">
        <f t="shared" ref="BJ127:BT127" si="807">+BI127+BJ178-BJ190</f>
        <v>0</v>
      </c>
      <c r="BK127" s="287">
        <f t="shared" si="807"/>
        <v>0</v>
      </c>
      <c r="BL127" s="287">
        <f t="shared" si="807"/>
        <v>0</v>
      </c>
      <c r="BM127" s="287">
        <f t="shared" si="807"/>
        <v>0</v>
      </c>
      <c r="BN127" s="287">
        <f t="shared" si="807"/>
        <v>0</v>
      </c>
      <c r="BO127" s="287">
        <f t="shared" si="807"/>
        <v>0</v>
      </c>
      <c r="BP127" s="287">
        <f t="shared" si="807"/>
        <v>0</v>
      </c>
      <c r="BQ127" s="287">
        <f t="shared" si="807"/>
        <v>0</v>
      </c>
      <c r="BR127" s="287">
        <f t="shared" si="807"/>
        <v>0</v>
      </c>
      <c r="BS127" s="287">
        <f t="shared" si="807"/>
        <v>0</v>
      </c>
      <c r="BT127" s="400">
        <f t="shared" si="807"/>
        <v>0</v>
      </c>
      <c r="BU127" s="360"/>
      <c r="BV127" s="392">
        <f t="shared" si="733"/>
        <v>0</v>
      </c>
      <c r="BW127" s="287">
        <f t="shared" ref="BW127:CG127" si="808">+BV127+BW178-BW190</f>
        <v>0</v>
      </c>
      <c r="BX127" s="287">
        <f t="shared" si="808"/>
        <v>0</v>
      </c>
      <c r="BY127" s="287">
        <f t="shared" si="808"/>
        <v>0</v>
      </c>
      <c r="BZ127" s="287">
        <f t="shared" si="808"/>
        <v>0</v>
      </c>
      <c r="CA127" s="287">
        <f t="shared" si="808"/>
        <v>0</v>
      </c>
      <c r="CB127" s="287">
        <f t="shared" si="808"/>
        <v>0</v>
      </c>
      <c r="CC127" s="287">
        <f t="shared" si="808"/>
        <v>0</v>
      </c>
      <c r="CD127" s="287">
        <f t="shared" si="808"/>
        <v>0</v>
      </c>
      <c r="CE127" s="287">
        <f t="shared" si="808"/>
        <v>0</v>
      </c>
      <c r="CF127" s="287">
        <f t="shared" si="808"/>
        <v>0</v>
      </c>
      <c r="CG127" s="400">
        <f t="shared" si="808"/>
        <v>0</v>
      </c>
      <c r="CH127" s="360"/>
      <c r="CI127" s="392">
        <f t="shared" si="735"/>
        <v>0</v>
      </c>
      <c r="CJ127" s="287">
        <f t="shared" ref="CJ127:CT127" si="809">+CI127+CJ178-CJ190</f>
        <v>0</v>
      </c>
      <c r="CK127" s="287">
        <f t="shared" si="809"/>
        <v>0</v>
      </c>
      <c r="CL127" s="287">
        <f t="shared" si="809"/>
        <v>0</v>
      </c>
      <c r="CM127" s="287">
        <f t="shared" si="809"/>
        <v>0</v>
      </c>
      <c r="CN127" s="287">
        <f t="shared" si="809"/>
        <v>0</v>
      </c>
      <c r="CO127" s="287">
        <f t="shared" si="809"/>
        <v>0</v>
      </c>
      <c r="CP127" s="287">
        <f t="shared" si="809"/>
        <v>0</v>
      </c>
      <c r="CQ127" s="287">
        <f t="shared" si="809"/>
        <v>0</v>
      </c>
      <c r="CR127" s="287">
        <f t="shared" si="809"/>
        <v>0</v>
      </c>
      <c r="CS127" s="287">
        <f t="shared" si="809"/>
        <v>0</v>
      </c>
      <c r="CT127" s="400">
        <f t="shared" si="809"/>
        <v>0</v>
      </c>
      <c r="CU127" s="360"/>
      <c r="CV127" s="392">
        <f t="shared" si="737"/>
        <v>0</v>
      </c>
      <c r="CW127" s="287">
        <f t="shared" ref="CW127:DG127" si="810">+CV127+CW178-CW190</f>
        <v>0</v>
      </c>
      <c r="CX127" s="287">
        <f t="shared" si="810"/>
        <v>0</v>
      </c>
      <c r="CY127" s="287">
        <f t="shared" si="810"/>
        <v>0</v>
      </c>
      <c r="CZ127" s="287">
        <f t="shared" si="810"/>
        <v>0</v>
      </c>
      <c r="DA127" s="287">
        <f t="shared" si="810"/>
        <v>0</v>
      </c>
      <c r="DB127" s="287">
        <f t="shared" si="810"/>
        <v>0</v>
      </c>
      <c r="DC127" s="287">
        <f t="shared" si="810"/>
        <v>0</v>
      </c>
      <c r="DD127" s="287">
        <f t="shared" si="810"/>
        <v>0</v>
      </c>
      <c r="DE127" s="287">
        <f t="shared" si="810"/>
        <v>0</v>
      </c>
      <c r="DF127" s="287">
        <f t="shared" si="810"/>
        <v>0</v>
      </c>
      <c r="DG127" s="400">
        <f t="shared" si="810"/>
        <v>0</v>
      </c>
      <c r="DH127" s="360"/>
      <c r="DI127" s="392">
        <f t="shared" si="739"/>
        <v>0</v>
      </c>
      <c r="DJ127" s="287">
        <f t="shared" ref="DJ127:DT127" si="811">+DI127+DJ178-DJ190</f>
        <v>0</v>
      </c>
      <c r="DK127" s="287">
        <f t="shared" si="811"/>
        <v>0</v>
      </c>
      <c r="DL127" s="287">
        <f t="shared" si="811"/>
        <v>0</v>
      </c>
      <c r="DM127" s="287">
        <f t="shared" si="811"/>
        <v>0</v>
      </c>
      <c r="DN127" s="287">
        <f t="shared" si="811"/>
        <v>0</v>
      </c>
      <c r="DO127" s="287">
        <f t="shared" si="811"/>
        <v>0</v>
      </c>
      <c r="DP127" s="287">
        <f t="shared" si="811"/>
        <v>0</v>
      </c>
      <c r="DQ127" s="287">
        <f t="shared" si="811"/>
        <v>0</v>
      </c>
      <c r="DR127" s="287">
        <f t="shared" si="811"/>
        <v>0</v>
      </c>
      <c r="DS127" s="287">
        <f t="shared" si="811"/>
        <v>0</v>
      </c>
      <c r="DT127" s="400">
        <f t="shared" si="811"/>
        <v>0</v>
      </c>
      <c r="DU127" s="360"/>
      <c r="DV127" s="392">
        <f t="shared" si="741"/>
        <v>0</v>
      </c>
      <c r="DW127" s="287">
        <f t="shared" ref="DW127:EG127" si="812">+DV127+DW178-DW190</f>
        <v>0</v>
      </c>
      <c r="DX127" s="287">
        <f t="shared" si="812"/>
        <v>0</v>
      </c>
      <c r="DY127" s="287">
        <f t="shared" si="812"/>
        <v>0</v>
      </c>
      <c r="DZ127" s="287">
        <f t="shared" si="812"/>
        <v>0</v>
      </c>
      <c r="EA127" s="287">
        <f t="shared" si="812"/>
        <v>0</v>
      </c>
      <c r="EB127" s="287">
        <f t="shared" si="812"/>
        <v>0</v>
      </c>
      <c r="EC127" s="287">
        <f t="shared" si="812"/>
        <v>0</v>
      </c>
      <c r="ED127" s="287">
        <f t="shared" si="812"/>
        <v>0</v>
      </c>
      <c r="EE127" s="287">
        <f t="shared" si="812"/>
        <v>0</v>
      </c>
      <c r="EF127" s="287">
        <f t="shared" si="812"/>
        <v>0</v>
      </c>
      <c r="EG127" s="400">
        <f t="shared" si="812"/>
        <v>0</v>
      </c>
      <c r="EH127" s="360"/>
      <c r="EI127" s="21"/>
      <c r="EJ127" s="21"/>
      <c r="EK127" s="21"/>
      <c r="EL127" s="21"/>
      <c r="EM127" s="21"/>
    </row>
    <row r="128" spans="1:143" ht="15.75" customHeight="1">
      <c r="A128" s="21"/>
      <c r="B128" s="21"/>
      <c r="C128" s="21"/>
      <c r="D128" s="622">
        <f t="shared" si="525"/>
        <v>119</v>
      </c>
      <c r="E128" s="1625"/>
      <c r="F128" s="403" t="str">
        <f>+Assumption!F327</f>
        <v>Bonds/MTN/Securities 9</v>
      </c>
      <c r="G128" s="296"/>
      <c r="H128" s="369">
        <f>+Assumption!G327</f>
        <v>0</v>
      </c>
      <c r="I128" s="268">
        <f t="shared" ref="I128:T128" si="813">+H128+I179-I191</f>
        <v>0</v>
      </c>
      <c r="J128" s="287">
        <f t="shared" si="813"/>
        <v>0</v>
      </c>
      <c r="K128" s="287">
        <f t="shared" si="813"/>
        <v>0</v>
      </c>
      <c r="L128" s="287">
        <f t="shared" si="813"/>
        <v>0</v>
      </c>
      <c r="M128" s="287">
        <f t="shared" si="813"/>
        <v>0</v>
      </c>
      <c r="N128" s="287">
        <f t="shared" si="813"/>
        <v>0</v>
      </c>
      <c r="O128" s="287">
        <f t="shared" si="813"/>
        <v>0</v>
      </c>
      <c r="P128" s="287">
        <f t="shared" si="813"/>
        <v>0</v>
      </c>
      <c r="Q128" s="287">
        <f t="shared" si="813"/>
        <v>0</v>
      </c>
      <c r="R128" s="287">
        <f t="shared" si="813"/>
        <v>0</v>
      </c>
      <c r="S128" s="287">
        <f t="shared" si="813"/>
        <v>0</v>
      </c>
      <c r="T128" s="400">
        <f t="shared" si="813"/>
        <v>0</v>
      </c>
      <c r="U128" s="360"/>
      <c r="V128" s="392">
        <f t="shared" si="725"/>
        <v>0</v>
      </c>
      <c r="W128" s="287">
        <f t="shared" ref="W128:AG128" si="814">+V128+W179-W191</f>
        <v>0</v>
      </c>
      <c r="X128" s="287">
        <f t="shared" si="814"/>
        <v>0</v>
      </c>
      <c r="Y128" s="287">
        <f t="shared" si="814"/>
        <v>0</v>
      </c>
      <c r="Z128" s="287">
        <f t="shared" si="814"/>
        <v>0</v>
      </c>
      <c r="AA128" s="287">
        <f t="shared" si="814"/>
        <v>0</v>
      </c>
      <c r="AB128" s="287">
        <f t="shared" si="814"/>
        <v>0</v>
      </c>
      <c r="AC128" s="287">
        <f t="shared" si="814"/>
        <v>0</v>
      </c>
      <c r="AD128" s="287">
        <f t="shared" si="814"/>
        <v>0</v>
      </c>
      <c r="AE128" s="287">
        <f t="shared" si="814"/>
        <v>0</v>
      </c>
      <c r="AF128" s="287">
        <f t="shared" si="814"/>
        <v>0</v>
      </c>
      <c r="AG128" s="400">
        <f t="shared" si="814"/>
        <v>0</v>
      </c>
      <c r="AH128" s="360"/>
      <c r="AI128" s="392">
        <f t="shared" si="727"/>
        <v>0</v>
      </c>
      <c r="AJ128" s="287">
        <f t="shared" ref="AJ128:AT128" si="815">+AI128+AJ179-AJ191</f>
        <v>0</v>
      </c>
      <c r="AK128" s="287">
        <f t="shared" si="815"/>
        <v>0</v>
      </c>
      <c r="AL128" s="287">
        <f t="shared" si="815"/>
        <v>0</v>
      </c>
      <c r="AM128" s="287">
        <f t="shared" si="815"/>
        <v>0</v>
      </c>
      <c r="AN128" s="287">
        <f t="shared" si="815"/>
        <v>0</v>
      </c>
      <c r="AO128" s="287">
        <f t="shared" si="815"/>
        <v>0</v>
      </c>
      <c r="AP128" s="287">
        <f t="shared" si="815"/>
        <v>0</v>
      </c>
      <c r="AQ128" s="287">
        <f t="shared" si="815"/>
        <v>0</v>
      </c>
      <c r="AR128" s="287">
        <f t="shared" si="815"/>
        <v>0</v>
      </c>
      <c r="AS128" s="287">
        <f t="shared" si="815"/>
        <v>0</v>
      </c>
      <c r="AT128" s="400">
        <f t="shared" si="815"/>
        <v>0</v>
      </c>
      <c r="AU128" s="360"/>
      <c r="AV128" s="392">
        <f t="shared" si="729"/>
        <v>0</v>
      </c>
      <c r="AW128" s="287">
        <f t="shared" ref="AW128:BG128" si="816">+AV128+AW179-AW191</f>
        <v>0</v>
      </c>
      <c r="AX128" s="287">
        <f t="shared" si="816"/>
        <v>0</v>
      </c>
      <c r="AY128" s="287">
        <f t="shared" si="816"/>
        <v>0</v>
      </c>
      <c r="AZ128" s="287">
        <f t="shared" si="816"/>
        <v>0</v>
      </c>
      <c r="BA128" s="287">
        <f t="shared" si="816"/>
        <v>0</v>
      </c>
      <c r="BB128" s="287">
        <f t="shared" si="816"/>
        <v>0</v>
      </c>
      <c r="BC128" s="287">
        <f t="shared" si="816"/>
        <v>0</v>
      </c>
      <c r="BD128" s="287">
        <f t="shared" si="816"/>
        <v>0</v>
      </c>
      <c r="BE128" s="287">
        <f t="shared" si="816"/>
        <v>0</v>
      </c>
      <c r="BF128" s="287">
        <f t="shared" si="816"/>
        <v>0</v>
      </c>
      <c r="BG128" s="400">
        <f t="shared" si="816"/>
        <v>0</v>
      </c>
      <c r="BH128" s="360"/>
      <c r="BI128" s="392">
        <f t="shared" si="731"/>
        <v>0</v>
      </c>
      <c r="BJ128" s="287">
        <f t="shared" ref="BJ128:BT128" si="817">+BI128+BJ179-BJ191</f>
        <v>0</v>
      </c>
      <c r="BK128" s="287">
        <f t="shared" si="817"/>
        <v>0</v>
      </c>
      <c r="BL128" s="287">
        <f t="shared" si="817"/>
        <v>0</v>
      </c>
      <c r="BM128" s="287">
        <f t="shared" si="817"/>
        <v>0</v>
      </c>
      <c r="BN128" s="287">
        <f t="shared" si="817"/>
        <v>0</v>
      </c>
      <c r="BO128" s="287">
        <f t="shared" si="817"/>
        <v>0</v>
      </c>
      <c r="BP128" s="287">
        <f t="shared" si="817"/>
        <v>0</v>
      </c>
      <c r="BQ128" s="287">
        <f t="shared" si="817"/>
        <v>0</v>
      </c>
      <c r="BR128" s="287">
        <f t="shared" si="817"/>
        <v>0</v>
      </c>
      <c r="BS128" s="287">
        <f t="shared" si="817"/>
        <v>0</v>
      </c>
      <c r="BT128" s="400">
        <f t="shared" si="817"/>
        <v>0</v>
      </c>
      <c r="BU128" s="360"/>
      <c r="BV128" s="392">
        <f t="shared" si="733"/>
        <v>0</v>
      </c>
      <c r="BW128" s="287">
        <f t="shared" ref="BW128:CG128" si="818">+BV128+BW179-BW191</f>
        <v>0</v>
      </c>
      <c r="BX128" s="287">
        <f t="shared" si="818"/>
        <v>0</v>
      </c>
      <c r="BY128" s="287">
        <f t="shared" si="818"/>
        <v>0</v>
      </c>
      <c r="BZ128" s="287">
        <f t="shared" si="818"/>
        <v>0</v>
      </c>
      <c r="CA128" s="287">
        <f t="shared" si="818"/>
        <v>0</v>
      </c>
      <c r="CB128" s="287">
        <f t="shared" si="818"/>
        <v>0</v>
      </c>
      <c r="CC128" s="287">
        <f t="shared" si="818"/>
        <v>0</v>
      </c>
      <c r="CD128" s="287">
        <f t="shared" si="818"/>
        <v>0</v>
      </c>
      <c r="CE128" s="287">
        <f t="shared" si="818"/>
        <v>0</v>
      </c>
      <c r="CF128" s="287">
        <f t="shared" si="818"/>
        <v>0</v>
      </c>
      <c r="CG128" s="400">
        <f t="shared" si="818"/>
        <v>0</v>
      </c>
      <c r="CH128" s="360"/>
      <c r="CI128" s="392">
        <f t="shared" si="735"/>
        <v>0</v>
      </c>
      <c r="CJ128" s="287">
        <f t="shared" ref="CJ128:CT128" si="819">+CI128+CJ179-CJ191</f>
        <v>0</v>
      </c>
      <c r="CK128" s="287">
        <f t="shared" si="819"/>
        <v>0</v>
      </c>
      <c r="CL128" s="287">
        <f t="shared" si="819"/>
        <v>0</v>
      </c>
      <c r="CM128" s="287">
        <f t="shared" si="819"/>
        <v>0</v>
      </c>
      <c r="CN128" s="287">
        <f t="shared" si="819"/>
        <v>0</v>
      </c>
      <c r="CO128" s="287">
        <f t="shared" si="819"/>
        <v>0</v>
      </c>
      <c r="CP128" s="287">
        <f t="shared" si="819"/>
        <v>0</v>
      </c>
      <c r="CQ128" s="287">
        <f t="shared" si="819"/>
        <v>0</v>
      </c>
      <c r="CR128" s="287">
        <f t="shared" si="819"/>
        <v>0</v>
      </c>
      <c r="CS128" s="287">
        <f t="shared" si="819"/>
        <v>0</v>
      </c>
      <c r="CT128" s="400">
        <f t="shared" si="819"/>
        <v>0</v>
      </c>
      <c r="CU128" s="360"/>
      <c r="CV128" s="392">
        <f t="shared" si="737"/>
        <v>0</v>
      </c>
      <c r="CW128" s="287">
        <f t="shared" ref="CW128:DG128" si="820">+CV128+CW179-CW191</f>
        <v>0</v>
      </c>
      <c r="CX128" s="287">
        <f t="shared" si="820"/>
        <v>0</v>
      </c>
      <c r="CY128" s="287">
        <f t="shared" si="820"/>
        <v>0</v>
      </c>
      <c r="CZ128" s="287">
        <f t="shared" si="820"/>
        <v>0</v>
      </c>
      <c r="DA128" s="287">
        <f t="shared" si="820"/>
        <v>0</v>
      </c>
      <c r="DB128" s="287">
        <f t="shared" si="820"/>
        <v>0</v>
      </c>
      <c r="DC128" s="287">
        <f t="shared" si="820"/>
        <v>0</v>
      </c>
      <c r="DD128" s="287">
        <f t="shared" si="820"/>
        <v>0</v>
      </c>
      <c r="DE128" s="287">
        <f t="shared" si="820"/>
        <v>0</v>
      </c>
      <c r="DF128" s="287">
        <f t="shared" si="820"/>
        <v>0</v>
      </c>
      <c r="DG128" s="400">
        <f t="shared" si="820"/>
        <v>0</v>
      </c>
      <c r="DH128" s="360"/>
      <c r="DI128" s="392">
        <f t="shared" si="739"/>
        <v>0</v>
      </c>
      <c r="DJ128" s="287">
        <f t="shared" ref="DJ128:DT128" si="821">+DI128+DJ179-DJ191</f>
        <v>0</v>
      </c>
      <c r="DK128" s="287">
        <f t="shared" si="821"/>
        <v>0</v>
      </c>
      <c r="DL128" s="287">
        <f t="shared" si="821"/>
        <v>0</v>
      </c>
      <c r="DM128" s="287">
        <f t="shared" si="821"/>
        <v>0</v>
      </c>
      <c r="DN128" s="287">
        <f t="shared" si="821"/>
        <v>0</v>
      </c>
      <c r="DO128" s="287">
        <f t="shared" si="821"/>
        <v>0</v>
      </c>
      <c r="DP128" s="287">
        <f t="shared" si="821"/>
        <v>0</v>
      </c>
      <c r="DQ128" s="287">
        <f t="shared" si="821"/>
        <v>0</v>
      </c>
      <c r="DR128" s="287">
        <f t="shared" si="821"/>
        <v>0</v>
      </c>
      <c r="DS128" s="287">
        <f t="shared" si="821"/>
        <v>0</v>
      </c>
      <c r="DT128" s="400">
        <f t="shared" si="821"/>
        <v>0</v>
      </c>
      <c r="DU128" s="360"/>
      <c r="DV128" s="392">
        <f t="shared" si="741"/>
        <v>0</v>
      </c>
      <c r="DW128" s="287">
        <f t="shared" ref="DW128:EG128" si="822">+DV128+DW179-DW191</f>
        <v>0</v>
      </c>
      <c r="DX128" s="287">
        <f t="shared" si="822"/>
        <v>0</v>
      </c>
      <c r="DY128" s="287">
        <f t="shared" si="822"/>
        <v>0</v>
      </c>
      <c r="DZ128" s="287">
        <f t="shared" si="822"/>
        <v>0</v>
      </c>
      <c r="EA128" s="287">
        <f t="shared" si="822"/>
        <v>0</v>
      </c>
      <c r="EB128" s="287">
        <f t="shared" si="822"/>
        <v>0</v>
      </c>
      <c r="EC128" s="287">
        <f t="shared" si="822"/>
        <v>0</v>
      </c>
      <c r="ED128" s="287">
        <f t="shared" si="822"/>
        <v>0</v>
      </c>
      <c r="EE128" s="287">
        <f t="shared" si="822"/>
        <v>0</v>
      </c>
      <c r="EF128" s="287">
        <f t="shared" si="822"/>
        <v>0</v>
      </c>
      <c r="EG128" s="400">
        <f t="shared" si="822"/>
        <v>0</v>
      </c>
      <c r="EH128" s="360"/>
      <c r="EI128" s="21"/>
      <c r="EJ128" s="21"/>
      <c r="EK128" s="21"/>
      <c r="EL128" s="21"/>
      <c r="EM128" s="21"/>
    </row>
    <row r="129" spans="1:143" ht="15.75" customHeight="1">
      <c r="A129" s="21"/>
      <c r="B129" s="21"/>
      <c r="C129" s="21"/>
      <c r="D129" s="404">
        <f t="shared" si="525"/>
        <v>120</v>
      </c>
      <c r="E129" s="1627"/>
      <c r="F129" s="405" t="str">
        <f>+Assumption!F328</f>
        <v>Bonds/MTN/Securities 10</v>
      </c>
      <c r="G129" s="406"/>
      <c r="H129" s="407">
        <f>+Assumption!G328</f>
        <v>7306</v>
      </c>
      <c r="I129" s="408">
        <f t="shared" ref="I129:T129" si="823">+H129+I180-I192</f>
        <v>7306</v>
      </c>
      <c r="J129" s="409">
        <f t="shared" si="823"/>
        <v>7306</v>
      </c>
      <c r="K129" s="409">
        <f t="shared" si="823"/>
        <v>7306</v>
      </c>
      <c r="L129" s="409">
        <f t="shared" si="823"/>
        <v>7306</v>
      </c>
      <c r="M129" s="409">
        <f t="shared" si="823"/>
        <v>7306</v>
      </c>
      <c r="N129" s="409">
        <f t="shared" si="823"/>
        <v>7306</v>
      </c>
      <c r="O129" s="409">
        <f t="shared" si="823"/>
        <v>7306</v>
      </c>
      <c r="P129" s="409">
        <f t="shared" si="823"/>
        <v>7306</v>
      </c>
      <c r="Q129" s="409">
        <f t="shared" si="823"/>
        <v>7306</v>
      </c>
      <c r="R129" s="409">
        <f t="shared" si="823"/>
        <v>7306</v>
      </c>
      <c r="S129" s="409">
        <f t="shared" si="823"/>
        <v>7306</v>
      </c>
      <c r="T129" s="410">
        <f t="shared" si="823"/>
        <v>7306</v>
      </c>
      <c r="U129" s="411"/>
      <c r="V129" s="412">
        <f t="shared" si="725"/>
        <v>7306</v>
      </c>
      <c r="W129" s="409">
        <f t="shared" ref="W129:AG129" si="824">+V129+W180-W192</f>
        <v>7306</v>
      </c>
      <c r="X129" s="409">
        <f t="shared" si="824"/>
        <v>7306</v>
      </c>
      <c r="Y129" s="409">
        <f t="shared" si="824"/>
        <v>7306</v>
      </c>
      <c r="Z129" s="409">
        <f t="shared" si="824"/>
        <v>7306</v>
      </c>
      <c r="AA129" s="409">
        <f t="shared" si="824"/>
        <v>7306</v>
      </c>
      <c r="AB129" s="409">
        <f t="shared" si="824"/>
        <v>7306</v>
      </c>
      <c r="AC129" s="409">
        <f t="shared" si="824"/>
        <v>7306</v>
      </c>
      <c r="AD129" s="409">
        <f t="shared" si="824"/>
        <v>7306</v>
      </c>
      <c r="AE129" s="409">
        <f t="shared" si="824"/>
        <v>7306</v>
      </c>
      <c r="AF129" s="409">
        <f t="shared" si="824"/>
        <v>7306</v>
      </c>
      <c r="AG129" s="410">
        <f t="shared" si="824"/>
        <v>7306</v>
      </c>
      <c r="AH129" s="411"/>
      <c r="AI129" s="412">
        <f t="shared" si="727"/>
        <v>7306</v>
      </c>
      <c r="AJ129" s="409">
        <f t="shared" ref="AJ129:AT129" si="825">+AI129+AJ180-AJ192</f>
        <v>7306</v>
      </c>
      <c r="AK129" s="409">
        <f t="shared" si="825"/>
        <v>7306</v>
      </c>
      <c r="AL129" s="409">
        <f t="shared" si="825"/>
        <v>7306</v>
      </c>
      <c r="AM129" s="409">
        <f t="shared" si="825"/>
        <v>7306</v>
      </c>
      <c r="AN129" s="409">
        <f t="shared" si="825"/>
        <v>7306</v>
      </c>
      <c r="AO129" s="409">
        <f t="shared" si="825"/>
        <v>7306</v>
      </c>
      <c r="AP129" s="409">
        <f t="shared" si="825"/>
        <v>7306</v>
      </c>
      <c r="AQ129" s="409">
        <f t="shared" si="825"/>
        <v>7306</v>
      </c>
      <c r="AR129" s="409">
        <f t="shared" si="825"/>
        <v>7306</v>
      </c>
      <c r="AS129" s="409">
        <f t="shared" si="825"/>
        <v>7306</v>
      </c>
      <c r="AT129" s="410">
        <f t="shared" si="825"/>
        <v>7306</v>
      </c>
      <c r="AU129" s="411"/>
      <c r="AV129" s="412">
        <f t="shared" si="729"/>
        <v>7306</v>
      </c>
      <c r="AW129" s="409">
        <f t="shared" ref="AW129:BG129" si="826">+AV129+AW180-AW192</f>
        <v>7306</v>
      </c>
      <c r="AX129" s="409">
        <f t="shared" si="826"/>
        <v>7306</v>
      </c>
      <c r="AY129" s="409">
        <f t="shared" si="826"/>
        <v>7306</v>
      </c>
      <c r="AZ129" s="409">
        <f t="shared" si="826"/>
        <v>7306</v>
      </c>
      <c r="BA129" s="409">
        <f t="shared" si="826"/>
        <v>7306</v>
      </c>
      <c r="BB129" s="409">
        <f t="shared" si="826"/>
        <v>7306</v>
      </c>
      <c r="BC129" s="409">
        <f t="shared" si="826"/>
        <v>7306</v>
      </c>
      <c r="BD129" s="409">
        <f t="shared" si="826"/>
        <v>7306</v>
      </c>
      <c r="BE129" s="409">
        <f t="shared" si="826"/>
        <v>7306</v>
      </c>
      <c r="BF129" s="409">
        <f t="shared" si="826"/>
        <v>7306</v>
      </c>
      <c r="BG129" s="410">
        <f t="shared" si="826"/>
        <v>7306</v>
      </c>
      <c r="BH129" s="411"/>
      <c r="BI129" s="412">
        <f t="shared" si="731"/>
        <v>7306</v>
      </c>
      <c r="BJ129" s="409">
        <f t="shared" ref="BJ129:BT129" si="827">+BI129+BJ180-BJ192</f>
        <v>7306</v>
      </c>
      <c r="BK129" s="409">
        <f t="shared" si="827"/>
        <v>7306</v>
      </c>
      <c r="BL129" s="409">
        <f t="shared" si="827"/>
        <v>7306</v>
      </c>
      <c r="BM129" s="409">
        <f t="shared" si="827"/>
        <v>7306</v>
      </c>
      <c r="BN129" s="409">
        <f t="shared" si="827"/>
        <v>7306</v>
      </c>
      <c r="BO129" s="409">
        <f t="shared" si="827"/>
        <v>7306</v>
      </c>
      <c r="BP129" s="409">
        <f t="shared" si="827"/>
        <v>7306</v>
      </c>
      <c r="BQ129" s="409">
        <f t="shared" si="827"/>
        <v>7306</v>
      </c>
      <c r="BR129" s="409">
        <f t="shared" si="827"/>
        <v>7306</v>
      </c>
      <c r="BS129" s="409">
        <f t="shared" si="827"/>
        <v>7306</v>
      </c>
      <c r="BT129" s="410">
        <f t="shared" si="827"/>
        <v>7306</v>
      </c>
      <c r="BU129" s="411"/>
      <c r="BV129" s="412">
        <f t="shared" si="733"/>
        <v>7306</v>
      </c>
      <c r="BW129" s="409">
        <f t="shared" ref="BW129:CG129" si="828">+BV129+BW180-BW192</f>
        <v>7306</v>
      </c>
      <c r="BX129" s="409">
        <f t="shared" si="828"/>
        <v>7306</v>
      </c>
      <c r="BY129" s="409">
        <f t="shared" si="828"/>
        <v>7306</v>
      </c>
      <c r="BZ129" s="409">
        <f t="shared" si="828"/>
        <v>7306</v>
      </c>
      <c r="CA129" s="409">
        <f t="shared" si="828"/>
        <v>7306</v>
      </c>
      <c r="CB129" s="409">
        <f t="shared" si="828"/>
        <v>7306</v>
      </c>
      <c r="CC129" s="409">
        <f t="shared" si="828"/>
        <v>7306</v>
      </c>
      <c r="CD129" s="409">
        <f t="shared" si="828"/>
        <v>7306</v>
      </c>
      <c r="CE129" s="409">
        <f t="shared" si="828"/>
        <v>7306</v>
      </c>
      <c r="CF129" s="409">
        <f t="shared" si="828"/>
        <v>7306</v>
      </c>
      <c r="CG129" s="410">
        <f t="shared" si="828"/>
        <v>7306</v>
      </c>
      <c r="CH129" s="411"/>
      <c r="CI129" s="412">
        <f t="shared" si="735"/>
        <v>7306</v>
      </c>
      <c r="CJ129" s="409">
        <f t="shared" ref="CJ129:CT129" si="829">+CI129+CJ180-CJ192</f>
        <v>7306</v>
      </c>
      <c r="CK129" s="409">
        <f t="shared" si="829"/>
        <v>7306</v>
      </c>
      <c r="CL129" s="409">
        <f t="shared" si="829"/>
        <v>7306</v>
      </c>
      <c r="CM129" s="409">
        <f t="shared" si="829"/>
        <v>7306</v>
      </c>
      <c r="CN129" s="409">
        <f t="shared" si="829"/>
        <v>7306</v>
      </c>
      <c r="CO129" s="409">
        <f t="shared" si="829"/>
        <v>7306</v>
      </c>
      <c r="CP129" s="409">
        <f t="shared" si="829"/>
        <v>7306</v>
      </c>
      <c r="CQ129" s="409">
        <f t="shared" si="829"/>
        <v>7306</v>
      </c>
      <c r="CR129" s="409">
        <f t="shared" si="829"/>
        <v>7306</v>
      </c>
      <c r="CS129" s="409">
        <f t="shared" si="829"/>
        <v>7306</v>
      </c>
      <c r="CT129" s="410">
        <f t="shared" si="829"/>
        <v>7306</v>
      </c>
      <c r="CU129" s="411"/>
      <c r="CV129" s="412">
        <f t="shared" si="737"/>
        <v>7306</v>
      </c>
      <c r="CW129" s="409">
        <f t="shared" ref="CW129:DG129" si="830">+CV129+CW180-CW192</f>
        <v>7306</v>
      </c>
      <c r="CX129" s="409">
        <f t="shared" si="830"/>
        <v>7306</v>
      </c>
      <c r="CY129" s="409">
        <f t="shared" si="830"/>
        <v>7306</v>
      </c>
      <c r="CZ129" s="409">
        <f t="shared" si="830"/>
        <v>7306</v>
      </c>
      <c r="DA129" s="409">
        <f t="shared" si="830"/>
        <v>7306</v>
      </c>
      <c r="DB129" s="409">
        <f t="shared" si="830"/>
        <v>7306</v>
      </c>
      <c r="DC129" s="409">
        <f t="shared" si="830"/>
        <v>7306</v>
      </c>
      <c r="DD129" s="409">
        <f t="shared" si="830"/>
        <v>7306</v>
      </c>
      <c r="DE129" s="409">
        <f t="shared" si="830"/>
        <v>7306</v>
      </c>
      <c r="DF129" s="409">
        <f t="shared" si="830"/>
        <v>7306</v>
      </c>
      <c r="DG129" s="410">
        <f t="shared" si="830"/>
        <v>7306</v>
      </c>
      <c r="DH129" s="411"/>
      <c r="DI129" s="412">
        <f t="shared" si="739"/>
        <v>7306</v>
      </c>
      <c r="DJ129" s="409">
        <f t="shared" ref="DJ129:DT129" si="831">+DI129+DJ180-DJ192</f>
        <v>7306</v>
      </c>
      <c r="DK129" s="409">
        <f t="shared" si="831"/>
        <v>7306</v>
      </c>
      <c r="DL129" s="409">
        <f t="shared" si="831"/>
        <v>7306</v>
      </c>
      <c r="DM129" s="409">
        <f t="shared" si="831"/>
        <v>7306</v>
      </c>
      <c r="DN129" s="409">
        <f t="shared" si="831"/>
        <v>7306</v>
      </c>
      <c r="DO129" s="409">
        <f t="shared" si="831"/>
        <v>7306</v>
      </c>
      <c r="DP129" s="409">
        <f t="shared" si="831"/>
        <v>7306</v>
      </c>
      <c r="DQ129" s="409">
        <f t="shared" si="831"/>
        <v>7306</v>
      </c>
      <c r="DR129" s="409">
        <f t="shared" si="831"/>
        <v>7306</v>
      </c>
      <c r="DS129" s="409">
        <f t="shared" si="831"/>
        <v>7306</v>
      </c>
      <c r="DT129" s="410">
        <f t="shared" si="831"/>
        <v>7306</v>
      </c>
      <c r="DU129" s="411"/>
      <c r="DV129" s="412">
        <f t="shared" si="741"/>
        <v>7306</v>
      </c>
      <c r="DW129" s="409">
        <f t="shared" ref="DW129:EG129" si="832">+DV129+DW180-DW192</f>
        <v>7306</v>
      </c>
      <c r="DX129" s="409">
        <f t="shared" si="832"/>
        <v>7306</v>
      </c>
      <c r="DY129" s="409">
        <f t="shared" si="832"/>
        <v>7306</v>
      </c>
      <c r="DZ129" s="409">
        <f t="shared" si="832"/>
        <v>7306</v>
      </c>
      <c r="EA129" s="409">
        <f t="shared" si="832"/>
        <v>7306</v>
      </c>
      <c r="EB129" s="409">
        <f t="shared" si="832"/>
        <v>7306</v>
      </c>
      <c r="EC129" s="409">
        <f t="shared" si="832"/>
        <v>7306</v>
      </c>
      <c r="ED129" s="409">
        <f t="shared" si="832"/>
        <v>7306</v>
      </c>
      <c r="EE129" s="409">
        <f t="shared" si="832"/>
        <v>7306</v>
      </c>
      <c r="EF129" s="409">
        <f t="shared" si="832"/>
        <v>7306</v>
      </c>
      <c r="EG129" s="410">
        <f t="shared" si="832"/>
        <v>7306</v>
      </c>
      <c r="EH129" s="411"/>
      <c r="EI129" s="21"/>
      <c r="EJ129" s="21"/>
      <c r="EK129" s="21"/>
      <c r="EL129" s="21"/>
      <c r="EM129" s="21"/>
    </row>
    <row r="130" spans="1:143" ht="15.75" customHeight="1">
      <c r="A130" s="21"/>
      <c r="B130" s="21"/>
      <c r="C130" s="21"/>
      <c r="D130" s="22"/>
      <c r="E130" s="15"/>
      <c r="F130" s="413"/>
      <c r="G130" s="243"/>
      <c r="H130" s="414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  <c r="AU130" s="97"/>
      <c r="AV130" s="97"/>
      <c r="AW130" s="97"/>
      <c r="AX130" s="97"/>
      <c r="AY130" s="97"/>
      <c r="AZ130" s="97"/>
      <c r="BA130" s="97"/>
      <c r="BB130" s="97"/>
      <c r="BC130" s="97"/>
      <c r="BD130" s="97"/>
      <c r="BE130" s="97"/>
      <c r="BF130" s="97"/>
      <c r="BG130" s="97"/>
      <c r="BH130" s="97"/>
      <c r="BI130" s="97"/>
      <c r="BJ130" s="97"/>
      <c r="BK130" s="97"/>
      <c r="BL130" s="97"/>
      <c r="BM130" s="97"/>
      <c r="BN130" s="97"/>
      <c r="BO130" s="97"/>
      <c r="BP130" s="97"/>
      <c r="BQ130" s="97"/>
      <c r="BR130" s="97"/>
      <c r="BS130" s="97"/>
      <c r="BT130" s="97"/>
      <c r="BU130" s="97"/>
      <c r="BV130" s="97"/>
      <c r="BW130" s="97"/>
      <c r="BX130" s="97"/>
      <c r="BY130" s="97"/>
      <c r="BZ130" s="97"/>
      <c r="CA130" s="97"/>
      <c r="CB130" s="97"/>
      <c r="CC130" s="97"/>
      <c r="CD130" s="97"/>
      <c r="CE130" s="97"/>
      <c r="CF130" s="97"/>
      <c r="CG130" s="97"/>
      <c r="CH130" s="97"/>
      <c r="CI130" s="97"/>
      <c r="CJ130" s="97"/>
      <c r="CK130" s="97"/>
      <c r="CL130" s="97"/>
      <c r="CM130" s="97"/>
      <c r="CN130" s="97"/>
      <c r="CO130" s="97"/>
      <c r="CP130" s="97"/>
      <c r="CQ130" s="97"/>
      <c r="CR130" s="97"/>
      <c r="CS130" s="97"/>
      <c r="CT130" s="97"/>
      <c r="CU130" s="97"/>
      <c r="CV130" s="97"/>
      <c r="CW130" s="97"/>
      <c r="CX130" s="97"/>
      <c r="CY130" s="97"/>
      <c r="CZ130" s="97"/>
      <c r="DA130" s="97"/>
      <c r="DB130" s="97"/>
      <c r="DC130" s="97"/>
      <c r="DD130" s="97"/>
      <c r="DE130" s="97"/>
      <c r="DF130" s="97"/>
      <c r="DG130" s="97"/>
      <c r="DH130" s="97"/>
      <c r="DI130" s="97"/>
      <c r="DJ130" s="97"/>
      <c r="DK130" s="97"/>
      <c r="DL130" s="97"/>
      <c r="DM130" s="97"/>
      <c r="DN130" s="97"/>
      <c r="DO130" s="97"/>
      <c r="DP130" s="97"/>
      <c r="DQ130" s="97"/>
      <c r="DR130" s="97"/>
      <c r="DS130" s="97"/>
      <c r="DT130" s="97"/>
      <c r="DU130" s="97"/>
      <c r="DV130" s="97"/>
      <c r="DW130" s="97"/>
      <c r="DX130" s="97"/>
      <c r="DY130" s="97"/>
      <c r="DZ130" s="97"/>
      <c r="EA130" s="97"/>
      <c r="EB130" s="97"/>
      <c r="EC130" s="97"/>
      <c r="ED130" s="97"/>
      <c r="EE130" s="97"/>
      <c r="EF130" s="97"/>
      <c r="EG130" s="97"/>
      <c r="EH130" s="97"/>
      <c r="EI130" s="21"/>
      <c r="EJ130" s="21"/>
      <c r="EK130" s="21"/>
      <c r="EL130" s="21"/>
      <c r="EM130" s="21"/>
    </row>
    <row r="131" spans="1:143" ht="13.5" customHeight="1">
      <c r="A131" s="21"/>
      <c r="B131" s="21"/>
      <c r="C131" s="21"/>
      <c r="D131" s="22"/>
      <c r="E131" s="244" t="str">
        <f t="shared" ref="E131:E132" si="833">+E6</f>
        <v>Generic Niaga / Generic Group</v>
      </c>
      <c r="F131" s="21"/>
      <c r="G131" s="21"/>
      <c r="H131" s="21"/>
      <c r="I131" s="1457"/>
      <c r="J131" s="1616"/>
      <c r="K131" s="1616"/>
      <c r="L131" s="1616"/>
      <c r="M131" s="1616"/>
      <c r="N131" s="1616"/>
      <c r="O131" s="1616"/>
      <c r="P131" s="1616"/>
      <c r="Q131" s="1616"/>
      <c r="R131" s="1616"/>
      <c r="S131" s="1616"/>
      <c r="T131" s="1616"/>
      <c r="U131" s="1616"/>
      <c r="V131" s="1457"/>
      <c r="W131" s="1616"/>
      <c r="X131" s="1616"/>
      <c r="Y131" s="1616"/>
      <c r="Z131" s="1616"/>
      <c r="AA131" s="1616"/>
      <c r="AB131" s="1616"/>
      <c r="AC131" s="1616"/>
      <c r="AD131" s="1616"/>
      <c r="AE131" s="1616"/>
      <c r="AF131" s="1616"/>
      <c r="AG131" s="1616"/>
      <c r="AH131" s="1616"/>
      <c r="AI131" s="1457"/>
      <c r="AJ131" s="1616"/>
      <c r="AK131" s="1616"/>
      <c r="AL131" s="1616"/>
      <c r="AM131" s="1616"/>
      <c r="AN131" s="1616"/>
      <c r="AO131" s="1616"/>
      <c r="AP131" s="1616"/>
      <c r="AQ131" s="1616"/>
      <c r="AR131" s="1616"/>
      <c r="AS131" s="1616"/>
      <c r="AT131" s="1616"/>
      <c r="AU131" s="1616"/>
      <c r="AV131" s="1457"/>
      <c r="AW131" s="1616"/>
      <c r="AX131" s="1616"/>
      <c r="AY131" s="1616"/>
      <c r="AZ131" s="1616"/>
      <c r="BA131" s="1616"/>
      <c r="BB131" s="1616"/>
      <c r="BC131" s="1616"/>
      <c r="BD131" s="1616"/>
      <c r="BE131" s="1616"/>
      <c r="BF131" s="1616"/>
      <c r="BG131" s="1616"/>
      <c r="BH131" s="1616"/>
      <c r="BI131" s="1457"/>
      <c r="BJ131" s="1616"/>
      <c r="BK131" s="1616"/>
      <c r="BL131" s="1616"/>
      <c r="BM131" s="1616"/>
      <c r="BN131" s="1616"/>
      <c r="BO131" s="1616"/>
      <c r="BP131" s="1616"/>
      <c r="BQ131" s="1616"/>
      <c r="BR131" s="1616"/>
      <c r="BS131" s="1616"/>
      <c r="BT131" s="1616"/>
      <c r="BU131" s="1616"/>
      <c r="BV131" s="1457"/>
      <c r="BW131" s="1616"/>
      <c r="BX131" s="1616"/>
      <c r="BY131" s="1616"/>
      <c r="BZ131" s="1616"/>
      <c r="CA131" s="1616"/>
      <c r="CB131" s="1616"/>
      <c r="CC131" s="1616"/>
      <c r="CD131" s="1616"/>
      <c r="CE131" s="1616"/>
      <c r="CF131" s="1616"/>
      <c r="CG131" s="1616"/>
      <c r="CH131" s="1616"/>
      <c r="CI131" s="1457"/>
      <c r="CJ131" s="1616"/>
      <c r="CK131" s="1616"/>
      <c r="CL131" s="1616"/>
      <c r="CM131" s="1616"/>
      <c r="CN131" s="1616"/>
      <c r="CO131" s="1616"/>
      <c r="CP131" s="1616"/>
      <c r="CQ131" s="1616"/>
      <c r="CR131" s="1616"/>
      <c r="CS131" s="1616"/>
      <c r="CT131" s="1616"/>
      <c r="CU131" s="1616"/>
      <c r="CV131" s="1457"/>
      <c r="CW131" s="1616"/>
      <c r="CX131" s="1616"/>
      <c r="CY131" s="1616"/>
      <c r="CZ131" s="1616"/>
      <c r="DA131" s="1616"/>
      <c r="DB131" s="1616"/>
      <c r="DC131" s="1616"/>
      <c r="DD131" s="1616"/>
      <c r="DE131" s="1616"/>
      <c r="DF131" s="1616"/>
      <c r="DG131" s="1616"/>
      <c r="DH131" s="1616"/>
      <c r="DI131" s="1457"/>
      <c r="DJ131" s="1616"/>
      <c r="DK131" s="1616"/>
      <c r="DL131" s="1616"/>
      <c r="DM131" s="1616"/>
      <c r="DN131" s="1616"/>
      <c r="DO131" s="1616"/>
      <c r="DP131" s="1616"/>
      <c r="DQ131" s="1616"/>
      <c r="DR131" s="1616"/>
      <c r="DS131" s="1616"/>
      <c r="DT131" s="1616"/>
      <c r="DU131" s="1616"/>
      <c r="DV131" s="1457"/>
      <c r="DW131" s="1616"/>
      <c r="DX131" s="1616"/>
      <c r="DY131" s="1616"/>
      <c r="DZ131" s="1616"/>
      <c r="EA131" s="1616"/>
      <c r="EB131" s="1616"/>
      <c r="EC131" s="1616"/>
      <c r="ED131" s="1616"/>
      <c r="EE131" s="1616"/>
      <c r="EF131" s="1616"/>
      <c r="EG131" s="1616"/>
      <c r="EH131" s="1616"/>
      <c r="EI131" s="21"/>
      <c r="EJ131" s="21"/>
      <c r="EK131" s="21"/>
      <c r="EL131" s="21"/>
      <c r="EM131" s="21"/>
    </row>
    <row r="132" spans="1:143" ht="15" customHeight="1">
      <c r="A132" s="21"/>
      <c r="B132" s="21"/>
      <c r="C132" s="21"/>
      <c r="D132" s="620"/>
      <c r="E132" s="621" t="str">
        <f t="shared" si="833"/>
        <v>IDR Million</v>
      </c>
      <c r="F132" s="620"/>
      <c r="G132" s="620"/>
      <c r="H132" s="620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6"/>
      <c r="U132" s="247"/>
      <c r="V132" s="246"/>
      <c r="W132" s="246"/>
      <c r="X132" s="246"/>
      <c r="Y132" s="246"/>
      <c r="Z132" s="246"/>
      <c r="AA132" s="246"/>
      <c r="AB132" s="246"/>
      <c r="AC132" s="246"/>
      <c r="AD132" s="246"/>
      <c r="AE132" s="246"/>
      <c r="AF132" s="246"/>
      <c r="AG132" s="246"/>
      <c r="AH132" s="247"/>
      <c r="AI132" s="246"/>
      <c r="AJ132" s="246"/>
      <c r="AK132" s="246"/>
      <c r="AL132" s="246"/>
      <c r="AM132" s="246"/>
      <c r="AN132" s="246"/>
      <c r="AO132" s="246"/>
      <c r="AP132" s="246"/>
      <c r="AQ132" s="246"/>
      <c r="AR132" s="246"/>
      <c r="AS132" s="246"/>
      <c r="AT132" s="246"/>
      <c r="AU132" s="247"/>
      <c r="AV132" s="246"/>
      <c r="AW132" s="246"/>
      <c r="AX132" s="246"/>
      <c r="AY132" s="246"/>
      <c r="AZ132" s="246"/>
      <c r="BA132" s="246"/>
      <c r="BB132" s="246"/>
      <c r="BC132" s="246"/>
      <c r="BD132" s="246"/>
      <c r="BE132" s="246"/>
      <c r="BF132" s="246"/>
      <c r="BG132" s="246"/>
      <c r="BH132" s="247"/>
      <c r="BI132" s="246"/>
      <c r="BJ132" s="246"/>
      <c r="BK132" s="246"/>
      <c r="BL132" s="246"/>
      <c r="BM132" s="246"/>
      <c r="BN132" s="246"/>
      <c r="BO132" s="246"/>
      <c r="BP132" s="246"/>
      <c r="BQ132" s="246"/>
      <c r="BR132" s="246"/>
      <c r="BS132" s="246"/>
      <c r="BT132" s="246"/>
      <c r="BU132" s="247"/>
      <c r="BV132" s="246"/>
      <c r="BW132" s="246"/>
      <c r="BX132" s="246"/>
      <c r="BY132" s="246"/>
      <c r="BZ132" s="246"/>
      <c r="CA132" s="246"/>
      <c r="CB132" s="246"/>
      <c r="CC132" s="246"/>
      <c r="CD132" s="246"/>
      <c r="CE132" s="246"/>
      <c r="CF132" s="246"/>
      <c r="CG132" s="246"/>
      <c r="CH132" s="247"/>
      <c r="CI132" s="246"/>
      <c r="CJ132" s="246"/>
      <c r="CK132" s="246"/>
      <c r="CL132" s="246"/>
      <c r="CM132" s="246"/>
      <c r="CN132" s="246"/>
      <c r="CO132" s="246"/>
      <c r="CP132" s="246"/>
      <c r="CQ132" s="246"/>
      <c r="CR132" s="246"/>
      <c r="CS132" s="246"/>
      <c r="CT132" s="246"/>
      <c r="CU132" s="247"/>
      <c r="CV132" s="246"/>
      <c r="CW132" s="246"/>
      <c r="CX132" s="246"/>
      <c r="CY132" s="246"/>
      <c r="CZ132" s="246"/>
      <c r="DA132" s="246"/>
      <c r="DB132" s="246"/>
      <c r="DC132" s="246"/>
      <c r="DD132" s="246"/>
      <c r="DE132" s="246"/>
      <c r="DF132" s="246"/>
      <c r="DG132" s="246"/>
      <c r="DH132" s="247"/>
      <c r="DI132" s="246"/>
      <c r="DJ132" s="246"/>
      <c r="DK132" s="246"/>
      <c r="DL132" s="246"/>
      <c r="DM132" s="246"/>
      <c r="DN132" s="246"/>
      <c r="DO132" s="246"/>
      <c r="DP132" s="246"/>
      <c r="DQ132" s="246"/>
      <c r="DR132" s="246"/>
      <c r="DS132" s="246"/>
      <c r="DT132" s="246"/>
      <c r="DU132" s="247"/>
      <c r="DV132" s="246"/>
      <c r="DW132" s="246"/>
      <c r="DX132" s="246"/>
      <c r="DY132" s="246"/>
      <c r="DZ132" s="246"/>
      <c r="EA132" s="246"/>
      <c r="EB132" s="246"/>
      <c r="EC132" s="246"/>
      <c r="ED132" s="246"/>
      <c r="EE132" s="246"/>
      <c r="EF132" s="246"/>
      <c r="EG132" s="246"/>
      <c r="EH132" s="247"/>
      <c r="EI132" s="21"/>
      <c r="EJ132" s="21"/>
      <c r="EK132" s="21"/>
      <c r="EL132" s="21"/>
      <c r="EM132" s="21"/>
    </row>
    <row r="133" spans="1:143" ht="13.5" customHeight="1">
      <c r="A133" s="21"/>
      <c r="B133" s="21"/>
      <c r="C133" s="21"/>
      <c r="D133" s="1454"/>
      <c r="E133" s="1628"/>
      <c r="F133" s="1628"/>
      <c r="G133" s="1628"/>
      <c r="H133" s="1629"/>
      <c r="I133" s="415">
        <f>+I8</f>
        <v>45322</v>
      </c>
      <c r="J133" s="416">
        <f>+IF(MOD(YEAR(I133),4)=0,I133+29,I133+28)</f>
        <v>45351</v>
      </c>
      <c r="K133" s="416">
        <f>DATE(YEAR(J133),MONTH(J133)+1,31)</f>
        <v>45382</v>
      </c>
      <c r="L133" s="416">
        <f>DATE(YEAR(K133),MONTH(K133)+1,30)</f>
        <v>45412</v>
      </c>
      <c r="M133" s="416">
        <f>DATE(YEAR(L133),MONTH(L133)+1,31)</f>
        <v>45443</v>
      </c>
      <c r="N133" s="416">
        <f>DATE(YEAR(M133),MONTH(M133)+1,30)</f>
        <v>45473</v>
      </c>
      <c r="O133" s="416">
        <f t="shared" ref="O133:P133" si="834">DATE(YEAR(N133),MONTH(N133)+1,31)</f>
        <v>45504</v>
      </c>
      <c r="P133" s="416">
        <f t="shared" si="834"/>
        <v>45535</v>
      </c>
      <c r="Q133" s="416">
        <f>DATE(YEAR(P133),MONTH(P133)+1,30)</f>
        <v>45565</v>
      </c>
      <c r="R133" s="416">
        <f>DATE(YEAR(Q133),MONTH(Q133)+1,31)</f>
        <v>45596</v>
      </c>
      <c r="S133" s="416">
        <f>DATE(YEAR(R133),MONTH(R133)+1,30)</f>
        <v>45626</v>
      </c>
      <c r="T133" s="416">
        <f>DATE(YEAR(S133),MONTH(S133)+1,31)</f>
        <v>45657</v>
      </c>
      <c r="U133" s="417"/>
      <c r="V133" s="415">
        <f>DATE(YEAR(T133),MONTH(T133)+1,31)</f>
        <v>45688</v>
      </c>
      <c r="W133" s="416">
        <f>+IF(MOD(YEAR(V133),4)=0,V133+29,V133+28)</f>
        <v>45716</v>
      </c>
      <c r="X133" s="416">
        <f>DATE(YEAR(W133),MONTH(W133)+1,31)</f>
        <v>45747</v>
      </c>
      <c r="Y133" s="416">
        <f>DATE(YEAR(X133),MONTH(X133)+1,30)</f>
        <v>45777</v>
      </c>
      <c r="Z133" s="416">
        <f>DATE(YEAR(Y133),MONTH(Y133)+1,31)</f>
        <v>45808</v>
      </c>
      <c r="AA133" s="416">
        <f>DATE(YEAR(Z133),MONTH(Z133)+1,30)</f>
        <v>45838</v>
      </c>
      <c r="AB133" s="416">
        <f t="shared" ref="AB133:AC133" si="835">DATE(YEAR(AA133),MONTH(AA133)+1,31)</f>
        <v>45869</v>
      </c>
      <c r="AC133" s="416">
        <f t="shared" si="835"/>
        <v>45900</v>
      </c>
      <c r="AD133" s="416">
        <f>DATE(YEAR(AC133),MONTH(AC133)+1,30)</f>
        <v>45930</v>
      </c>
      <c r="AE133" s="416">
        <f>DATE(YEAR(AD133),MONTH(AD133)+1,31)</f>
        <v>45961</v>
      </c>
      <c r="AF133" s="416">
        <f>DATE(YEAR(AE133),MONTH(AE133)+1,30)</f>
        <v>45991</v>
      </c>
      <c r="AG133" s="416">
        <f>DATE(YEAR(AF133),MONTH(AF133)+1,31)</f>
        <v>46022</v>
      </c>
      <c r="AH133" s="417"/>
      <c r="AI133" s="415">
        <f>DATE(YEAR(AG133),MONTH(AG133)+1,31)</f>
        <v>46053</v>
      </c>
      <c r="AJ133" s="416">
        <f>+IF(MOD(YEAR(AI133),4)=0,AI133+29,AI133+28)</f>
        <v>46081</v>
      </c>
      <c r="AK133" s="416">
        <f>DATE(YEAR(AJ133),MONTH(AJ133)+1,31)</f>
        <v>46112</v>
      </c>
      <c r="AL133" s="416">
        <f>DATE(YEAR(AK133),MONTH(AK133)+1,30)</f>
        <v>46142</v>
      </c>
      <c r="AM133" s="416">
        <f>DATE(YEAR(AL133),MONTH(AL133)+1,31)</f>
        <v>46173</v>
      </c>
      <c r="AN133" s="416">
        <f>DATE(YEAR(AM133),MONTH(AM133)+1,30)</f>
        <v>46203</v>
      </c>
      <c r="AO133" s="416">
        <f t="shared" ref="AO133:AP133" si="836">DATE(YEAR(AN133),MONTH(AN133)+1,31)</f>
        <v>46234</v>
      </c>
      <c r="AP133" s="416">
        <f t="shared" si="836"/>
        <v>46265</v>
      </c>
      <c r="AQ133" s="416">
        <f>DATE(YEAR(AP133),MONTH(AP133)+1,30)</f>
        <v>46295</v>
      </c>
      <c r="AR133" s="416">
        <f>DATE(YEAR(AQ133),MONTH(AQ133)+1,31)</f>
        <v>46326</v>
      </c>
      <c r="AS133" s="416">
        <f>DATE(YEAR(AR133),MONTH(AR133)+1,30)</f>
        <v>46356</v>
      </c>
      <c r="AT133" s="416">
        <f>DATE(YEAR(AS133),MONTH(AS133)+1,31)</f>
        <v>46387</v>
      </c>
      <c r="AU133" s="417"/>
      <c r="AV133" s="415">
        <f>DATE(YEAR(AT133),MONTH(AT133)+1,31)</f>
        <v>46418</v>
      </c>
      <c r="AW133" s="416">
        <f>+IF(MOD(YEAR(AV133),4)=0,AV133+29,AV133+28)</f>
        <v>46446</v>
      </c>
      <c r="AX133" s="416">
        <f>DATE(YEAR(AW133),MONTH(AW133)+1,31)</f>
        <v>46477</v>
      </c>
      <c r="AY133" s="416">
        <f>DATE(YEAR(AX133),MONTH(AX133)+1,30)</f>
        <v>46507</v>
      </c>
      <c r="AZ133" s="416">
        <f>DATE(YEAR(AY133),MONTH(AY133)+1,31)</f>
        <v>46538</v>
      </c>
      <c r="BA133" s="416">
        <f>DATE(YEAR(AZ133),MONTH(AZ133)+1,30)</f>
        <v>46568</v>
      </c>
      <c r="BB133" s="416">
        <f t="shared" ref="BB133:BC133" si="837">DATE(YEAR(BA133),MONTH(BA133)+1,31)</f>
        <v>46599</v>
      </c>
      <c r="BC133" s="416">
        <f t="shared" si="837"/>
        <v>46630</v>
      </c>
      <c r="BD133" s="416">
        <f>DATE(YEAR(BC133),MONTH(BC133)+1,30)</f>
        <v>46660</v>
      </c>
      <c r="BE133" s="416">
        <f>DATE(YEAR(BD133),MONTH(BD133)+1,31)</f>
        <v>46691</v>
      </c>
      <c r="BF133" s="416">
        <f>DATE(YEAR(BE133),MONTH(BE133)+1,30)</f>
        <v>46721</v>
      </c>
      <c r="BG133" s="416">
        <f>DATE(YEAR(BF133),MONTH(BF133)+1,31)</f>
        <v>46752</v>
      </c>
      <c r="BH133" s="417"/>
      <c r="BI133" s="415">
        <f>DATE(YEAR(BG133),MONTH(BG133)+1,31)</f>
        <v>46783</v>
      </c>
      <c r="BJ133" s="416">
        <f>+IF(MOD(YEAR(BI133),4)=0,BI133+29,BI133+28)</f>
        <v>46812</v>
      </c>
      <c r="BK133" s="416">
        <f>DATE(YEAR(BJ133),MONTH(BJ133)+1,31)</f>
        <v>46843</v>
      </c>
      <c r="BL133" s="416">
        <f>DATE(YEAR(BK133),MONTH(BK133)+1,30)</f>
        <v>46873</v>
      </c>
      <c r="BM133" s="416">
        <f>DATE(YEAR(BL133),MONTH(BL133)+1,31)</f>
        <v>46904</v>
      </c>
      <c r="BN133" s="416">
        <f>DATE(YEAR(BM133),MONTH(BM133)+1,30)</f>
        <v>46934</v>
      </c>
      <c r="BO133" s="416">
        <f t="shared" ref="BO133:BP133" si="838">DATE(YEAR(BN133),MONTH(BN133)+1,31)</f>
        <v>46965</v>
      </c>
      <c r="BP133" s="416">
        <f t="shared" si="838"/>
        <v>46996</v>
      </c>
      <c r="BQ133" s="416">
        <f>DATE(YEAR(BP133),MONTH(BP133)+1,30)</f>
        <v>47026</v>
      </c>
      <c r="BR133" s="416">
        <f>DATE(YEAR(BQ133),MONTH(BQ133)+1,31)</f>
        <v>47057</v>
      </c>
      <c r="BS133" s="416">
        <f>DATE(YEAR(BR133),MONTH(BR133)+1,30)</f>
        <v>47087</v>
      </c>
      <c r="BT133" s="416">
        <f>DATE(YEAR(BS133),MONTH(BS133)+1,31)</f>
        <v>47118</v>
      </c>
      <c r="BU133" s="417"/>
      <c r="BV133" s="415">
        <f>DATE(YEAR(BT133),MONTH(BT133)+1,31)</f>
        <v>47149</v>
      </c>
      <c r="BW133" s="416">
        <f>+IF(MOD(YEAR(BV133),4)=0,BV133+29,BV133+28)</f>
        <v>47177</v>
      </c>
      <c r="BX133" s="416">
        <f>DATE(YEAR(BW133),MONTH(BW133)+1,31)</f>
        <v>47208</v>
      </c>
      <c r="BY133" s="416">
        <f>DATE(YEAR(BX133),MONTH(BX133)+1,30)</f>
        <v>47238</v>
      </c>
      <c r="BZ133" s="416">
        <f>DATE(YEAR(BY133),MONTH(BY133)+1,31)</f>
        <v>47269</v>
      </c>
      <c r="CA133" s="416">
        <f>DATE(YEAR(BZ133),MONTH(BZ133)+1,30)</f>
        <v>47299</v>
      </c>
      <c r="CB133" s="416">
        <f t="shared" ref="CB133:CC133" si="839">DATE(YEAR(CA133),MONTH(CA133)+1,31)</f>
        <v>47330</v>
      </c>
      <c r="CC133" s="416">
        <f t="shared" si="839"/>
        <v>47361</v>
      </c>
      <c r="CD133" s="416">
        <f>DATE(YEAR(CC133),MONTH(CC133)+1,30)</f>
        <v>47391</v>
      </c>
      <c r="CE133" s="416">
        <f>DATE(YEAR(CD133),MONTH(CD133)+1,31)</f>
        <v>47422</v>
      </c>
      <c r="CF133" s="416">
        <f>DATE(YEAR(CE133),MONTH(CE133)+1,30)</f>
        <v>47452</v>
      </c>
      <c r="CG133" s="416">
        <f>DATE(YEAR(CF133),MONTH(CF133)+1,31)</f>
        <v>47483</v>
      </c>
      <c r="CH133" s="417"/>
      <c r="CI133" s="415">
        <f>DATE(YEAR(CG133),MONTH(CG133)+1,31)</f>
        <v>47514</v>
      </c>
      <c r="CJ133" s="416">
        <f>+IF(MOD(YEAR(CI133),4)=0,CI133+29,CI133+28)</f>
        <v>47542</v>
      </c>
      <c r="CK133" s="416">
        <f>DATE(YEAR(CJ133),MONTH(CJ133)+1,31)</f>
        <v>47573</v>
      </c>
      <c r="CL133" s="416">
        <f>DATE(YEAR(CK133),MONTH(CK133)+1,30)</f>
        <v>47603</v>
      </c>
      <c r="CM133" s="416">
        <f>DATE(YEAR(CL133),MONTH(CL133)+1,31)</f>
        <v>47634</v>
      </c>
      <c r="CN133" s="416">
        <f>DATE(YEAR(CM133),MONTH(CM133)+1,30)</f>
        <v>47664</v>
      </c>
      <c r="CO133" s="416">
        <f t="shared" ref="CO133:CP133" si="840">DATE(YEAR(CN133),MONTH(CN133)+1,31)</f>
        <v>47695</v>
      </c>
      <c r="CP133" s="416">
        <f t="shared" si="840"/>
        <v>47726</v>
      </c>
      <c r="CQ133" s="416">
        <f>DATE(YEAR(CP133),MONTH(CP133)+1,30)</f>
        <v>47756</v>
      </c>
      <c r="CR133" s="416">
        <f>DATE(YEAR(CQ133),MONTH(CQ133)+1,31)</f>
        <v>47787</v>
      </c>
      <c r="CS133" s="416">
        <f>DATE(YEAR(CR133),MONTH(CR133)+1,30)</f>
        <v>47817</v>
      </c>
      <c r="CT133" s="416">
        <f>DATE(YEAR(CS133),MONTH(CS133)+1,31)</f>
        <v>47848</v>
      </c>
      <c r="CU133" s="417"/>
      <c r="CV133" s="415">
        <f>DATE(YEAR(CT133),MONTH(CT133)+1,31)</f>
        <v>47879</v>
      </c>
      <c r="CW133" s="416">
        <f>+IF(MOD(YEAR(CV133),4)=0,CV133+29,CV133+28)</f>
        <v>47907</v>
      </c>
      <c r="CX133" s="416">
        <f>DATE(YEAR(CW133),MONTH(CW133)+1,31)</f>
        <v>47938</v>
      </c>
      <c r="CY133" s="416">
        <f>DATE(YEAR(CX133),MONTH(CX133)+1,30)</f>
        <v>47968</v>
      </c>
      <c r="CZ133" s="416">
        <f>DATE(YEAR(CY133),MONTH(CY133)+1,31)</f>
        <v>47999</v>
      </c>
      <c r="DA133" s="416">
        <f>DATE(YEAR(CZ133),MONTH(CZ133)+1,30)</f>
        <v>48029</v>
      </c>
      <c r="DB133" s="416">
        <f t="shared" ref="DB133:DC133" si="841">DATE(YEAR(DA133),MONTH(DA133)+1,31)</f>
        <v>48060</v>
      </c>
      <c r="DC133" s="416">
        <f t="shared" si="841"/>
        <v>48091</v>
      </c>
      <c r="DD133" s="416">
        <f>DATE(YEAR(DC133),MONTH(DC133)+1,30)</f>
        <v>48121</v>
      </c>
      <c r="DE133" s="416">
        <f>DATE(YEAR(DD133),MONTH(DD133)+1,31)</f>
        <v>48152</v>
      </c>
      <c r="DF133" s="416">
        <f>DATE(YEAR(DE133),MONTH(DE133)+1,30)</f>
        <v>48182</v>
      </c>
      <c r="DG133" s="416">
        <f>DATE(YEAR(DF133),MONTH(DF133)+1,31)</f>
        <v>48213</v>
      </c>
      <c r="DH133" s="417"/>
      <c r="DI133" s="415">
        <f>DATE(YEAR(DG133),MONTH(DG133)+1,31)</f>
        <v>48244</v>
      </c>
      <c r="DJ133" s="416">
        <f>+IF(MOD(YEAR(DI133),4)=0,DI133+29,DI133+28)</f>
        <v>48273</v>
      </c>
      <c r="DK133" s="416">
        <f>DATE(YEAR(DJ133),MONTH(DJ133)+1,31)</f>
        <v>48304</v>
      </c>
      <c r="DL133" s="416">
        <f>DATE(YEAR(DK133),MONTH(DK133)+1,30)</f>
        <v>48334</v>
      </c>
      <c r="DM133" s="416">
        <f>DATE(YEAR(DL133),MONTH(DL133)+1,31)</f>
        <v>48365</v>
      </c>
      <c r="DN133" s="416">
        <f>DATE(YEAR(DM133),MONTH(DM133)+1,30)</f>
        <v>48395</v>
      </c>
      <c r="DO133" s="416">
        <f t="shared" ref="DO133:DP133" si="842">DATE(YEAR(DN133),MONTH(DN133)+1,31)</f>
        <v>48426</v>
      </c>
      <c r="DP133" s="416">
        <f t="shared" si="842"/>
        <v>48457</v>
      </c>
      <c r="DQ133" s="416">
        <f>DATE(YEAR(DP133),MONTH(DP133)+1,30)</f>
        <v>48487</v>
      </c>
      <c r="DR133" s="416">
        <f>DATE(YEAR(DQ133),MONTH(DQ133)+1,31)</f>
        <v>48518</v>
      </c>
      <c r="DS133" s="416">
        <f>DATE(YEAR(DR133),MONTH(DR133)+1,30)</f>
        <v>48548</v>
      </c>
      <c r="DT133" s="416">
        <f>DATE(YEAR(DS133),MONTH(DS133)+1,31)</f>
        <v>48579</v>
      </c>
      <c r="DU133" s="417"/>
      <c r="DV133" s="415">
        <f>DATE(YEAR(DT133),MONTH(DT133)+1,31)</f>
        <v>48610</v>
      </c>
      <c r="DW133" s="416">
        <f>+IF(MOD(YEAR(DV133),4)=0,DV133+29,DV133+28)</f>
        <v>48638</v>
      </c>
      <c r="DX133" s="416">
        <f>DATE(YEAR(DW133),MONTH(DW133)+1,31)</f>
        <v>48669</v>
      </c>
      <c r="DY133" s="416">
        <f>DATE(YEAR(DX133),MONTH(DX133)+1,30)</f>
        <v>48699</v>
      </c>
      <c r="DZ133" s="416">
        <f>DATE(YEAR(DY133),MONTH(DY133)+1,31)</f>
        <v>48730</v>
      </c>
      <c r="EA133" s="416">
        <f>DATE(YEAR(DZ133),MONTH(DZ133)+1,30)</f>
        <v>48760</v>
      </c>
      <c r="EB133" s="416">
        <f t="shared" ref="EB133:EC133" si="843">DATE(YEAR(EA133),MONTH(EA133)+1,31)</f>
        <v>48791</v>
      </c>
      <c r="EC133" s="416">
        <f t="shared" si="843"/>
        <v>48822</v>
      </c>
      <c r="ED133" s="416">
        <f>DATE(YEAR(EC133),MONTH(EC133)+1,30)</f>
        <v>48852</v>
      </c>
      <c r="EE133" s="416">
        <f>DATE(YEAR(ED133),MONTH(ED133)+1,31)</f>
        <v>48883</v>
      </c>
      <c r="EF133" s="416">
        <f>DATE(YEAR(EE133),MONTH(EE133)+1,30)</f>
        <v>48913</v>
      </c>
      <c r="EG133" s="416">
        <f>DATE(YEAR(EF133),MONTH(EF133)+1,31)</f>
        <v>48944</v>
      </c>
      <c r="EH133" s="417"/>
      <c r="EI133" s="21"/>
      <c r="EJ133" s="21"/>
      <c r="EK133" s="21"/>
      <c r="EL133" s="21"/>
      <c r="EM133" s="21"/>
    </row>
    <row r="134" spans="1:143" ht="33" customHeight="1">
      <c r="A134" s="21"/>
      <c r="B134" s="21"/>
      <c r="C134" s="21"/>
      <c r="D134" s="1452" t="s">
        <v>632</v>
      </c>
      <c r="E134" s="1630"/>
      <c r="F134" s="418"/>
      <c r="G134" s="263"/>
      <c r="H134" s="419"/>
      <c r="I134" s="420"/>
      <c r="J134" s="420"/>
      <c r="K134" s="420"/>
      <c r="L134" s="420"/>
      <c r="M134" s="420"/>
      <c r="N134" s="420"/>
      <c r="O134" s="420"/>
      <c r="P134" s="420"/>
      <c r="Q134" s="420"/>
      <c r="R134" s="420"/>
      <c r="S134" s="420"/>
      <c r="T134" s="421"/>
      <c r="U134" s="360"/>
      <c r="V134" s="420"/>
      <c r="W134" s="420"/>
      <c r="X134" s="420"/>
      <c r="Y134" s="420"/>
      <c r="Z134" s="420"/>
      <c r="AA134" s="420"/>
      <c r="AB134" s="420"/>
      <c r="AC134" s="420"/>
      <c r="AD134" s="420"/>
      <c r="AE134" s="420"/>
      <c r="AF134" s="420"/>
      <c r="AG134" s="421"/>
      <c r="AH134" s="360"/>
      <c r="AI134" s="420"/>
      <c r="AJ134" s="420"/>
      <c r="AK134" s="420"/>
      <c r="AL134" s="420"/>
      <c r="AM134" s="420"/>
      <c r="AN134" s="420"/>
      <c r="AO134" s="420"/>
      <c r="AP134" s="420"/>
      <c r="AQ134" s="420"/>
      <c r="AR134" s="420"/>
      <c r="AS134" s="420"/>
      <c r="AT134" s="421"/>
      <c r="AU134" s="360"/>
      <c r="AV134" s="420"/>
      <c r="AW134" s="420"/>
      <c r="AX134" s="420"/>
      <c r="AY134" s="420"/>
      <c r="AZ134" s="420"/>
      <c r="BA134" s="420"/>
      <c r="BB134" s="420"/>
      <c r="BC134" s="420"/>
      <c r="BD134" s="420"/>
      <c r="BE134" s="420"/>
      <c r="BF134" s="420"/>
      <c r="BG134" s="421"/>
      <c r="BH134" s="360"/>
      <c r="BI134" s="420"/>
      <c r="BJ134" s="420"/>
      <c r="BK134" s="420"/>
      <c r="BL134" s="420"/>
      <c r="BM134" s="420"/>
      <c r="BN134" s="420"/>
      <c r="BO134" s="420"/>
      <c r="BP134" s="420"/>
      <c r="BQ134" s="420"/>
      <c r="BR134" s="420"/>
      <c r="BS134" s="420"/>
      <c r="BT134" s="421"/>
      <c r="BU134" s="360"/>
      <c r="BV134" s="420"/>
      <c r="BW134" s="420"/>
      <c r="BX134" s="420"/>
      <c r="BY134" s="420"/>
      <c r="BZ134" s="420"/>
      <c r="CA134" s="420"/>
      <c r="CB134" s="420"/>
      <c r="CC134" s="420"/>
      <c r="CD134" s="420"/>
      <c r="CE134" s="420"/>
      <c r="CF134" s="420"/>
      <c r="CG134" s="421"/>
      <c r="CH134" s="360"/>
      <c r="CI134" s="420"/>
      <c r="CJ134" s="420"/>
      <c r="CK134" s="420"/>
      <c r="CL134" s="420"/>
      <c r="CM134" s="420"/>
      <c r="CN134" s="420"/>
      <c r="CO134" s="420"/>
      <c r="CP134" s="420"/>
      <c r="CQ134" s="420"/>
      <c r="CR134" s="420"/>
      <c r="CS134" s="420"/>
      <c r="CT134" s="421"/>
      <c r="CU134" s="360"/>
      <c r="CV134" s="420"/>
      <c r="CW134" s="420"/>
      <c r="CX134" s="420"/>
      <c r="CY134" s="420"/>
      <c r="CZ134" s="420"/>
      <c r="DA134" s="420"/>
      <c r="DB134" s="420"/>
      <c r="DC134" s="420"/>
      <c r="DD134" s="420"/>
      <c r="DE134" s="420"/>
      <c r="DF134" s="420"/>
      <c r="DG134" s="421"/>
      <c r="DH134" s="360"/>
      <c r="DI134" s="420"/>
      <c r="DJ134" s="420"/>
      <c r="DK134" s="420"/>
      <c r="DL134" s="420"/>
      <c r="DM134" s="420"/>
      <c r="DN134" s="420"/>
      <c r="DO134" s="420"/>
      <c r="DP134" s="420"/>
      <c r="DQ134" s="420"/>
      <c r="DR134" s="420"/>
      <c r="DS134" s="420"/>
      <c r="DT134" s="421"/>
      <c r="DU134" s="360"/>
      <c r="DV134" s="420"/>
      <c r="DW134" s="420"/>
      <c r="DX134" s="420"/>
      <c r="DY134" s="420"/>
      <c r="DZ134" s="420"/>
      <c r="EA134" s="420"/>
      <c r="EB134" s="420"/>
      <c r="EC134" s="420"/>
      <c r="ED134" s="420"/>
      <c r="EE134" s="420"/>
      <c r="EF134" s="420"/>
      <c r="EG134" s="421"/>
      <c r="EH134" s="360"/>
      <c r="EI134" s="21"/>
      <c r="EJ134" s="21"/>
      <c r="EK134" s="21"/>
      <c r="EL134" s="21"/>
      <c r="EM134" s="21"/>
    </row>
    <row r="135" spans="1:143" ht="13.5" customHeight="1">
      <c r="A135" s="21"/>
      <c r="B135" s="21"/>
      <c r="C135" s="21"/>
      <c r="D135" s="422">
        <f>+D118+1</f>
        <v>110</v>
      </c>
      <c r="E135" s="1453"/>
      <c r="F135" s="418" t="s">
        <v>633</v>
      </c>
      <c r="G135" s="263"/>
      <c r="H135" s="419"/>
      <c r="I135" s="664">
        <f>+SUM(I136:I149)</f>
        <v>60000</v>
      </c>
      <c r="J135" s="664">
        <f t="shared" ref="J135:T135" si="844">+SUM(J136:J149)</f>
        <v>0</v>
      </c>
      <c r="K135" s="664">
        <f t="shared" si="844"/>
        <v>0</v>
      </c>
      <c r="L135" s="664">
        <f t="shared" si="844"/>
        <v>0</v>
      </c>
      <c r="M135" s="664">
        <f t="shared" si="844"/>
        <v>0</v>
      </c>
      <c r="N135" s="664">
        <f t="shared" si="844"/>
        <v>0</v>
      </c>
      <c r="O135" s="664">
        <f t="shared" si="844"/>
        <v>0</v>
      </c>
      <c r="P135" s="664">
        <f t="shared" si="844"/>
        <v>0</v>
      </c>
      <c r="Q135" s="664">
        <f t="shared" si="844"/>
        <v>0</v>
      </c>
      <c r="R135" s="664">
        <f t="shared" si="844"/>
        <v>0</v>
      </c>
      <c r="S135" s="664">
        <f t="shared" si="844"/>
        <v>0</v>
      </c>
      <c r="T135" s="423">
        <f t="shared" si="844"/>
        <v>378</v>
      </c>
      <c r="U135" s="360"/>
      <c r="V135" s="664">
        <f t="shared" ref="V135:AG135" si="845">+SUM(V136:V149)</f>
        <v>0</v>
      </c>
      <c r="W135" s="664">
        <f t="shared" si="845"/>
        <v>0</v>
      </c>
      <c r="X135" s="664">
        <f t="shared" si="845"/>
        <v>0</v>
      </c>
      <c r="Y135" s="664">
        <f t="shared" si="845"/>
        <v>0</v>
      </c>
      <c r="Z135" s="664">
        <f t="shared" si="845"/>
        <v>0</v>
      </c>
      <c r="AA135" s="664">
        <f t="shared" si="845"/>
        <v>0</v>
      </c>
      <c r="AB135" s="664">
        <f t="shared" si="845"/>
        <v>0</v>
      </c>
      <c r="AC135" s="664">
        <f t="shared" si="845"/>
        <v>0</v>
      </c>
      <c r="AD135" s="664">
        <f t="shared" si="845"/>
        <v>0</v>
      </c>
      <c r="AE135" s="664">
        <f t="shared" si="845"/>
        <v>0</v>
      </c>
      <c r="AF135" s="664">
        <f t="shared" si="845"/>
        <v>0</v>
      </c>
      <c r="AG135" s="423">
        <f t="shared" si="845"/>
        <v>0</v>
      </c>
      <c r="AH135" s="360"/>
      <c r="AI135" s="664">
        <f t="shared" ref="AI135:AT135" si="846">+SUM(AI136:AI149)</f>
        <v>0</v>
      </c>
      <c r="AJ135" s="664">
        <f t="shared" si="846"/>
        <v>0</v>
      </c>
      <c r="AK135" s="664">
        <f t="shared" si="846"/>
        <v>0</v>
      </c>
      <c r="AL135" s="664">
        <f t="shared" si="846"/>
        <v>0</v>
      </c>
      <c r="AM135" s="664">
        <f t="shared" si="846"/>
        <v>0</v>
      </c>
      <c r="AN135" s="664">
        <f t="shared" si="846"/>
        <v>0</v>
      </c>
      <c r="AO135" s="664">
        <f t="shared" si="846"/>
        <v>0</v>
      </c>
      <c r="AP135" s="664">
        <f t="shared" si="846"/>
        <v>0</v>
      </c>
      <c r="AQ135" s="664">
        <f t="shared" si="846"/>
        <v>0</v>
      </c>
      <c r="AR135" s="664">
        <f t="shared" si="846"/>
        <v>0</v>
      </c>
      <c r="AS135" s="664">
        <f t="shared" si="846"/>
        <v>0</v>
      </c>
      <c r="AT135" s="423">
        <f t="shared" si="846"/>
        <v>0</v>
      </c>
      <c r="AU135" s="360"/>
      <c r="AV135" s="664">
        <f t="shared" ref="AV135:BG135" si="847">+SUM(AV136:AV149)</f>
        <v>0</v>
      </c>
      <c r="AW135" s="664">
        <f t="shared" si="847"/>
        <v>0</v>
      </c>
      <c r="AX135" s="664">
        <f t="shared" si="847"/>
        <v>0</v>
      </c>
      <c r="AY135" s="664">
        <f t="shared" si="847"/>
        <v>0</v>
      </c>
      <c r="AZ135" s="664">
        <f t="shared" si="847"/>
        <v>0</v>
      </c>
      <c r="BA135" s="664">
        <f t="shared" si="847"/>
        <v>0</v>
      </c>
      <c r="BB135" s="664">
        <f t="shared" si="847"/>
        <v>0</v>
      </c>
      <c r="BC135" s="664">
        <f t="shared" si="847"/>
        <v>0</v>
      </c>
      <c r="BD135" s="664">
        <f t="shared" si="847"/>
        <v>0</v>
      </c>
      <c r="BE135" s="664">
        <f t="shared" si="847"/>
        <v>0</v>
      </c>
      <c r="BF135" s="664">
        <f t="shared" si="847"/>
        <v>0</v>
      </c>
      <c r="BG135" s="423">
        <f t="shared" si="847"/>
        <v>0</v>
      </c>
      <c r="BH135" s="360"/>
      <c r="BI135" s="664">
        <f t="shared" ref="BI135:BT135" si="848">+SUM(BI136:BI149)</f>
        <v>0</v>
      </c>
      <c r="BJ135" s="664">
        <f t="shared" si="848"/>
        <v>0</v>
      </c>
      <c r="BK135" s="664">
        <f t="shared" si="848"/>
        <v>0</v>
      </c>
      <c r="BL135" s="664">
        <f t="shared" si="848"/>
        <v>0</v>
      </c>
      <c r="BM135" s="664">
        <f t="shared" si="848"/>
        <v>0</v>
      </c>
      <c r="BN135" s="664">
        <f t="shared" si="848"/>
        <v>0</v>
      </c>
      <c r="BO135" s="664">
        <f t="shared" si="848"/>
        <v>0</v>
      </c>
      <c r="BP135" s="664">
        <f t="shared" si="848"/>
        <v>0</v>
      </c>
      <c r="BQ135" s="664">
        <f t="shared" si="848"/>
        <v>0</v>
      </c>
      <c r="BR135" s="664">
        <f t="shared" si="848"/>
        <v>0</v>
      </c>
      <c r="BS135" s="664">
        <f t="shared" si="848"/>
        <v>0</v>
      </c>
      <c r="BT135" s="423">
        <f t="shared" si="848"/>
        <v>0</v>
      </c>
      <c r="BU135" s="360"/>
      <c r="BV135" s="664">
        <f t="shared" ref="BV135:CG135" si="849">+SUM(BV136:BV149)</f>
        <v>0</v>
      </c>
      <c r="BW135" s="664">
        <f t="shared" si="849"/>
        <v>0</v>
      </c>
      <c r="BX135" s="664">
        <f t="shared" si="849"/>
        <v>0</v>
      </c>
      <c r="BY135" s="664">
        <f t="shared" si="849"/>
        <v>0</v>
      </c>
      <c r="BZ135" s="664">
        <f t="shared" si="849"/>
        <v>0</v>
      </c>
      <c r="CA135" s="664">
        <f t="shared" si="849"/>
        <v>0</v>
      </c>
      <c r="CB135" s="664">
        <f t="shared" si="849"/>
        <v>0</v>
      </c>
      <c r="CC135" s="664">
        <f t="shared" si="849"/>
        <v>0</v>
      </c>
      <c r="CD135" s="664">
        <f t="shared" si="849"/>
        <v>0</v>
      </c>
      <c r="CE135" s="664">
        <f t="shared" si="849"/>
        <v>0</v>
      </c>
      <c r="CF135" s="664">
        <f t="shared" si="849"/>
        <v>0</v>
      </c>
      <c r="CG135" s="423">
        <f t="shared" si="849"/>
        <v>0</v>
      </c>
      <c r="CH135" s="360"/>
      <c r="CI135" s="664">
        <f t="shared" ref="CI135:CT135" si="850">+SUM(CI136:CI149)</f>
        <v>0</v>
      </c>
      <c r="CJ135" s="664">
        <f t="shared" si="850"/>
        <v>0</v>
      </c>
      <c r="CK135" s="664">
        <f t="shared" si="850"/>
        <v>0</v>
      </c>
      <c r="CL135" s="664">
        <f t="shared" si="850"/>
        <v>0</v>
      </c>
      <c r="CM135" s="664">
        <f t="shared" si="850"/>
        <v>0</v>
      </c>
      <c r="CN135" s="664">
        <f t="shared" si="850"/>
        <v>0</v>
      </c>
      <c r="CO135" s="664">
        <f t="shared" si="850"/>
        <v>0</v>
      </c>
      <c r="CP135" s="664">
        <f t="shared" si="850"/>
        <v>0</v>
      </c>
      <c r="CQ135" s="664">
        <f t="shared" si="850"/>
        <v>0</v>
      </c>
      <c r="CR135" s="664">
        <f t="shared" si="850"/>
        <v>0</v>
      </c>
      <c r="CS135" s="664">
        <f t="shared" si="850"/>
        <v>0</v>
      </c>
      <c r="CT135" s="423">
        <f t="shared" si="850"/>
        <v>0</v>
      </c>
      <c r="CU135" s="360"/>
      <c r="CV135" s="664">
        <f t="shared" ref="CV135:DG135" si="851">+SUM(CV136:CV149)</f>
        <v>0</v>
      </c>
      <c r="CW135" s="664">
        <f t="shared" si="851"/>
        <v>0</v>
      </c>
      <c r="CX135" s="664">
        <f t="shared" si="851"/>
        <v>0</v>
      </c>
      <c r="CY135" s="664">
        <f t="shared" si="851"/>
        <v>0</v>
      </c>
      <c r="CZ135" s="664">
        <f t="shared" si="851"/>
        <v>0</v>
      </c>
      <c r="DA135" s="664">
        <f t="shared" si="851"/>
        <v>0</v>
      </c>
      <c r="DB135" s="664">
        <f t="shared" si="851"/>
        <v>0</v>
      </c>
      <c r="DC135" s="664">
        <f t="shared" si="851"/>
        <v>0</v>
      </c>
      <c r="DD135" s="664">
        <f t="shared" si="851"/>
        <v>0</v>
      </c>
      <c r="DE135" s="664">
        <f t="shared" si="851"/>
        <v>0</v>
      </c>
      <c r="DF135" s="664">
        <f t="shared" si="851"/>
        <v>0</v>
      </c>
      <c r="DG135" s="423">
        <f t="shared" si="851"/>
        <v>0</v>
      </c>
      <c r="DH135" s="360"/>
      <c r="DI135" s="664">
        <f t="shared" ref="DI135:DT135" si="852">+SUM(DI136:DI149)</f>
        <v>0</v>
      </c>
      <c r="DJ135" s="664">
        <f t="shared" si="852"/>
        <v>0</v>
      </c>
      <c r="DK135" s="664">
        <f t="shared" si="852"/>
        <v>0</v>
      </c>
      <c r="DL135" s="664">
        <f t="shared" si="852"/>
        <v>0</v>
      </c>
      <c r="DM135" s="664">
        <f t="shared" si="852"/>
        <v>0</v>
      </c>
      <c r="DN135" s="664">
        <f t="shared" si="852"/>
        <v>0</v>
      </c>
      <c r="DO135" s="664">
        <f t="shared" si="852"/>
        <v>0</v>
      </c>
      <c r="DP135" s="664">
        <f t="shared" si="852"/>
        <v>0</v>
      </c>
      <c r="DQ135" s="664">
        <f t="shared" si="852"/>
        <v>0</v>
      </c>
      <c r="DR135" s="664">
        <f t="shared" si="852"/>
        <v>0</v>
      </c>
      <c r="DS135" s="664">
        <f t="shared" si="852"/>
        <v>0</v>
      </c>
      <c r="DT135" s="423">
        <f t="shared" si="852"/>
        <v>0</v>
      </c>
      <c r="DU135" s="360"/>
      <c r="DV135" s="664">
        <f t="shared" ref="DV135:EG135" si="853">+SUM(DV136:DV149)</f>
        <v>0</v>
      </c>
      <c r="DW135" s="664">
        <f t="shared" si="853"/>
        <v>0</v>
      </c>
      <c r="DX135" s="664">
        <f t="shared" si="853"/>
        <v>0</v>
      </c>
      <c r="DY135" s="664">
        <f t="shared" si="853"/>
        <v>0</v>
      </c>
      <c r="DZ135" s="664">
        <f t="shared" si="853"/>
        <v>0</v>
      </c>
      <c r="EA135" s="664">
        <f t="shared" si="853"/>
        <v>0</v>
      </c>
      <c r="EB135" s="664">
        <f t="shared" si="853"/>
        <v>0</v>
      </c>
      <c r="EC135" s="664">
        <f t="shared" si="853"/>
        <v>0</v>
      </c>
      <c r="ED135" s="664">
        <f t="shared" si="853"/>
        <v>0</v>
      </c>
      <c r="EE135" s="664">
        <f t="shared" si="853"/>
        <v>0</v>
      </c>
      <c r="EF135" s="664">
        <f t="shared" si="853"/>
        <v>0</v>
      </c>
      <c r="EG135" s="423">
        <f t="shared" si="853"/>
        <v>0</v>
      </c>
      <c r="EH135" s="360"/>
      <c r="EI135" s="21"/>
      <c r="EJ135" s="21"/>
      <c r="EK135" s="21"/>
      <c r="EL135" s="21"/>
      <c r="EM135" s="21"/>
    </row>
    <row r="136" spans="1:143" ht="14.25" customHeight="1">
      <c r="A136" s="21"/>
      <c r="B136" s="21"/>
      <c r="C136" s="21"/>
      <c r="D136" s="422">
        <f t="shared" ref="D136:D149" si="854">+D135+1</f>
        <v>111</v>
      </c>
      <c r="E136" s="1625"/>
      <c r="F136" s="403" t="str">
        <f t="shared" ref="F136:F138" si="855">+F104</f>
        <v>Long Term Bank Loan - BNI #2 (New)</v>
      </c>
      <c r="G136" s="424">
        <f>+G54</f>
        <v>0.6</v>
      </c>
      <c r="H136" s="425"/>
      <c r="I136" s="665">
        <f>+$G$136*I62</f>
        <v>60000</v>
      </c>
      <c r="J136" s="665">
        <f t="shared" ref="J136:T136" si="856">+$G$136*J62</f>
        <v>0</v>
      </c>
      <c r="K136" s="665">
        <f t="shared" si="856"/>
        <v>0</v>
      </c>
      <c r="L136" s="665">
        <f t="shared" si="856"/>
        <v>0</v>
      </c>
      <c r="M136" s="665">
        <f t="shared" si="856"/>
        <v>0</v>
      </c>
      <c r="N136" s="665">
        <f t="shared" si="856"/>
        <v>0</v>
      </c>
      <c r="O136" s="665">
        <f t="shared" si="856"/>
        <v>0</v>
      </c>
      <c r="P136" s="665">
        <f t="shared" si="856"/>
        <v>0</v>
      </c>
      <c r="Q136" s="665">
        <f t="shared" si="856"/>
        <v>0</v>
      </c>
      <c r="R136" s="665">
        <f t="shared" si="856"/>
        <v>0</v>
      </c>
      <c r="S136" s="665">
        <f t="shared" si="856"/>
        <v>0</v>
      </c>
      <c r="T136" s="665">
        <f t="shared" si="856"/>
        <v>18</v>
      </c>
      <c r="U136" s="360"/>
      <c r="V136" s="665">
        <f t="shared" ref="V136:AG136" si="857">+$G$136*V62</f>
        <v>0</v>
      </c>
      <c r="W136" s="665">
        <f t="shared" si="857"/>
        <v>0</v>
      </c>
      <c r="X136" s="665">
        <f t="shared" si="857"/>
        <v>0</v>
      </c>
      <c r="Y136" s="665">
        <f t="shared" si="857"/>
        <v>0</v>
      </c>
      <c r="Z136" s="665">
        <f t="shared" si="857"/>
        <v>0</v>
      </c>
      <c r="AA136" s="665">
        <f t="shared" si="857"/>
        <v>0</v>
      </c>
      <c r="AB136" s="665">
        <f t="shared" si="857"/>
        <v>0</v>
      </c>
      <c r="AC136" s="665">
        <f t="shared" si="857"/>
        <v>0</v>
      </c>
      <c r="AD136" s="665">
        <f t="shared" si="857"/>
        <v>0</v>
      </c>
      <c r="AE136" s="665">
        <f t="shared" si="857"/>
        <v>0</v>
      </c>
      <c r="AF136" s="665">
        <f t="shared" si="857"/>
        <v>0</v>
      </c>
      <c r="AG136" s="665">
        <f t="shared" si="857"/>
        <v>0</v>
      </c>
      <c r="AH136" s="360"/>
      <c r="AI136" s="665">
        <f t="shared" ref="AI136:AT136" si="858">+$G$136*AI62</f>
        <v>0</v>
      </c>
      <c r="AJ136" s="665">
        <f t="shared" si="858"/>
        <v>0</v>
      </c>
      <c r="AK136" s="665">
        <f t="shared" si="858"/>
        <v>0</v>
      </c>
      <c r="AL136" s="665">
        <f t="shared" si="858"/>
        <v>0</v>
      </c>
      <c r="AM136" s="665">
        <f t="shared" si="858"/>
        <v>0</v>
      </c>
      <c r="AN136" s="665">
        <f t="shared" si="858"/>
        <v>0</v>
      </c>
      <c r="AO136" s="665">
        <f t="shared" si="858"/>
        <v>0</v>
      </c>
      <c r="AP136" s="665">
        <f t="shared" si="858"/>
        <v>0</v>
      </c>
      <c r="AQ136" s="665">
        <f t="shared" si="858"/>
        <v>0</v>
      </c>
      <c r="AR136" s="665">
        <f t="shared" si="858"/>
        <v>0</v>
      </c>
      <c r="AS136" s="665">
        <f t="shared" si="858"/>
        <v>0</v>
      </c>
      <c r="AT136" s="665">
        <f t="shared" si="858"/>
        <v>0</v>
      </c>
      <c r="AU136" s="360"/>
      <c r="AV136" s="665">
        <f t="shared" ref="AV136:BG136" si="859">+$G$136*AV62</f>
        <v>0</v>
      </c>
      <c r="AW136" s="665">
        <f t="shared" si="859"/>
        <v>0</v>
      </c>
      <c r="AX136" s="665">
        <f t="shared" si="859"/>
        <v>0</v>
      </c>
      <c r="AY136" s="665">
        <f t="shared" si="859"/>
        <v>0</v>
      </c>
      <c r="AZ136" s="665">
        <f t="shared" si="859"/>
        <v>0</v>
      </c>
      <c r="BA136" s="665">
        <f t="shared" si="859"/>
        <v>0</v>
      </c>
      <c r="BB136" s="665">
        <f t="shared" si="859"/>
        <v>0</v>
      </c>
      <c r="BC136" s="665">
        <f t="shared" si="859"/>
        <v>0</v>
      </c>
      <c r="BD136" s="665">
        <f t="shared" si="859"/>
        <v>0</v>
      </c>
      <c r="BE136" s="665">
        <f t="shared" si="859"/>
        <v>0</v>
      </c>
      <c r="BF136" s="665">
        <f t="shared" si="859"/>
        <v>0</v>
      </c>
      <c r="BG136" s="665">
        <f t="shared" si="859"/>
        <v>0</v>
      </c>
      <c r="BH136" s="360"/>
      <c r="BI136" s="665">
        <f t="shared" ref="BI136:BT136" si="860">+$G$136*BI62</f>
        <v>0</v>
      </c>
      <c r="BJ136" s="665">
        <f t="shared" si="860"/>
        <v>0</v>
      </c>
      <c r="BK136" s="665">
        <f t="shared" si="860"/>
        <v>0</v>
      </c>
      <c r="BL136" s="665">
        <f t="shared" si="860"/>
        <v>0</v>
      </c>
      <c r="BM136" s="665">
        <f t="shared" si="860"/>
        <v>0</v>
      </c>
      <c r="BN136" s="665">
        <f t="shared" si="860"/>
        <v>0</v>
      </c>
      <c r="BO136" s="665">
        <f t="shared" si="860"/>
        <v>0</v>
      </c>
      <c r="BP136" s="665">
        <f t="shared" si="860"/>
        <v>0</v>
      </c>
      <c r="BQ136" s="665">
        <f t="shared" si="860"/>
        <v>0</v>
      </c>
      <c r="BR136" s="665">
        <f t="shared" si="860"/>
        <v>0</v>
      </c>
      <c r="BS136" s="665">
        <f t="shared" si="860"/>
        <v>0</v>
      </c>
      <c r="BT136" s="665">
        <f t="shared" si="860"/>
        <v>0</v>
      </c>
      <c r="BU136" s="360"/>
      <c r="BV136" s="665">
        <f t="shared" ref="BV136:CG136" si="861">+$G$136*BV61</f>
        <v>0</v>
      </c>
      <c r="BW136" s="665">
        <f t="shared" si="861"/>
        <v>0</v>
      </c>
      <c r="BX136" s="665">
        <f t="shared" si="861"/>
        <v>0</v>
      </c>
      <c r="BY136" s="665">
        <f t="shared" si="861"/>
        <v>0</v>
      </c>
      <c r="BZ136" s="665">
        <f t="shared" si="861"/>
        <v>0</v>
      </c>
      <c r="CA136" s="665">
        <f t="shared" si="861"/>
        <v>0</v>
      </c>
      <c r="CB136" s="665">
        <f t="shared" si="861"/>
        <v>0</v>
      </c>
      <c r="CC136" s="665">
        <f t="shared" si="861"/>
        <v>0</v>
      </c>
      <c r="CD136" s="665">
        <f t="shared" si="861"/>
        <v>0</v>
      </c>
      <c r="CE136" s="665">
        <f t="shared" si="861"/>
        <v>0</v>
      </c>
      <c r="CF136" s="665">
        <f t="shared" si="861"/>
        <v>0</v>
      </c>
      <c r="CG136" s="665">
        <f t="shared" si="861"/>
        <v>0</v>
      </c>
      <c r="CH136" s="360"/>
      <c r="CI136" s="665">
        <f t="shared" ref="CI136:CT136" si="862">+$G$136*CI61</f>
        <v>0</v>
      </c>
      <c r="CJ136" s="665">
        <f t="shared" si="862"/>
        <v>0</v>
      </c>
      <c r="CK136" s="665">
        <f t="shared" si="862"/>
        <v>0</v>
      </c>
      <c r="CL136" s="665">
        <f t="shared" si="862"/>
        <v>0</v>
      </c>
      <c r="CM136" s="665">
        <f t="shared" si="862"/>
        <v>0</v>
      </c>
      <c r="CN136" s="665">
        <f t="shared" si="862"/>
        <v>0</v>
      </c>
      <c r="CO136" s="665">
        <f t="shared" si="862"/>
        <v>0</v>
      </c>
      <c r="CP136" s="665">
        <f t="shared" si="862"/>
        <v>0</v>
      </c>
      <c r="CQ136" s="665">
        <f t="shared" si="862"/>
        <v>0</v>
      </c>
      <c r="CR136" s="665">
        <f t="shared" si="862"/>
        <v>0</v>
      </c>
      <c r="CS136" s="665">
        <f t="shared" si="862"/>
        <v>0</v>
      </c>
      <c r="CT136" s="665">
        <f t="shared" si="862"/>
        <v>0</v>
      </c>
      <c r="CU136" s="360"/>
      <c r="CV136" s="665">
        <f t="shared" ref="CV136:DG136" si="863">+$G$136*CV61</f>
        <v>0</v>
      </c>
      <c r="CW136" s="665">
        <f t="shared" si="863"/>
        <v>0</v>
      </c>
      <c r="CX136" s="665">
        <f t="shared" si="863"/>
        <v>0</v>
      </c>
      <c r="CY136" s="665">
        <f t="shared" si="863"/>
        <v>0</v>
      </c>
      <c r="CZ136" s="665">
        <f t="shared" si="863"/>
        <v>0</v>
      </c>
      <c r="DA136" s="665">
        <f t="shared" si="863"/>
        <v>0</v>
      </c>
      <c r="DB136" s="665">
        <f t="shared" si="863"/>
        <v>0</v>
      </c>
      <c r="DC136" s="665">
        <f t="shared" si="863"/>
        <v>0</v>
      </c>
      <c r="DD136" s="665">
        <f t="shared" si="863"/>
        <v>0</v>
      </c>
      <c r="DE136" s="665">
        <f t="shared" si="863"/>
        <v>0</v>
      </c>
      <c r="DF136" s="665">
        <f t="shared" si="863"/>
        <v>0</v>
      </c>
      <c r="DG136" s="665">
        <f t="shared" si="863"/>
        <v>0</v>
      </c>
      <c r="DH136" s="360"/>
      <c r="DI136" s="665">
        <f t="shared" ref="DI136:DT136" si="864">+$G$136*DI61</f>
        <v>0</v>
      </c>
      <c r="DJ136" s="665">
        <f t="shared" si="864"/>
        <v>0</v>
      </c>
      <c r="DK136" s="665">
        <f t="shared" si="864"/>
        <v>0</v>
      </c>
      <c r="DL136" s="665">
        <f t="shared" si="864"/>
        <v>0</v>
      </c>
      <c r="DM136" s="665">
        <f t="shared" si="864"/>
        <v>0</v>
      </c>
      <c r="DN136" s="665">
        <f t="shared" si="864"/>
        <v>0</v>
      </c>
      <c r="DO136" s="665">
        <f t="shared" si="864"/>
        <v>0</v>
      </c>
      <c r="DP136" s="665">
        <f t="shared" si="864"/>
        <v>0</v>
      </c>
      <c r="DQ136" s="665">
        <f t="shared" si="864"/>
        <v>0</v>
      </c>
      <c r="DR136" s="665">
        <f t="shared" si="864"/>
        <v>0</v>
      </c>
      <c r="DS136" s="665">
        <f t="shared" si="864"/>
        <v>0</v>
      </c>
      <c r="DT136" s="665">
        <f t="shared" si="864"/>
        <v>0</v>
      </c>
      <c r="DU136" s="360"/>
      <c r="DV136" s="665">
        <f t="shared" ref="DV136:EG136" si="865">+$G$136*DV61</f>
        <v>0</v>
      </c>
      <c r="DW136" s="665">
        <f t="shared" si="865"/>
        <v>0</v>
      </c>
      <c r="DX136" s="665">
        <f t="shared" si="865"/>
        <v>0</v>
      </c>
      <c r="DY136" s="665">
        <f t="shared" si="865"/>
        <v>0</v>
      </c>
      <c r="DZ136" s="665">
        <f t="shared" si="865"/>
        <v>0</v>
      </c>
      <c r="EA136" s="665">
        <f t="shared" si="865"/>
        <v>0</v>
      </c>
      <c r="EB136" s="665">
        <f t="shared" si="865"/>
        <v>0</v>
      </c>
      <c r="EC136" s="665">
        <f t="shared" si="865"/>
        <v>0</v>
      </c>
      <c r="ED136" s="665">
        <f t="shared" si="865"/>
        <v>0</v>
      </c>
      <c r="EE136" s="665">
        <f t="shared" si="865"/>
        <v>0</v>
      </c>
      <c r="EF136" s="665">
        <f t="shared" si="865"/>
        <v>0</v>
      </c>
      <c r="EG136" s="665">
        <f t="shared" si="865"/>
        <v>0</v>
      </c>
      <c r="EH136" s="360"/>
      <c r="EI136" s="21"/>
      <c r="EJ136" s="21"/>
      <c r="EK136" s="21"/>
      <c r="EL136" s="21"/>
      <c r="EM136" s="21"/>
    </row>
    <row r="137" spans="1:143" ht="13.5" customHeight="1">
      <c r="A137" s="21"/>
      <c r="B137" s="21"/>
      <c r="C137" s="21"/>
      <c r="D137" s="422">
        <f t="shared" si="854"/>
        <v>112</v>
      </c>
      <c r="E137" s="1625"/>
      <c r="F137" s="403" t="str">
        <f t="shared" si="855"/>
        <v>Long Term Bank Loan - BNI #3</v>
      </c>
      <c r="G137" s="424"/>
      <c r="H137" s="666"/>
      <c r="I137" s="293"/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5">
        <v>10</v>
      </c>
      <c r="U137" s="360"/>
      <c r="V137" s="293"/>
      <c r="W137" s="294"/>
      <c r="X137" s="294"/>
      <c r="Y137" s="294"/>
      <c r="Z137" s="294"/>
      <c r="AA137" s="294"/>
      <c r="AB137" s="294"/>
      <c r="AC137" s="294"/>
      <c r="AD137" s="294"/>
      <c r="AE137" s="294"/>
      <c r="AF137" s="294"/>
      <c r="AG137" s="295"/>
      <c r="AH137" s="360"/>
      <c r="AI137" s="293"/>
      <c r="AJ137" s="294"/>
      <c r="AK137" s="294"/>
      <c r="AL137" s="294"/>
      <c r="AM137" s="294"/>
      <c r="AN137" s="294"/>
      <c r="AO137" s="294"/>
      <c r="AP137" s="294"/>
      <c r="AQ137" s="294"/>
      <c r="AR137" s="294"/>
      <c r="AS137" s="294"/>
      <c r="AT137" s="295"/>
      <c r="AU137" s="360"/>
      <c r="AV137" s="293"/>
      <c r="AW137" s="294"/>
      <c r="AX137" s="294"/>
      <c r="AY137" s="294"/>
      <c r="AZ137" s="294"/>
      <c r="BA137" s="294"/>
      <c r="BB137" s="294"/>
      <c r="BC137" s="294"/>
      <c r="BD137" s="294"/>
      <c r="BE137" s="294"/>
      <c r="BF137" s="294"/>
      <c r="BG137" s="295"/>
      <c r="BH137" s="360"/>
      <c r="BI137" s="293"/>
      <c r="BJ137" s="294"/>
      <c r="BK137" s="294"/>
      <c r="BL137" s="294"/>
      <c r="BM137" s="294"/>
      <c r="BN137" s="294"/>
      <c r="BO137" s="294"/>
      <c r="BP137" s="294"/>
      <c r="BQ137" s="294"/>
      <c r="BR137" s="294"/>
      <c r="BS137" s="294"/>
      <c r="BT137" s="295"/>
      <c r="BU137" s="360"/>
      <c r="BV137" s="293"/>
      <c r="BW137" s="294"/>
      <c r="BX137" s="294"/>
      <c r="BY137" s="294"/>
      <c r="BZ137" s="294"/>
      <c r="CA137" s="294"/>
      <c r="CB137" s="294"/>
      <c r="CC137" s="294"/>
      <c r="CD137" s="294"/>
      <c r="CE137" s="294"/>
      <c r="CF137" s="294"/>
      <c r="CG137" s="295"/>
      <c r="CH137" s="360"/>
      <c r="CI137" s="293"/>
      <c r="CJ137" s="294"/>
      <c r="CK137" s="294"/>
      <c r="CL137" s="294"/>
      <c r="CM137" s="294"/>
      <c r="CN137" s="294"/>
      <c r="CO137" s="294"/>
      <c r="CP137" s="294"/>
      <c r="CQ137" s="294"/>
      <c r="CR137" s="294"/>
      <c r="CS137" s="294"/>
      <c r="CT137" s="295"/>
      <c r="CU137" s="360"/>
      <c r="CV137" s="293"/>
      <c r="CW137" s="294"/>
      <c r="CX137" s="294"/>
      <c r="CY137" s="294"/>
      <c r="CZ137" s="294"/>
      <c r="DA137" s="294"/>
      <c r="DB137" s="294"/>
      <c r="DC137" s="294"/>
      <c r="DD137" s="294"/>
      <c r="DE137" s="294"/>
      <c r="DF137" s="294"/>
      <c r="DG137" s="295"/>
      <c r="DH137" s="360"/>
      <c r="DI137" s="293"/>
      <c r="DJ137" s="294"/>
      <c r="DK137" s="294"/>
      <c r="DL137" s="294"/>
      <c r="DM137" s="294"/>
      <c r="DN137" s="294"/>
      <c r="DO137" s="294"/>
      <c r="DP137" s="294"/>
      <c r="DQ137" s="294"/>
      <c r="DR137" s="294"/>
      <c r="DS137" s="294"/>
      <c r="DT137" s="295"/>
      <c r="DU137" s="360"/>
      <c r="DV137" s="293"/>
      <c r="DW137" s="294"/>
      <c r="DX137" s="294"/>
      <c r="DY137" s="294"/>
      <c r="DZ137" s="294"/>
      <c r="EA137" s="294"/>
      <c r="EB137" s="294"/>
      <c r="EC137" s="294"/>
      <c r="ED137" s="294"/>
      <c r="EE137" s="294"/>
      <c r="EF137" s="294"/>
      <c r="EG137" s="295"/>
      <c r="EH137" s="360"/>
      <c r="EI137" s="21"/>
      <c r="EJ137" s="21"/>
      <c r="EK137" s="21"/>
      <c r="EL137" s="21"/>
      <c r="EM137" s="21"/>
    </row>
    <row r="138" spans="1:143" ht="13.5" customHeight="1">
      <c r="A138" s="21"/>
      <c r="B138" s="21"/>
      <c r="C138" s="21"/>
      <c r="D138" s="422">
        <f t="shared" si="854"/>
        <v>113</v>
      </c>
      <c r="E138" s="1625"/>
      <c r="F138" s="403" t="str">
        <f t="shared" si="855"/>
        <v>Long Term Bank Loan - BNI #4</v>
      </c>
      <c r="G138" s="265"/>
      <c r="H138" s="666"/>
      <c r="I138" s="426"/>
      <c r="J138" s="427"/>
      <c r="K138" s="427"/>
      <c r="L138" s="427"/>
      <c r="M138" s="427"/>
      <c r="N138" s="427"/>
      <c r="O138" s="427"/>
      <c r="P138" s="427"/>
      <c r="Q138" s="427"/>
      <c r="R138" s="427"/>
      <c r="S138" s="427"/>
      <c r="T138" s="428">
        <v>20</v>
      </c>
      <c r="U138" s="360"/>
      <c r="V138" s="426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8"/>
      <c r="AH138" s="360"/>
      <c r="AI138" s="426"/>
      <c r="AJ138" s="427"/>
      <c r="AK138" s="427"/>
      <c r="AL138" s="427"/>
      <c r="AM138" s="427"/>
      <c r="AN138" s="427"/>
      <c r="AO138" s="427"/>
      <c r="AP138" s="427"/>
      <c r="AQ138" s="427"/>
      <c r="AR138" s="427"/>
      <c r="AS138" s="427"/>
      <c r="AT138" s="428"/>
      <c r="AU138" s="360"/>
      <c r="AV138" s="426"/>
      <c r="AW138" s="427"/>
      <c r="AX138" s="427"/>
      <c r="AY138" s="427"/>
      <c r="AZ138" s="427"/>
      <c r="BA138" s="427"/>
      <c r="BB138" s="427"/>
      <c r="BC138" s="427"/>
      <c r="BD138" s="427"/>
      <c r="BE138" s="427"/>
      <c r="BF138" s="427"/>
      <c r="BG138" s="428"/>
      <c r="BH138" s="360"/>
      <c r="BI138" s="426"/>
      <c r="BJ138" s="427"/>
      <c r="BK138" s="427"/>
      <c r="BL138" s="427"/>
      <c r="BM138" s="427"/>
      <c r="BN138" s="427"/>
      <c r="BO138" s="427"/>
      <c r="BP138" s="427"/>
      <c r="BQ138" s="427"/>
      <c r="BR138" s="427"/>
      <c r="BS138" s="427"/>
      <c r="BT138" s="428"/>
      <c r="BU138" s="360"/>
      <c r="BV138" s="426"/>
      <c r="BW138" s="427"/>
      <c r="BX138" s="427"/>
      <c r="BY138" s="427"/>
      <c r="BZ138" s="427"/>
      <c r="CA138" s="427"/>
      <c r="CB138" s="427"/>
      <c r="CC138" s="427"/>
      <c r="CD138" s="427"/>
      <c r="CE138" s="427"/>
      <c r="CF138" s="427"/>
      <c r="CG138" s="428"/>
      <c r="CH138" s="360"/>
      <c r="CI138" s="426"/>
      <c r="CJ138" s="427"/>
      <c r="CK138" s="427"/>
      <c r="CL138" s="427"/>
      <c r="CM138" s="427"/>
      <c r="CN138" s="427"/>
      <c r="CO138" s="427"/>
      <c r="CP138" s="427"/>
      <c r="CQ138" s="427"/>
      <c r="CR138" s="427"/>
      <c r="CS138" s="427"/>
      <c r="CT138" s="428"/>
      <c r="CU138" s="360"/>
      <c r="CV138" s="426"/>
      <c r="CW138" s="427"/>
      <c r="CX138" s="427"/>
      <c r="CY138" s="427"/>
      <c r="CZ138" s="427"/>
      <c r="DA138" s="427"/>
      <c r="DB138" s="427"/>
      <c r="DC138" s="427"/>
      <c r="DD138" s="427"/>
      <c r="DE138" s="427"/>
      <c r="DF138" s="427"/>
      <c r="DG138" s="428"/>
      <c r="DH138" s="360"/>
      <c r="DI138" s="426"/>
      <c r="DJ138" s="427"/>
      <c r="DK138" s="427"/>
      <c r="DL138" s="427"/>
      <c r="DM138" s="427"/>
      <c r="DN138" s="427"/>
      <c r="DO138" s="427"/>
      <c r="DP138" s="427"/>
      <c r="DQ138" s="427"/>
      <c r="DR138" s="427"/>
      <c r="DS138" s="427"/>
      <c r="DT138" s="428"/>
      <c r="DU138" s="360"/>
      <c r="DV138" s="426"/>
      <c r="DW138" s="427"/>
      <c r="DX138" s="427"/>
      <c r="DY138" s="427"/>
      <c r="DZ138" s="427"/>
      <c r="EA138" s="427"/>
      <c r="EB138" s="427"/>
      <c r="EC138" s="427"/>
      <c r="ED138" s="427"/>
      <c r="EE138" s="427"/>
      <c r="EF138" s="427"/>
      <c r="EG138" s="428"/>
      <c r="EH138" s="360"/>
      <c r="EI138" s="21"/>
      <c r="EJ138" s="21"/>
      <c r="EK138" s="21"/>
      <c r="EL138" s="21"/>
      <c r="EM138" s="21"/>
    </row>
    <row r="139" spans="1:143" ht="13.5" customHeight="1">
      <c r="A139" s="21"/>
      <c r="B139" s="21"/>
      <c r="C139" s="21"/>
      <c r="D139" s="422">
        <f t="shared" si="854"/>
        <v>114</v>
      </c>
      <c r="E139" s="1625"/>
      <c r="F139" s="403" t="str">
        <f>F108</f>
        <v>Long Term Bank Loan - BNI Working Capital Loan Aflopend New</v>
      </c>
      <c r="G139" s="265"/>
      <c r="H139" s="666"/>
      <c r="I139" s="426"/>
      <c r="J139" s="427"/>
      <c r="K139" s="427"/>
      <c r="L139" s="427"/>
      <c r="M139" s="427"/>
      <c r="N139" s="427">
        <v>0</v>
      </c>
      <c r="O139" s="427"/>
      <c r="P139" s="427"/>
      <c r="Q139" s="427"/>
      <c r="R139" s="427"/>
      <c r="S139" s="427"/>
      <c r="T139" s="428">
        <v>30</v>
      </c>
      <c r="U139" s="360"/>
      <c r="V139" s="426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8"/>
      <c r="AH139" s="360"/>
      <c r="AI139" s="426"/>
      <c r="AJ139" s="427"/>
      <c r="AK139" s="427"/>
      <c r="AL139" s="427"/>
      <c r="AM139" s="427"/>
      <c r="AN139" s="427"/>
      <c r="AO139" s="427"/>
      <c r="AP139" s="427"/>
      <c r="AQ139" s="427"/>
      <c r="AR139" s="427"/>
      <c r="AS139" s="427"/>
      <c r="AT139" s="428"/>
      <c r="AU139" s="360"/>
      <c r="AV139" s="426"/>
      <c r="AW139" s="427"/>
      <c r="AX139" s="427"/>
      <c r="AY139" s="427"/>
      <c r="AZ139" s="427"/>
      <c r="BA139" s="427"/>
      <c r="BB139" s="427"/>
      <c r="BC139" s="427"/>
      <c r="BD139" s="427"/>
      <c r="BE139" s="427"/>
      <c r="BF139" s="427"/>
      <c r="BG139" s="428"/>
      <c r="BH139" s="360"/>
      <c r="BI139" s="426"/>
      <c r="BJ139" s="427"/>
      <c r="BK139" s="427"/>
      <c r="BL139" s="427"/>
      <c r="BM139" s="427"/>
      <c r="BN139" s="427"/>
      <c r="BO139" s="427"/>
      <c r="BP139" s="427"/>
      <c r="BQ139" s="427"/>
      <c r="BR139" s="427"/>
      <c r="BS139" s="427"/>
      <c r="BT139" s="428"/>
      <c r="BU139" s="360"/>
      <c r="BV139" s="426"/>
      <c r="BW139" s="427"/>
      <c r="BX139" s="427"/>
      <c r="BY139" s="427"/>
      <c r="BZ139" s="427"/>
      <c r="CA139" s="427"/>
      <c r="CB139" s="427"/>
      <c r="CC139" s="427"/>
      <c r="CD139" s="427"/>
      <c r="CE139" s="427"/>
      <c r="CF139" s="427"/>
      <c r="CG139" s="428"/>
      <c r="CH139" s="360"/>
      <c r="CI139" s="426"/>
      <c r="CJ139" s="427"/>
      <c r="CK139" s="427"/>
      <c r="CL139" s="427"/>
      <c r="CM139" s="427"/>
      <c r="CN139" s="427"/>
      <c r="CO139" s="427"/>
      <c r="CP139" s="427"/>
      <c r="CQ139" s="427"/>
      <c r="CR139" s="427"/>
      <c r="CS139" s="427"/>
      <c r="CT139" s="428"/>
      <c r="CU139" s="360"/>
      <c r="CV139" s="426"/>
      <c r="CW139" s="427"/>
      <c r="CX139" s="427"/>
      <c r="CY139" s="427"/>
      <c r="CZ139" s="427"/>
      <c r="DA139" s="427"/>
      <c r="DB139" s="427"/>
      <c r="DC139" s="427"/>
      <c r="DD139" s="427"/>
      <c r="DE139" s="427"/>
      <c r="DF139" s="427"/>
      <c r="DG139" s="428"/>
      <c r="DH139" s="360"/>
      <c r="DI139" s="426"/>
      <c r="DJ139" s="427"/>
      <c r="DK139" s="427"/>
      <c r="DL139" s="427"/>
      <c r="DM139" s="427"/>
      <c r="DN139" s="427"/>
      <c r="DO139" s="427"/>
      <c r="DP139" s="427"/>
      <c r="DQ139" s="427"/>
      <c r="DR139" s="427"/>
      <c r="DS139" s="427"/>
      <c r="DT139" s="428"/>
      <c r="DU139" s="360"/>
      <c r="DV139" s="426"/>
      <c r="DW139" s="427"/>
      <c r="DX139" s="427"/>
      <c r="DY139" s="427"/>
      <c r="DZ139" s="427"/>
      <c r="EA139" s="427"/>
      <c r="EB139" s="427"/>
      <c r="EC139" s="427"/>
      <c r="ED139" s="427"/>
      <c r="EE139" s="427"/>
      <c r="EF139" s="427"/>
      <c r="EG139" s="428"/>
      <c r="EH139" s="360"/>
      <c r="EI139" s="21"/>
      <c r="EJ139" s="21"/>
      <c r="EK139" s="21"/>
      <c r="EL139" s="21"/>
      <c r="EM139" s="21"/>
    </row>
    <row r="140" spans="1:143" ht="14.25" customHeight="1">
      <c r="A140" s="21"/>
      <c r="B140" s="21"/>
      <c r="C140" s="21"/>
      <c r="D140" s="422">
        <f t="shared" si="854"/>
        <v>115</v>
      </c>
      <c r="E140" s="1625"/>
      <c r="F140" s="403" t="str">
        <f t="shared" ref="F140:F149" si="866">+F109</f>
        <v>Bank 1</v>
      </c>
      <c r="G140" s="265"/>
      <c r="H140" s="666"/>
      <c r="I140" s="303"/>
      <c r="J140" s="338"/>
      <c r="K140" s="338"/>
      <c r="L140" s="338"/>
      <c r="M140" s="338"/>
      <c r="N140" s="338"/>
      <c r="O140" s="338"/>
      <c r="P140" s="338"/>
      <c r="Q140" s="338"/>
      <c r="R140" s="338"/>
      <c r="S140" s="338"/>
      <c r="T140" s="339">
        <v>40</v>
      </c>
      <c r="U140" s="360"/>
      <c r="V140" s="303"/>
      <c r="W140" s="338"/>
      <c r="X140" s="338"/>
      <c r="Y140" s="338"/>
      <c r="Z140" s="338"/>
      <c r="AA140" s="338"/>
      <c r="AB140" s="338"/>
      <c r="AC140" s="338">
        <v>0</v>
      </c>
      <c r="AD140" s="338"/>
      <c r="AE140" s="338"/>
      <c r="AF140" s="338"/>
      <c r="AG140" s="339"/>
      <c r="AH140" s="360"/>
      <c r="AI140" s="303"/>
      <c r="AJ140" s="338"/>
      <c r="AK140" s="338"/>
      <c r="AL140" s="338"/>
      <c r="AM140" s="338"/>
      <c r="AN140" s="338"/>
      <c r="AO140" s="338"/>
      <c r="AP140" s="338"/>
      <c r="AQ140" s="338"/>
      <c r="AR140" s="338"/>
      <c r="AS140" s="338"/>
      <c r="AT140" s="339"/>
      <c r="AU140" s="360"/>
      <c r="AV140" s="303"/>
      <c r="AW140" s="338"/>
      <c r="AX140" s="338"/>
      <c r="AY140" s="338"/>
      <c r="AZ140" s="338"/>
      <c r="BA140" s="338"/>
      <c r="BB140" s="338"/>
      <c r="BC140" s="338"/>
      <c r="BD140" s="338"/>
      <c r="BE140" s="338"/>
      <c r="BF140" s="338"/>
      <c r="BG140" s="339"/>
      <c r="BH140" s="360"/>
      <c r="BI140" s="303"/>
      <c r="BJ140" s="338"/>
      <c r="BK140" s="338"/>
      <c r="BL140" s="338"/>
      <c r="BM140" s="338"/>
      <c r="BN140" s="338"/>
      <c r="BO140" s="338"/>
      <c r="BP140" s="338"/>
      <c r="BQ140" s="338"/>
      <c r="BR140" s="338"/>
      <c r="BS140" s="338"/>
      <c r="BT140" s="339"/>
      <c r="BU140" s="360"/>
      <c r="BV140" s="303"/>
      <c r="BW140" s="338"/>
      <c r="BX140" s="338"/>
      <c r="BY140" s="338"/>
      <c r="BZ140" s="338"/>
      <c r="CA140" s="338"/>
      <c r="CB140" s="338"/>
      <c r="CC140" s="338"/>
      <c r="CD140" s="338"/>
      <c r="CE140" s="338"/>
      <c r="CF140" s="338"/>
      <c r="CG140" s="339"/>
      <c r="CH140" s="360"/>
      <c r="CI140" s="303"/>
      <c r="CJ140" s="338"/>
      <c r="CK140" s="338"/>
      <c r="CL140" s="338"/>
      <c r="CM140" s="338"/>
      <c r="CN140" s="338"/>
      <c r="CO140" s="338"/>
      <c r="CP140" s="338"/>
      <c r="CQ140" s="338"/>
      <c r="CR140" s="338"/>
      <c r="CS140" s="338"/>
      <c r="CT140" s="339"/>
      <c r="CU140" s="360"/>
      <c r="CV140" s="303"/>
      <c r="CW140" s="338"/>
      <c r="CX140" s="338"/>
      <c r="CY140" s="338"/>
      <c r="CZ140" s="338"/>
      <c r="DA140" s="338"/>
      <c r="DB140" s="338"/>
      <c r="DC140" s="338"/>
      <c r="DD140" s="338"/>
      <c r="DE140" s="338"/>
      <c r="DF140" s="338"/>
      <c r="DG140" s="339"/>
      <c r="DH140" s="360"/>
      <c r="DI140" s="303"/>
      <c r="DJ140" s="338"/>
      <c r="DK140" s="338"/>
      <c r="DL140" s="338"/>
      <c r="DM140" s="338"/>
      <c r="DN140" s="338"/>
      <c r="DO140" s="338"/>
      <c r="DP140" s="338"/>
      <c r="DQ140" s="338"/>
      <c r="DR140" s="338"/>
      <c r="DS140" s="338"/>
      <c r="DT140" s="339"/>
      <c r="DU140" s="360"/>
      <c r="DV140" s="303"/>
      <c r="DW140" s="338"/>
      <c r="DX140" s="338"/>
      <c r="DY140" s="338"/>
      <c r="DZ140" s="338"/>
      <c r="EA140" s="338"/>
      <c r="EB140" s="338"/>
      <c r="EC140" s="338"/>
      <c r="ED140" s="338"/>
      <c r="EE140" s="338"/>
      <c r="EF140" s="338"/>
      <c r="EG140" s="339"/>
      <c r="EH140" s="360"/>
      <c r="EI140" s="21"/>
      <c r="EJ140" s="21"/>
      <c r="EK140" s="21"/>
      <c r="EL140" s="21"/>
      <c r="EM140" s="21"/>
    </row>
    <row r="141" spans="1:143" ht="14.25" customHeight="1">
      <c r="A141" s="21"/>
      <c r="B141" s="21"/>
      <c r="C141" s="21"/>
      <c r="D141" s="422">
        <f t="shared" si="854"/>
        <v>116</v>
      </c>
      <c r="E141" s="1625"/>
      <c r="F141" s="403" t="str">
        <f t="shared" si="866"/>
        <v>Bank 2</v>
      </c>
      <c r="G141" s="265"/>
      <c r="H141" s="666"/>
      <c r="I141" s="303"/>
      <c r="J141" s="338"/>
      <c r="K141" s="338"/>
      <c r="L141" s="338"/>
      <c r="M141" s="338"/>
      <c r="N141" s="338"/>
      <c r="O141" s="338"/>
      <c r="P141" s="338"/>
      <c r="Q141" s="338"/>
      <c r="R141" s="338"/>
      <c r="S141" s="338"/>
      <c r="T141" s="339">
        <v>50</v>
      </c>
      <c r="U141" s="360"/>
      <c r="V141" s="303"/>
      <c r="W141" s="338"/>
      <c r="X141" s="338"/>
      <c r="Y141" s="338"/>
      <c r="Z141" s="338"/>
      <c r="AA141" s="338"/>
      <c r="AB141" s="338"/>
      <c r="AC141" s="338"/>
      <c r="AD141" s="338"/>
      <c r="AE141" s="338"/>
      <c r="AF141" s="338"/>
      <c r="AG141" s="339"/>
      <c r="AH141" s="360"/>
      <c r="AI141" s="303"/>
      <c r="AJ141" s="338"/>
      <c r="AK141" s="338"/>
      <c r="AL141" s="338"/>
      <c r="AM141" s="338"/>
      <c r="AN141" s="338"/>
      <c r="AO141" s="338"/>
      <c r="AP141" s="338"/>
      <c r="AQ141" s="338"/>
      <c r="AR141" s="338"/>
      <c r="AS141" s="338"/>
      <c r="AT141" s="339"/>
      <c r="AU141" s="360"/>
      <c r="AV141" s="303"/>
      <c r="AW141" s="338"/>
      <c r="AX141" s="338"/>
      <c r="AY141" s="338"/>
      <c r="AZ141" s="338"/>
      <c r="BA141" s="338"/>
      <c r="BB141" s="338"/>
      <c r="BC141" s="338"/>
      <c r="BD141" s="338"/>
      <c r="BE141" s="338"/>
      <c r="BF141" s="338"/>
      <c r="BG141" s="339"/>
      <c r="BH141" s="360"/>
      <c r="BI141" s="303"/>
      <c r="BJ141" s="338"/>
      <c r="BK141" s="338"/>
      <c r="BL141" s="338"/>
      <c r="BM141" s="338"/>
      <c r="BN141" s="338"/>
      <c r="BO141" s="338"/>
      <c r="BP141" s="338"/>
      <c r="BQ141" s="338"/>
      <c r="BR141" s="338"/>
      <c r="BS141" s="338"/>
      <c r="BT141" s="339"/>
      <c r="BU141" s="360"/>
      <c r="BV141" s="303"/>
      <c r="BW141" s="338"/>
      <c r="BX141" s="338"/>
      <c r="BY141" s="338"/>
      <c r="BZ141" s="338"/>
      <c r="CA141" s="338"/>
      <c r="CB141" s="338"/>
      <c r="CC141" s="338"/>
      <c r="CD141" s="338"/>
      <c r="CE141" s="338"/>
      <c r="CF141" s="338"/>
      <c r="CG141" s="339"/>
      <c r="CH141" s="360"/>
      <c r="CI141" s="303"/>
      <c r="CJ141" s="338"/>
      <c r="CK141" s="338"/>
      <c r="CL141" s="338"/>
      <c r="CM141" s="338"/>
      <c r="CN141" s="338"/>
      <c r="CO141" s="338"/>
      <c r="CP141" s="338"/>
      <c r="CQ141" s="338"/>
      <c r="CR141" s="338"/>
      <c r="CS141" s="338"/>
      <c r="CT141" s="339"/>
      <c r="CU141" s="360"/>
      <c r="CV141" s="303"/>
      <c r="CW141" s="338"/>
      <c r="CX141" s="338"/>
      <c r="CY141" s="338"/>
      <c r="CZ141" s="338"/>
      <c r="DA141" s="338"/>
      <c r="DB141" s="338"/>
      <c r="DC141" s="338"/>
      <c r="DD141" s="338"/>
      <c r="DE141" s="338"/>
      <c r="DF141" s="338"/>
      <c r="DG141" s="339"/>
      <c r="DH141" s="360"/>
      <c r="DI141" s="303"/>
      <c r="DJ141" s="338"/>
      <c r="DK141" s="338"/>
      <c r="DL141" s="338"/>
      <c r="DM141" s="338"/>
      <c r="DN141" s="338"/>
      <c r="DO141" s="338"/>
      <c r="DP141" s="338"/>
      <c r="DQ141" s="338"/>
      <c r="DR141" s="338"/>
      <c r="DS141" s="338"/>
      <c r="DT141" s="339"/>
      <c r="DU141" s="360"/>
      <c r="DV141" s="303"/>
      <c r="DW141" s="338"/>
      <c r="DX141" s="338"/>
      <c r="DY141" s="338"/>
      <c r="DZ141" s="338"/>
      <c r="EA141" s="338"/>
      <c r="EB141" s="338"/>
      <c r="EC141" s="338"/>
      <c r="ED141" s="338"/>
      <c r="EE141" s="338"/>
      <c r="EF141" s="338"/>
      <c r="EG141" s="339"/>
      <c r="EH141" s="360"/>
      <c r="EI141" s="21"/>
      <c r="EJ141" s="21"/>
      <c r="EK141" s="21"/>
      <c r="EL141" s="21"/>
      <c r="EM141" s="21"/>
    </row>
    <row r="142" spans="1:143" ht="14.25" customHeight="1">
      <c r="A142" s="21"/>
      <c r="B142" s="21"/>
      <c r="C142" s="21"/>
      <c r="D142" s="422">
        <f t="shared" si="854"/>
        <v>117</v>
      </c>
      <c r="E142" s="1625"/>
      <c r="F142" s="403" t="str">
        <f t="shared" si="866"/>
        <v>Bank 3</v>
      </c>
      <c r="G142" s="265"/>
      <c r="H142" s="666"/>
      <c r="I142" s="303"/>
      <c r="J142" s="338"/>
      <c r="K142" s="338"/>
      <c r="L142" s="338"/>
      <c r="M142" s="338"/>
      <c r="N142" s="338"/>
      <c r="O142" s="338"/>
      <c r="P142" s="338"/>
      <c r="Q142" s="338"/>
      <c r="R142" s="338"/>
      <c r="S142" s="338"/>
      <c r="T142" s="339">
        <v>10</v>
      </c>
      <c r="U142" s="360"/>
      <c r="V142" s="303"/>
      <c r="W142" s="338"/>
      <c r="X142" s="338"/>
      <c r="Y142" s="338"/>
      <c r="Z142" s="338"/>
      <c r="AA142" s="338"/>
      <c r="AB142" s="338"/>
      <c r="AC142" s="338"/>
      <c r="AD142" s="338"/>
      <c r="AE142" s="338"/>
      <c r="AF142" s="338"/>
      <c r="AG142" s="339"/>
      <c r="AH142" s="360"/>
      <c r="AI142" s="303"/>
      <c r="AJ142" s="338"/>
      <c r="AK142" s="338"/>
      <c r="AL142" s="338"/>
      <c r="AM142" s="338"/>
      <c r="AN142" s="338"/>
      <c r="AO142" s="338"/>
      <c r="AP142" s="338"/>
      <c r="AQ142" s="338"/>
      <c r="AR142" s="338"/>
      <c r="AS142" s="338"/>
      <c r="AT142" s="339"/>
      <c r="AU142" s="360"/>
      <c r="AV142" s="303"/>
      <c r="AW142" s="338"/>
      <c r="AX142" s="338"/>
      <c r="AY142" s="338"/>
      <c r="AZ142" s="338"/>
      <c r="BA142" s="338"/>
      <c r="BB142" s="338"/>
      <c r="BC142" s="338"/>
      <c r="BD142" s="338"/>
      <c r="BE142" s="338"/>
      <c r="BF142" s="338"/>
      <c r="BG142" s="339"/>
      <c r="BH142" s="360"/>
      <c r="BI142" s="303"/>
      <c r="BJ142" s="338"/>
      <c r="BK142" s="338"/>
      <c r="BL142" s="338"/>
      <c r="BM142" s="338"/>
      <c r="BN142" s="338"/>
      <c r="BO142" s="338"/>
      <c r="BP142" s="338"/>
      <c r="BQ142" s="338"/>
      <c r="BR142" s="338"/>
      <c r="BS142" s="338"/>
      <c r="BT142" s="339"/>
      <c r="BU142" s="360"/>
      <c r="BV142" s="303"/>
      <c r="BW142" s="338"/>
      <c r="BX142" s="338"/>
      <c r="BY142" s="338"/>
      <c r="BZ142" s="338"/>
      <c r="CA142" s="338"/>
      <c r="CB142" s="338"/>
      <c r="CC142" s="338"/>
      <c r="CD142" s="338"/>
      <c r="CE142" s="338"/>
      <c r="CF142" s="338"/>
      <c r="CG142" s="339"/>
      <c r="CH142" s="360"/>
      <c r="CI142" s="303"/>
      <c r="CJ142" s="338"/>
      <c r="CK142" s="338"/>
      <c r="CL142" s="338"/>
      <c r="CM142" s="338"/>
      <c r="CN142" s="338"/>
      <c r="CO142" s="338"/>
      <c r="CP142" s="338"/>
      <c r="CQ142" s="338"/>
      <c r="CR142" s="338"/>
      <c r="CS142" s="338"/>
      <c r="CT142" s="339"/>
      <c r="CU142" s="360"/>
      <c r="CV142" s="303"/>
      <c r="CW142" s="338"/>
      <c r="CX142" s="338"/>
      <c r="CY142" s="338"/>
      <c r="CZ142" s="338"/>
      <c r="DA142" s="338"/>
      <c r="DB142" s="338"/>
      <c r="DC142" s="338"/>
      <c r="DD142" s="338"/>
      <c r="DE142" s="338"/>
      <c r="DF142" s="338"/>
      <c r="DG142" s="339"/>
      <c r="DH142" s="360"/>
      <c r="DI142" s="303"/>
      <c r="DJ142" s="338"/>
      <c r="DK142" s="338"/>
      <c r="DL142" s="338"/>
      <c r="DM142" s="338"/>
      <c r="DN142" s="338"/>
      <c r="DO142" s="338"/>
      <c r="DP142" s="338"/>
      <c r="DQ142" s="338"/>
      <c r="DR142" s="338"/>
      <c r="DS142" s="338"/>
      <c r="DT142" s="339"/>
      <c r="DU142" s="360"/>
      <c r="DV142" s="303"/>
      <c r="DW142" s="338"/>
      <c r="DX142" s="338"/>
      <c r="DY142" s="338"/>
      <c r="DZ142" s="338"/>
      <c r="EA142" s="338"/>
      <c r="EB142" s="338"/>
      <c r="EC142" s="338"/>
      <c r="ED142" s="338"/>
      <c r="EE142" s="338"/>
      <c r="EF142" s="338"/>
      <c r="EG142" s="339"/>
      <c r="EH142" s="360"/>
      <c r="EI142" s="21"/>
      <c r="EJ142" s="21"/>
      <c r="EK142" s="21"/>
      <c r="EL142" s="21"/>
      <c r="EM142" s="21"/>
    </row>
    <row r="143" spans="1:143" ht="14.25" customHeight="1">
      <c r="A143" s="21"/>
      <c r="B143" s="21"/>
      <c r="C143" s="21"/>
      <c r="D143" s="422">
        <f t="shared" si="854"/>
        <v>118</v>
      </c>
      <c r="E143" s="1625"/>
      <c r="F143" s="403" t="str">
        <f t="shared" si="866"/>
        <v>Bank 4</v>
      </c>
      <c r="G143" s="265"/>
      <c r="H143" s="666"/>
      <c r="I143" s="303"/>
      <c r="J143" s="338"/>
      <c r="K143" s="338"/>
      <c r="L143" s="338"/>
      <c r="M143" s="338"/>
      <c r="N143" s="338"/>
      <c r="O143" s="338"/>
      <c r="P143" s="338"/>
      <c r="Q143" s="338"/>
      <c r="R143" s="338"/>
      <c r="S143" s="338"/>
      <c r="T143" s="339">
        <v>20</v>
      </c>
      <c r="U143" s="360"/>
      <c r="V143" s="303"/>
      <c r="W143" s="338"/>
      <c r="X143" s="338"/>
      <c r="Y143" s="338"/>
      <c r="Z143" s="338"/>
      <c r="AA143" s="338"/>
      <c r="AB143" s="338"/>
      <c r="AC143" s="338"/>
      <c r="AD143" s="338"/>
      <c r="AE143" s="338"/>
      <c r="AF143" s="338"/>
      <c r="AG143" s="339"/>
      <c r="AH143" s="360"/>
      <c r="AI143" s="303"/>
      <c r="AJ143" s="338"/>
      <c r="AK143" s="338"/>
      <c r="AL143" s="338"/>
      <c r="AM143" s="338"/>
      <c r="AN143" s="338"/>
      <c r="AO143" s="338"/>
      <c r="AP143" s="338"/>
      <c r="AQ143" s="338"/>
      <c r="AR143" s="338"/>
      <c r="AS143" s="338"/>
      <c r="AT143" s="339"/>
      <c r="AU143" s="360"/>
      <c r="AV143" s="303"/>
      <c r="AW143" s="338"/>
      <c r="AX143" s="338"/>
      <c r="AY143" s="338"/>
      <c r="AZ143" s="338"/>
      <c r="BA143" s="338"/>
      <c r="BB143" s="338"/>
      <c r="BC143" s="338"/>
      <c r="BD143" s="338"/>
      <c r="BE143" s="338"/>
      <c r="BF143" s="338"/>
      <c r="BG143" s="339"/>
      <c r="BH143" s="360"/>
      <c r="BI143" s="303"/>
      <c r="BJ143" s="338"/>
      <c r="BK143" s="338"/>
      <c r="BL143" s="338"/>
      <c r="BM143" s="338"/>
      <c r="BN143" s="338"/>
      <c r="BO143" s="338"/>
      <c r="BP143" s="338"/>
      <c r="BQ143" s="338"/>
      <c r="BR143" s="338"/>
      <c r="BS143" s="338"/>
      <c r="BT143" s="339"/>
      <c r="BU143" s="360"/>
      <c r="BV143" s="303"/>
      <c r="BW143" s="338"/>
      <c r="BX143" s="338"/>
      <c r="BY143" s="338"/>
      <c r="BZ143" s="338"/>
      <c r="CA143" s="338"/>
      <c r="CB143" s="338"/>
      <c r="CC143" s="338"/>
      <c r="CD143" s="338"/>
      <c r="CE143" s="338"/>
      <c r="CF143" s="338"/>
      <c r="CG143" s="339"/>
      <c r="CH143" s="360"/>
      <c r="CI143" s="303"/>
      <c r="CJ143" s="338"/>
      <c r="CK143" s="338"/>
      <c r="CL143" s="338"/>
      <c r="CM143" s="338"/>
      <c r="CN143" s="338"/>
      <c r="CO143" s="338"/>
      <c r="CP143" s="338"/>
      <c r="CQ143" s="338"/>
      <c r="CR143" s="338"/>
      <c r="CS143" s="338"/>
      <c r="CT143" s="339"/>
      <c r="CU143" s="360"/>
      <c r="CV143" s="303"/>
      <c r="CW143" s="338"/>
      <c r="CX143" s="338"/>
      <c r="CY143" s="338"/>
      <c r="CZ143" s="338"/>
      <c r="DA143" s="338"/>
      <c r="DB143" s="338"/>
      <c r="DC143" s="338"/>
      <c r="DD143" s="338"/>
      <c r="DE143" s="338"/>
      <c r="DF143" s="338"/>
      <c r="DG143" s="339"/>
      <c r="DH143" s="360"/>
      <c r="DI143" s="303"/>
      <c r="DJ143" s="338"/>
      <c r="DK143" s="338"/>
      <c r="DL143" s="338"/>
      <c r="DM143" s="338"/>
      <c r="DN143" s="338"/>
      <c r="DO143" s="338"/>
      <c r="DP143" s="338"/>
      <c r="DQ143" s="338"/>
      <c r="DR143" s="338"/>
      <c r="DS143" s="338"/>
      <c r="DT143" s="339"/>
      <c r="DU143" s="360"/>
      <c r="DV143" s="303"/>
      <c r="DW143" s="338"/>
      <c r="DX143" s="338"/>
      <c r="DY143" s="338"/>
      <c r="DZ143" s="338"/>
      <c r="EA143" s="338"/>
      <c r="EB143" s="338"/>
      <c r="EC143" s="338"/>
      <c r="ED143" s="338"/>
      <c r="EE143" s="338"/>
      <c r="EF143" s="338"/>
      <c r="EG143" s="339"/>
      <c r="EH143" s="360"/>
      <c r="EI143" s="21"/>
      <c r="EJ143" s="21"/>
      <c r="EK143" s="21"/>
      <c r="EL143" s="21"/>
      <c r="EM143" s="21"/>
    </row>
    <row r="144" spans="1:143" ht="14.25" customHeight="1">
      <c r="A144" s="21"/>
      <c r="B144" s="21"/>
      <c r="C144" s="21"/>
      <c r="D144" s="422">
        <f t="shared" si="854"/>
        <v>119</v>
      </c>
      <c r="E144" s="1625"/>
      <c r="F144" s="403" t="str">
        <f t="shared" si="866"/>
        <v>Bank 5</v>
      </c>
      <c r="G144" s="265"/>
      <c r="H144" s="666"/>
      <c r="I144" s="303"/>
      <c r="J144" s="338"/>
      <c r="K144" s="338"/>
      <c r="L144" s="338"/>
      <c r="M144" s="338"/>
      <c r="N144" s="338"/>
      <c r="O144" s="338"/>
      <c r="P144" s="338"/>
      <c r="Q144" s="338"/>
      <c r="R144" s="338"/>
      <c r="S144" s="338"/>
      <c r="T144" s="339">
        <v>30</v>
      </c>
      <c r="U144" s="360"/>
      <c r="V144" s="303"/>
      <c r="W144" s="338"/>
      <c r="X144" s="338"/>
      <c r="Y144" s="338"/>
      <c r="Z144" s="338"/>
      <c r="AA144" s="338"/>
      <c r="AB144" s="338"/>
      <c r="AC144" s="338"/>
      <c r="AD144" s="338"/>
      <c r="AE144" s="338"/>
      <c r="AF144" s="338"/>
      <c r="AG144" s="339"/>
      <c r="AH144" s="360"/>
      <c r="AI144" s="303"/>
      <c r="AJ144" s="338"/>
      <c r="AK144" s="338"/>
      <c r="AL144" s="338"/>
      <c r="AM144" s="338"/>
      <c r="AN144" s="338"/>
      <c r="AO144" s="338"/>
      <c r="AP144" s="338"/>
      <c r="AQ144" s="338"/>
      <c r="AR144" s="338"/>
      <c r="AS144" s="338"/>
      <c r="AT144" s="339"/>
      <c r="AU144" s="360"/>
      <c r="AV144" s="303"/>
      <c r="AW144" s="338"/>
      <c r="AX144" s="338"/>
      <c r="AY144" s="338"/>
      <c r="AZ144" s="338"/>
      <c r="BA144" s="338"/>
      <c r="BB144" s="338"/>
      <c r="BC144" s="338"/>
      <c r="BD144" s="338"/>
      <c r="BE144" s="338"/>
      <c r="BF144" s="338"/>
      <c r="BG144" s="339"/>
      <c r="BH144" s="360"/>
      <c r="BI144" s="303"/>
      <c r="BJ144" s="338"/>
      <c r="BK144" s="338"/>
      <c r="BL144" s="338"/>
      <c r="BM144" s="338"/>
      <c r="BN144" s="338"/>
      <c r="BO144" s="338"/>
      <c r="BP144" s="338"/>
      <c r="BQ144" s="338"/>
      <c r="BR144" s="338"/>
      <c r="BS144" s="338"/>
      <c r="BT144" s="339"/>
      <c r="BU144" s="360"/>
      <c r="BV144" s="303"/>
      <c r="BW144" s="338"/>
      <c r="BX144" s="338"/>
      <c r="BY144" s="338"/>
      <c r="BZ144" s="338"/>
      <c r="CA144" s="338"/>
      <c r="CB144" s="338"/>
      <c r="CC144" s="338"/>
      <c r="CD144" s="338"/>
      <c r="CE144" s="338"/>
      <c r="CF144" s="338"/>
      <c r="CG144" s="339"/>
      <c r="CH144" s="360"/>
      <c r="CI144" s="303"/>
      <c r="CJ144" s="338"/>
      <c r="CK144" s="338"/>
      <c r="CL144" s="338"/>
      <c r="CM144" s="338"/>
      <c r="CN144" s="338"/>
      <c r="CO144" s="338"/>
      <c r="CP144" s="338"/>
      <c r="CQ144" s="338"/>
      <c r="CR144" s="338"/>
      <c r="CS144" s="338"/>
      <c r="CT144" s="339"/>
      <c r="CU144" s="360"/>
      <c r="CV144" s="303"/>
      <c r="CW144" s="338"/>
      <c r="CX144" s="338"/>
      <c r="CY144" s="338"/>
      <c r="CZ144" s="338"/>
      <c r="DA144" s="338"/>
      <c r="DB144" s="338"/>
      <c r="DC144" s="338"/>
      <c r="DD144" s="338"/>
      <c r="DE144" s="338"/>
      <c r="DF144" s="338"/>
      <c r="DG144" s="339"/>
      <c r="DH144" s="360"/>
      <c r="DI144" s="303"/>
      <c r="DJ144" s="338"/>
      <c r="DK144" s="338"/>
      <c r="DL144" s="338"/>
      <c r="DM144" s="338"/>
      <c r="DN144" s="338"/>
      <c r="DO144" s="338"/>
      <c r="DP144" s="338"/>
      <c r="DQ144" s="338"/>
      <c r="DR144" s="338"/>
      <c r="DS144" s="338"/>
      <c r="DT144" s="339"/>
      <c r="DU144" s="360"/>
      <c r="DV144" s="303"/>
      <c r="DW144" s="338"/>
      <c r="DX144" s="338"/>
      <c r="DY144" s="338"/>
      <c r="DZ144" s="338"/>
      <c r="EA144" s="338"/>
      <c r="EB144" s="338"/>
      <c r="EC144" s="338"/>
      <c r="ED144" s="338"/>
      <c r="EE144" s="338"/>
      <c r="EF144" s="338"/>
      <c r="EG144" s="339"/>
      <c r="EH144" s="360"/>
      <c r="EI144" s="21"/>
      <c r="EJ144" s="21"/>
      <c r="EK144" s="21"/>
      <c r="EL144" s="21"/>
      <c r="EM144" s="21"/>
    </row>
    <row r="145" spans="1:143" ht="14.25" customHeight="1">
      <c r="A145" s="21"/>
      <c r="B145" s="21"/>
      <c r="C145" s="21"/>
      <c r="D145" s="422">
        <f t="shared" si="854"/>
        <v>120</v>
      </c>
      <c r="E145" s="1625"/>
      <c r="F145" s="403" t="str">
        <f t="shared" si="866"/>
        <v>Bank 6</v>
      </c>
      <c r="G145" s="265"/>
      <c r="H145" s="666"/>
      <c r="I145" s="303"/>
      <c r="J145" s="338"/>
      <c r="K145" s="338"/>
      <c r="L145" s="338"/>
      <c r="M145" s="338"/>
      <c r="N145" s="338"/>
      <c r="O145" s="338"/>
      <c r="P145" s="338"/>
      <c r="Q145" s="338"/>
      <c r="R145" s="338"/>
      <c r="S145" s="338"/>
      <c r="T145" s="339">
        <v>40</v>
      </c>
      <c r="U145" s="360"/>
      <c r="V145" s="303"/>
      <c r="W145" s="338"/>
      <c r="X145" s="338"/>
      <c r="Y145" s="338"/>
      <c r="Z145" s="338"/>
      <c r="AA145" s="338"/>
      <c r="AB145" s="338"/>
      <c r="AC145" s="338"/>
      <c r="AD145" s="338"/>
      <c r="AE145" s="338"/>
      <c r="AF145" s="338"/>
      <c r="AG145" s="339"/>
      <c r="AH145" s="360"/>
      <c r="AI145" s="303"/>
      <c r="AJ145" s="338"/>
      <c r="AK145" s="338"/>
      <c r="AL145" s="338"/>
      <c r="AM145" s="338"/>
      <c r="AN145" s="338"/>
      <c r="AO145" s="338"/>
      <c r="AP145" s="338"/>
      <c r="AQ145" s="338"/>
      <c r="AR145" s="338"/>
      <c r="AS145" s="338"/>
      <c r="AT145" s="339"/>
      <c r="AU145" s="360"/>
      <c r="AV145" s="303"/>
      <c r="AW145" s="338"/>
      <c r="AX145" s="338"/>
      <c r="AY145" s="338"/>
      <c r="AZ145" s="338"/>
      <c r="BA145" s="338"/>
      <c r="BB145" s="338"/>
      <c r="BC145" s="338"/>
      <c r="BD145" s="338"/>
      <c r="BE145" s="338"/>
      <c r="BF145" s="338"/>
      <c r="BG145" s="339"/>
      <c r="BH145" s="360"/>
      <c r="BI145" s="303"/>
      <c r="BJ145" s="338"/>
      <c r="BK145" s="338"/>
      <c r="BL145" s="338"/>
      <c r="BM145" s="338"/>
      <c r="BN145" s="338"/>
      <c r="BO145" s="338"/>
      <c r="BP145" s="338"/>
      <c r="BQ145" s="338"/>
      <c r="BR145" s="338"/>
      <c r="BS145" s="338"/>
      <c r="BT145" s="339"/>
      <c r="BU145" s="360"/>
      <c r="BV145" s="303"/>
      <c r="BW145" s="338"/>
      <c r="BX145" s="338"/>
      <c r="BY145" s="338"/>
      <c r="BZ145" s="338"/>
      <c r="CA145" s="338"/>
      <c r="CB145" s="338"/>
      <c r="CC145" s="338"/>
      <c r="CD145" s="338"/>
      <c r="CE145" s="338"/>
      <c r="CF145" s="338"/>
      <c r="CG145" s="339"/>
      <c r="CH145" s="360"/>
      <c r="CI145" s="303"/>
      <c r="CJ145" s="338"/>
      <c r="CK145" s="338"/>
      <c r="CL145" s="338"/>
      <c r="CM145" s="338"/>
      <c r="CN145" s="338"/>
      <c r="CO145" s="338"/>
      <c r="CP145" s="338"/>
      <c r="CQ145" s="338"/>
      <c r="CR145" s="338"/>
      <c r="CS145" s="338"/>
      <c r="CT145" s="339"/>
      <c r="CU145" s="360"/>
      <c r="CV145" s="303"/>
      <c r="CW145" s="338"/>
      <c r="CX145" s="338"/>
      <c r="CY145" s="338"/>
      <c r="CZ145" s="338"/>
      <c r="DA145" s="338"/>
      <c r="DB145" s="338"/>
      <c r="DC145" s="338"/>
      <c r="DD145" s="338"/>
      <c r="DE145" s="338"/>
      <c r="DF145" s="338"/>
      <c r="DG145" s="339"/>
      <c r="DH145" s="360"/>
      <c r="DI145" s="303"/>
      <c r="DJ145" s="338"/>
      <c r="DK145" s="338"/>
      <c r="DL145" s="338"/>
      <c r="DM145" s="338"/>
      <c r="DN145" s="338"/>
      <c r="DO145" s="338"/>
      <c r="DP145" s="338"/>
      <c r="DQ145" s="338"/>
      <c r="DR145" s="338"/>
      <c r="DS145" s="338"/>
      <c r="DT145" s="339"/>
      <c r="DU145" s="360"/>
      <c r="DV145" s="303"/>
      <c r="DW145" s="338"/>
      <c r="DX145" s="338"/>
      <c r="DY145" s="338"/>
      <c r="DZ145" s="338"/>
      <c r="EA145" s="338"/>
      <c r="EB145" s="338"/>
      <c r="EC145" s="338"/>
      <c r="ED145" s="338"/>
      <c r="EE145" s="338"/>
      <c r="EF145" s="338"/>
      <c r="EG145" s="339"/>
      <c r="EH145" s="360"/>
      <c r="EI145" s="21"/>
      <c r="EJ145" s="21"/>
      <c r="EK145" s="21"/>
      <c r="EL145" s="21"/>
      <c r="EM145" s="21"/>
    </row>
    <row r="146" spans="1:143" ht="14.25" customHeight="1">
      <c r="A146" s="21"/>
      <c r="B146" s="21"/>
      <c r="C146" s="21"/>
      <c r="D146" s="422">
        <f t="shared" si="854"/>
        <v>121</v>
      </c>
      <c r="E146" s="1625"/>
      <c r="F146" s="403" t="str">
        <f t="shared" si="866"/>
        <v>Bank 7</v>
      </c>
      <c r="G146" s="265"/>
      <c r="H146" s="666"/>
      <c r="I146" s="303"/>
      <c r="J146" s="338"/>
      <c r="K146" s="338"/>
      <c r="L146" s="338"/>
      <c r="M146" s="338"/>
      <c r="N146" s="338"/>
      <c r="O146" s="338"/>
      <c r="P146" s="338"/>
      <c r="Q146" s="338"/>
      <c r="R146" s="338"/>
      <c r="S146" s="338"/>
      <c r="T146" s="339">
        <v>50</v>
      </c>
      <c r="U146" s="360"/>
      <c r="V146" s="303"/>
      <c r="W146" s="338"/>
      <c r="X146" s="338"/>
      <c r="Y146" s="338"/>
      <c r="Z146" s="338"/>
      <c r="AA146" s="338"/>
      <c r="AB146" s="338"/>
      <c r="AC146" s="338"/>
      <c r="AD146" s="338"/>
      <c r="AE146" s="338"/>
      <c r="AF146" s="338"/>
      <c r="AG146" s="339"/>
      <c r="AH146" s="360"/>
      <c r="AI146" s="303"/>
      <c r="AJ146" s="338"/>
      <c r="AK146" s="338"/>
      <c r="AL146" s="338"/>
      <c r="AM146" s="338"/>
      <c r="AN146" s="338"/>
      <c r="AO146" s="338"/>
      <c r="AP146" s="338"/>
      <c r="AQ146" s="338"/>
      <c r="AR146" s="338"/>
      <c r="AS146" s="338"/>
      <c r="AT146" s="339"/>
      <c r="AU146" s="360"/>
      <c r="AV146" s="303"/>
      <c r="AW146" s="338"/>
      <c r="AX146" s="338"/>
      <c r="AY146" s="338"/>
      <c r="AZ146" s="338"/>
      <c r="BA146" s="338"/>
      <c r="BB146" s="338"/>
      <c r="BC146" s="338"/>
      <c r="BD146" s="338"/>
      <c r="BE146" s="338"/>
      <c r="BF146" s="338"/>
      <c r="BG146" s="339"/>
      <c r="BH146" s="360"/>
      <c r="BI146" s="303"/>
      <c r="BJ146" s="338"/>
      <c r="BK146" s="338"/>
      <c r="BL146" s="338"/>
      <c r="BM146" s="338"/>
      <c r="BN146" s="338"/>
      <c r="BO146" s="338"/>
      <c r="BP146" s="338"/>
      <c r="BQ146" s="338"/>
      <c r="BR146" s="338"/>
      <c r="BS146" s="338"/>
      <c r="BT146" s="339"/>
      <c r="BU146" s="360"/>
      <c r="BV146" s="303"/>
      <c r="BW146" s="338"/>
      <c r="BX146" s="338"/>
      <c r="BY146" s="338"/>
      <c r="BZ146" s="338"/>
      <c r="CA146" s="338"/>
      <c r="CB146" s="338"/>
      <c r="CC146" s="338"/>
      <c r="CD146" s="338"/>
      <c r="CE146" s="338"/>
      <c r="CF146" s="338"/>
      <c r="CG146" s="339"/>
      <c r="CH146" s="360"/>
      <c r="CI146" s="303"/>
      <c r="CJ146" s="338"/>
      <c r="CK146" s="338"/>
      <c r="CL146" s="338"/>
      <c r="CM146" s="338"/>
      <c r="CN146" s="338"/>
      <c r="CO146" s="338"/>
      <c r="CP146" s="338"/>
      <c r="CQ146" s="338"/>
      <c r="CR146" s="338"/>
      <c r="CS146" s="338"/>
      <c r="CT146" s="339"/>
      <c r="CU146" s="360"/>
      <c r="CV146" s="303"/>
      <c r="CW146" s="338"/>
      <c r="CX146" s="338"/>
      <c r="CY146" s="338"/>
      <c r="CZ146" s="338"/>
      <c r="DA146" s="338"/>
      <c r="DB146" s="338"/>
      <c r="DC146" s="338"/>
      <c r="DD146" s="338"/>
      <c r="DE146" s="338"/>
      <c r="DF146" s="338"/>
      <c r="DG146" s="339"/>
      <c r="DH146" s="360"/>
      <c r="DI146" s="303"/>
      <c r="DJ146" s="338"/>
      <c r="DK146" s="338"/>
      <c r="DL146" s="338"/>
      <c r="DM146" s="338"/>
      <c r="DN146" s="338"/>
      <c r="DO146" s="338"/>
      <c r="DP146" s="338"/>
      <c r="DQ146" s="338"/>
      <c r="DR146" s="338"/>
      <c r="DS146" s="338"/>
      <c r="DT146" s="339"/>
      <c r="DU146" s="360"/>
      <c r="DV146" s="303"/>
      <c r="DW146" s="338"/>
      <c r="DX146" s="338"/>
      <c r="DY146" s="338"/>
      <c r="DZ146" s="338"/>
      <c r="EA146" s="338"/>
      <c r="EB146" s="338"/>
      <c r="EC146" s="338"/>
      <c r="ED146" s="338"/>
      <c r="EE146" s="338"/>
      <c r="EF146" s="338"/>
      <c r="EG146" s="339"/>
      <c r="EH146" s="360"/>
      <c r="EI146" s="21"/>
      <c r="EJ146" s="21"/>
      <c r="EK146" s="21"/>
      <c r="EL146" s="21"/>
      <c r="EM146" s="21"/>
    </row>
    <row r="147" spans="1:143" ht="14.25" customHeight="1">
      <c r="A147" s="21"/>
      <c r="B147" s="21"/>
      <c r="C147" s="21"/>
      <c r="D147" s="422">
        <f t="shared" si="854"/>
        <v>122</v>
      </c>
      <c r="E147" s="1625"/>
      <c r="F147" s="403" t="str">
        <f t="shared" si="866"/>
        <v>Bank 8</v>
      </c>
      <c r="G147" s="265"/>
      <c r="H147" s="666"/>
      <c r="I147" s="303"/>
      <c r="J147" s="338"/>
      <c r="K147" s="338"/>
      <c r="L147" s="338"/>
      <c r="M147" s="338"/>
      <c r="N147" s="338"/>
      <c r="O147" s="338"/>
      <c r="P147" s="338"/>
      <c r="Q147" s="338"/>
      <c r="R147" s="338"/>
      <c r="S147" s="338"/>
      <c r="T147" s="339">
        <v>10</v>
      </c>
      <c r="U147" s="360"/>
      <c r="V147" s="303"/>
      <c r="W147" s="338"/>
      <c r="X147" s="338"/>
      <c r="Y147" s="338"/>
      <c r="Z147" s="338"/>
      <c r="AA147" s="338"/>
      <c r="AB147" s="338"/>
      <c r="AC147" s="338"/>
      <c r="AD147" s="338"/>
      <c r="AE147" s="338"/>
      <c r="AF147" s="338"/>
      <c r="AG147" s="339"/>
      <c r="AH147" s="360"/>
      <c r="AI147" s="303"/>
      <c r="AJ147" s="338"/>
      <c r="AK147" s="338"/>
      <c r="AL147" s="338"/>
      <c r="AM147" s="338"/>
      <c r="AN147" s="338"/>
      <c r="AO147" s="338"/>
      <c r="AP147" s="338"/>
      <c r="AQ147" s="338"/>
      <c r="AR147" s="338"/>
      <c r="AS147" s="338"/>
      <c r="AT147" s="339"/>
      <c r="AU147" s="360"/>
      <c r="AV147" s="303"/>
      <c r="AW147" s="338"/>
      <c r="AX147" s="338"/>
      <c r="AY147" s="338"/>
      <c r="AZ147" s="338"/>
      <c r="BA147" s="338"/>
      <c r="BB147" s="338"/>
      <c r="BC147" s="338"/>
      <c r="BD147" s="338"/>
      <c r="BE147" s="338"/>
      <c r="BF147" s="338"/>
      <c r="BG147" s="339"/>
      <c r="BH147" s="360"/>
      <c r="BI147" s="303"/>
      <c r="BJ147" s="338"/>
      <c r="BK147" s="338"/>
      <c r="BL147" s="338"/>
      <c r="BM147" s="338"/>
      <c r="BN147" s="338"/>
      <c r="BO147" s="338"/>
      <c r="BP147" s="338"/>
      <c r="BQ147" s="338"/>
      <c r="BR147" s="338"/>
      <c r="BS147" s="338"/>
      <c r="BT147" s="339"/>
      <c r="BU147" s="360"/>
      <c r="BV147" s="303"/>
      <c r="BW147" s="338"/>
      <c r="BX147" s="338"/>
      <c r="BY147" s="338"/>
      <c r="BZ147" s="338"/>
      <c r="CA147" s="338"/>
      <c r="CB147" s="338"/>
      <c r="CC147" s="338"/>
      <c r="CD147" s="338"/>
      <c r="CE147" s="338"/>
      <c r="CF147" s="338"/>
      <c r="CG147" s="339"/>
      <c r="CH147" s="360"/>
      <c r="CI147" s="303"/>
      <c r="CJ147" s="338"/>
      <c r="CK147" s="338"/>
      <c r="CL147" s="338"/>
      <c r="CM147" s="338"/>
      <c r="CN147" s="338"/>
      <c r="CO147" s="338"/>
      <c r="CP147" s="338"/>
      <c r="CQ147" s="338"/>
      <c r="CR147" s="338"/>
      <c r="CS147" s="338"/>
      <c r="CT147" s="339"/>
      <c r="CU147" s="360"/>
      <c r="CV147" s="303"/>
      <c r="CW147" s="338"/>
      <c r="CX147" s="338"/>
      <c r="CY147" s="338"/>
      <c r="CZ147" s="338"/>
      <c r="DA147" s="338"/>
      <c r="DB147" s="338"/>
      <c r="DC147" s="338"/>
      <c r="DD147" s="338"/>
      <c r="DE147" s="338"/>
      <c r="DF147" s="338"/>
      <c r="DG147" s="339"/>
      <c r="DH147" s="360"/>
      <c r="DI147" s="303"/>
      <c r="DJ147" s="338"/>
      <c r="DK147" s="338"/>
      <c r="DL147" s="338"/>
      <c r="DM147" s="338"/>
      <c r="DN147" s="338"/>
      <c r="DO147" s="338"/>
      <c r="DP147" s="338"/>
      <c r="DQ147" s="338"/>
      <c r="DR147" s="338"/>
      <c r="DS147" s="338"/>
      <c r="DT147" s="339"/>
      <c r="DU147" s="360"/>
      <c r="DV147" s="303"/>
      <c r="DW147" s="338"/>
      <c r="DX147" s="338"/>
      <c r="DY147" s="338"/>
      <c r="DZ147" s="338"/>
      <c r="EA147" s="338"/>
      <c r="EB147" s="338"/>
      <c r="EC147" s="338"/>
      <c r="ED147" s="338"/>
      <c r="EE147" s="338"/>
      <c r="EF147" s="338"/>
      <c r="EG147" s="339"/>
      <c r="EH147" s="360"/>
      <c r="EI147" s="21"/>
      <c r="EJ147" s="21"/>
      <c r="EK147" s="21"/>
      <c r="EL147" s="21"/>
      <c r="EM147" s="21"/>
    </row>
    <row r="148" spans="1:143" ht="13.5" customHeight="1">
      <c r="A148" s="21"/>
      <c r="B148" s="21"/>
      <c r="C148" s="21"/>
      <c r="D148" s="422">
        <f t="shared" si="854"/>
        <v>123</v>
      </c>
      <c r="E148" s="1625"/>
      <c r="F148" s="403" t="str">
        <f t="shared" si="866"/>
        <v>Bank 9</v>
      </c>
      <c r="G148" s="265"/>
      <c r="H148" s="666"/>
      <c r="I148" s="303"/>
      <c r="J148" s="338"/>
      <c r="K148" s="338"/>
      <c r="L148" s="338"/>
      <c r="M148" s="338"/>
      <c r="N148" s="338"/>
      <c r="O148" s="338"/>
      <c r="P148" s="338"/>
      <c r="Q148" s="338"/>
      <c r="R148" s="338"/>
      <c r="S148" s="338"/>
      <c r="T148" s="339">
        <v>20</v>
      </c>
      <c r="U148" s="360"/>
      <c r="V148" s="303"/>
      <c r="W148" s="338"/>
      <c r="X148" s="338"/>
      <c r="Y148" s="338"/>
      <c r="Z148" s="338"/>
      <c r="AA148" s="338"/>
      <c r="AB148" s="338"/>
      <c r="AC148" s="338"/>
      <c r="AD148" s="338"/>
      <c r="AE148" s="338"/>
      <c r="AF148" s="338"/>
      <c r="AG148" s="339"/>
      <c r="AH148" s="360"/>
      <c r="AI148" s="303"/>
      <c r="AJ148" s="338"/>
      <c r="AK148" s="338"/>
      <c r="AL148" s="338"/>
      <c r="AM148" s="338"/>
      <c r="AN148" s="338"/>
      <c r="AO148" s="338"/>
      <c r="AP148" s="338"/>
      <c r="AQ148" s="338"/>
      <c r="AR148" s="338"/>
      <c r="AS148" s="338"/>
      <c r="AT148" s="339"/>
      <c r="AU148" s="360"/>
      <c r="AV148" s="303"/>
      <c r="AW148" s="338"/>
      <c r="AX148" s="338"/>
      <c r="AY148" s="338"/>
      <c r="AZ148" s="338"/>
      <c r="BA148" s="338"/>
      <c r="BB148" s="338"/>
      <c r="BC148" s="338"/>
      <c r="BD148" s="338"/>
      <c r="BE148" s="338"/>
      <c r="BF148" s="338"/>
      <c r="BG148" s="339"/>
      <c r="BH148" s="360"/>
      <c r="BI148" s="303"/>
      <c r="BJ148" s="338"/>
      <c r="BK148" s="338"/>
      <c r="BL148" s="338"/>
      <c r="BM148" s="338"/>
      <c r="BN148" s="338"/>
      <c r="BO148" s="338"/>
      <c r="BP148" s="338"/>
      <c r="BQ148" s="338"/>
      <c r="BR148" s="338"/>
      <c r="BS148" s="338"/>
      <c r="BT148" s="339"/>
      <c r="BU148" s="360"/>
      <c r="BV148" s="303"/>
      <c r="BW148" s="338"/>
      <c r="BX148" s="338"/>
      <c r="BY148" s="338"/>
      <c r="BZ148" s="338"/>
      <c r="CA148" s="338"/>
      <c r="CB148" s="338"/>
      <c r="CC148" s="338"/>
      <c r="CD148" s="338"/>
      <c r="CE148" s="338"/>
      <c r="CF148" s="338"/>
      <c r="CG148" s="339"/>
      <c r="CH148" s="360"/>
      <c r="CI148" s="303"/>
      <c r="CJ148" s="338"/>
      <c r="CK148" s="338"/>
      <c r="CL148" s="338"/>
      <c r="CM148" s="338"/>
      <c r="CN148" s="338"/>
      <c r="CO148" s="338"/>
      <c r="CP148" s="338"/>
      <c r="CQ148" s="338"/>
      <c r="CR148" s="338"/>
      <c r="CS148" s="338"/>
      <c r="CT148" s="339"/>
      <c r="CU148" s="360"/>
      <c r="CV148" s="303"/>
      <c r="CW148" s="338"/>
      <c r="CX148" s="338"/>
      <c r="CY148" s="338"/>
      <c r="CZ148" s="338"/>
      <c r="DA148" s="338"/>
      <c r="DB148" s="338"/>
      <c r="DC148" s="338"/>
      <c r="DD148" s="338"/>
      <c r="DE148" s="338"/>
      <c r="DF148" s="338"/>
      <c r="DG148" s="339"/>
      <c r="DH148" s="360"/>
      <c r="DI148" s="303"/>
      <c r="DJ148" s="338"/>
      <c r="DK148" s="338"/>
      <c r="DL148" s="338"/>
      <c r="DM148" s="338"/>
      <c r="DN148" s="338"/>
      <c r="DO148" s="338"/>
      <c r="DP148" s="338"/>
      <c r="DQ148" s="338"/>
      <c r="DR148" s="338"/>
      <c r="DS148" s="338"/>
      <c r="DT148" s="339"/>
      <c r="DU148" s="360"/>
      <c r="DV148" s="303"/>
      <c r="DW148" s="338"/>
      <c r="DX148" s="338"/>
      <c r="DY148" s="338"/>
      <c r="DZ148" s="338"/>
      <c r="EA148" s="338"/>
      <c r="EB148" s="338"/>
      <c r="EC148" s="338"/>
      <c r="ED148" s="338"/>
      <c r="EE148" s="338"/>
      <c r="EF148" s="338"/>
      <c r="EG148" s="339"/>
      <c r="EH148" s="360"/>
      <c r="EI148" s="21"/>
      <c r="EJ148" s="21"/>
      <c r="EK148" s="21"/>
      <c r="EL148" s="21"/>
      <c r="EM148" s="21"/>
    </row>
    <row r="149" spans="1:143" ht="15" customHeight="1">
      <c r="A149" s="21"/>
      <c r="B149" s="21"/>
      <c r="C149" s="21"/>
      <c r="D149" s="422">
        <f t="shared" si="854"/>
        <v>124</v>
      </c>
      <c r="E149" s="1631"/>
      <c r="F149" s="403" t="str">
        <f t="shared" si="866"/>
        <v>Bank 10</v>
      </c>
      <c r="G149" s="265"/>
      <c r="H149" s="666"/>
      <c r="I149" s="308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  <c r="T149" s="429">
        <v>30</v>
      </c>
      <c r="U149" s="360"/>
      <c r="V149" s="308"/>
      <c r="W149" s="306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429"/>
      <c r="AH149" s="360"/>
      <c r="AI149" s="308"/>
      <c r="AJ149" s="306"/>
      <c r="AK149" s="306"/>
      <c r="AL149" s="306"/>
      <c r="AM149" s="306"/>
      <c r="AN149" s="306"/>
      <c r="AO149" s="306"/>
      <c r="AP149" s="306"/>
      <c r="AQ149" s="306"/>
      <c r="AR149" s="306"/>
      <c r="AS149" s="306"/>
      <c r="AT149" s="429"/>
      <c r="AU149" s="360"/>
      <c r="AV149" s="308"/>
      <c r="AW149" s="306"/>
      <c r="AX149" s="306"/>
      <c r="AY149" s="306"/>
      <c r="AZ149" s="306"/>
      <c r="BA149" s="306"/>
      <c r="BB149" s="306"/>
      <c r="BC149" s="306"/>
      <c r="BD149" s="306"/>
      <c r="BE149" s="306"/>
      <c r="BF149" s="306"/>
      <c r="BG149" s="429"/>
      <c r="BH149" s="360"/>
      <c r="BI149" s="308"/>
      <c r="BJ149" s="306"/>
      <c r="BK149" s="306"/>
      <c r="BL149" s="306"/>
      <c r="BM149" s="306"/>
      <c r="BN149" s="306"/>
      <c r="BO149" s="306"/>
      <c r="BP149" s="306"/>
      <c r="BQ149" s="306"/>
      <c r="BR149" s="306"/>
      <c r="BS149" s="306"/>
      <c r="BT149" s="429"/>
      <c r="BU149" s="360"/>
      <c r="BV149" s="308"/>
      <c r="BW149" s="306"/>
      <c r="BX149" s="306"/>
      <c r="BY149" s="306"/>
      <c r="BZ149" s="306"/>
      <c r="CA149" s="306"/>
      <c r="CB149" s="306"/>
      <c r="CC149" s="306"/>
      <c r="CD149" s="306"/>
      <c r="CE149" s="306"/>
      <c r="CF149" s="306"/>
      <c r="CG149" s="429"/>
      <c r="CH149" s="360"/>
      <c r="CI149" s="308"/>
      <c r="CJ149" s="306"/>
      <c r="CK149" s="306"/>
      <c r="CL149" s="306"/>
      <c r="CM149" s="306"/>
      <c r="CN149" s="306"/>
      <c r="CO149" s="306"/>
      <c r="CP149" s="306"/>
      <c r="CQ149" s="306"/>
      <c r="CR149" s="306"/>
      <c r="CS149" s="306"/>
      <c r="CT149" s="429"/>
      <c r="CU149" s="360"/>
      <c r="CV149" s="308"/>
      <c r="CW149" s="306"/>
      <c r="CX149" s="306"/>
      <c r="CY149" s="306"/>
      <c r="CZ149" s="306"/>
      <c r="DA149" s="306"/>
      <c r="DB149" s="306"/>
      <c r="DC149" s="306"/>
      <c r="DD149" s="306"/>
      <c r="DE149" s="306"/>
      <c r="DF149" s="306"/>
      <c r="DG149" s="429"/>
      <c r="DH149" s="360"/>
      <c r="DI149" s="308"/>
      <c r="DJ149" s="306"/>
      <c r="DK149" s="306"/>
      <c r="DL149" s="306"/>
      <c r="DM149" s="306"/>
      <c r="DN149" s="306"/>
      <c r="DO149" s="306"/>
      <c r="DP149" s="306"/>
      <c r="DQ149" s="306"/>
      <c r="DR149" s="306"/>
      <c r="DS149" s="306"/>
      <c r="DT149" s="429"/>
      <c r="DU149" s="360"/>
      <c r="DV149" s="308"/>
      <c r="DW149" s="306"/>
      <c r="DX149" s="306"/>
      <c r="DY149" s="306"/>
      <c r="DZ149" s="306"/>
      <c r="EA149" s="306"/>
      <c r="EB149" s="306"/>
      <c r="EC149" s="306"/>
      <c r="ED149" s="306"/>
      <c r="EE149" s="306"/>
      <c r="EF149" s="306"/>
      <c r="EG149" s="429"/>
      <c r="EH149" s="360"/>
      <c r="EI149" s="21"/>
      <c r="EJ149" s="21"/>
      <c r="EK149" s="21"/>
      <c r="EL149" s="21"/>
      <c r="EM149" s="21"/>
    </row>
    <row r="150" spans="1:143" ht="33.75" customHeight="1">
      <c r="A150" s="21"/>
      <c r="B150" s="21"/>
      <c r="C150" s="21"/>
      <c r="D150" s="1455" t="s">
        <v>634</v>
      </c>
      <c r="E150" s="1632"/>
      <c r="F150" s="403"/>
      <c r="G150" s="265"/>
      <c r="H150" s="425"/>
      <c r="I150" s="420"/>
      <c r="J150" s="420"/>
      <c r="K150" s="420"/>
      <c r="L150" s="420"/>
      <c r="M150" s="420"/>
      <c r="N150" s="420"/>
      <c r="O150" s="420"/>
      <c r="P150" s="420"/>
      <c r="Q150" s="420"/>
      <c r="R150" s="420"/>
      <c r="S150" s="420"/>
      <c r="T150" s="421"/>
      <c r="U150" s="360"/>
      <c r="V150" s="420"/>
      <c r="W150" s="420"/>
      <c r="X150" s="420"/>
      <c r="Y150" s="420"/>
      <c r="Z150" s="420"/>
      <c r="AA150" s="420"/>
      <c r="AB150" s="420"/>
      <c r="AC150" s="420"/>
      <c r="AD150" s="420"/>
      <c r="AE150" s="420"/>
      <c r="AF150" s="420"/>
      <c r="AG150" s="421"/>
      <c r="AH150" s="360"/>
      <c r="AI150" s="420"/>
      <c r="AJ150" s="420"/>
      <c r="AK150" s="420"/>
      <c r="AL150" s="420"/>
      <c r="AM150" s="420"/>
      <c r="AN150" s="420"/>
      <c r="AO150" s="420"/>
      <c r="AP150" s="420"/>
      <c r="AQ150" s="420"/>
      <c r="AR150" s="420"/>
      <c r="AS150" s="420"/>
      <c r="AT150" s="421"/>
      <c r="AU150" s="360"/>
      <c r="AV150" s="420"/>
      <c r="AW150" s="420"/>
      <c r="AX150" s="420"/>
      <c r="AY150" s="420"/>
      <c r="AZ150" s="420"/>
      <c r="BA150" s="420"/>
      <c r="BB150" s="420"/>
      <c r="BC150" s="420"/>
      <c r="BD150" s="420"/>
      <c r="BE150" s="420"/>
      <c r="BF150" s="420"/>
      <c r="BG150" s="421"/>
      <c r="BH150" s="360"/>
      <c r="BI150" s="420"/>
      <c r="BJ150" s="420"/>
      <c r="BK150" s="420"/>
      <c r="BL150" s="420"/>
      <c r="BM150" s="420"/>
      <c r="BN150" s="420"/>
      <c r="BO150" s="420"/>
      <c r="BP150" s="420"/>
      <c r="BQ150" s="420"/>
      <c r="BR150" s="420"/>
      <c r="BS150" s="420"/>
      <c r="BT150" s="421"/>
      <c r="BU150" s="360"/>
      <c r="BV150" s="420"/>
      <c r="BW150" s="420"/>
      <c r="BX150" s="420"/>
      <c r="BY150" s="420"/>
      <c r="BZ150" s="420"/>
      <c r="CA150" s="420"/>
      <c r="CB150" s="420"/>
      <c r="CC150" s="420"/>
      <c r="CD150" s="420"/>
      <c r="CE150" s="420"/>
      <c r="CF150" s="420"/>
      <c r="CG150" s="421"/>
      <c r="CH150" s="360"/>
      <c r="CI150" s="420"/>
      <c r="CJ150" s="420"/>
      <c r="CK150" s="420"/>
      <c r="CL150" s="420"/>
      <c r="CM150" s="420"/>
      <c r="CN150" s="420"/>
      <c r="CO150" s="420"/>
      <c r="CP150" s="420"/>
      <c r="CQ150" s="420"/>
      <c r="CR150" s="420"/>
      <c r="CS150" s="420"/>
      <c r="CT150" s="421"/>
      <c r="CU150" s="360"/>
      <c r="CV150" s="420"/>
      <c r="CW150" s="420"/>
      <c r="CX150" s="420"/>
      <c r="CY150" s="420"/>
      <c r="CZ150" s="420"/>
      <c r="DA150" s="420"/>
      <c r="DB150" s="420"/>
      <c r="DC150" s="420"/>
      <c r="DD150" s="420"/>
      <c r="DE150" s="420"/>
      <c r="DF150" s="420"/>
      <c r="DG150" s="421"/>
      <c r="DH150" s="360"/>
      <c r="DI150" s="420"/>
      <c r="DJ150" s="420"/>
      <c r="DK150" s="420"/>
      <c r="DL150" s="420"/>
      <c r="DM150" s="420"/>
      <c r="DN150" s="420"/>
      <c r="DO150" s="420"/>
      <c r="DP150" s="420"/>
      <c r="DQ150" s="420"/>
      <c r="DR150" s="420"/>
      <c r="DS150" s="420"/>
      <c r="DT150" s="421"/>
      <c r="DU150" s="360"/>
      <c r="DV150" s="420"/>
      <c r="DW150" s="420"/>
      <c r="DX150" s="420"/>
      <c r="DY150" s="420"/>
      <c r="DZ150" s="420"/>
      <c r="EA150" s="420"/>
      <c r="EB150" s="420"/>
      <c r="EC150" s="420"/>
      <c r="ED150" s="420"/>
      <c r="EE150" s="420"/>
      <c r="EF150" s="420"/>
      <c r="EG150" s="421"/>
      <c r="EH150" s="360"/>
      <c r="EI150" s="21"/>
      <c r="EJ150" s="21"/>
      <c r="EK150" s="21"/>
      <c r="EL150" s="21"/>
      <c r="EM150" s="21"/>
    </row>
    <row r="151" spans="1:143" ht="14.25" customHeight="1">
      <c r="A151" s="21"/>
      <c r="B151" s="21"/>
      <c r="C151" s="21"/>
      <c r="D151" s="422">
        <f>+D139+1</f>
        <v>115</v>
      </c>
      <c r="E151" s="1453"/>
      <c r="F151" s="403" t="s">
        <v>635</v>
      </c>
      <c r="G151" s="265"/>
      <c r="H151" s="425"/>
      <c r="I151" s="430">
        <f t="shared" ref="I151:T151" si="867">+SUM(I152:I167)</f>
        <v>0</v>
      </c>
      <c r="J151" s="430">
        <f t="shared" si="867"/>
        <v>0</v>
      </c>
      <c r="K151" s="430">
        <f>+SUM(K152:K167)</f>
        <v>0</v>
      </c>
      <c r="L151" s="430">
        <f t="shared" si="867"/>
        <v>0</v>
      </c>
      <c r="M151" s="430">
        <f t="shared" si="867"/>
        <v>0</v>
      </c>
      <c r="N151" s="430">
        <f t="shared" si="867"/>
        <v>0</v>
      </c>
      <c r="O151" s="430">
        <f t="shared" si="867"/>
        <v>0</v>
      </c>
      <c r="P151" s="430">
        <f t="shared" si="867"/>
        <v>0</v>
      </c>
      <c r="Q151" s="430">
        <f t="shared" si="867"/>
        <v>0</v>
      </c>
      <c r="R151" s="430">
        <f t="shared" si="867"/>
        <v>0</v>
      </c>
      <c r="S151" s="430">
        <f t="shared" si="867"/>
        <v>0</v>
      </c>
      <c r="T151" s="431">
        <f t="shared" si="867"/>
        <v>390</v>
      </c>
      <c r="U151" s="360"/>
      <c r="V151" s="430">
        <f t="shared" ref="V151:AG151" si="868">+SUM(V152:V167)</f>
        <v>0</v>
      </c>
      <c r="W151" s="430">
        <f t="shared" si="868"/>
        <v>0</v>
      </c>
      <c r="X151" s="430">
        <f t="shared" si="868"/>
        <v>0</v>
      </c>
      <c r="Y151" s="430">
        <f t="shared" si="868"/>
        <v>0</v>
      </c>
      <c r="Z151" s="430">
        <f t="shared" si="868"/>
        <v>0</v>
      </c>
      <c r="AA151" s="430">
        <f t="shared" si="868"/>
        <v>0</v>
      </c>
      <c r="AB151" s="430">
        <f t="shared" si="868"/>
        <v>0</v>
      </c>
      <c r="AC151" s="430">
        <f t="shared" si="868"/>
        <v>0</v>
      </c>
      <c r="AD151" s="430">
        <f t="shared" si="868"/>
        <v>0</v>
      </c>
      <c r="AE151" s="430">
        <f t="shared" si="868"/>
        <v>0</v>
      </c>
      <c r="AF151" s="430">
        <f t="shared" si="868"/>
        <v>0</v>
      </c>
      <c r="AG151" s="431">
        <f t="shared" si="868"/>
        <v>0</v>
      </c>
      <c r="AH151" s="360"/>
      <c r="AI151" s="430">
        <f t="shared" ref="AI151:AT151" si="869">+SUM(AI152:AI167)</f>
        <v>0</v>
      </c>
      <c r="AJ151" s="430">
        <f t="shared" si="869"/>
        <v>0</v>
      </c>
      <c r="AK151" s="430">
        <f t="shared" si="869"/>
        <v>0</v>
      </c>
      <c r="AL151" s="430">
        <f t="shared" si="869"/>
        <v>0</v>
      </c>
      <c r="AM151" s="430">
        <f t="shared" si="869"/>
        <v>0</v>
      </c>
      <c r="AN151" s="430">
        <f t="shared" si="869"/>
        <v>0</v>
      </c>
      <c r="AO151" s="430">
        <f t="shared" si="869"/>
        <v>0</v>
      </c>
      <c r="AP151" s="430">
        <f t="shared" si="869"/>
        <v>0</v>
      </c>
      <c r="AQ151" s="430">
        <f t="shared" si="869"/>
        <v>0</v>
      </c>
      <c r="AR151" s="430">
        <f t="shared" si="869"/>
        <v>0</v>
      </c>
      <c r="AS151" s="430">
        <f t="shared" si="869"/>
        <v>0</v>
      </c>
      <c r="AT151" s="431">
        <f t="shared" si="869"/>
        <v>0</v>
      </c>
      <c r="AU151" s="360"/>
      <c r="AV151" s="430">
        <f t="shared" ref="AV151:BG151" si="870">+SUM(AV152:AV167)</f>
        <v>0</v>
      </c>
      <c r="AW151" s="430">
        <f t="shared" si="870"/>
        <v>0</v>
      </c>
      <c r="AX151" s="430">
        <f t="shared" si="870"/>
        <v>0</v>
      </c>
      <c r="AY151" s="430">
        <f t="shared" si="870"/>
        <v>0</v>
      </c>
      <c r="AZ151" s="430">
        <f t="shared" si="870"/>
        <v>0</v>
      </c>
      <c r="BA151" s="430">
        <f t="shared" si="870"/>
        <v>0</v>
      </c>
      <c r="BB151" s="430">
        <f t="shared" si="870"/>
        <v>0</v>
      </c>
      <c r="BC151" s="430">
        <f t="shared" si="870"/>
        <v>0</v>
      </c>
      <c r="BD151" s="430">
        <f t="shared" si="870"/>
        <v>0</v>
      </c>
      <c r="BE151" s="430">
        <f t="shared" si="870"/>
        <v>0</v>
      </c>
      <c r="BF151" s="430">
        <f t="shared" si="870"/>
        <v>0</v>
      </c>
      <c r="BG151" s="431">
        <f t="shared" si="870"/>
        <v>0</v>
      </c>
      <c r="BH151" s="360"/>
      <c r="BI151" s="430">
        <f t="shared" ref="BI151:BT151" si="871">+SUM(BI152:BI167)</f>
        <v>0</v>
      </c>
      <c r="BJ151" s="430">
        <f t="shared" si="871"/>
        <v>0</v>
      </c>
      <c r="BK151" s="430">
        <f t="shared" si="871"/>
        <v>0</v>
      </c>
      <c r="BL151" s="430">
        <f t="shared" si="871"/>
        <v>0</v>
      </c>
      <c r="BM151" s="430">
        <f t="shared" si="871"/>
        <v>0</v>
      </c>
      <c r="BN151" s="430">
        <f t="shared" si="871"/>
        <v>0</v>
      </c>
      <c r="BO151" s="430">
        <f t="shared" si="871"/>
        <v>0</v>
      </c>
      <c r="BP151" s="430">
        <f t="shared" si="871"/>
        <v>0</v>
      </c>
      <c r="BQ151" s="430">
        <f t="shared" si="871"/>
        <v>0</v>
      </c>
      <c r="BR151" s="430">
        <f t="shared" si="871"/>
        <v>0</v>
      </c>
      <c r="BS151" s="430">
        <f t="shared" si="871"/>
        <v>0</v>
      </c>
      <c r="BT151" s="431">
        <f t="shared" si="871"/>
        <v>0</v>
      </c>
      <c r="BU151" s="360"/>
      <c r="BV151" s="430">
        <f t="shared" ref="BV151:CG151" si="872">+SUM(BV152:BV167)</f>
        <v>0</v>
      </c>
      <c r="BW151" s="430">
        <f t="shared" si="872"/>
        <v>0</v>
      </c>
      <c r="BX151" s="430">
        <f t="shared" si="872"/>
        <v>0</v>
      </c>
      <c r="BY151" s="430">
        <f t="shared" si="872"/>
        <v>0</v>
      </c>
      <c r="BZ151" s="430">
        <f t="shared" si="872"/>
        <v>0</v>
      </c>
      <c r="CA151" s="430">
        <f t="shared" si="872"/>
        <v>0</v>
      </c>
      <c r="CB151" s="430">
        <f t="shared" si="872"/>
        <v>0</v>
      </c>
      <c r="CC151" s="430">
        <f t="shared" si="872"/>
        <v>0</v>
      </c>
      <c r="CD151" s="430">
        <f t="shared" si="872"/>
        <v>0</v>
      </c>
      <c r="CE151" s="430">
        <f t="shared" si="872"/>
        <v>0</v>
      </c>
      <c r="CF151" s="430">
        <f t="shared" si="872"/>
        <v>0</v>
      </c>
      <c r="CG151" s="431">
        <f t="shared" si="872"/>
        <v>0</v>
      </c>
      <c r="CH151" s="360"/>
      <c r="CI151" s="430">
        <f t="shared" ref="CI151:CT151" si="873">+SUM(CI152:CI167)</f>
        <v>0</v>
      </c>
      <c r="CJ151" s="430">
        <f t="shared" si="873"/>
        <v>0</v>
      </c>
      <c r="CK151" s="430">
        <f t="shared" si="873"/>
        <v>0</v>
      </c>
      <c r="CL151" s="430">
        <f t="shared" si="873"/>
        <v>0</v>
      </c>
      <c r="CM151" s="430">
        <f t="shared" si="873"/>
        <v>0</v>
      </c>
      <c r="CN151" s="430">
        <f t="shared" si="873"/>
        <v>0</v>
      </c>
      <c r="CO151" s="430">
        <f t="shared" si="873"/>
        <v>0</v>
      </c>
      <c r="CP151" s="430">
        <f t="shared" si="873"/>
        <v>0</v>
      </c>
      <c r="CQ151" s="430">
        <f t="shared" si="873"/>
        <v>0</v>
      </c>
      <c r="CR151" s="430">
        <f t="shared" si="873"/>
        <v>0</v>
      </c>
      <c r="CS151" s="430">
        <f t="shared" si="873"/>
        <v>0</v>
      </c>
      <c r="CT151" s="431">
        <f t="shared" si="873"/>
        <v>0</v>
      </c>
      <c r="CU151" s="360"/>
      <c r="CV151" s="430">
        <f t="shared" ref="CV151:DG151" si="874">+SUM(CV152:CV167)</f>
        <v>0</v>
      </c>
      <c r="CW151" s="430">
        <f t="shared" si="874"/>
        <v>0</v>
      </c>
      <c r="CX151" s="430">
        <f t="shared" si="874"/>
        <v>0</v>
      </c>
      <c r="CY151" s="430">
        <f t="shared" si="874"/>
        <v>0</v>
      </c>
      <c r="CZ151" s="430">
        <f t="shared" si="874"/>
        <v>0</v>
      </c>
      <c r="DA151" s="430">
        <f t="shared" si="874"/>
        <v>0</v>
      </c>
      <c r="DB151" s="430">
        <f t="shared" si="874"/>
        <v>0</v>
      </c>
      <c r="DC151" s="430">
        <f t="shared" si="874"/>
        <v>0</v>
      </c>
      <c r="DD151" s="430">
        <f t="shared" si="874"/>
        <v>0</v>
      </c>
      <c r="DE151" s="430">
        <f t="shared" si="874"/>
        <v>0</v>
      </c>
      <c r="DF151" s="430">
        <f t="shared" si="874"/>
        <v>0</v>
      </c>
      <c r="DG151" s="431">
        <f t="shared" si="874"/>
        <v>0</v>
      </c>
      <c r="DH151" s="360"/>
      <c r="DI151" s="430">
        <f t="shared" ref="DI151:DT151" si="875">+SUM(DI152:DI167)</f>
        <v>0</v>
      </c>
      <c r="DJ151" s="430">
        <f t="shared" si="875"/>
        <v>0</v>
      </c>
      <c r="DK151" s="430">
        <f t="shared" si="875"/>
        <v>0</v>
      </c>
      <c r="DL151" s="430">
        <f t="shared" si="875"/>
        <v>0</v>
      </c>
      <c r="DM151" s="430">
        <f t="shared" si="875"/>
        <v>0</v>
      </c>
      <c r="DN151" s="430">
        <f t="shared" si="875"/>
        <v>0</v>
      </c>
      <c r="DO151" s="430">
        <f t="shared" si="875"/>
        <v>0</v>
      </c>
      <c r="DP151" s="430">
        <f t="shared" si="875"/>
        <v>0</v>
      </c>
      <c r="DQ151" s="430">
        <f t="shared" si="875"/>
        <v>0</v>
      </c>
      <c r="DR151" s="430">
        <f t="shared" si="875"/>
        <v>0</v>
      </c>
      <c r="DS151" s="430">
        <f t="shared" si="875"/>
        <v>0</v>
      </c>
      <c r="DT151" s="431">
        <f t="shared" si="875"/>
        <v>0</v>
      </c>
      <c r="DU151" s="360"/>
      <c r="DV151" s="430">
        <f t="shared" ref="DV151:EG151" si="876">+SUM(DV152:DV167)</f>
        <v>0</v>
      </c>
      <c r="DW151" s="430">
        <f t="shared" si="876"/>
        <v>0</v>
      </c>
      <c r="DX151" s="430">
        <f t="shared" si="876"/>
        <v>0</v>
      </c>
      <c r="DY151" s="430">
        <f t="shared" si="876"/>
        <v>0</v>
      </c>
      <c r="DZ151" s="430">
        <f t="shared" si="876"/>
        <v>0</v>
      </c>
      <c r="EA151" s="430">
        <f t="shared" si="876"/>
        <v>0</v>
      </c>
      <c r="EB151" s="430">
        <f t="shared" si="876"/>
        <v>0</v>
      </c>
      <c r="EC151" s="430">
        <f t="shared" si="876"/>
        <v>0</v>
      </c>
      <c r="ED151" s="430">
        <f t="shared" si="876"/>
        <v>0</v>
      </c>
      <c r="EE151" s="430">
        <f t="shared" si="876"/>
        <v>0</v>
      </c>
      <c r="EF151" s="430">
        <f t="shared" si="876"/>
        <v>0</v>
      </c>
      <c r="EG151" s="431">
        <f t="shared" si="876"/>
        <v>0</v>
      </c>
      <c r="EH151" s="360"/>
      <c r="EI151" s="21"/>
      <c r="EJ151" s="21"/>
      <c r="EK151" s="21"/>
      <c r="EL151" s="21"/>
      <c r="EM151" s="21"/>
    </row>
    <row r="152" spans="1:143" ht="13.5" customHeight="1">
      <c r="A152" s="21"/>
      <c r="B152" s="21"/>
      <c r="C152" s="21"/>
      <c r="D152" s="422">
        <f t="shared" ref="D152:D167" si="877">+D151+1</f>
        <v>116</v>
      </c>
      <c r="E152" s="1625"/>
      <c r="F152" s="403" t="str">
        <f>+F103</f>
        <v>Long Term Bank Loan - BNI #1 (Eksisting)</v>
      </c>
      <c r="G152" s="265"/>
      <c r="H152" s="666"/>
      <c r="I152" s="336"/>
      <c r="J152" s="333"/>
      <c r="K152" s="333"/>
      <c r="L152" s="333"/>
      <c r="M152" s="333"/>
      <c r="N152" s="333"/>
      <c r="O152" s="333"/>
      <c r="P152" s="333"/>
      <c r="Q152" s="333"/>
      <c r="R152" s="333"/>
      <c r="S152" s="333"/>
      <c r="T152" s="334">
        <v>10</v>
      </c>
      <c r="U152" s="360"/>
      <c r="V152" s="336"/>
      <c r="W152" s="333"/>
      <c r="X152" s="333"/>
      <c r="Y152" s="333"/>
      <c r="Z152" s="333"/>
      <c r="AA152" s="333"/>
      <c r="AB152" s="333"/>
      <c r="AC152" s="333"/>
      <c r="AD152" s="333"/>
      <c r="AE152" s="333"/>
      <c r="AF152" s="333"/>
      <c r="AG152" s="334"/>
      <c r="AH152" s="360"/>
      <c r="AI152" s="336"/>
      <c r="AJ152" s="333"/>
      <c r="AK152" s="333"/>
      <c r="AL152" s="333"/>
      <c r="AM152" s="333"/>
      <c r="AN152" s="333"/>
      <c r="AO152" s="333"/>
      <c r="AP152" s="333"/>
      <c r="AQ152" s="333"/>
      <c r="AR152" s="333"/>
      <c r="AS152" s="333"/>
      <c r="AT152" s="334"/>
      <c r="AU152" s="360"/>
      <c r="AV152" s="336"/>
      <c r="AW152" s="333"/>
      <c r="AX152" s="333"/>
      <c r="AY152" s="333"/>
      <c r="AZ152" s="333"/>
      <c r="BA152" s="333"/>
      <c r="BB152" s="333"/>
      <c r="BC152" s="333"/>
      <c r="BD152" s="333"/>
      <c r="BE152" s="333"/>
      <c r="BF152" s="333"/>
      <c r="BG152" s="334"/>
      <c r="BH152" s="360"/>
      <c r="BI152" s="336"/>
      <c r="BJ152" s="333"/>
      <c r="BK152" s="333"/>
      <c r="BL152" s="333"/>
      <c r="BM152" s="333"/>
      <c r="BN152" s="333"/>
      <c r="BO152" s="333"/>
      <c r="BP152" s="333"/>
      <c r="BQ152" s="333"/>
      <c r="BR152" s="333"/>
      <c r="BS152" s="333"/>
      <c r="BT152" s="334"/>
      <c r="BU152" s="360"/>
      <c r="BV152" s="336"/>
      <c r="BW152" s="333"/>
      <c r="BX152" s="333"/>
      <c r="BY152" s="333"/>
      <c r="BZ152" s="333"/>
      <c r="CA152" s="333"/>
      <c r="CB152" s="333"/>
      <c r="CC152" s="333"/>
      <c r="CD152" s="333"/>
      <c r="CE152" s="333"/>
      <c r="CF152" s="333"/>
      <c r="CG152" s="334"/>
      <c r="CH152" s="360"/>
      <c r="CI152" s="336"/>
      <c r="CJ152" s="333"/>
      <c r="CK152" s="333"/>
      <c r="CL152" s="333"/>
      <c r="CM152" s="333"/>
      <c r="CN152" s="333"/>
      <c r="CO152" s="333"/>
      <c r="CP152" s="333"/>
      <c r="CQ152" s="333"/>
      <c r="CR152" s="333"/>
      <c r="CS152" s="333"/>
      <c r="CT152" s="334"/>
      <c r="CU152" s="360"/>
      <c r="CV152" s="336"/>
      <c r="CW152" s="333"/>
      <c r="CX152" s="333"/>
      <c r="CY152" s="333"/>
      <c r="CZ152" s="333"/>
      <c r="DA152" s="333"/>
      <c r="DB152" s="333"/>
      <c r="DC152" s="333"/>
      <c r="DD152" s="333"/>
      <c r="DE152" s="333"/>
      <c r="DF152" s="333"/>
      <c r="DG152" s="334"/>
      <c r="DH152" s="360"/>
      <c r="DI152" s="336"/>
      <c r="DJ152" s="333"/>
      <c r="DK152" s="333"/>
      <c r="DL152" s="333"/>
      <c r="DM152" s="333"/>
      <c r="DN152" s="333"/>
      <c r="DO152" s="333"/>
      <c r="DP152" s="333"/>
      <c r="DQ152" s="333"/>
      <c r="DR152" s="333"/>
      <c r="DS152" s="333"/>
      <c r="DT152" s="334"/>
      <c r="DU152" s="360"/>
      <c r="DV152" s="336"/>
      <c r="DW152" s="333"/>
      <c r="DX152" s="333"/>
      <c r="DY152" s="333"/>
      <c r="DZ152" s="333"/>
      <c r="EA152" s="333"/>
      <c r="EB152" s="333"/>
      <c r="EC152" s="333"/>
      <c r="ED152" s="333"/>
      <c r="EE152" s="333"/>
      <c r="EF152" s="333"/>
      <c r="EG152" s="334"/>
      <c r="EH152" s="360"/>
      <c r="EI152" s="21"/>
      <c r="EJ152" s="21"/>
      <c r="EK152" s="21"/>
      <c r="EL152" s="21"/>
      <c r="EM152" s="21"/>
    </row>
    <row r="153" spans="1:143" ht="13.5" customHeight="1">
      <c r="A153" s="21"/>
      <c r="B153" s="21"/>
      <c r="C153" s="21"/>
      <c r="D153" s="422">
        <f t="shared" si="877"/>
        <v>117</v>
      </c>
      <c r="E153" s="1625"/>
      <c r="F153" s="403" t="str">
        <f t="shared" ref="F153:F155" si="878">+F136</f>
        <v>Long Term Bank Loan - BNI #2 (New)</v>
      </c>
      <c r="G153" s="265"/>
      <c r="H153" s="666"/>
      <c r="I153" s="426"/>
      <c r="J153" s="427"/>
      <c r="K153" s="427"/>
      <c r="L153" s="427"/>
      <c r="M153" s="427"/>
      <c r="N153" s="427"/>
      <c r="O153" s="427"/>
      <c r="P153" s="427"/>
      <c r="Q153" s="427"/>
      <c r="R153" s="427"/>
      <c r="S153" s="427"/>
      <c r="T153" s="428">
        <v>20</v>
      </c>
      <c r="U153" s="360"/>
      <c r="V153" s="426"/>
      <c r="W153" s="427"/>
      <c r="X153" s="427"/>
      <c r="Y153" s="427"/>
      <c r="Z153" s="427"/>
      <c r="AA153" s="427"/>
      <c r="AB153" s="427"/>
      <c r="AC153" s="427"/>
      <c r="AD153" s="427"/>
      <c r="AE153" s="427"/>
      <c r="AF153" s="427"/>
      <c r="AG153" s="428"/>
      <c r="AH153" s="360"/>
      <c r="AI153" s="426"/>
      <c r="AJ153" s="427"/>
      <c r="AK153" s="427"/>
      <c r="AL153" s="427"/>
      <c r="AM153" s="427"/>
      <c r="AN153" s="427"/>
      <c r="AO153" s="427"/>
      <c r="AP153" s="427"/>
      <c r="AQ153" s="427"/>
      <c r="AR153" s="427"/>
      <c r="AS153" s="427"/>
      <c r="AT153" s="428"/>
      <c r="AU153" s="360"/>
      <c r="AV153" s="426"/>
      <c r="AW153" s="427"/>
      <c r="AX153" s="427"/>
      <c r="AY153" s="427"/>
      <c r="AZ153" s="427"/>
      <c r="BA153" s="427"/>
      <c r="BB153" s="427"/>
      <c r="BC153" s="427"/>
      <c r="BD153" s="427"/>
      <c r="BE153" s="427"/>
      <c r="BF153" s="427"/>
      <c r="BG153" s="428"/>
      <c r="BH153" s="360"/>
      <c r="BI153" s="426"/>
      <c r="BJ153" s="427"/>
      <c r="BK153" s="427"/>
      <c r="BL153" s="427"/>
      <c r="BM153" s="427"/>
      <c r="BN153" s="427"/>
      <c r="BO153" s="427"/>
      <c r="BP153" s="427"/>
      <c r="BQ153" s="427"/>
      <c r="BR153" s="427"/>
      <c r="BS153" s="427"/>
      <c r="BT153" s="428"/>
      <c r="BU153" s="360"/>
      <c r="BV153" s="426"/>
      <c r="BW153" s="427"/>
      <c r="BX153" s="427"/>
      <c r="BY153" s="427"/>
      <c r="BZ153" s="427"/>
      <c r="CA153" s="427"/>
      <c r="CB153" s="427"/>
      <c r="CC153" s="427"/>
      <c r="CD153" s="427"/>
      <c r="CE153" s="427"/>
      <c r="CF153" s="427"/>
      <c r="CG153" s="428"/>
      <c r="CH153" s="360"/>
      <c r="CI153" s="426"/>
      <c r="CJ153" s="427"/>
      <c r="CK153" s="427"/>
      <c r="CL153" s="427"/>
      <c r="CM153" s="427"/>
      <c r="CN153" s="427"/>
      <c r="CO153" s="427"/>
      <c r="CP153" s="427"/>
      <c r="CQ153" s="427"/>
      <c r="CR153" s="427"/>
      <c r="CS153" s="427"/>
      <c r="CT153" s="428"/>
      <c r="CU153" s="360"/>
      <c r="CV153" s="426"/>
      <c r="CW153" s="427"/>
      <c r="CX153" s="427"/>
      <c r="CY153" s="427"/>
      <c r="CZ153" s="427"/>
      <c r="DA153" s="427"/>
      <c r="DB153" s="427"/>
      <c r="DC153" s="427"/>
      <c r="DD153" s="427"/>
      <c r="DE153" s="427"/>
      <c r="DF153" s="427"/>
      <c r="DG153" s="428"/>
      <c r="DH153" s="360"/>
      <c r="DI153" s="426"/>
      <c r="DJ153" s="427"/>
      <c r="DK153" s="427"/>
      <c r="DL153" s="427"/>
      <c r="DM153" s="427"/>
      <c r="DN153" s="427"/>
      <c r="DO153" s="427"/>
      <c r="DP153" s="427"/>
      <c r="DQ153" s="427"/>
      <c r="DR153" s="427"/>
      <c r="DS153" s="427"/>
      <c r="DT153" s="428"/>
      <c r="DU153" s="360"/>
      <c r="DV153" s="426"/>
      <c r="DW153" s="427"/>
      <c r="DX153" s="427"/>
      <c r="DY153" s="427"/>
      <c r="DZ153" s="427"/>
      <c r="EA153" s="427"/>
      <c r="EB153" s="427"/>
      <c r="EC153" s="427"/>
      <c r="ED153" s="427"/>
      <c r="EE153" s="427"/>
      <c r="EF153" s="427"/>
      <c r="EG153" s="428"/>
      <c r="EH153" s="360"/>
      <c r="EI153" s="21"/>
      <c r="EJ153" s="21"/>
      <c r="EK153" s="21"/>
      <c r="EL153" s="21"/>
      <c r="EM153" s="21"/>
    </row>
    <row r="154" spans="1:143" ht="13.5" customHeight="1">
      <c r="A154" s="21"/>
      <c r="B154" s="21"/>
      <c r="C154" s="21"/>
      <c r="D154" s="422">
        <f t="shared" si="877"/>
        <v>118</v>
      </c>
      <c r="E154" s="1625"/>
      <c r="F154" s="403" t="str">
        <f t="shared" si="878"/>
        <v>Long Term Bank Loan - BNI #3</v>
      </c>
      <c r="G154" s="265"/>
      <c r="H154" s="666"/>
      <c r="I154" s="633"/>
      <c r="J154" s="667"/>
      <c r="K154" s="667"/>
      <c r="L154" s="667"/>
      <c r="M154" s="667"/>
      <c r="N154" s="667"/>
      <c r="O154" s="667"/>
      <c r="P154" s="667"/>
      <c r="Q154" s="667"/>
      <c r="R154" s="667"/>
      <c r="S154" s="667"/>
      <c r="T154" s="668">
        <v>30</v>
      </c>
      <c r="U154" s="360"/>
      <c r="V154" s="633"/>
      <c r="W154" s="667"/>
      <c r="X154" s="667"/>
      <c r="Y154" s="667"/>
      <c r="Z154" s="667"/>
      <c r="AA154" s="667"/>
      <c r="AB154" s="667"/>
      <c r="AC154" s="667"/>
      <c r="AD154" s="667"/>
      <c r="AE154" s="667"/>
      <c r="AF154" s="667"/>
      <c r="AG154" s="668"/>
      <c r="AH154" s="360"/>
      <c r="AI154" s="633"/>
      <c r="AJ154" s="667"/>
      <c r="AK154" s="667"/>
      <c r="AL154" s="667"/>
      <c r="AM154" s="667"/>
      <c r="AN154" s="667"/>
      <c r="AO154" s="667"/>
      <c r="AP154" s="667"/>
      <c r="AQ154" s="667"/>
      <c r="AR154" s="667"/>
      <c r="AS154" s="667"/>
      <c r="AT154" s="668"/>
      <c r="AU154" s="360"/>
      <c r="AV154" s="633"/>
      <c r="AW154" s="667"/>
      <c r="AX154" s="667"/>
      <c r="AY154" s="667"/>
      <c r="AZ154" s="667"/>
      <c r="BA154" s="667"/>
      <c r="BB154" s="667"/>
      <c r="BC154" s="667"/>
      <c r="BD154" s="667"/>
      <c r="BE154" s="667"/>
      <c r="BF154" s="667"/>
      <c r="BG154" s="668"/>
      <c r="BH154" s="360"/>
      <c r="BI154" s="633"/>
      <c r="BJ154" s="667"/>
      <c r="BK154" s="667"/>
      <c r="BL154" s="667"/>
      <c r="BM154" s="667"/>
      <c r="BN154" s="667"/>
      <c r="BO154" s="667"/>
      <c r="BP154" s="667"/>
      <c r="BQ154" s="667"/>
      <c r="BR154" s="667"/>
      <c r="BS154" s="667"/>
      <c r="BT154" s="668"/>
      <c r="BU154" s="360"/>
      <c r="BV154" s="633"/>
      <c r="BW154" s="667"/>
      <c r="BX154" s="667"/>
      <c r="BY154" s="667"/>
      <c r="BZ154" s="667"/>
      <c r="CA154" s="667"/>
      <c r="CB154" s="667"/>
      <c r="CC154" s="667"/>
      <c r="CD154" s="667"/>
      <c r="CE154" s="667"/>
      <c r="CF154" s="667"/>
      <c r="CG154" s="668"/>
      <c r="CH154" s="360"/>
      <c r="CI154" s="633"/>
      <c r="CJ154" s="667"/>
      <c r="CK154" s="667"/>
      <c r="CL154" s="667"/>
      <c r="CM154" s="667"/>
      <c r="CN154" s="667"/>
      <c r="CO154" s="667"/>
      <c r="CP154" s="667"/>
      <c r="CQ154" s="667"/>
      <c r="CR154" s="667"/>
      <c r="CS154" s="667"/>
      <c r="CT154" s="668"/>
      <c r="CU154" s="360"/>
      <c r="CV154" s="633"/>
      <c r="CW154" s="667"/>
      <c r="CX154" s="667"/>
      <c r="CY154" s="667"/>
      <c r="CZ154" s="667"/>
      <c r="DA154" s="667"/>
      <c r="DB154" s="667"/>
      <c r="DC154" s="667"/>
      <c r="DD154" s="667"/>
      <c r="DE154" s="667"/>
      <c r="DF154" s="667"/>
      <c r="DG154" s="668"/>
      <c r="DH154" s="360"/>
      <c r="DI154" s="633"/>
      <c r="DJ154" s="667"/>
      <c r="DK154" s="667"/>
      <c r="DL154" s="667"/>
      <c r="DM154" s="667"/>
      <c r="DN154" s="667"/>
      <c r="DO154" s="667"/>
      <c r="DP154" s="667"/>
      <c r="DQ154" s="667"/>
      <c r="DR154" s="667"/>
      <c r="DS154" s="667"/>
      <c r="DT154" s="668"/>
      <c r="DU154" s="360"/>
      <c r="DV154" s="633"/>
      <c r="DW154" s="667"/>
      <c r="DX154" s="667"/>
      <c r="DY154" s="667"/>
      <c r="DZ154" s="667"/>
      <c r="EA154" s="667"/>
      <c r="EB154" s="667"/>
      <c r="EC154" s="667"/>
      <c r="ED154" s="667"/>
      <c r="EE154" s="667"/>
      <c r="EF154" s="667"/>
      <c r="EG154" s="668"/>
      <c r="EH154" s="360"/>
      <c r="EI154" s="21"/>
      <c r="EJ154" s="21"/>
      <c r="EK154" s="21"/>
      <c r="EL154" s="21"/>
      <c r="EM154" s="21"/>
    </row>
    <row r="155" spans="1:143" ht="13.5" customHeight="1">
      <c r="A155" s="21"/>
      <c r="B155" s="21"/>
      <c r="C155" s="21"/>
      <c r="D155" s="422">
        <f t="shared" si="877"/>
        <v>119</v>
      </c>
      <c r="E155" s="1625"/>
      <c r="F155" s="403" t="str">
        <f t="shared" si="878"/>
        <v>Long Term Bank Loan - BNI #4</v>
      </c>
      <c r="G155" s="265"/>
      <c r="H155" s="666"/>
      <c r="I155" s="633">
        <f>'Schedule Bank'!E6</f>
        <v>0</v>
      </c>
      <c r="J155" s="647">
        <f>'Schedule Bank'!E7</f>
        <v>0</v>
      </c>
      <c r="K155" s="647">
        <f>+'Schedule Bank'!$E8</f>
        <v>0</v>
      </c>
      <c r="L155" s="647">
        <f>+'Schedule Bank'!$E9</f>
        <v>0</v>
      </c>
      <c r="M155" s="647">
        <f>+'Schedule Bank'!$E10</f>
        <v>0</v>
      </c>
      <c r="N155" s="647">
        <f>+'Schedule Bank'!$E11</f>
        <v>0</v>
      </c>
      <c r="O155" s="647">
        <f>+'Schedule Bank'!$E12</f>
        <v>0</v>
      </c>
      <c r="P155" s="647">
        <f>+'Schedule Bank'!$E13</f>
        <v>0</v>
      </c>
      <c r="Q155" s="647">
        <f>+'Schedule Bank'!$E14</f>
        <v>0</v>
      </c>
      <c r="R155" s="647">
        <f>+'Schedule Bank'!$E15</f>
        <v>0</v>
      </c>
      <c r="S155" s="647">
        <f>+'Schedule Bank'!$E16</f>
        <v>0</v>
      </c>
      <c r="T155" s="668">
        <f>+'Schedule Bank'!$E17</f>
        <v>0</v>
      </c>
      <c r="U155" s="360"/>
      <c r="V155" s="633">
        <f>+'Schedule Bank'!$E18</f>
        <v>0</v>
      </c>
      <c r="W155" s="647">
        <f>+'Schedule Bank'!$E19</f>
        <v>0</v>
      </c>
      <c r="X155" s="647">
        <f>+'Schedule Bank'!$E20</f>
        <v>0</v>
      </c>
      <c r="Y155" s="647">
        <f>+'Schedule Bank'!$E21</f>
        <v>0</v>
      </c>
      <c r="Z155" s="647">
        <f>+'Schedule Bank'!$E22</f>
        <v>0</v>
      </c>
      <c r="AA155" s="647">
        <f>+'Schedule Bank'!$E23</f>
        <v>0</v>
      </c>
      <c r="AB155" s="647">
        <f>+'Schedule Bank'!$E24</f>
        <v>0</v>
      </c>
      <c r="AC155" s="647">
        <f>+'Schedule Bank'!$E25</f>
        <v>0</v>
      </c>
      <c r="AD155" s="647">
        <f>+'Schedule Bank'!$E26</f>
        <v>0</v>
      </c>
      <c r="AE155" s="647">
        <f>+'Schedule Bank'!$E27</f>
        <v>0</v>
      </c>
      <c r="AF155" s="647">
        <f>+'Schedule Bank'!$E28</f>
        <v>0</v>
      </c>
      <c r="AG155" s="668">
        <f>+'Schedule Bank'!$E29</f>
        <v>0</v>
      </c>
      <c r="AH155" s="360"/>
      <c r="AI155" s="633">
        <f>+'Schedule Bank'!$E30</f>
        <v>0</v>
      </c>
      <c r="AJ155" s="647">
        <f>+'Schedule Bank'!$E31</f>
        <v>0</v>
      </c>
      <c r="AK155" s="647">
        <f>+'Schedule Bank'!$E32</f>
        <v>0</v>
      </c>
      <c r="AL155" s="647">
        <f>+'Schedule Bank'!$E33</f>
        <v>0</v>
      </c>
      <c r="AM155" s="647">
        <f>+'Schedule Bank'!$E34</f>
        <v>0</v>
      </c>
      <c r="AN155" s="647">
        <f>+'Schedule Bank'!$E35</f>
        <v>0</v>
      </c>
      <c r="AO155" s="647">
        <f>+'Schedule Bank'!$E36</f>
        <v>0</v>
      </c>
      <c r="AP155" s="647">
        <f>+'Schedule Bank'!$E37</f>
        <v>0</v>
      </c>
      <c r="AQ155" s="647">
        <f>+'Schedule Bank'!$E38</f>
        <v>0</v>
      </c>
      <c r="AR155" s="647">
        <f>+'Schedule Bank'!$E39</f>
        <v>0</v>
      </c>
      <c r="AS155" s="647">
        <f>+'Schedule Bank'!$E40</f>
        <v>0</v>
      </c>
      <c r="AT155" s="668">
        <f>+'Schedule Bank'!$E41</f>
        <v>0</v>
      </c>
      <c r="AU155" s="360"/>
      <c r="AV155" s="633">
        <f>+'Schedule Bank'!$E42</f>
        <v>0</v>
      </c>
      <c r="AW155" s="647">
        <f>+'Schedule Bank'!$E43</f>
        <v>0</v>
      </c>
      <c r="AX155" s="647">
        <f>+'Schedule Bank'!$E44</f>
        <v>0</v>
      </c>
      <c r="AY155" s="647">
        <f>+'Schedule Bank'!$E45</f>
        <v>0</v>
      </c>
      <c r="AZ155" s="647">
        <f>+'Schedule Bank'!$E46</f>
        <v>0</v>
      </c>
      <c r="BA155" s="647">
        <f>+'Schedule Bank'!$E47</f>
        <v>0</v>
      </c>
      <c r="BB155" s="647">
        <f>+'Schedule Bank'!$E48</f>
        <v>0</v>
      </c>
      <c r="BC155" s="647">
        <f>+'Schedule Bank'!$E49</f>
        <v>0</v>
      </c>
      <c r="BD155" s="647">
        <f>+'Schedule Bank'!$E50</f>
        <v>0</v>
      </c>
      <c r="BE155" s="647">
        <f>+'Schedule Bank'!$E51</f>
        <v>0</v>
      </c>
      <c r="BF155" s="647">
        <f>+'Schedule Bank'!$E52</f>
        <v>0</v>
      </c>
      <c r="BG155" s="668">
        <f>+'Schedule Bank'!$E53</f>
        <v>0</v>
      </c>
      <c r="BH155" s="360"/>
      <c r="BI155" s="633">
        <f>+'Schedule Bank'!$E54</f>
        <v>0</v>
      </c>
      <c r="BJ155" s="647">
        <f>+'Schedule Bank'!$E55</f>
        <v>0</v>
      </c>
      <c r="BK155" s="647">
        <f>+'Schedule Bank'!$E56</f>
        <v>0</v>
      </c>
      <c r="BL155" s="647">
        <f>+'Schedule Bank'!$E57</f>
        <v>0</v>
      </c>
      <c r="BM155" s="647">
        <f>+'Schedule Bank'!$E58</f>
        <v>0</v>
      </c>
      <c r="BN155" s="647">
        <f>+'Schedule Bank'!$E59</f>
        <v>0</v>
      </c>
      <c r="BO155" s="647">
        <f>+'Schedule Bank'!$E60</f>
        <v>0</v>
      </c>
      <c r="BP155" s="647">
        <f>+'Schedule Bank'!$E61</f>
        <v>0</v>
      </c>
      <c r="BQ155" s="647">
        <f>+'Schedule Bank'!$E62</f>
        <v>0</v>
      </c>
      <c r="BR155" s="647">
        <f>+'Schedule Bank'!$E63</f>
        <v>0</v>
      </c>
      <c r="BS155" s="647">
        <f>+'Schedule Bank'!$E64</f>
        <v>0</v>
      </c>
      <c r="BT155" s="668">
        <f>+'Schedule Bank'!$E54</f>
        <v>0</v>
      </c>
      <c r="BU155" s="360"/>
      <c r="BV155" s="633"/>
      <c r="BW155" s="647"/>
      <c r="BX155" s="647"/>
      <c r="BY155" s="647"/>
      <c r="BZ155" s="647"/>
      <c r="CA155" s="647"/>
      <c r="CB155" s="647"/>
      <c r="CC155" s="647"/>
      <c r="CD155" s="647"/>
      <c r="CE155" s="647"/>
      <c r="CF155" s="647"/>
      <c r="CG155" s="668"/>
      <c r="CH155" s="360"/>
      <c r="CI155" s="633"/>
      <c r="CJ155" s="647"/>
      <c r="CK155" s="647"/>
      <c r="CL155" s="647"/>
      <c r="CM155" s="647"/>
      <c r="CN155" s="647"/>
      <c r="CO155" s="647"/>
      <c r="CP155" s="647"/>
      <c r="CQ155" s="647"/>
      <c r="CR155" s="647"/>
      <c r="CS155" s="647"/>
      <c r="CT155" s="668"/>
      <c r="CU155" s="360"/>
      <c r="CV155" s="633"/>
      <c r="CW155" s="647"/>
      <c r="CX155" s="647"/>
      <c r="CY155" s="647"/>
      <c r="CZ155" s="647"/>
      <c r="DA155" s="647"/>
      <c r="DB155" s="647"/>
      <c r="DC155" s="647"/>
      <c r="DD155" s="647"/>
      <c r="DE155" s="647"/>
      <c r="DF155" s="647"/>
      <c r="DG155" s="668"/>
      <c r="DH155" s="360"/>
      <c r="DI155" s="633"/>
      <c r="DJ155" s="647"/>
      <c r="DK155" s="647"/>
      <c r="DL155" s="647"/>
      <c r="DM155" s="647"/>
      <c r="DN155" s="647"/>
      <c r="DO155" s="647"/>
      <c r="DP155" s="647"/>
      <c r="DQ155" s="647"/>
      <c r="DR155" s="647"/>
      <c r="DS155" s="647"/>
      <c r="DT155" s="668"/>
      <c r="DU155" s="360"/>
      <c r="DV155" s="633"/>
      <c r="DW155" s="647"/>
      <c r="DX155" s="647"/>
      <c r="DY155" s="647"/>
      <c r="DZ155" s="647"/>
      <c r="EA155" s="647"/>
      <c r="EB155" s="647"/>
      <c r="EC155" s="647"/>
      <c r="ED155" s="647"/>
      <c r="EE155" s="647"/>
      <c r="EF155" s="647"/>
      <c r="EG155" s="668"/>
      <c r="EH155" s="360"/>
      <c r="EI155" s="21"/>
      <c r="EJ155" s="21"/>
      <c r="EK155" s="21"/>
      <c r="EL155" s="21"/>
      <c r="EM155" s="21"/>
    </row>
    <row r="156" spans="1:143" ht="13.5" customHeight="1">
      <c r="A156" s="21"/>
      <c r="B156" s="21"/>
      <c r="C156" s="21"/>
      <c r="D156" s="422">
        <f t="shared" si="877"/>
        <v>120</v>
      </c>
      <c r="E156" s="1625"/>
      <c r="F156" s="403" t="str">
        <f>F107</f>
        <v>Long Term Bank Loan - BNI Working Capital Loan Aflopend Existing</v>
      </c>
      <c r="G156" s="265"/>
      <c r="H156" s="666"/>
      <c r="I156" s="303"/>
      <c r="J156" s="338"/>
      <c r="K156" s="338"/>
      <c r="L156" s="338"/>
      <c r="M156" s="338"/>
      <c r="N156" s="338"/>
      <c r="O156" s="338"/>
      <c r="P156" s="338"/>
      <c r="Q156" s="338"/>
      <c r="R156" s="338"/>
      <c r="S156" s="338"/>
      <c r="T156" s="339">
        <v>10</v>
      </c>
      <c r="U156" s="360"/>
      <c r="V156" s="303"/>
      <c r="W156" s="338"/>
      <c r="X156" s="338"/>
      <c r="Y156" s="338"/>
      <c r="Z156" s="338"/>
      <c r="AA156" s="338"/>
      <c r="AB156" s="338"/>
      <c r="AC156" s="338">
        <v>0</v>
      </c>
      <c r="AD156" s="338"/>
      <c r="AE156" s="338"/>
      <c r="AF156" s="338"/>
      <c r="AG156" s="339"/>
      <c r="AH156" s="360"/>
      <c r="AI156" s="303"/>
      <c r="AJ156" s="338"/>
      <c r="AK156" s="338"/>
      <c r="AL156" s="338"/>
      <c r="AM156" s="338"/>
      <c r="AN156" s="338"/>
      <c r="AO156" s="338"/>
      <c r="AP156" s="338"/>
      <c r="AQ156" s="338"/>
      <c r="AR156" s="338"/>
      <c r="AS156" s="338"/>
      <c r="AT156" s="339"/>
      <c r="AU156" s="360"/>
      <c r="AV156" s="303"/>
      <c r="AW156" s="338"/>
      <c r="AX156" s="338"/>
      <c r="AY156" s="338"/>
      <c r="AZ156" s="338"/>
      <c r="BA156" s="338"/>
      <c r="BB156" s="338"/>
      <c r="BC156" s="338"/>
      <c r="BD156" s="338"/>
      <c r="BE156" s="338"/>
      <c r="BF156" s="338"/>
      <c r="BG156" s="339"/>
      <c r="BH156" s="360"/>
      <c r="BI156" s="303"/>
      <c r="BJ156" s="338"/>
      <c r="BK156" s="338"/>
      <c r="BL156" s="338"/>
      <c r="BM156" s="338"/>
      <c r="BN156" s="338"/>
      <c r="BO156" s="338"/>
      <c r="BP156" s="338"/>
      <c r="BQ156" s="338"/>
      <c r="BR156" s="338"/>
      <c r="BS156" s="338"/>
      <c r="BT156" s="339"/>
      <c r="BU156" s="360"/>
      <c r="BV156" s="303"/>
      <c r="BW156" s="338"/>
      <c r="BX156" s="338"/>
      <c r="BY156" s="338"/>
      <c r="BZ156" s="338"/>
      <c r="CA156" s="338"/>
      <c r="CB156" s="338"/>
      <c r="CC156" s="338"/>
      <c r="CD156" s="338"/>
      <c r="CE156" s="338"/>
      <c r="CF156" s="338"/>
      <c r="CG156" s="339"/>
      <c r="CH156" s="360"/>
      <c r="CI156" s="303"/>
      <c r="CJ156" s="338"/>
      <c r="CK156" s="338"/>
      <c r="CL156" s="338"/>
      <c r="CM156" s="338"/>
      <c r="CN156" s="338"/>
      <c r="CO156" s="338"/>
      <c r="CP156" s="338"/>
      <c r="CQ156" s="338"/>
      <c r="CR156" s="338"/>
      <c r="CS156" s="338"/>
      <c r="CT156" s="339"/>
      <c r="CU156" s="360"/>
      <c r="CV156" s="303"/>
      <c r="CW156" s="338"/>
      <c r="CX156" s="338"/>
      <c r="CY156" s="338"/>
      <c r="CZ156" s="338"/>
      <c r="DA156" s="338"/>
      <c r="DB156" s="338"/>
      <c r="DC156" s="338"/>
      <c r="DD156" s="338"/>
      <c r="DE156" s="338"/>
      <c r="DF156" s="338"/>
      <c r="DG156" s="339"/>
      <c r="DH156" s="360"/>
      <c r="DI156" s="303"/>
      <c r="DJ156" s="338"/>
      <c r="DK156" s="338"/>
      <c r="DL156" s="338"/>
      <c r="DM156" s="338"/>
      <c r="DN156" s="338"/>
      <c r="DO156" s="338"/>
      <c r="DP156" s="338"/>
      <c r="DQ156" s="338"/>
      <c r="DR156" s="338"/>
      <c r="DS156" s="338"/>
      <c r="DT156" s="339"/>
      <c r="DU156" s="360"/>
      <c r="DV156" s="303"/>
      <c r="DW156" s="338"/>
      <c r="DX156" s="338"/>
      <c r="DY156" s="338"/>
      <c r="DZ156" s="338"/>
      <c r="EA156" s="338"/>
      <c r="EB156" s="338"/>
      <c r="EC156" s="338"/>
      <c r="ED156" s="338"/>
      <c r="EE156" s="338"/>
      <c r="EF156" s="338"/>
      <c r="EG156" s="339"/>
      <c r="EH156" s="360"/>
      <c r="EI156" s="21"/>
      <c r="EJ156" s="21"/>
      <c r="EK156" s="21"/>
      <c r="EL156" s="21"/>
      <c r="EM156" s="21"/>
    </row>
    <row r="157" spans="1:143" ht="13.5" customHeight="1">
      <c r="A157" s="21"/>
      <c r="B157" s="21"/>
      <c r="C157" s="21"/>
      <c r="D157" s="422">
        <f t="shared" si="877"/>
        <v>121</v>
      </c>
      <c r="E157" s="1625"/>
      <c r="F157" s="403" t="str">
        <f>F108</f>
        <v>Long Term Bank Loan - BNI Working Capital Loan Aflopend New</v>
      </c>
      <c r="G157" s="265"/>
      <c r="H157" s="666"/>
      <c r="I157" s="303"/>
      <c r="J157" s="338"/>
      <c r="K157" s="338"/>
      <c r="L157" s="338"/>
      <c r="M157" s="338"/>
      <c r="N157" s="338"/>
      <c r="O157" s="338"/>
      <c r="P157" s="338"/>
      <c r="Q157" s="338"/>
      <c r="R157" s="338"/>
      <c r="S157" s="338"/>
      <c r="T157" s="339">
        <v>20</v>
      </c>
      <c r="U157" s="360"/>
      <c r="V157" s="303"/>
      <c r="W157" s="338"/>
      <c r="X157" s="338"/>
      <c r="Y157" s="338"/>
      <c r="Z157" s="338"/>
      <c r="AA157" s="338"/>
      <c r="AB157" s="338"/>
      <c r="AC157" s="338">
        <v>0</v>
      </c>
      <c r="AD157" s="338"/>
      <c r="AE157" s="338"/>
      <c r="AF157" s="338"/>
      <c r="AG157" s="339"/>
      <c r="AH157" s="360"/>
      <c r="AI157" s="303"/>
      <c r="AJ157" s="338"/>
      <c r="AK157" s="338"/>
      <c r="AL157" s="338"/>
      <c r="AM157" s="338"/>
      <c r="AN157" s="338"/>
      <c r="AO157" s="338"/>
      <c r="AP157" s="338"/>
      <c r="AQ157" s="338"/>
      <c r="AR157" s="338"/>
      <c r="AS157" s="338"/>
      <c r="AT157" s="339"/>
      <c r="AU157" s="360"/>
      <c r="AV157" s="303"/>
      <c r="AW157" s="338"/>
      <c r="AX157" s="338"/>
      <c r="AY157" s="338"/>
      <c r="AZ157" s="338"/>
      <c r="BA157" s="338"/>
      <c r="BB157" s="338"/>
      <c r="BC157" s="338"/>
      <c r="BD157" s="338"/>
      <c r="BE157" s="338"/>
      <c r="BF157" s="338"/>
      <c r="BG157" s="339"/>
      <c r="BH157" s="360"/>
      <c r="BI157" s="303"/>
      <c r="BJ157" s="338"/>
      <c r="BK157" s="338"/>
      <c r="BL157" s="338"/>
      <c r="BM157" s="338"/>
      <c r="BN157" s="338"/>
      <c r="BO157" s="338"/>
      <c r="BP157" s="338"/>
      <c r="BQ157" s="338"/>
      <c r="BR157" s="338"/>
      <c r="BS157" s="338"/>
      <c r="BT157" s="339"/>
      <c r="BU157" s="360"/>
      <c r="BV157" s="303"/>
      <c r="BW157" s="338"/>
      <c r="BX157" s="338"/>
      <c r="BY157" s="338"/>
      <c r="BZ157" s="338"/>
      <c r="CA157" s="338"/>
      <c r="CB157" s="338"/>
      <c r="CC157" s="338"/>
      <c r="CD157" s="338"/>
      <c r="CE157" s="338"/>
      <c r="CF157" s="338"/>
      <c r="CG157" s="339"/>
      <c r="CH157" s="360"/>
      <c r="CI157" s="303"/>
      <c r="CJ157" s="338"/>
      <c r="CK157" s="338"/>
      <c r="CL157" s="338"/>
      <c r="CM157" s="338"/>
      <c r="CN157" s="338"/>
      <c r="CO157" s="338"/>
      <c r="CP157" s="338"/>
      <c r="CQ157" s="338"/>
      <c r="CR157" s="338"/>
      <c r="CS157" s="338"/>
      <c r="CT157" s="339"/>
      <c r="CU157" s="360"/>
      <c r="CV157" s="303"/>
      <c r="CW157" s="338"/>
      <c r="CX157" s="338"/>
      <c r="CY157" s="338"/>
      <c r="CZ157" s="338"/>
      <c r="DA157" s="338"/>
      <c r="DB157" s="338"/>
      <c r="DC157" s="338"/>
      <c r="DD157" s="338"/>
      <c r="DE157" s="338"/>
      <c r="DF157" s="338"/>
      <c r="DG157" s="339"/>
      <c r="DH157" s="360"/>
      <c r="DI157" s="303"/>
      <c r="DJ157" s="338"/>
      <c r="DK157" s="338"/>
      <c r="DL157" s="338"/>
      <c r="DM157" s="338"/>
      <c r="DN157" s="338"/>
      <c r="DO157" s="338"/>
      <c r="DP157" s="338"/>
      <c r="DQ157" s="338"/>
      <c r="DR157" s="338"/>
      <c r="DS157" s="338"/>
      <c r="DT157" s="339"/>
      <c r="DU157" s="360"/>
      <c r="DV157" s="303"/>
      <c r="DW157" s="338"/>
      <c r="DX157" s="338"/>
      <c r="DY157" s="338"/>
      <c r="DZ157" s="338"/>
      <c r="EA157" s="338"/>
      <c r="EB157" s="338"/>
      <c r="EC157" s="338"/>
      <c r="ED157" s="338"/>
      <c r="EE157" s="338"/>
      <c r="EF157" s="338"/>
      <c r="EG157" s="339"/>
      <c r="EH157" s="360"/>
      <c r="EI157" s="21"/>
      <c r="EJ157" s="21"/>
      <c r="EK157" s="21"/>
      <c r="EL157" s="21"/>
      <c r="EM157" s="21"/>
    </row>
    <row r="158" spans="1:143" ht="13.5" customHeight="1">
      <c r="A158" s="21"/>
      <c r="B158" s="21"/>
      <c r="C158" s="21"/>
      <c r="D158" s="422">
        <f t="shared" si="877"/>
        <v>122</v>
      </c>
      <c r="E158" s="1625"/>
      <c r="F158" s="403" t="str">
        <f t="shared" ref="F158:F167" si="879">+F140</f>
        <v>Bank 1</v>
      </c>
      <c r="G158" s="265"/>
      <c r="H158" s="666"/>
      <c r="I158" s="303"/>
      <c r="J158" s="338"/>
      <c r="K158" s="338"/>
      <c r="L158" s="338"/>
      <c r="M158" s="338"/>
      <c r="N158" s="338"/>
      <c r="O158" s="338"/>
      <c r="P158" s="338"/>
      <c r="Q158" s="338"/>
      <c r="R158" s="338"/>
      <c r="S158" s="338"/>
      <c r="T158" s="339">
        <v>30</v>
      </c>
      <c r="U158" s="360"/>
      <c r="V158" s="303"/>
      <c r="W158" s="338"/>
      <c r="X158" s="338"/>
      <c r="Y158" s="338"/>
      <c r="Z158" s="338"/>
      <c r="AA158" s="338"/>
      <c r="AB158" s="338"/>
      <c r="AC158" s="338"/>
      <c r="AD158" s="338">
        <v>0</v>
      </c>
      <c r="AE158" s="338">
        <v>0</v>
      </c>
      <c r="AF158" s="338">
        <v>0</v>
      </c>
      <c r="AG158" s="338">
        <v>0</v>
      </c>
      <c r="AH158" s="360"/>
      <c r="AI158" s="303">
        <v>0</v>
      </c>
      <c r="AJ158" s="338">
        <v>0</v>
      </c>
      <c r="AK158" s="338">
        <v>0</v>
      </c>
      <c r="AL158" s="338">
        <v>0</v>
      </c>
      <c r="AM158" s="338">
        <v>0</v>
      </c>
      <c r="AN158" s="338">
        <v>0</v>
      </c>
      <c r="AO158" s="338">
        <v>0</v>
      </c>
      <c r="AP158" s="338">
        <v>0</v>
      </c>
      <c r="AQ158" s="338">
        <v>0</v>
      </c>
      <c r="AR158" s="338">
        <v>0</v>
      </c>
      <c r="AS158" s="338">
        <v>0</v>
      </c>
      <c r="AT158" s="339">
        <v>0</v>
      </c>
      <c r="AU158" s="360"/>
      <c r="AV158" s="303"/>
      <c r="AW158" s="338"/>
      <c r="AX158" s="338"/>
      <c r="AY158" s="338"/>
      <c r="AZ158" s="338"/>
      <c r="BA158" s="338"/>
      <c r="BB158" s="338"/>
      <c r="BC158" s="338"/>
      <c r="BD158" s="338"/>
      <c r="BE158" s="338"/>
      <c r="BF158" s="338"/>
      <c r="BG158" s="339"/>
      <c r="BH158" s="360"/>
      <c r="BI158" s="303"/>
      <c r="BJ158" s="338"/>
      <c r="BK158" s="338"/>
      <c r="BL158" s="338"/>
      <c r="BM158" s="338"/>
      <c r="BN158" s="338"/>
      <c r="BO158" s="338"/>
      <c r="BP158" s="338"/>
      <c r="BQ158" s="338"/>
      <c r="BR158" s="338"/>
      <c r="BS158" s="338"/>
      <c r="BT158" s="339"/>
      <c r="BU158" s="360"/>
      <c r="BV158" s="303"/>
      <c r="BW158" s="338"/>
      <c r="BX158" s="338"/>
      <c r="BY158" s="338"/>
      <c r="BZ158" s="338"/>
      <c r="CA158" s="338"/>
      <c r="CB158" s="338"/>
      <c r="CC158" s="338"/>
      <c r="CD158" s="338"/>
      <c r="CE158" s="338"/>
      <c r="CF158" s="338"/>
      <c r="CG158" s="339"/>
      <c r="CH158" s="360"/>
      <c r="CI158" s="303"/>
      <c r="CJ158" s="338"/>
      <c r="CK158" s="338"/>
      <c r="CL158" s="338"/>
      <c r="CM158" s="338"/>
      <c r="CN158" s="338"/>
      <c r="CO158" s="338"/>
      <c r="CP158" s="338"/>
      <c r="CQ158" s="338"/>
      <c r="CR158" s="338"/>
      <c r="CS158" s="338"/>
      <c r="CT158" s="339"/>
      <c r="CU158" s="360"/>
      <c r="CV158" s="303"/>
      <c r="CW158" s="338"/>
      <c r="CX158" s="338"/>
      <c r="CY158" s="338"/>
      <c r="CZ158" s="338"/>
      <c r="DA158" s="338"/>
      <c r="DB158" s="338"/>
      <c r="DC158" s="338"/>
      <c r="DD158" s="338"/>
      <c r="DE158" s="338"/>
      <c r="DF158" s="338"/>
      <c r="DG158" s="339"/>
      <c r="DH158" s="360"/>
      <c r="DI158" s="303"/>
      <c r="DJ158" s="338"/>
      <c r="DK158" s="338"/>
      <c r="DL158" s="338"/>
      <c r="DM158" s="338"/>
      <c r="DN158" s="338"/>
      <c r="DO158" s="338"/>
      <c r="DP158" s="338"/>
      <c r="DQ158" s="338"/>
      <c r="DR158" s="338"/>
      <c r="DS158" s="338"/>
      <c r="DT158" s="339"/>
      <c r="DU158" s="360"/>
      <c r="DV158" s="303"/>
      <c r="DW158" s="338"/>
      <c r="DX158" s="338"/>
      <c r="DY158" s="338"/>
      <c r="DZ158" s="338"/>
      <c r="EA158" s="338"/>
      <c r="EB158" s="338"/>
      <c r="EC158" s="338"/>
      <c r="ED158" s="338"/>
      <c r="EE158" s="338"/>
      <c r="EF158" s="338"/>
      <c r="EG158" s="339"/>
      <c r="EH158" s="360"/>
      <c r="EI158" s="21"/>
      <c r="EJ158" s="21"/>
      <c r="EK158" s="21"/>
      <c r="EL158" s="21"/>
      <c r="EM158" s="21"/>
    </row>
    <row r="159" spans="1:143" ht="13.5" customHeight="1">
      <c r="A159" s="21"/>
      <c r="B159" s="21"/>
      <c r="C159" s="21"/>
      <c r="D159" s="422">
        <f t="shared" si="877"/>
        <v>123</v>
      </c>
      <c r="E159" s="1625"/>
      <c r="F159" s="403" t="str">
        <f t="shared" si="879"/>
        <v>Bank 2</v>
      </c>
      <c r="G159" s="265"/>
      <c r="H159" s="666"/>
      <c r="I159" s="303"/>
      <c r="J159" s="338"/>
      <c r="K159" s="338"/>
      <c r="L159" s="338"/>
      <c r="M159" s="338"/>
      <c r="N159" s="338"/>
      <c r="O159" s="338"/>
      <c r="P159" s="338"/>
      <c r="Q159" s="338"/>
      <c r="R159" s="338"/>
      <c r="S159" s="338"/>
      <c r="T159" s="339">
        <v>40</v>
      </c>
      <c r="U159" s="360"/>
      <c r="V159" s="303"/>
      <c r="W159" s="338"/>
      <c r="X159" s="338"/>
      <c r="Y159" s="338"/>
      <c r="Z159" s="338"/>
      <c r="AA159" s="338"/>
      <c r="AB159" s="338"/>
      <c r="AC159" s="338"/>
      <c r="AD159" s="338"/>
      <c r="AE159" s="338"/>
      <c r="AF159" s="338"/>
      <c r="AG159" s="339"/>
      <c r="AH159" s="360"/>
      <c r="AI159" s="303"/>
      <c r="AJ159" s="338"/>
      <c r="AK159" s="338"/>
      <c r="AL159" s="338"/>
      <c r="AM159" s="338"/>
      <c r="AN159" s="338"/>
      <c r="AO159" s="338"/>
      <c r="AP159" s="338"/>
      <c r="AQ159" s="338"/>
      <c r="AR159" s="338"/>
      <c r="AS159" s="338"/>
      <c r="AT159" s="339"/>
      <c r="AU159" s="360"/>
      <c r="AV159" s="303"/>
      <c r="AW159" s="338"/>
      <c r="AX159" s="338"/>
      <c r="AY159" s="338"/>
      <c r="AZ159" s="338"/>
      <c r="BA159" s="338"/>
      <c r="BB159" s="338"/>
      <c r="BC159" s="338"/>
      <c r="BD159" s="338"/>
      <c r="BE159" s="338"/>
      <c r="BF159" s="338"/>
      <c r="BG159" s="339"/>
      <c r="BH159" s="360"/>
      <c r="BI159" s="303"/>
      <c r="BJ159" s="338"/>
      <c r="BK159" s="338"/>
      <c r="BL159" s="338"/>
      <c r="BM159" s="338"/>
      <c r="BN159" s="338"/>
      <c r="BO159" s="338"/>
      <c r="BP159" s="338"/>
      <c r="BQ159" s="338"/>
      <c r="BR159" s="338"/>
      <c r="BS159" s="338"/>
      <c r="BT159" s="339"/>
      <c r="BU159" s="360"/>
      <c r="BV159" s="303"/>
      <c r="BW159" s="338"/>
      <c r="BX159" s="338"/>
      <c r="BY159" s="338"/>
      <c r="BZ159" s="338"/>
      <c r="CA159" s="338"/>
      <c r="CB159" s="338"/>
      <c r="CC159" s="338"/>
      <c r="CD159" s="338"/>
      <c r="CE159" s="338"/>
      <c r="CF159" s="338"/>
      <c r="CG159" s="339"/>
      <c r="CH159" s="360"/>
      <c r="CI159" s="303"/>
      <c r="CJ159" s="338"/>
      <c r="CK159" s="338"/>
      <c r="CL159" s="338"/>
      <c r="CM159" s="338"/>
      <c r="CN159" s="338"/>
      <c r="CO159" s="338"/>
      <c r="CP159" s="338"/>
      <c r="CQ159" s="338"/>
      <c r="CR159" s="338"/>
      <c r="CS159" s="338"/>
      <c r="CT159" s="339"/>
      <c r="CU159" s="360"/>
      <c r="CV159" s="303"/>
      <c r="CW159" s="338"/>
      <c r="CX159" s="338"/>
      <c r="CY159" s="338"/>
      <c r="CZ159" s="338"/>
      <c r="DA159" s="338"/>
      <c r="DB159" s="338"/>
      <c r="DC159" s="338"/>
      <c r="DD159" s="338"/>
      <c r="DE159" s="338"/>
      <c r="DF159" s="338"/>
      <c r="DG159" s="339"/>
      <c r="DH159" s="360"/>
      <c r="DI159" s="303"/>
      <c r="DJ159" s="338"/>
      <c r="DK159" s="338"/>
      <c r="DL159" s="338"/>
      <c r="DM159" s="338"/>
      <c r="DN159" s="338"/>
      <c r="DO159" s="338"/>
      <c r="DP159" s="338"/>
      <c r="DQ159" s="338"/>
      <c r="DR159" s="338"/>
      <c r="DS159" s="338"/>
      <c r="DT159" s="339"/>
      <c r="DU159" s="360"/>
      <c r="DV159" s="303"/>
      <c r="DW159" s="338"/>
      <c r="DX159" s="338"/>
      <c r="DY159" s="338"/>
      <c r="DZ159" s="338"/>
      <c r="EA159" s="338"/>
      <c r="EB159" s="338"/>
      <c r="EC159" s="338"/>
      <c r="ED159" s="338"/>
      <c r="EE159" s="338"/>
      <c r="EF159" s="338"/>
      <c r="EG159" s="339"/>
      <c r="EH159" s="360"/>
      <c r="EI159" s="21"/>
      <c r="EJ159" s="21"/>
      <c r="EK159" s="21"/>
      <c r="EL159" s="21"/>
      <c r="EM159" s="21"/>
    </row>
    <row r="160" spans="1:143" ht="13.5" customHeight="1">
      <c r="A160" s="21"/>
      <c r="B160" s="21"/>
      <c r="C160" s="21"/>
      <c r="D160" s="422">
        <f t="shared" si="877"/>
        <v>124</v>
      </c>
      <c r="E160" s="1625"/>
      <c r="F160" s="403" t="str">
        <f t="shared" si="879"/>
        <v>Bank 3</v>
      </c>
      <c r="G160" s="265"/>
      <c r="H160" s="666"/>
      <c r="I160" s="303"/>
      <c r="J160" s="338"/>
      <c r="K160" s="338"/>
      <c r="L160" s="338"/>
      <c r="M160" s="338"/>
      <c r="N160" s="338"/>
      <c r="O160" s="338"/>
      <c r="P160" s="338"/>
      <c r="Q160" s="338"/>
      <c r="R160" s="338"/>
      <c r="S160" s="338"/>
      <c r="T160" s="339">
        <v>50</v>
      </c>
      <c r="U160" s="360"/>
      <c r="V160" s="303"/>
      <c r="W160" s="338"/>
      <c r="X160" s="338"/>
      <c r="Y160" s="338"/>
      <c r="Z160" s="338"/>
      <c r="AA160" s="338"/>
      <c r="AB160" s="338"/>
      <c r="AC160" s="338"/>
      <c r="AD160" s="338"/>
      <c r="AE160" s="338"/>
      <c r="AF160" s="338"/>
      <c r="AG160" s="339"/>
      <c r="AH160" s="360"/>
      <c r="AI160" s="303"/>
      <c r="AJ160" s="338"/>
      <c r="AK160" s="338"/>
      <c r="AL160" s="338"/>
      <c r="AM160" s="338"/>
      <c r="AN160" s="338"/>
      <c r="AO160" s="338"/>
      <c r="AP160" s="338"/>
      <c r="AQ160" s="338"/>
      <c r="AR160" s="338"/>
      <c r="AS160" s="338"/>
      <c r="AT160" s="339"/>
      <c r="AU160" s="360"/>
      <c r="AV160" s="303"/>
      <c r="AW160" s="338"/>
      <c r="AX160" s="338"/>
      <c r="AY160" s="338"/>
      <c r="AZ160" s="338"/>
      <c r="BA160" s="338"/>
      <c r="BB160" s="338"/>
      <c r="BC160" s="338"/>
      <c r="BD160" s="338"/>
      <c r="BE160" s="338"/>
      <c r="BF160" s="338"/>
      <c r="BG160" s="339"/>
      <c r="BH160" s="360"/>
      <c r="BI160" s="303"/>
      <c r="BJ160" s="338"/>
      <c r="BK160" s="338"/>
      <c r="BL160" s="338"/>
      <c r="BM160" s="338"/>
      <c r="BN160" s="338"/>
      <c r="BO160" s="338"/>
      <c r="BP160" s="338"/>
      <c r="BQ160" s="338"/>
      <c r="BR160" s="338"/>
      <c r="BS160" s="338"/>
      <c r="BT160" s="339"/>
      <c r="BU160" s="360"/>
      <c r="BV160" s="303"/>
      <c r="BW160" s="338"/>
      <c r="BX160" s="338"/>
      <c r="BY160" s="338"/>
      <c r="BZ160" s="338"/>
      <c r="CA160" s="338"/>
      <c r="CB160" s="338"/>
      <c r="CC160" s="338"/>
      <c r="CD160" s="338"/>
      <c r="CE160" s="338"/>
      <c r="CF160" s="338"/>
      <c r="CG160" s="339"/>
      <c r="CH160" s="360"/>
      <c r="CI160" s="303"/>
      <c r="CJ160" s="338"/>
      <c r="CK160" s="338"/>
      <c r="CL160" s="338"/>
      <c r="CM160" s="338"/>
      <c r="CN160" s="338"/>
      <c r="CO160" s="338"/>
      <c r="CP160" s="338"/>
      <c r="CQ160" s="338"/>
      <c r="CR160" s="338"/>
      <c r="CS160" s="338"/>
      <c r="CT160" s="339"/>
      <c r="CU160" s="360"/>
      <c r="CV160" s="303"/>
      <c r="CW160" s="338"/>
      <c r="CX160" s="338"/>
      <c r="CY160" s="338"/>
      <c r="CZ160" s="338"/>
      <c r="DA160" s="338"/>
      <c r="DB160" s="338"/>
      <c r="DC160" s="338"/>
      <c r="DD160" s="338"/>
      <c r="DE160" s="338"/>
      <c r="DF160" s="338"/>
      <c r="DG160" s="339"/>
      <c r="DH160" s="360"/>
      <c r="DI160" s="303"/>
      <c r="DJ160" s="338"/>
      <c r="DK160" s="338"/>
      <c r="DL160" s="338"/>
      <c r="DM160" s="338"/>
      <c r="DN160" s="338"/>
      <c r="DO160" s="338"/>
      <c r="DP160" s="338"/>
      <c r="DQ160" s="338"/>
      <c r="DR160" s="338"/>
      <c r="DS160" s="338"/>
      <c r="DT160" s="339"/>
      <c r="DU160" s="360"/>
      <c r="DV160" s="303"/>
      <c r="DW160" s="338"/>
      <c r="DX160" s="338"/>
      <c r="DY160" s="338"/>
      <c r="DZ160" s="338"/>
      <c r="EA160" s="338"/>
      <c r="EB160" s="338"/>
      <c r="EC160" s="338"/>
      <c r="ED160" s="338"/>
      <c r="EE160" s="338"/>
      <c r="EF160" s="338"/>
      <c r="EG160" s="339"/>
      <c r="EH160" s="360"/>
      <c r="EI160" s="21"/>
      <c r="EJ160" s="21"/>
      <c r="EK160" s="21"/>
      <c r="EL160" s="21"/>
      <c r="EM160" s="21"/>
    </row>
    <row r="161" spans="1:143" ht="13.5" customHeight="1">
      <c r="A161" s="21"/>
      <c r="B161" s="21"/>
      <c r="C161" s="21"/>
      <c r="D161" s="422">
        <f t="shared" si="877"/>
        <v>125</v>
      </c>
      <c r="E161" s="1625"/>
      <c r="F161" s="403" t="str">
        <f t="shared" si="879"/>
        <v>Bank 4</v>
      </c>
      <c r="G161" s="265"/>
      <c r="H161" s="666"/>
      <c r="I161" s="303"/>
      <c r="J161" s="338"/>
      <c r="K161" s="338"/>
      <c r="L161" s="338"/>
      <c r="M161" s="338"/>
      <c r="N161" s="338"/>
      <c r="O161" s="338"/>
      <c r="P161" s="338"/>
      <c r="Q161" s="338"/>
      <c r="R161" s="338"/>
      <c r="S161" s="338"/>
      <c r="T161" s="339">
        <v>10</v>
      </c>
      <c r="U161" s="360"/>
      <c r="V161" s="303"/>
      <c r="W161" s="338"/>
      <c r="X161" s="338"/>
      <c r="Y161" s="338"/>
      <c r="Z161" s="338"/>
      <c r="AA161" s="338"/>
      <c r="AB161" s="338"/>
      <c r="AC161" s="338"/>
      <c r="AD161" s="338"/>
      <c r="AE161" s="338"/>
      <c r="AF161" s="338"/>
      <c r="AG161" s="339"/>
      <c r="AH161" s="360"/>
      <c r="AI161" s="303"/>
      <c r="AJ161" s="338"/>
      <c r="AK161" s="338"/>
      <c r="AL161" s="338"/>
      <c r="AM161" s="338"/>
      <c r="AN161" s="338"/>
      <c r="AO161" s="338"/>
      <c r="AP161" s="338"/>
      <c r="AQ161" s="338"/>
      <c r="AR161" s="338"/>
      <c r="AS161" s="338"/>
      <c r="AT161" s="339"/>
      <c r="AU161" s="360"/>
      <c r="AV161" s="303"/>
      <c r="AW161" s="338"/>
      <c r="AX161" s="338"/>
      <c r="AY161" s="338"/>
      <c r="AZ161" s="338"/>
      <c r="BA161" s="338"/>
      <c r="BB161" s="338"/>
      <c r="BC161" s="338"/>
      <c r="BD161" s="338"/>
      <c r="BE161" s="338"/>
      <c r="BF161" s="338"/>
      <c r="BG161" s="339"/>
      <c r="BH161" s="360"/>
      <c r="BI161" s="303"/>
      <c r="BJ161" s="338"/>
      <c r="BK161" s="338"/>
      <c r="BL161" s="338"/>
      <c r="BM161" s="338"/>
      <c r="BN161" s="338"/>
      <c r="BO161" s="338"/>
      <c r="BP161" s="338"/>
      <c r="BQ161" s="338"/>
      <c r="BR161" s="338"/>
      <c r="BS161" s="338"/>
      <c r="BT161" s="339"/>
      <c r="BU161" s="360"/>
      <c r="BV161" s="303"/>
      <c r="BW161" s="338"/>
      <c r="BX161" s="338"/>
      <c r="BY161" s="338"/>
      <c r="BZ161" s="338"/>
      <c r="CA161" s="338"/>
      <c r="CB161" s="338"/>
      <c r="CC161" s="338"/>
      <c r="CD161" s="338"/>
      <c r="CE161" s="338"/>
      <c r="CF161" s="338"/>
      <c r="CG161" s="339"/>
      <c r="CH161" s="360"/>
      <c r="CI161" s="303"/>
      <c r="CJ161" s="338"/>
      <c r="CK161" s="338"/>
      <c r="CL161" s="338"/>
      <c r="CM161" s="338"/>
      <c r="CN161" s="338"/>
      <c r="CO161" s="338"/>
      <c r="CP161" s="338"/>
      <c r="CQ161" s="338"/>
      <c r="CR161" s="338"/>
      <c r="CS161" s="338"/>
      <c r="CT161" s="339"/>
      <c r="CU161" s="360"/>
      <c r="CV161" s="303"/>
      <c r="CW161" s="338"/>
      <c r="CX161" s="338"/>
      <c r="CY161" s="338"/>
      <c r="CZ161" s="338"/>
      <c r="DA161" s="338"/>
      <c r="DB161" s="338"/>
      <c r="DC161" s="338"/>
      <c r="DD161" s="338"/>
      <c r="DE161" s="338"/>
      <c r="DF161" s="338"/>
      <c r="DG161" s="339"/>
      <c r="DH161" s="360"/>
      <c r="DI161" s="303"/>
      <c r="DJ161" s="338"/>
      <c r="DK161" s="338"/>
      <c r="DL161" s="338"/>
      <c r="DM161" s="338"/>
      <c r="DN161" s="338"/>
      <c r="DO161" s="338"/>
      <c r="DP161" s="338"/>
      <c r="DQ161" s="338"/>
      <c r="DR161" s="338"/>
      <c r="DS161" s="338"/>
      <c r="DT161" s="339"/>
      <c r="DU161" s="360"/>
      <c r="DV161" s="303"/>
      <c r="DW161" s="338"/>
      <c r="DX161" s="338"/>
      <c r="DY161" s="338"/>
      <c r="DZ161" s="338"/>
      <c r="EA161" s="338"/>
      <c r="EB161" s="338"/>
      <c r="EC161" s="338"/>
      <c r="ED161" s="338"/>
      <c r="EE161" s="338"/>
      <c r="EF161" s="338"/>
      <c r="EG161" s="339"/>
      <c r="EH161" s="360"/>
      <c r="EI161" s="21"/>
      <c r="EJ161" s="21"/>
      <c r="EK161" s="21"/>
      <c r="EL161" s="21"/>
      <c r="EM161" s="21"/>
    </row>
    <row r="162" spans="1:143" ht="13.5" customHeight="1">
      <c r="A162" s="21"/>
      <c r="B162" s="21"/>
      <c r="C162" s="21"/>
      <c r="D162" s="422">
        <f t="shared" si="877"/>
        <v>126</v>
      </c>
      <c r="E162" s="1625"/>
      <c r="F162" s="403" t="str">
        <f t="shared" si="879"/>
        <v>Bank 5</v>
      </c>
      <c r="G162" s="265"/>
      <c r="H162" s="666"/>
      <c r="I162" s="303"/>
      <c r="J162" s="338"/>
      <c r="K162" s="338"/>
      <c r="L162" s="338"/>
      <c r="M162" s="338"/>
      <c r="N162" s="338"/>
      <c r="O162" s="338"/>
      <c r="P162" s="338"/>
      <c r="Q162" s="338"/>
      <c r="R162" s="338"/>
      <c r="S162" s="338"/>
      <c r="T162" s="339">
        <v>20</v>
      </c>
      <c r="U162" s="360"/>
      <c r="V162" s="303"/>
      <c r="W162" s="338"/>
      <c r="X162" s="338"/>
      <c r="Y162" s="338"/>
      <c r="Z162" s="338"/>
      <c r="AA162" s="338"/>
      <c r="AB162" s="338"/>
      <c r="AC162" s="338"/>
      <c r="AD162" s="338"/>
      <c r="AE162" s="338"/>
      <c r="AF162" s="338"/>
      <c r="AG162" s="339"/>
      <c r="AH162" s="360"/>
      <c r="AI162" s="303"/>
      <c r="AJ162" s="338"/>
      <c r="AK162" s="338"/>
      <c r="AL162" s="338"/>
      <c r="AM162" s="338"/>
      <c r="AN162" s="338"/>
      <c r="AO162" s="338"/>
      <c r="AP162" s="338"/>
      <c r="AQ162" s="338"/>
      <c r="AR162" s="338"/>
      <c r="AS162" s="338"/>
      <c r="AT162" s="339"/>
      <c r="AU162" s="360"/>
      <c r="AV162" s="303"/>
      <c r="AW162" s="338"/>
      <c r="AX162" s="338"/>
      <c r="AY162" s="338"/>
      <c r="AZ162" s="338"/>
      <c r="BA162" s="338"/>
      <c r="BB162" s="338"/>
      <c r="BC162" s="338"/>
      <c r="BD162" s="338"/>
      <c r="BE162" s="338"/>
      <c r="BF162" s="338"/>
      <c r="BG162" s="339"/>
      <c r="BH162" s="360"/>
      <c r="BI162" s="303"/>
      <c r="BJ162" s="338"/>
      <c r="BK162" s="338"/>
      <c r="BL162" s="338"/>
      <c r="BM162" s="338"/>
      <c r="BN162" s="338"/>
      <c r="BO162" s="338"/>
      <c r="BP162" s="338"/>
      <c r="BQ162" s="338"/>
      <c r="BR162" s="338"/>
      <c r="BS162" s="338"/>
      <c r="BT162" s="339"/>
      <c r="BU162" s="360"/>
      <c r="BV162" s="303"/>
      <c r="BW162" s="338"/>
      <c r="BX162" s="338"/>
      <c r="BY162" s="338"/>
      <c r="BZ162" s="338"/>
      <c r="CA162" s="338"/>
      <c r="CB162" s="338"/>
      <c r="CC162" s="338"/>
      <c r="CD162" s="338"/>
      <c r="CE162" s="338"/>
      <c r="CF162" s="338"/>
      <c r="CG162" s="339"/>
      <c r="CH162" s="360"/>
      <c r="CI162" s="303"/>
      <c r="CJ162" s="338"/>
      <c r="CK162" s="338"/>
      <c r="CL162" s="338"/>
      <c r="CM162" s="338"/>
      <c r="CN162" s="338"/>
      <c r="CO162" s="338"/>
      <c r="CP162" s="338"/>
      <c r="CQ162" s="338"/>
      <c r="CR162" s="338"/>
      <c r="CS162" s="338"/>
      <c r="CT162" s="339"/>
      <c r="CU162" s="360"/>
      <c r="CV162" s="303"/>
      <c r="CW162" s="338"/>
      <c r="CX162" s="338"/>
      <c r="CY162" s="338"/>
      <c r="CZ162" s="338"/>
      <c r="DA162" s="338"/>
      <c r="DB162" s="338"/>
      <c r="DC162" s="338"/>
      <c r="DD162" s="338"/>
      <c r="DE162" s="338"/>
      <c r="DF162" s="338"/>
      <c r="DG162" s="339"/>
      <c r="DH162" s="360"/>
      <c r="DI162" s="303"/>
      <c r="DJ162" s="338"/>
      <c r="DK162" s="338"/>
      <c r="DL162" s="338"/>
      <c r="DM162" s="338"/>
      <c r="DN162" s="338"/>
      <c r="DO162" s="338"/>
      <c r="DP162" s="338"/>
      <c r="DQ162" s="338"/>
      <c r="DR162" s="338"/>
      <c r="DS162" s="338"/>
      <c r="DT162" s="339"/>
      <c r="DU162" s="360"/>
      <c r="DV162" s="303"/>
      <c r="DW162" s="338"/>
      <c r="DX162" s="338"/>
      <c r="DY162" s="338"/>
      <c r="DZ162" s="338"/>
      <c r="EA162" s="338"/>
      <c r="EB162" s="338"/>
      <c r="EC162" s="338"/>
      <c r="ED162" s="338"/>
      <c r="EE162" s="338"/>
      <c r="EF162" s="338"/>
      <c r="EG162" s="339"/>
      <c r="EH162" s="360"/>
      <c r="EI162" s="21"/>
      <c r="EJ162" s="21"/>
      <c r="EK162" s="21"/>
      <c r="EL162" s="21"/>
      <c r="EM162" s="21"/>
    </row>
    <row r="163" spans="1:143" ht="13.5" customHeight="1">
      <c r="A163" s="21"/>
      <c r="B163" s="21"/>
      <c r="C163" s="21"/>
      <c r="D163" s="422">
        <f t="shared" si="877"/>
        <v>127</v>
      </c>
      <c r="E163" s="1625"/>
      <c r="F163" s="403" t="str">
        <f t="shared" si="879"/>
        <v>Bank 6</v>
      </c>
      <c r="G163" s="265"/>
      <c r="H163" s="666"/>
      <c r="I163" s="303"/>
      <c r="J163" s="338"/>
      <c r="K163" s="338"/>
      <c r="L163" s="338"/>
      <c r="M163" s="338"/>
      <c r="N163" s="338"/>
      <c r="O163" s="338"/>
      <c r="P163" s="338"/>
      <c r="Q163" s="338"/>
      <c r="R163" s="338"/>
      <c r="S163" s="338"/>
      <c r="T163" s="339">
        <v>30</v>
      </c>
      <c r="U163" s="360"/>
      <c r="V163" s="303"/>
      <c r="W163" s="338"/>
      <c r="X163" s="338"/>
      <c r="Y163" s="338"/>
      <c r="Z163" s="338"/>
      <c r="AA163" s="338"/>
      <c r="AB163" s="338"/>
      <c r="AC163" s="338"/>
      <c r="AD163" s="338"/>
      <c r="AE163" s="338"/>
      <c r="AF163" s="338"/>
      <c r="AG163" s="339"/>
      <c r="AH163" s="360"/>
      <c r="AI163" s="303"/>
      <c r="AJ163" s="338"/>
      <c r="AK163" s="338"/>
      <c r="AL163" s="338"/>
      <c r="AM163" s="338"/>
      <c r="AN163" s="338"/>
      <c r="AO163" s="338"/>
      <c r="AP163" s="338"/>
      <c r="AQ163" s="338"/>
      <c r="AR163" s="338"/>
      <c r="AS163" s="338"/>
      <c r="AT163" s="339"/>
      <c r="AU163" s="360"/>
      <c r="AV163" s="303"/>
      <c r="AW163" s="338"/>
      <c r="AX163" s="338"/>
      <c r="AY163" s="338"/>
      <c r="AZ163" s="338"/>
      <c r="BA163" s="338"/>
      <c r="BB163" s="338"/>
      <c r="BC163" s="338"/>
      <c r="BD163" s="338"/>
      <c r="BE163" s="338"/>
      <c r="BF163" s="338"/>
      <c r="BG163" s="339"/>
      <c r="BH163" s="360"/>
      <c r="BI163" s="303"/>
      <c r="BJ163" s="338"/>
      <c r="BK163" s="338"/>
      <c r="BL163" s="338"/>
      <c r="BM163" s="338"/>
      <c r="BN163" s="338"/>
      <c r="BO163" s="338"/>
      <c r="BP163" s="338"/>
      <c r="BQ163" s="338"/>
      <c r="BR163" s="338"/>
      <c r="BS163" s="338"/>
      <c r="BT163" s="339"/>
      <c r="BU163" s="360"/>
      <c r="BV163" s="303"/>
      <c r="BW163" s="338"/>
      <c r="BX163" s="338"/>
      <c r="BY163" s="338"/>
      <c r="BZ163" s="338"/>
      <c r="CA163" s="338"/>
      <c r="CB163" s="338"/>
      <c r="CC163" s="338"/>
      <c r="CD163" s="338"/>
      <c r="CE163" s="338"/>
      <c r="CF163" s="338"/>
      <c r="CG163" s="339"/>
      <c r="CH163" s="360"/>
      <c r="CI163" s="303"/>
      <c r="CJ163" s="338"/>
      <c r="CK163" s="338"/>
      <c r="CL163" s="338"/>
      <c r="CM163" s="338"/>
      <c r="CN163" s="338"/>
      <c r="CO163" s="338"/>
      <c r="CP163" s="338"/>
      <c r="CQ163" s="338"/>
      <c r="CR163" s="338"/>
      <c r="CS163" s="338"/>
      <c r="CT163" s="339"/>
      <c r="CU163" s="360"/>
      <c r="CV163" s="303"/>
      <c r="CW163" s="338"/>
      <c r="CX163" s="338"/>
      <c r="CY163" s="338"/>
      <c r="CZ163" s="338"/>
      <c r="DA163" s="338"/>
      <c r="DB163" s="338"/>
      <c r="DC163" s="338"/>
      <c r="DD163" s="338"/>
      <c r="DE163" s="338"/>
      <c r="DF163" s="338"/>
      <c r="DG163" s="339"/>
      <c r="DH163" s="360"/>
      <c r="DI163" s="303"/>
      <c r="DJ163" s="338"/>
      <c r="DK163" s="338"/>
      <c r="DL163" s="338"/>
      <c r="DM163" s="338"/>
      <c r="DN163" s="338"/>
      <c r="DO163" s="338"/>
      <c r="DP163" s="338"/>
      <c r="DQ163" s="338"/>
      <c r="DR163" s="338"/>
      <c r="DS163" s="338"/>
      <c r="DT163" s="339"/>
      <c r="DU163" s="360"/>
      <c r="DV163" s="303"/>
      <c r="DW163" s="338"/>
      <c r="DX163" s="338"/>
      <c r="DY163" s="338"/>
      <c r="DZ163" s="338"/>
      <c r="EA163" s="338"/>
      <c r="EB163" s="338"/>
      <c r="EC163" s="338"/>
      <c r="ED163" s="338"/>
      <c r="EE163" s="338"/>
      <c r="EF163" s="338"/>
      <c r="EG163" s="339"/>
      <c r="EH163" s="360"/>
      <c r="EI163" s="21"/>
      <c r="EJ163" s="21"/>
      <c r="EK163" s="21"/>
      <c r="EL163" s="21"/>
      <c r="EM163" s="21"/>
    </row>
    <row r="164" spans="1:143" ht="13.5" customHeight="1">
      <c r="A164" s="21"/>
      <c r="B164" s="21"/>
      <c r="C164" s="21"/>
      <c r="D164" s="422">
        <f t="shared" si="877"/>
        <v>128</v>
      </c>
      <c r="E164" s="1625"/>
      <c r="F164" s="403" t="str">
        <f t="shared" si="879"/>
        <v>Bank 7</v>
      </c>
      <c r="G164" s="265"/>
      <c r="H164" s="666"/>
      <c r="I164" s="303"/>
      <c r="J164" s="338"/>
      <c r="K164" s="338"/>
      <c r="L164" s="338"/>
      <c r="M164" s="338"/>
      <c r="N164" s="338"/>
      <c r="O164" s="338"/>
      <c r="P164" s="338"/>
      <c r="Q164" s="338"/>
      <c r="R164" s="338"/>
      <c r="S164" s="338"/>
      <c r="T164" s="339">
        <v>40</v>
      </c>
      <c r="U164" s="360"/>
      <c r="V164" s="303"/>
      <c r="W164" s="338"/>
      <c r="X164" s="338"/>
      <c r="Y164" s="338"/>
      <c r="Z164" s="338"/>
      <c r="AA164" s="338"/>
      <c r="AB164" s="338"/>
      <c r="AC164" s="338"/>
      <c r="AD164" s="338"/>
      <c r="AE164" s="338"/>
      <c r="AF164" s="338"/>
      <c r="AG164" s="339"/>
      <c r="AH164" s="360"/>
      <c r="AI164" s="303"/>
      <c r="AJ164" s="338"/>
      <c r="AK164" s="338"/>
      <c r="AL164" s="338"/>
      <c r="AM164" s="338"/>
      <c r="AN164" s="338"/>
      <c r="AO164" s="338"/>
      <c r="AP164" s="338"/>
      <c r="AQ164" s="338"/>
      <c r="AR164" s="338"/>
      <c r="AS164" s="338"/>
      <c r="AT164" s="339"/>
      <c r="AU164" s="360"/>
      <c r="AV164" s="303"/>
      <c r="AW164" s="338"/>
      <c r="AX164" s="338"/>
      <c r="AY164" s="338"/>
      <c r="AZ164" s="338"/>
      <c r="BA164" s="338"/>
      <c r="BB164" s="338"/>
      <c r="BC164" s="338"/>
      <c r="BD164" s="338"/>
      <c r="BE164" s="338"/>
      <c r="BF164" s="338"/>
      <c r="BG164" s="339"/>
      <c r="BH164" s="360"/>
      <c r="BI164" s="303"/>
      <c r="BJ164" s="338"/>
      <c r="BK164" s="338"/>
      <c r="BL164" s="338"/>
      <c r="BM164" s="338"/>
      <c r="BN164" s="338"/>
      <c r="BO164" s="338"/>
      <c r="BP164" s="338"/>
      <c r="BQ164" s="338"/>
      <c r="BR164" s="338"/>
      <c r="BS164" s="338"/>
      <c r="BT164" s="339"/>
      <c r="BU164" s="360"/>
      <c r="BV164" s="303"/>
      <c r="BW164" s="338"/>
      <c r="BX164" s="338"/>
      <c r="BY164" s="338"/>
      <c r="BZ164" s="338"/>
      <c r="CA164" s="338"/>
      <c r="CB164" s="338"/>
      <c r="CC164" s="338"/>
      <c r="CD164" s="338"/>
      <c r="CE164" s="338"/>
      <c r="CF164" s="338"/>
      <c r="CG164" s="339"/>
      <c r="CH164" s="360"/>
      <c r="CI164" s="303"/>
      <c r="CJ164" s="338"/>
      <c r="CK164" s="338"/>
      <c r="CL164" s="338"/>
      <c r="CM164" s="338"/>
      <c r="CN164" s="338"/>
      <c r="CO164" s="338"/>
      <c r="CP164" s="338"/>
      <c r="CQ164" s="338"/>
      <c r="CR164" s="338"/>
      <c r="CS164" s="338"/>
      <c r="CT164" s="339"/>
      <c r="CU164" s="360"/>
      <c r="CV164" s="303"/>
      <c r="CW164" s="338"/>
      <c r="CX164" s="338"/>
      <c r="CY164" s="338"/>
      <c r="CZ164" s="338"/>
      <c r="DA164" s="338"/>
      <c r="DB164" s="338"/>
      <c r="DC164" s="338"/>
      <c r="DD164" s="338"/>
      <c r="DE164" s="338"/>
      <c r="DF164" s="338"/>
      <c r="DG164" s="339"/>
      <c r="DH164" s="360"/>
      <c r="DI164" s="303"/>
      <c r="DJ164" s="338"/>
      <c r="DK164" s="338"/>
      <c r="DL164" s="338"/>
      <c r="DM164" s="338"/>
      <c r="DN164" s="338"/>
      <c r="DO164" s="338"/>
      <c r="DP164" s="338"/>
      <c r="DQ164" s="338"/>
      <c r="DR164" s="338"/>
      <c r="DS164" s="338"/>
      <c r="DT164" s="339"/>
      <c r="DU164" s="360"/>
      <c r="DV164" s="303"/>
      <c r="DW164" s="338"/>
      <c r="DX164" s="338"/>
      <c r="DY164" s="338"/>
      <c r="DZ164" s="338"/>
      <c r="EA164" s="338"/>
      <c r="EB164" s="338"/>
      <c r="EC164" s="338"/>
      <c r="ED164" s="338"/>
      <c r="EE164" s="338"/>
      <c r="EF164" s="338"/>
      <c r="EG164" s="339"/>
      <c r="EH164" s="360"/>
      <c r="EI164" s="21"/>
      <c r="EJ164" s="21"/>
      <c r="EK164" s="21"/>
      <c r="EL164" s="21"/>
      <c r="EM164" s="21"/>
    </row>
    <row r="165" spans="1:143" ht="13.5" customHeight="1">
      <c r="A165" s="21"/>
      <c r="B165" s="21"/>
      <c r="C165" s="21"/>
      <c r="D165" s="422">
        <f t="shared" si="877"/>
        <v>129</v>
      </c>
      <c r="E165" s="1625"/>
      <c r="F165" s="403" t="str">
        <f t="shared" si="879"/>
        <v>Bank 8</v>
      </c>
      <c r="G165" s="265"/>
      <c r="H165" s="666"/>
      <c r="I165" s="303"/>
      <c r="J165" s="338"/>
      <c r="K165" s="338"/>
      <c r="L165" s="338"/>
      <c r="M165" s="338"/>
      <c r="N165" s="338"/>
      <c r="O165" s="338"/>
      <c r="P165" s="338"/>
      <c r="Q165" s="338"/>
      <c r="R165" s="338"/>
      <c r="S165" s="338"/>
      <c r="T165" s="339">
        <v>50</v>
      </c>
      <c r="U165" s="360"/>
      <c r="V165" s="303"/>
      <c r="W165" s="338"/>
      <c r="X165" s="338"/>
      <c r="Y165" s="338"/>
      <c r="Z165" s="338"/>
      <c r="AA165" s="338"/>
      <c r="AB165" s="338"/>
      <c r="AC165" s="338"/>
      <c r="AD165" s="338"/>
      <c r="AE165" s="338"/>
      <c r="AF165" s="338"/>
      <c r="AG165" s="339"/>
      <c r="AH165" s="360"/>
      <c r="AI165" s="303"/>
      <c r="AJ165" s="338"/>
      <c r="AK165" s="338"/>
      <c r="AL165" s="338"/>
      <c r="AM165" s="338"/>
      <c r="AN165" s="338"/>
      <c r="AO165" s="338"/>
      <c r="AP165" s="338"/>
      <c r="AQ165" s="338"/>
      <c r="AR165" s="338"/>
      <c r="AS165" s="338"/>
      <c r="AT165" s="339"/>
      <c r="AU165" s="360"/>
      <c r="AV165" s="303"/>
      <c r="AW165" s="338"/>
      <c r="AX165" s="338"/>
      <c r="AY165" s="338"/>
      <c r="AZ165" s="338"/>
      <c r="BA165" s="338"/>
      <c r="BB165" s="338"/>
      <c r="BC165" s="338"/>
      <c r="BD165" s="338"/>
      <c r="BE165" s="338"/>
      <c r="BF165" s="338"/>
      <c r="BG165" s="339"/>
      <c r="BH165" s="360"/>
      <c r="BI165" s="303"/>
      <c r="BJ165" s="338"/>
      <c r="BK165" s="338"/>
      <c r="BL165" s="338"/>
      <c r="BM165" s="338"/>
      <c r="BN165" s="338"/>
      <c r="BO165" s="338"/>
      <c r="BP165" s="338"/>
      <c r="BQ165" s="338"/>
      <c r="BR165" s="338"/>
      <c r="BS165" s="338"/>
      <c r="BT165" s="339"/>
      <c r="BU165" s="360"/>
      <c r="BV165" s="303"/>
      <c r="BW165" s="338"/>
      <c r="BX165" s="338"/>
      <c r="BY165" s="338"/>
      <c r="BZ165" s="338"/>
      <c r="CA165" s="338"/>
      <c r="CB165" s="338"/>
      <c r="CC165" s="338"/>
      <c r="CD165" s="338"/>
      <c r="CE165" s="338"/>
      <c r="CF165" s="338"/>
      <c r="CG165" s="339"/>
      <c r="CH165" s="360"/>
      <c r="CI165" s="303"/>
      <c r="CJ165" s="338"/>
      <c r="CK165" s="338"/>
      <c r="CL165" s="338"/>
      <c r="CM165" s="338"/>
      <c r="CN165" s="338"/>
      <c r="CO165" s="338"/>
      <c r="CP165" s="338"/>
      <c r="CQ165" s="338"/>
      <c r="CR165" s="338"/>
      <c r="CS165" s="338"/>
      <c r="CT165" s="339"/>
      <c r="CU165" s="360"/>
      <c r="CV165" s="303"/>
      <c r="CW165" s="338"/>
      <c r="CX165" s="338"/>
      <c r="CY165" s="338"/>
      <c r="CZ165" s="338"/>
      <c r="DA165" s="338"/>
      <c r="DB165" s="338"/>
      <c r="DC165" s="338"/>
      <c r="DD165" s="338"/>
      <c r="DE165" s="338"/>
      <c r="DF165" s="338"/>
      <c r="DG165" s="339"/>
      <c r="DH165" s="360"/>
      <c r="DI165" s="303"/>
      <c r="DJ165" s="338"/>
      <c r="DK165" s="338"/>
      <c r="DL165" s="338"/>
      <c r="DM165" s="338"/>
      <c r="DN165" s="338"/>
      <c r="DO165" s="338"/>
      <c r="DP165" s="338"/>
      <c r="DQ165" s="338"/>
      <c r="DR165" s="338"/>
      <c r="DS165" s="338"/>
      <c r="DT165" s="339"/>
      <c r="DU165" s="360"/>
      <c r="DV165" s="303"/>
      <c r="DW165" s="338"/>
      <c r="DX165" s="338"/>
      <c r="DY165" s="338"/>
      <c r="DZ165" s="338"/>
      <c r="EA165" s="338"/>
      <c r="EB165" s="338"/>
      <c r="EC165" s="338"/>
      <c r="ED165" s="338"/>
      <c r="EE165" s="338"/>
      <c r="EF165" s="338"/>
      <c r="EG165" s="339"/>
      <c r="EH165" s="360"/>
      <c r="EI165" s="21"/>
      <c r="EJ165" s="21"/>
      <c r="EK165" s="21"/>
      <c r="EL165" s="21"/>
      <c r="EM165" s="21"/>
    </row>
    <row r="166" spans="1:143" ht="13.5" customHeight="1">
      <c r="A166" s="21"/>
      <c r="B166" s="21"/>
      <c r="C166" s="21"/>
      <c r="D166" s="422">
        <f t="shared" si="877"/>
        <v>130</v>
      </c>
      <c r="E166" s="1625"/>
      <c r="F166" s="403" t="str">
        <f t="shared" si="879"/>
        <v>Bank 9</v>
      </c>
      <c r="G166" s="265"/>
      <c r="H166" s="666"/>
      <c r="I166" s="303"/>
      <c r="J166" s="338"/>
      <c r="K166" s="338"/>
      <c r="L166" s="338"/>
      <c r="M166" s="338"/>
      <c r="N166" s="338"/>
      <c r="O166" s="338"/>
      <c r="P166" s="338"/>
      <c r="Q166" s="338"/>
      <c r="R166" s="338"/>
      <c r="S166" s="338"/>
      <c r="T166" s="339">
        <v>10</v>
      </c>
      <c r="U166" s="360"/>
      <c r="V166" s="303"/>
      <c r="W166" s="338"/>
      <c r="X166" s="338"/>
      <c r="Y166" s="338"/>
      <c r="Z166" s="338"/>
      <c r="AA166" s="338"/>
      <c r="AB166" s="338"/>
      <c r="AC166" s="338"/>
      <c r="AD166" s="338"/>
      <c r="AE166" s="338"/>
      <c r="AF166" s="338"/>
      <c r="AG166" s="339"/>
      <c r="AH166" s="360"/>
      <c r="AI166" s="303"/>
      <c r="AJ166" s="338"/>
      <c r="AK166" s="338"/>
      <c r="AL166" s="338"/>
      <c r="AM166" s="338"/>
      <c r="AN166" s="338"/>
      <c r="AO166" s="338"/>
      <c r="AP166" s="338"/>
      <c r="AQ166" s="338"/>
      <c r="AR166" s="338"/>
      <c r="AS166" s="338"/>
      <c r="AT166" s="339"/>
      <c r="AU166" s="360"/>
      <c r="AV166" s="303"/>
      <c r="AW166" s="338"/>
      <c r="AX166" s="338"/>
      <c r="AY166" s="338"/>
      <c r="AZ166" s="338"/>
      <c r="BA166" s="338"/>
      <c r="BB166" s="338"/>
      <c r="BC166" s="338"/>
      <c r="BD166" s="338"/>
      <c r="BE166" s="338"/>
      <c r="BF166" s="338"/>
      <c r="BG166" s="339"/>
      <c r="BH166" s="360"/>
      <c r="BI166" s="303"/>
      <c r="BJ166" s="338"/>
      <c r="BK166" s="338"/>
      <c r="BL166" s="338"/>
      <c r="BM166" s="338"/>
      <c r="BN166" s="338"/>
      <c r="BO166" s="338"/>
      <c r="BP166" s="338"/>
      <c r="BQ166" s="338"/>
      <c r="BR166" s="338"/>
      <c r="BS166" s="338"/>
      <c r="BT166" s="339"/>
      <c r="BU166" s="360"/>
      <c r="BV166" s="303"/>
      <c r="BW166" s="338"/>
      <c r="BX166" s="338"/>
      <c r="BY166" s="338"/>
      <c r="BZ166" s="338"/>
      <c r="CA166" s="338"/>
      <c r="CB166" s="338"/>
      <c r="CC166" s="338"/>
      <c r="CD166" s="338"/>
      <c r="CE166" s="338"/>
      <c r="CF166" s="338"/>
      <c r="CG166" s="339"/>
      <c r="CH166" s="360"/>
      <c r="CI166" s="303"/>
      <c r="CJ166" s="338"/>
      <c r="CK166" s="338"/>
      <c r="CL166" s="338"/>
      <c r="CM166" s="338"/>
      <c r="CN166" s="338"/>
      <c r="CO166" s="338"/>
      <c r="CP166" s="338"/>
      <c r="CQ166" s="338"/>
      <c r="CR166" s="338"/>
      <c r="CS166" s="338"/>
      <c r="CT166" s="339"/>
      <c r="CU166" s="360"/>
      <c r="CV166" s="303"/>
      <c r="CW166" s="338"/>
      <c r="CX166" s="338"/>
      <c r="CY166" s="338"/>
      <c r="CZ166" s="338"/>
      <c r="DA166" s="338"/>
      <c r="DB166" s="338"/>
      <c r="DC166" s="338"/>
      <c r="DD166" s="338"/>
      <c r="DE166" s="338"/>
      <c r="DF166" s="338"/>
      <c r="DG166" s="339"/>
      <c r="DH166" s="360"/>
      <c r="DI166" s="303"/>
      <c r="DJ166" s="338"/>
      <c r="DK166" s="338"/>
      <c r="DL166" s="338"/>
      <c r="DM166" s="338"/>
      <c r="DN166" s="338"/>
      <c r="DO166" s="338"/>
      <c r="DP166" s="338"/>
      <c r="DQ166" s="338"/>
      <c r="DR166" s="338"/>
      <c r="DS166" s="338"/>
      <c r="DT166" s="339"/>
      <c r="DU166" s="360"/>
      <c r="DV166" s="303"/>
      <c r="DW166" s="338"/>
      <c r="DX166" s="338"/>
      <c r="DY166" s="338"/>
      <c r="DZ166" s="338"/>
      <c r="EA166" s="338"/>
      <c r="EB166" s="338"/>
      <c r="EC166" s="338"/>
      <c r="ED166" s="338"/>
      <c r="EE166" s="338"/>
      <c r="EF166" s="338"/>
      <c r="EG166" s="339"/>
      <c r="EH166" s="360"/>
      <c r="EI166" s="21"/>
      <c r="EJ166" s="21"/>
      <c r="EK166" s="21"/>
      <c r="EL166" s="21"/>
      <c r="EM166" s="21"/>
    </row>
    <row r="167" spans="1:143" ht="14.25" customHeight="1">
      <c r="A167" s="21"/>
      <c r="B167" s="21"/>
      <c r="C167" s="21"/>
      <c r="D167" s="432">
        <f t="shared" si="877"/>
        <v>131</v>
      </c>
      <c r="E167" s="1627"/>
      <c r="F167" s="405" t="str">
        <f t="shared" si="879"/>
        <v>Bank 10</v>
      </c>
      <c r="G167" s="433"/>
      <c r="H167" s="669"/>
      <c r="I167" s="308"/>
      <c r="J167" s="306"/>
      <c r="K167" s="306"/>
      <c r="L167" s="306"/>
      <c r="M167" s="306"/>
      <c r="N167" s="306"/>
      <c r="O167" s="306"/>
      <c r="P167" s="306"/>
      <c r="Q167" s="306"/>
      <c r="R167" s="306"/>
      <c r="S167" s="306"/>
      <c r="T167" s="429">
        <v>20</v>
      </c>
      <c r="U167" s="360"/>
      <c r="V167" s="308"/>
      <c r="W167" s="306"/>
      <c r="X167" s="306"/>
      <c r="Y167" s="306"/>
      <c r="Z167" s="306"/>
      <c r="AA167" s="306"/>
      <c r="AB167" s="306"/>
      <c r="AC167" s="306"/>
      <c r="AD167" s="306"/>
      <c r="AE167" s="306"/>
      <c r="AF167" s="306"/>
      <c r="AG167" s="429"/>
      <c r="AH167" s="360"/>
      <c r="AI167" s="308"/>
      <c r="AJ167" s="306"/>
      <c r="AK167" s="306"/>
      <c r="AL167" s="306"/>
      <c r="AM167" s="306"/>
      <c r="AN167" s="306"/>
      <c r="AO167" s="306"/>
      <c r="AP167" s="306"/>
      <c r="AQ167" s="306"/>
      <c r="AR167" s="306"/>
      <c r="AS167" s="306"/>
      <c r="AT167" s="429"/>
      <c r="AU167" s="360"/>
      <c r="AV167" s="308"/>
      <c r="AW167" s="306"/>
      <c r="AX167" s="306"/>
      <c r="AY167" s="306"/>
      <c r="AZ167" s="306"/>
      <c r="BA167" s="306"/>
      <c r="BB167" s="306"/>
      <c r="BC167" s="306"/>
      <c r="BD167" s="306"/>
      <c r="BE167" s="306"/>
      <c r="BF167" s="306"/>
      <c r="BG167" s="429"/>
      <c r="BH167" s="360"/>
      <c r="BI167" s="308"/>
      <c r="BJ167" s="306"/>
      <c r="BK167" s="306"/>
      <c r="BL167" s="306"/>
      <c r="BM167" s="306"/>
      <c r="BN167" s="306"/>
      <c r="BO167" s="306"/>
      <c r="BP167" s="306"/>
      <c r="BQ167" s="306"/>
      <c r="BR167" s="306"/>
      <c r="BS167" s="306"/>
      <c r="BT167" s="429"/>
      <c r="BU167" s="360"/>
      <c r="BV167" s="308"/>
      <c r="BW167" s="306"/>
      <c r="BX167" s="306"/>
      <c r="BY167" s="306"/>
      <c r="BZ167" s="306"/>
      <c r="CA167" s="306"/>
      <c r="CB167" s="306"/>
      <c r="CC167" s="306"/>
      <c r="CD167" s="306"/>
      <c r="CE167" s="306"/>
      <c r="CF167" s="306"/>
      <c r="CG167" s="429"/>
      <c r="CH167" s="360"/>
      <c r="CI167" s="308"/>
      <c r="CJ167" s="306"/>
      <c r="CK167" s="306"/>
      <c r="CL167" s="306"/>
      <c r="CM167" s="306"/>
      <c r="CN167" s="306"/>
      <c r="CO167" s="306"/>
      <c r="CP167" s="306"/>
      <c r="CQ167" s="306"/>
      <c r="CR167" s="306"/>
      <c r="CS167" s="306"/>
      <c r="CT167" s="429"/>
      <c r="CU167" s="360"/>
      <c r="CV167" s="308"/>
      <c r="CW167" s="306"/>
      <c r="CX167" s="306"/>
      <c r="CY167" s="306"/>
      <c r="CZ167" s="306"/>
      <c r="DA167" s="306"/>
      <c r="DB167" s="306"/>
      <c r="DC167" s="306"/>
      <c r="DD167" s="306"/>
      <c r="DE167" s="306"/>
      <c r="DF167" s="306"/>
      <c r="DG167" s="429"/>
      <c r="DH167" s="360"/>
      <c r="DI167" s="308"/>
      <c r="DJ167" s="306"/>
      <c r="DK167" s="306"/>
      <c r="DL167" s="306"/>
      <c r="DM167" s="306"/>
      <c r="DN167" s="306"/>
      <c r="DO167" s="306"/>
      <c r="DP167" s="306"/>
      <c r="DQ167" s="306"/>
      <c r="DR167" s="306"/>
      <c r="DS167" s="306"/>
      <c r="DT167" s="429"/>
      <c r="DU167" s="360"/>
      <c r="DV167" s="308"/>
      <c r="DW167" s="306"/>
      <c r="DX167" s="306"/>
      <c r="DY167" s="306"/>
      <c r="DZ167" s="306"/>
      <c r="EA167" s="306"/>
      <c r="EB167" s="306"/>
      <c r="EC167" s="306"/>
      <c r="ED167" s="306"/>
      <c r="EE167" s="306"/>
      <c r="EF167" s="306"/>
      <c r="EG167" s="429"/>
      <c r="EH167" s="360"/>
      <c r="EI167" s="21"/>
      <c r="EJ167" s="21"/>
      <c r="EK167" s="21"/>
      <c r="EL167" s="21"/>
      <c r="EM167" s="21"/>
    </row>
    <row r="168" spans="1:143" ht="6" customHeight="1">
      <c r="A168" s="21"/>
      <c r="B168" s="21"/>
      <c r="C168" s="21"/>
      <c r="D168" s="434"/>
      <c r="E168" s="670"/>
      <c r="F168" s="671"/>
      <c r="G168" s="672"/>
      <c r="H168" s="620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4"/>
      <c r="U168" s="360"/>
      <c r="V168" s="673"/>
      <c r="W168" s="673"/>
      <c r="X168" s="673"/>
      <c r="Y168" s="673"/>
      <c r="Z168" s="673"/>
      <c r="AA168" s="673"/>
      <c r="AB168" s="673"/>
      <c r="AC168" s="673"/>
      <c r="AD168" s="673"/>
      <c r="AE168" s="673"/>
      <c r="AF168" s="673"/>
      <c r="AG168" s="674"/>
      <c r="AH168" s="360"/>
      <c r="AI168" s="673"/>
      <c r="AJ168" s="673"/>
      <c r="AK168" s="673"/>
      <c r="AL168" s="673"/>
      <c r="AM168" s="673"/>
      <c r="AN168" s="673"/>
      <c r="AO168" s="673"/>
      <c r="AP168" s="673"/>
      <c r="AQ168" s="673"/>
      <c r="AR168" s="673"/>
      <c r="AS168" s="673"/>
      <c r="AT168" s="674"/>
      <c r="AU168" s="360"/>
      <c r="AV168" s="673"/>
      <c r="AW168" s="673"/>
      <c r="AX168" s="673"/>
      <c r="AY168" s="673"/>
      <c r="AZ168" s="673"/>
      <c r="BA168" s="673"/>
      <c r="BB168" s="673"/>
      <c r="BC168" s="673"/>
      <c r="BD168" s="673"/>
      <c r="BE168" s="673"/>
      <c r="BF168" s="673"/>
      <c r="BG168" s="674"/>
      <c r="BH168" s="360"/>
      <c r="BI168" s="673"/>
      <c r="BJ168" s="673"/>
      <c r="BK168" s="673"/>
      <c r="BL168" s="673"/>
      <c r="BM168" s="673"/>
      <c r="BN168" s="673"/>
      <c r="BO168" s="673"/>
      <c r="BP168" s="673"/>
      <c r="BQ168" s="673"/>
      <c r="BR168" s="673"/>
      <c r="BS168" s="673"/>
      <c r="BT168" s="674"/>
      <c r="BU168" s="360"/>
      <c r="BV168" s="673"/>
      <c r="BW168" s="673"/>
      <c r="BX168" s="673"/>
      <c r="BY168" s="673"/>
      <c r="BZ168" s="673"/>
      <c r="CA168" s="673"/>
      <c r="CB168" s="673"/>
      <c r="CC168" s="673"/>
      <c r="CD168" s="673"/>
      <c r="CE168" s="673"/>
      <c r="CF168" s="673"/>
      <c r="CG168" s="674"/>
      <c r="CH168" s="360"/>
      <c r="CI168" s="673"/>
      <c r="CJ168" s="673"/>
      <c r="CK168" s="673"/>
      <c r="CL168" s="673"/>
      <c r="CM168" s="673"/>
      <c r="CN168" s="673"/>
      <c r="CO168" s="673"/>
      <c r="CP168" s="673"/>
      <c r="CQ168" s="673"/>
      <c r="CR168" s="673"/>
      <c r="CS168" s="673"/>
      <c r="CT168" s="674"/>
      <c r="CU168" s="360"/>
      <c r="CV168" s="673"/>
      <c r="CW168" s="673"/>
      <c r="CX168" s="673"/>
      <c r="CY168" s="673"/>
      <c r="CZ168" s="673"/>
      <c r="DA168" s="673"/>
      <c r="DB168" s="673"/>
      <c r="DC168" s="673"/>
      <c r="DD168" s="673"/>
      <c r="DE168" s="673"/>
      <c r="DF168" s="673"/>
      <c r="DG168" s="674"/>
      <c r="DH168" s="360"/>
      <c r="DI168" s="673"/>
      <c r="DJ168" s="673"/>
      <c r="DK168" s="673"/>
      <c r="DL168" s="673"/>
      <c r="DM168" s="673"/>
      <c r="DN168" s="673"/>
      <c r="DO168" s="673"/>
      <c r="DP168" s="673"/>
      <c r="DQ168" s="673"/>
      <c r="DR168" s="673"/>
      <c r="DS168" s="673"/>
      <c r="DT168" s="674"/>
      <c r="DU168" s="360"/>
      <c r="DV168" s="673"/>
      <c r="DW168" s="673"/>
      <c r="DX168" s="673"/>
      <c r="DY168" s="673"/>
      <c r="DZ168" s="673"/>
      <c r="EA168" s="673"/>
      <c r="EB168" s="673"/>
      <c r="EC168" s="673"/>
      <c r="ED168" s="673"/>
      <c r="EE168" s="673"/>
      <c r="EF168" s="673"/>
      <c r="EG168" s="674"/>
      <c r="EH168" s="360"/>
      <c r="EI168" s="21"/>
      <c r="EJ168" s="21"/>
      <c r="EK168" s="21"/>
      <c r="EL168" s="21"/>
      <c r="EM168" s="21"/>
    </row>
    <row r="169" spans="1:143" ht="48" customHeight="1">
      <c r="A169" s="21"/>
      <c r="B169" s="21"/>
      <c r="C169" s="21"/>
      <c r="D169" s="1456" t="s">
        <v>636</v>
      </c>
      <c r="E169" s="1633"/>
      <c r="F169" s="675"/>
      <c r="G169" s="676"/>
      <c r="H169" s="435"/>
      <c r="I169" s="677"/>
      <c r="J169" s="436"/>
      <c r="K169" s="436"/>
      <c r="L169" s="436"/>
      <c r="M169" s="436"/>
      <c r="N169" s="436"/>
      <c r="O169" s="436"/>
      <c r="P169" s="436"/>
      <c r="Q169" s="436"/>
      <c r="R169" s="436"/>
      <c r="S169" s="436"/>
      <c r="T169" s="437"/>
      <c r="U169" s="360"/>
      <c r="V169" s="677"/>
      <c r="W169" s="436"/>
      <c r="X169" s="436"/>
      <c r="Y169" s="436"/>
      <c r="Z169" s="436"/>
      <c r="AA169" s="436"/>
      <c r="AB169" s="436"/>
      <c r="AC169" s="436"/>
      <c r="AD169" s="436"/>
      <c r="AE169" s="436"/>
      <c r="AF169" s="436"/>
      <c r="AG169" s="437"/>
      <c r="AH169" s="360"/>
      <c r="AI169" s="677"/>
      <c r="AJ169" s="436"/>
      <c r="AK169" s="436"/>
      <c r="AL169" s="436"/>
      <c r="AM169" s="436"/>
      <c r="AN169" s="436"/>
      <c r="AO169" s="436"/>
      <c r="AP169" s="436"/>
      <c r="AQ169" s="436"/>
      <c r="AR169" s="436"/>
      <c r="AS169" s="436"/>
      <c r="AT169" s="437"/>
      <c r="AU169" s="360"/>
      <c r="AV169" s="677"/>
      <c r="AW169" s="436"/>
      <c r="AX169" s="436"/>
      <c r="AY169" s="436"/>
      <c r="AZ169" s="436"/>
      <c r="BA169" s="436"/>
      <c r="BB169" s="436"/>
      <c r="BC169" s="436"/>
      <c r="BD169" s="436"/>
      <c r="BE169" s="436"/>
      <c r="BF169" s="436"/>
      <c r="BG169" s="437"/>
      <c r="BH169" s="360"/>
      <c r="BI169" s="677"/>
      <c r="BJ169" s="436"/>
      <c r="BK169" s="436"/>
      <c r="BL169" s="436"/>
      <c r="BM169" s="436"/>
      <c r="BN169" s="436"/>
      <c r="BO169" s="436"/>
      <c r="BP169" s="436"/>
      <c r="BQ169" s="436"/>
      <c r="BR169" s="436"/>
      <c r="BS169" s="436"/>
      <c r="BT169" s="437"/>
      <c r="BU169" s="360"/>
      <c r="BV169" s="677"/>
      <c r="BW169" s="436"/>
      <c r="BX169" s="436"/>
      <c r="BY169" s="436"/>
      <c r="BZ169" s="436"/>
      <c r="CA169" s="436"/>
      <c r="CB169" s="436"/>
      <c r="CC169" s="436"/>
      <c r="CD169" s="436"/>
      <c r="CE169" s="436"/>
      <c r="CF169" s="436"/>
      <c r="CG169" s="437"/>
      <c r="CH169" s="360"/>
      <c r="CI169" s="677"/>
      <c r="CJ169" s="436"/>
      <c r="CK169" s="436"/>
      <c r="CL169" s="436"/>
      <c r="CM169" s="436"/>
      <c r="CN169" s="436"/>
      <c r="CO169" s="436"/>
      <c r="CP169" s="436"/>
      <c r="CQ169" s="436"/>
      <c r="CR169" s="436"/>
      <c r="CS169" s="436"/>
      <c r="CT169" s="437"/>
      <c r="CU169" s="360"/>
      <c r="CV169" s="677"/>
      <c r="CW169" s="436"/>
      <c r="CX169" s="436"/>
      <c r="CY169" s="436"/>
      <c r="CZ169" s="436"/>
      <c r="DA169" s="436"/>
      <c r="DB169" s="436"/>
      <c r="DC169" s="436"/>
      <c r="DD169" s="436"/>
      <c r="DE169" s="436"/>
      <c r="DF169" s="436"/>
      <c r="DG169" s="437"/>
      <c r="DH169" s="360"/>
      <c r="DI169" s="677"/>
      <c r="DJ169" s="436"/>
      <c r="DK169" s="436"/>
      <c r="DL169" s="436"/>
      <c r="DM169" s="436"/>
      <c r="DN169" s="436"/>
      <c r="DO169" s="436"/>
      <c r="DP169" s="436"/>
      <c r="DQ169" s="436"/>
      <c r="DR169" s="436"/>
      <c r="DS169" s="436"/>
      <c r="DT169" s="437"/>
      <c r="DU169" s="360"/>
      <c r="DV169" s="677"/>
      <c r="DW169" s="436"/>
      <c r="DX169" s="436"/>
      <c r="DY169" s="436"/>
      <c r="DZ169" s="436"/>
      <c r="EA169" s="436"/>
      <c r="EB169" s="436"/>
      <c r="EC169" s="436"/>
      <c r="ED169" s="436"/>
      <c r="EE169" s="436"/>
      <c r="EF169" s="436"/>
      <c r="EG169" s="437"/>
      <c r="EH169" s="360"/>
      <c r="EI169" s="21"/>
      <c r="EJ169" s="21"/>
      <c r="EK169" s="21"/>
      <c r="EL169" s="21"/>
      <c r="EM169" s="21"/>
    </row>
    <row r="170" spans="1:143" ht="14.25" customHeight="1">
      <c r="A170" s="21"/>
      <c r="B170" s="21"/>
      <c r="C170" s="21"/>
      <c r="D170" s="422">
        <f>+D167+1</f>
        <v>132</v>
      </c>
      <c r="E170" s="1451"/>
      <c r="F170" s="678" t="s">
        <v>637</v>
      </c>
      <c r="G170" s="243"/>
      <c r="H170" s="438"/>
      <c r="I170" s="439">
        <f t="shared" ref="I170:T170" si="880">+SUM(I171:I180)</f>
        <v>0</v>
      </c>
      <c r="J170" s="440">
        <f t="shared" si="880"/>
        <v>0</v>
      </c>
      <c r="K170" s="440">
        <f t="shared" si="880"/>
        <v>0</v>
      </c>
      <c r="L170" s="440">
        <f t="shared" si="880"/>
        <v>0</v>
      </c>
      <c r="M170" s="440">
        <f t="shared" si="880"/>
        <v>0</v>
      </c>
      <c r="N170" s="440">
        <f t="shared" si="880"/>
        <v>0</v>
      </c>
      <c r="O170" s="440">
        <f t="shared" si="880"/>
        <v>0</v>
      </c>
      <c r="P170" s="440">
        <f t="shared" si="880"/>
        <v>0</v>
      </c>
      <c r="Q170" s="440">
        <f t="shared" si="880"/>
        <v>0</v>
      </c>
      <c r="R170" s="440">
        <f t="shared" si="880"/>
        <v>0</v>
      </c>
      <c r="S170" s="440">
        <f t="shared" si="880"/>
        <v>0</v>
      </c>
      <c r="T170" s="441">
        <f t="shared" si="880"/>
        <v>300</v>
      </c>
      <c r="U170" s="360"/>
      <c r="V170" s="439">
        <f t="shared" ref="V170:AG170" si="881">+SUM(V171:V180)</f>
        <v>0</v>
      </c>
      <c r="W170" s="440">
        <f t="shared" si="881"/>
        <v>0</v>
      </c>
      <c r="X170" s="440">
        <f t="shared" si="881"/>
        <v>0</v>
      </c>
      <c r="Y170" s="440">
        <f t="shared" si="881"/>
        <v>0</v>
      </c>
      <c r="Z170" s="440">
        <f t="shared" si="881"/>
        <v>0</v>
      </c>
      <c r="AA170" s="440">
        <f t="shared" si="881"/>
        <v>0</v>
      </c>
      <c r="AB170" s="440">
        <f t="shared" si="881"/>
        <v>0</v>
      </c>
      <c r="AC170" s="440">
        <f t="shared" si="881"/>
        <v>0</v>
      </c>
      <c r="AD170" s="440">
        <f t="shared" si="881"/>
        <v>0</v>
      </c>
      <c r="AE170" s="440">
        <f t="shared" si="881"/>
        <v>0</v>
      </c>
      <c r="AF170" s="440">
        <f t="shared" si="881"/>
        <v>0</v>
      </c>
      <c r="AG170" s="441">
        <f t="shared" si="881"/>
        <v>0</v>
      </c>
      <c r="AH170" s="360"/>
      <c r="AI170" s="439">
        <f t="shared" ref="AI170:AT170" si="882">+SUM(AI171:AI180)</f>
        <v>0</v>
      </c>
      <c r="AJ170" s="440">
        <f t="shared" si="882"/>
        <v>0</v>
      </c>
      <c r="AK170" s="440">
        <f t="shared" si="882"/>
        <v>0</v>
      </c>
      <c r="AL170" s="440">
        <f t="shared" si="882"/>
        <v>0</v>
      </c>
      <c r="AM170" s="440">
        <f t="shared" si="882"/>
        <v>0</v>
      </c>
      <c r="AN170" s="440">
        <f t="shared" si="882"/>
        <v>0</v>
      </c>
      <c r="AO170" s="440">
        <f t="shared" si="882"/>
        <v>0</v>
      </c>
      <c r="AP170" s="440">
        <f t="shared" si="882"/>
        <v>0</v>
      </c>
      <c r="AQ170" s="440">
        <f t="shared" si="882"/>
        <v>0</v>
      </c>
      <c r="AR170" s="440">
        <f t="shared" si="882"/>
        <v>0</v>
      </c>
      <c r="AS170" s="440">
        <f t="shared" si="882"/>
        <v>0</v>
      </c>
      <c r="AT170" s="441">
        <f t="shared" si="882"/>
        <v>0</v>
      </c>
      <c r="AU170" s="360"/>
      <c r="AV170" s="439">
        <f t="shared" ref="AV170:BG170" si="883">+SUM(AV171:AV180)</f>
        <v>0</v>
      </c>
      <c r="AW170" s="440">
        <f t="shared" si="883"/>
        <v>0</v>
      </c>
      <c r="AX170" s="440">
        <f t="shared" si="883"/>
        <v>0</v>
      </c>
      <c r="AY170" s="440">
        <f t="shared" si="883"/>
        <v>0</v>
      </c>
      <c r="AZ170" s="440">
        <f t="shared" si="883"/>
        <v>0</v>
      </c>
      <c r="BA170" s="440">
        <f t="shared" si="883"/>
        <v>0</v>
      </c>
      <c r="BB170" s="440">
        <f t="shared" si="883"/>
        <v>0</v>
      </c>
      <c r="BC170" s="440">
        <f t="shared" si="883"/>
        <v>0</v>
      </c>
      <c r="BD170" s="440">
        <f t="shared" si="883"/>
        <v>0</v>
      </c>
      <c r="BE170" s="440">
        <f t="shared" si="883"/>
        <v>0</v>
      </c>
      <c r="BF170" s="440">
        <f t="shared" si="883"/>
        <v>0</v>
      </c>
      <c r="BG170" s="441">
        <f t="shared" si="883"/>
        <v>0</v>
      </c>
      <c r="BH170" s="360"/>
      <c r="BI170" s="439">
        <f t="shared" ref="BI170:BT170" si="884">+SUM(BI171:BI180)</f>
        <v>0</v>
      </c>
      <c r="BJ170" s="440">
        <f t="shared" si="884"/>
        <v>0</v>
      </c>
      <c r="BK170" s="440">
        <f t="shared" si="884"/>
        <v>0</v>
      </c>
      <c r="BL170" s="440">
        <f t="shared" si="884"/>
        <v>0</v>
      </c>
      <c r="BM170" s="440">
        <f t="shared" si="884"/>
        <v>0</v>
      </c>
      <c r="BN170" s="440">
        <f t="shared" si="884"/>
        <v>0</v>
      </c>
      <c r="BO170" s="440">
        <f t="shared" si="884"/>
        <v>0</v>
      </c>
      <c r="BP170" s="440">
        <f t="shared" si="884"/>
        <v>0</v>
      </c>
      <c r="BQ170" s="440">
        <f t="shared" si="884"/>
        <v>0</v>
      </c>
      <c r="BR170" s="440">
        <f t="shared" si="884"/>
        <v>0</v>
      </c>
      <c r="BS170" s="440">
        <f t="shared" si="884"/>
        <v>0</v>
      </c>
      <c r="BT170" s="441">
        <f t="shared" si="884"/>
        <v>0</v>
      </c>
      <c r="BU170" s="360"/>
      <c r="BV170" s="439">
        <f t="shared" ref="BV170:CG170" si="885">+SUM(BV171:BV180)</f>
        <v>0</v>
      </c>
      <c r="BW170" s="440">
        <f t="shared" si="885"/>
        <v>0</v>
      </c>
      <c r="BX170" s="440">
        <f t="shared" si="885"/>
        <v>0</v>
      </c>
      <c r="BY170" s="440">
        <f t="shared" si="885"/>
        <v>0</v>
      </c>
      <c r="BZ170" s="440">
        <f t="shared" si="885"/>
        <v>0</v>
      </c>
      <c r="CA170" s="440">
        <f t="shared" si="885"/>
        <v>0</v>
      </c>
      <c r="CB170" s="440">
        <f t="shared" si="885"/>
        <v>0</v>
      </c>
      <c r="CC170" s="440">
        <f t="shared" si="885"/>
        <v>0</v>
      </c>
      <c r="CD170" s="440">
        <f t="shared" si="885"/>
        <v>0</v>
      </c>
      <c r="CE170" s="440">
        <f t="shared" si="885"/>
        <v>0</v>
      </c>
      <c r="CF170" s="440">
        <f t="shared" si="885"/>
        <v>0</v>
      </c>
      <c r="CG170" s="441">
        <f t="shared" si="885"/>
        <v>0</v>
      </c>
      <c r="CH170" s="360"/>
      <c r="CI170" s="439">
        <f t="shared" ref="CI170:CT170" si="886">+SUM(CI171:CI180)</f>
        <v>0</v>
      </c>
      <c r="CJ170" s="440">
        <f t="shared" si="886"/>
        <v>0</v>
      </c>
      <c r="CK170" s="440">
        <f t="shared" si="886"/>
        <v>0</v>
      </c>
      <c r="CL170" s="440">
        <f t="shared" si="886"/>
        <v>0</v>
      </c>
      <c r="CM170" s="440">
        <f t="shared" si="886"/>
        <v>0</v>
      </c>
      <c r="CN170" s="440">
        <f t="shared" si="886"/>
        <v>0</v>
      </c>
      <c r="CO170" s="440">
        <f t="shared" si="886"/>
        <v>0</v>
      </c>
      <c r="CP170" s="440">
        <f t="shared" si="886"/>
        <v>0</v>
      </c>
      <c r="CQ170" s="440">
        <f t="shared" si="886"/>
        <v>0</v>
      </c>
      <c r="CR170" s="440">
        <f t="shared" si="886"/>
        <v>0</v>
      </c>
      <c r="CS170" s="440">
        <f t="shared" si="886"/>
        <v>0</v>
      </c>
      <c r="CT170" s="441">
        <f t="shared" si="886"/>
        <v>0</v>
      </c>
      <c r="CU170" s="360"/>
      <c r="CV170" s="439">
        <f t="shared" ref="CV170:DG170" si="887">+SUM(CV171:CV180)</f>
        <v>0</v>
      </c>
      <c r="CW170" s="440">
        <f t="shared" si="887"/>
        <v>0</v>
      </c>
      <c r="CX170" s="440">
        <f t="shared" si="887"/>
        <v>0</v>
      </c>
      <c r="CY170" s="440">
        <f t="shared" si="887"/>
        <v>0</v>
      </c>
      <c r="CZ170" s="440">
        <f t="shared" si="887"/>
        <v>0</v>
      </c>
      <c r="DA170" s="440">
        <f t="shared" si="887"/>
        <v>0</v>
      </c>
      <c r="DB170" s="440">
        <f t="shared" si="887"/>
        <v>0</v>
      </c>
      <c r="DC170" s="440">
        <f t="shared" si="887"/>
        <v>0</v>
      </c>
      <c r="DD170" s="440">
        <f t="shared" si="887"/>
        <v>0</v>
      </c>
      <c r="DE170" s="440">
        <f t="shared" si="887"/>
        <v>0</v>
      </c>
      <c r="DF170" s="440">
        <f t="shared" si="887"/>
        <v>0</v>
      </c>
      <c r="DG170" s="441">
        <f t="shared" si="887"/>
        <v>0</v>
      </c>
      <c r="DH170" s="360"/>
      <c r="DI170" s="439">
        <f t="shared" ref="DI170:DT170" si="888">+SUM(DI171:DI180)</f>
        <v>0</v>
      </c>
      <c r="DJ170" s="440">
        <f t="shared" si="888"/>
        <v>0</v>
      </c>
      <c r="DK170" s="440">
        <f t="shared" si="888"/>
        <v>0</v>
      </c>
      <c r="DL170" s="440">
        <f t="shared" si="888"/>
        <v>0</v>
      </c>
      <c r="DM170" s="440">
        <f t="shared" si="888"/>
        <v>0</v>
      </c>
      <c r="DN170" s="440">
        <f t="shared" si="888"/>
        <v>0</v>
      </c>
      <c r="DO170" s="440">
        <f t="shared" si="888"/>
        <v>0</v>
      </c>
      <c r="DP170" s="440">
        <f t="shared" si="888"/>
        <v>0</v>
      </c>
      <c r="DQ170" s="440">
        <f t="shared" si="888"/>
        <v>0</v>
      </c>
      <c r="DR170" s="440">
        <f t="shared" si="888"/>
        <v>0</v>
      </c>
      <c r="DS170" s="440">
        <f t="shared" si="888"/>
        <v>0</v>
      </c>
      <c r="DT170" s="441">
        <f t="shared" si="888"/>
        <v>0</v>
      </c>
      <c r="DU170" s="360"/>
      <c r="DV170" s="439">
        <f t="shared" ref="DV170:EG170" si="889">+SUM(DV171:DV180)</f>
        <v>0</v>
      </c>
      <c r="DW170" s="440">
        <f t="shared" si="889"/>
        <v>0</v>
      </c>
      <c r="DX170" s="440">
        <f t="shared" si="889"/>
        <v>0</v>
      </c>
      <c r="DY170" s="440">
        <f t="shared" si="889"/>
        <v>0</v>
      </c>
      <c r="DZ170" s="440">
        <f t="shared" si="889"/>
        <v>0</v>
      </c>
      <c r="EA170" s="440">
        <f t="shared" si="889"/>
        <v>0</v>
      </c>
      <c r="EB170" s="440">
        <f t="shared" si="889"/>
        <v>0</v>
      </c>
      <c r="EC170" s="440">
        <f t="shared" si="889"/>
        <v>0</v>
      </c>
      <c r="ED170" s="440">
        <f t="shared" si="889"/>
        <v>0</v>
      </c>
      <c r="EE170" s="440">
        <f t="shared" si="889"/>
        <v>0</v>
      </c>
      <c r="EF170" s="440">
        <f t="shared" si="889"/>
        <v>0</v>
      </c>
      <c r="EG170" s="441">
        <f t="shared" si="889"/>
        <v>0</v>
      </c>
      <c r="EH170" s="360"/>
      <c r="EI170" s="21"/>
      <c r="EJ170" s="21"/>
      <c r="EK170" s="21"/>
      <c r="EL170" s="21"/>
      <c r="EM170" s="21"/>
    </row>
    <row r="171" spans="1:143" ht="14.25" customHeight="1">
      <c r="A171" s="21"/>
      <c r="B171" s="21"/>
      <c r="C171" s="21"/>
      <c r="D171" s="422">
        <f t="shared" ref="D171:D180" si="890">+D170+1</f>
        <v>133</v>
      </c>
      <c r="E171" s="1625"/>
      <c r="F171" s="403" t="str">
        <f>+Assumption!F319</f>
        <v>Bonds/MTN/Securities 1</v>
      </c>
      <c r="G171" s="672"/>
      <c r="H171" s="442"/>
      <c r="I171" s="293"/>
      <c r="J171" s="443"/>
      <c r="K171" s="443"/>
      <c r="L171" s="443"/>
      <c r="M171" s="443"/>
      <c r="N171" s="443"/>
      <c r="O171" s="443"/>
      <c r="P171" s="443"/>
      <c r="Q171" s="443"/>
      <c r="R171" s="443"/>
      <c r="S171" s="443"/>
      <c r="T171" s="444">
        <v>10</v>
      </c>
      <c r="U171" s="360"/>
      <c r="V171" s="293"/>
      <c r="W171" s="443"/>
      <c r="X171" s="443"/>
      <c r="Y171" s="443"/>
      <c r="Z171" s="443"/>
      <c r="AA171" s="443"/>
      <c r="AB171" s="443"/>
      <c r="AC171" s="443"/>
      <c r="AD171" s="443"/>
      <c r="AE171" s="443"/>
      <c r="AF171" s="443"/>
      <c r="AG171" s="444"/>
      <c r="AH171" s="360"/>
      <c r="AI171" s="293"/>
      <c r="AJ171" s="443"/>
      <c r="AK171" s="443"/>
      <c r="AL171" s="443"/>
      <c r="AM171" s="443"/>
      <c r="AN171" s="443"/>
      <c r="AO171" s="443"/>
      <c r="AP171" s="443"/>
      <c r="AQ171" s="443"/>
      <c r="AR171" s="443"/>
      <c r="AS171" s="443"/>
      <c r="AT171" s="444"/>
      <c r="AU171" s="360"/>
      <c r="AV171" s="293"/>
      <c r="AW171" s="443"/>
      <c r="AX171" s="443"/>
      <c r="AY171" s="443"/>
      <c r="AZ171" s="443"/>
      <c r="BA171" s="443"/>
      <c r="BB171" s="443"/>
      <c r="BC171" s="443"/>
      <c r="BD171" s="443"/>
      <c r="BE171" s="443"/>
      <c r="BF171" s="443"/>
      <c r="BG171" s="444"/>
      <c r="BH171" s="360"/>
      <c r="BI171" s="293"/>
      <c r="BJ171" s="443"/>
      <c r="BK171" s="443"/>
      <c r="BL171" s="443"/>
      <c r="BM171" s="443"/>
      <c r="BN171" s="443"/>
      <c r="BO171" s="443"/>
      <c r="BP171" s="443"/>
      <c r="BQ171" s="443"/>
      <c r="BR171" s="443"/>
      <c r="BS171" s="443"/>
      <c r="BT171" s="444"/>
      <c r="BU171" s="360"/>
      <c r="BV171" s="293"/>
      <c r="BW171" s="443"/>
      <c r="BX171" s="443"/>
      <c r="BY171" s="443"/>
      <c r="BZ171" s="443"/>
      <c r="CA171" s="443"/>
      <c r="CB171" s="443"/>
      <c r="CC171" s="443"/>
      <c r="CD171" s="443"/>
      <c r="CE171" s="443"/>
      <c r="CF171" s="443"/>
      <c r="CG171" s="444"/>
      <c r="CH171" s="360"/>
      <c r="CI171" s="293"/>
      <c r="CJ171" s="443"/>
      <c r="CK171" s="443"/>
      <c r="CL171" s="443"/>
      <c r="CM171" s="443"/>
      <c r="CN171" s="443"/>
      <c r="CO171" s="443"/>
      <c r="CP171" s="443"/>
      <c r="CQ171" s="443"/>
      <c r="CR171" s="443"/>
      <c r="CS171" s="443"/>
      <c r="CT171" s="444"/>
      <c r="CU171" s="360"/>
      <c r="CV171" s="293"/>
      <c r="CW171" s="443"/>
      <c r="CX171" s="443"/>
      <c r="CY171" s="443"/>
      <c r="CZ171" s="443"/>
      <c r="DA171" s="443"/>
      <c r="DB171" s="443"/>
      <c r="DC171" s="443"/>
      <c r="DD171" s="443"/>
      <c r="DE171" s="443"/>
      <c r="DF171" s="443"/>
      <c r="DG171" s="444"/>
      <c r="DH171" s="360"/>
      <c r="DI171" s="293"/>
      <c r="DJ171" s="443"/>
      <c r="DK171" s="443"/>
      <c r="DL171" s="443"/>
      <c r="DM171" s="443"/>
      <c r="DN171" s="443"/>
      <c r="DO171" s="443"/>
      <c r="DP171" s="443"/>
      <c r="DQ171" s="443"/>
      <c r="DR171" s="443"/>
      <c r="DS171" s="443"/>
      <c r="DT171" s="444"/>
      <c r="DU171" s="360"/>
      <c r="DV171" s="293"/>
      <c r="DW171" s="443"/>
      <c r="DX171" s="443"/>
      <c r="DY171" s="443"/>
      <c r="DZ171" s="443"/>
      <c r="EA171" s="443"/>
      <c r="EB171" s="443"/>
      <c r="EC171" s="443"/>
      <c r="ED171" s="443"/>
      <c r="EE171" s="443"/>
      <c r="EF171" s="443"/>
      <c r="EG171" s="444"/>
      <c r="EH171" s="360"/>
      <c r="EI171" s="21"/>
      <c r="EJ171" s="21"/>
      <c r="EK171" s="21"/>
      <c r="EL171" s="21"/>
      <c r="EM171" s="21"/>
    </row>
    <row r="172" spans="1:143" ht="13.5" customHeight="1">
      <c r="A172" s="21"/>
      <c r="B172" s="21"/>
      <c r="C172" s="21"/>
      <c r="D172" s="422">
        <f t="shared" si="890"/>
        <v>134</v>
      </c>
      <c r="E172" s="1625"/>
      <c r="F172" s="403" t="str">
        <f>+Assumption!F320</f>
        <v>Bonds/MTN/Securities 2</v>
      </c>
      <c r="G172" s="265"/>
      <c r="H172" s="442"/>
      <c r="I172" s="303"/>
      <c r="J172" s="338"/>
      <c r="K172" s="338"/>
      <c r="L172" s="338"/>
      <c r="M172" s="338"/>
      <c r="N172" s="338"/>
      <c r="O172" s="338"/>
      <c r="P172" s="338"/>
      <c r="Q172" s="338"/>
      <c r="R172" s="338"/>
      <c r="S172" s="338"/>
      <c r="T172" s="339">
        <v>20</v>
      </c>
      <c r="U172" s="360"/>
      <c r="V172" s="303"/>
      <c r="W172" s="338"/>
      <c r="X172" s="338"/>
      <c r="Y172" s="338"/>
      <c r="Z172" s="338"/>
      <c r="AA172" s="338"/>
      <c r="AB172" s="338"/>
      <c r="AC172" s="338"/>
      <c r="AD172" s="338"/>
      <c r="AE172" s="338"/>
      <c r="AF172" s="338"/>
      <c r="AG172" s="339"/>
      <c r="AH172" s="360"/>
      <c r="AI172" s="303"/>
      <c r="AJ172" s="338"/>
      <c r="AK172" s="338"/>
      <c r="AL172" s="338"/>
      <c r="AM172" s="338"/>
      <c r="AN172" s="338"/>
      <c r="AO172" s="338"/>
      <c r="AP172" s="338"/>
      <c r="AQ172" s="338"/>
      <c r="AR172" s="338"/>
      <c r="AS172" s="338"/>
      <c r="AT172" s="339"/>
      <c r="AU172" s="360"/>
      <c r="AV172" s="303"/>
      <c r="AW172" s="338"/>
      <c r="AX172" s="338"/>
      <c r="AY172" s="338"/>
      <c r="AZ172" s="338"/>
      <c r="BA172" s="338"/>
      <c r="BB172" s="338"/>
      <c r="BC172" s="338"/>
      <c r="BD172" s="338"/>
      <c r="BE172" s="338"/>
      <c r="BF172" s="338"/>
      <c r="BG172" s="339"/>
      <c r="BH172" s="360"/>
      <c r="BI172" s="303"/>
      <c r="BJ172" s="338"/>
      <c r="BK172" s="338"/>
      <c r="BL172" s="338"/>
      <c r="BM172" s="338"/>
      <c r="BN172" s="338"/>
      <c r="BO172" s="338"/>
      <c r="BP172" s="338"/>
      <c r="BQ172" s="338"/>
      <c r="BR172" s="338"/>
      <c r="BS172" s="338"/>
      <c r="BT172" s="339"/>
      <c r="BU172" s="360"/>
      <c r="BV172" s="303"/>
      <c r="BW172" s="338"/>
      <c r="BX172" s="338"/>
      <c r="BY172" s="338"/>
      <c r="BZ172" s="338"/>
      <c r="CA172" s="338"/>
      <c r="CB172" s="338"/>
      <c r="CC172" s="338"/>
      <c r="CD172" s="338"/>
      <c r="CE172" s="338"/>
      <c r="CF172" s="338"/>
      <c r="CG172" s="339"/>
      <c r="CH172" s="360"/>
      <c r="CI172" s="303"/>
      <c r="CJ172" s="338"/>
      <c r="CK172" s="338"/>
      <c r="CL172" s="338"/>
      <c r="CM172" s="338"/>
      <c r="CN172" s="338"/>
      <c r="CO172" s="338"/>
      <c r="CP172" s="338"/>
      <c r="CQ172" s="338"/>
      <c r="CR172" s="338"/>
      <c r="CS172" s="338"/>
      <c r="CT172" s="339"/>
      <c r="CU172" s="360"/>
      <c r="CV172" s="303"/>
      <c r="CW172" s="338"/>
      <c r="CX172" s="338"/>
      <c r="CY172" s="338"/>
      <c r="CZ172" s="338"/>
      <c r="DA172" s="338"/>
      <c r="DB172" s="338"/>
      <c r="DC172" s="338"/>
      <c r="DD172" s="338"/>
      <c r="DE172" s="338"/>
      <c r="DF172" s="338"/>
      <c r="DG172" s="339"/>
      <c r="DH172" s="360"/>
      <c r="DI172" s="303"/>
      <c r="DJ172" s="338"/>
      <c r="DK172" s="338"/>
      <c r="DL172" s="338"/>
      <c r="DM172" s="338"/>
      <c r="DN172" s="338"/>
      <c r="DO172" s="338"/>
      <c r="DP172" s="338"/>
      <c r="DQ172" s="338"/>
      <c r="DR172" s="338"/>
      <c r="DS172" s="338"/>
      <c r="DT172" s="339"/>
      <c r="DU172" s="360"/>
      <c r="DV172" s="303"/>
      <c r="DW172" s="338"/>
      <c r="DX172" s="338"/>
      <c r="DY172" s="338"/>
      <c r="DZ172" s="338"/>
      <c r="EA172" s="338"/>
      <c r="EB172" s="338"/>
      <c r="EC172" s="338"/>
      <c r="ED172" s="338"/>
      <c r="EE172" s="338"/>
      <c r="EF172" s="338"/>
      <c r="EG172" s="339"/>
      <c r="EH172" s="360"/>
      <c r="EI172" s="21"/>
      <c r="EJ172" s="21"/>
      <c r="EK172" s="21"/>
      <c r="EL172" s="21"/>
      <c r="EM172" s="21"/>
    </row>
    <row r="173" spans="1:143" ht="13.5" customHeight="1">
      <c r="A173" s="21"/>
      <c r="B173" s="21"/>
      <c r="C173" s="21"/>
      <c r="D173" s="422">
        <f t="shared" si="890"/>
        <v>135</v>
      </c>
      <c r="E173" s="1625"/>
      <c r="F173" s="403" t="str">
        <f>+Assumption!F321</f>
        <v>Bonds/MTN/Securities 3</v>
      </c>
      <c r="G173" s="265"/>
      <c r="H173" s="442"/>
      <c r="I173" s="303"/>
      <c r="J173" s="338"/>
      <c r="K173" s="338"/>
      <c r="L173" s="338"/>
      <c r="M173" s="338"/>
      <c r="N173" s="338"/>
      <c r="O173" s="338"/>
      <c r="P173" s="338"/>
      <c r="Q173" s="338"/>
      <c r="R173" s="338"/>
      <c r="S173" s="338"/>
      <c r="T173" s="339">
        <v>30</v>
      </c>
      <c r="U173" s="360"/>
      <c r="V173" s="303"/>
      <c r="W173" s="338"/>
      <c r="X173" s="338"/>
      <c r="Y173" s="338"/>
      <c r="Z173" s="338"/>
      <c r="AA173" s="338"/>
      <c r="AB173" s="338"/>
      <c r="AC173" s="338"/>
      <c r="AD173" s="338"/>
      <c r="AE173" s="338"/>
      <c r="AF173" s="338"/>
      <c r="AG173" s="339"/>
      <c r="AH173" s="360"/>
      <c r="AI173" s="303"/>
      <c r="AJ173" s="338"/>
      <c r="AK173" s="338"/>
      <c r="AL173" s="338"/>
      <c r="AM173" s="338"/>
      <c r="AN173" s="338"/>
      <c r="AO173" s="338"/>
      <c r="AP173" s="338"/>
      <c r="AQ173" s="338"/>
      <c r="AR173" s="338"/>
      <c r="AS173" s="338"/>
      <c r="AT173" s="339"/>
      <c r="AU173" s="360"/>
      <c r="AV173" s="303"/>
      <c r="AW173" s="338"/>
      <c r="AX173" s="338"/>
      <c r="AY173" s="338"/>
      <c r="AZ173" s="338"/>
      <c r="BA173" s="338"/>
      <c r="BB173" s="338"/>
      <c r="BC173" s="338"/>
      <c r="BD173" s="338"/>
      <c r="BE173" s="338"/>
      <c r="BF173" s="338"/>
      <c r="BG173" s="339"/>
      <c r="BH173" s="360"/>
      <c r="BI173" s="303"/>
      <c r="BJ173" s="338"/>
      <c r="BK173" s="338"/>
      <c r="BL173" s="338"/>
      <c r="BM173" s="338"/>
      <c r="BN173" s="338"/>
      <c r="BO173" s="338"/>
      <c r="BP173" s="338"/>
      <c r="BQ173" s="338"/>
      <c r="BR173" s="338"/>
      <c r="BS173" s="338"/>
      <c r="BT173" s="339"/>
      <c r="BU173" s="360"/>
      <c r="BV173" s="303"/>
      <c r="BW173" s="338"/>
      <c r="BX173" s="338"/>
      <c r="BY173" s="338"/>
      <c r="BZ173" s="338"/>
      <c r="CA173" s="338"/>
      <c r="CB173" s="338"/>
      <c r="CC173" s="338"/>
      <c r="CD173" s="338"/>
      <c r="CE173" s="338"/>
      <c r="CF173" s="338"/>
      <c r="CG173" s="339"/>
      <c r="CH173" s="360"/>
      <c r="CI173" s="303"/>
      <c r="CJ173" s="338"/>
      <c r="CK173" s="338"/>
      <c r="CL173" s="338"/>
      <c r="CM173" s="338"/>
      <c r="CN173" s="338"/>
      <c r="CO173" s="338"/>
      <c r="CP173" s="338"/>
      <c r="CQ173" s="338"/>
      <c r="CR173" s="338"/>
      <c r="CS173" s="338"/>
      <c r="CT173" s="339"/>
      <c r="CU173" s="360"/>
      <c r="CV173" s="303"/>
      <c r="CW173" s="338"/>
      <c r="CX173" s="338"/>
      <c r="CY173" s="338"/>
      <c r="CZ173" s="338"/>
      <c r="DA173" s="338"/>
      <c r="DB173" s="338"/>
      <c r="DC173" s="338"/>
      <c r="DD173" s="338"/>
      <c r="DE173" s="338"/>
      <c r="DF173" s="338"/>
      <c r="DG173" s="339"/>
      <c r="DH173" s="360"/>
      <c r="DI173" s="303"/>
      <c r="DJ173" s="338"/>
      <c r="DK173" s="338"/>
      <c r="DL173" s="338"/>
      <c r="DM173" s="338"/>
      <c r="DN173" s="338"/>
      <c r="DO173" s="338"/>
      <c r="DP173" s="338"/>
      <c r="DQ173" s="338"/>
      <c r="DR173" s="338"/>
      <c r="DS173" s="338"/>
      <c r="DT173" s="339"/>
      <c r="DU173" s="360"/>
      <c r="DV173" s="303"/>
      <c r="DW173" s="338"/>
      <c r="DX173" s="338"/>
      <c r="DY173" s="338"/>
      <c r="DZ173" s="338"/>
      <c r="EA173" s="338"/>
      <c r="EB173" s="338"/>
      <c r="EC173" s="338"/>
      <c r="ED173" s="338"/>
      <c r="EE173" s="338"/>
      <c r="EF173" s="338"/>
      <c r="EG173" s="339"/>
      <c r="EH173" s="360"/>
      <c r="EI173" s="21"/>
      <c r="EJ173" s="21"/>
      <c r="EK173" s="21"/>
      <c r="EL173" s="21"/>
      <c r="EM173" s="21"/>
    </row>
    <row r="174" spans="1:143" ht="13.5" customHeight="1">
      <c r="A174" s="21"/>
      <c r="B174" s="21"/>
      <c r="C174" s="21"/>
      <c r="D174" s="422">
        <f t="shared" si="890"/>
        <v>136</v>
      </c>
      <c r="E174" s="1625"/>
      <c r="F174" s="403" t="str">
        <f>+Assumption!F322</f>
        <v>Bonds/MTN/Securities 4</v>
      </c>
      <c r="G174" s="265"/>
      <c r="H174" s="442"/>
      <c r="I174" s="303"/>
      <c r="J174" s="338"/>
      <c r="K174" s="338"/>
      <c r="L174" s="338"/>
      <c r="M174" s="338"/>
      <c r="N174" s="338"/>
      <c r="O174" s="338"/>
      <c r="P174" s="338"/>
      <c r="Q174" s="338"/>
      <c r="R174" s="338"/>
      <c r="S174" s="338"/>
      <c r="T174" s="339">
        <v>40</v>
      </c>
      <c r="U174" s="360"/>
      <c r="V174" s="303"/>
      <c r="W174" s="338"/>
      <c r="X174" s="338"/>
      <c r="Y174" s="338"/>
      <c r="Z174" s="338"/>
      <c r="AA174" s="338"/>
      <c r="AB174" s="338"/>
      <c r="AC174" s="338"/>
      <c r="AD174" s="338"/>
      <c r="AE174" s="338"/>
      <c r="AF174" s="338"/>
      <c r="AG174" s="339"/>
      <c r="AH174" s="360"/>
      <c r="AI174" s="303"/>
      <c r="AJ174" s="338"/>
      <c r="AK174" s="338"/>
      <c r="AL174" s="338"/>
      <c r="AM174" s="338"/>
      <c r="AN174" s="338"/>
      <c r="AO174" s="338"/>
      <c r="AP174" s="338"/>
      <c r="AQ174" s="338"/>
      <c r="AR174" s="338"/>
      <c r="AS174" s="338"/>
      <c r="AT174" s="339"/>
      <c r="AU174" s="360"/>
      <c r="AV174" s="303"/>
      <c r="AW174" s="338"/>
      <c r="AX174" s="338"/>
      <c r="AY174" s="338"/>
      <c r="AZ174" s="338"/>
      <c r="BA174" s="338"/>
      <c r="BB174" s="338"/>
      <c r="BC174" s="338"/>
      <c r="BD174" s="338"/>
      <c r="BE174" s="338"/>
      <c r="BF174" s="338"/>
      <c r="BG174" s="339"/>
      <c r="BH174" s="360"/>
      <c r="BI174" s="303"/>
      <c r="BJ174" s="338"/>
      <c r="BK174" s="338"/>
      <c r="BL174" s="338"/>
      <c r="BM174" s="338"/>
      <c r="BN174" s="338"/>
      <c r="BO174" s="338"/>
      <c r="BP174" s="338"/>
      <c r="BQ174" s="338"/>
      <c r="BR174" s="338"/>
      <c r="BS174" s="338"/>
      <c r="BT174" s="339"/>
      <c r="BU174" s="360"/>
      <c r="BV174" s="303"/>
      <c r="BW174" s="338"/>
      <c r="BX174" s="338"/>
      <c r="BY174" s="338"/>
      <c r="BZ174" s="338"/>
      <c r="CA174" s="338"/>
      <c r="CB174" s="338"/>
      <c r="CC174" s="338"/>
      <c r="CD174" s="338"/>
      <c r="CE174" s="338"/>
      <c r="CF174" s="338"/>
      <c r="CG174" s="339"/>
      <c r="CH174" s="360"/>
      <c r="CI174" s="303"/>
      <c r="CJ174" s="338"/>
      <c r="CK174" s="338"/>
      <c r="CL174" s="338"/>
      <c r="CM174" s="338"/>
      <c r="CN174" s="338"/>
      <c r="CO174" s="338"/>
      <c r="CP174" s="338"/>
      <c r="CQ174" s="338"/>
      <c r="CR174" s="338"/>
      <c r="CS174" s="338"/>
      <c r="CT174" s="339"/>
      <c r="CU174" s="360"/>
      <c r="CV174" s="303"/>
      <c r="CW174" s="338"/>
      <c r="CX174" s="338"/>
      <c r="CY174" s="338"/>
      <c r="CZ174" s="338"/>
      <c r="DA174" s="338"/>
      <c r="DB174" s="338"/>
      <c r="DC174" s="338"/>
      <c r="DD174" s="338"/>
      <c r="DE174" s="338"/>
      <c r="DF174" s="338"/>
      <c r="DG174" s="339"/>
      <c r="DH174" s="360"/>
      <c r="DI174" s="303"/>
      <c r="DJ174" s="338"/>
      <c r="DK174" s="338"/>
      <c r="DL174" s="338"/>
      <c r="DM174" s="338"/>
      <c r="DN174" s="338"/>
      <c r="DO174" s="338"/>
      <c r="DP174" s="338"/>
      <c r="DQ174" s="338"/>
      <c r="DR174" s="338"/>
      <c r="DS174" s="338"/>
      <c r="DT174" s="339"/>
      <c r="DU174" s="360"/>
      <c r="DV174" s="303"/>
      <c r="DW174" s="338"/>
      <c r="DX174" s="338"/>
      <c r="DY174" s="338"/>
      <c r="DZ174" s="338"/>
      <c r="EA174" s="338"/>
      <c r="EB174" s="338"/>
      <c r="EC174" s="338"/>
      <c r="ED174" s="338"/>
      <c r="EE174" s="338"/>
      <c r="EF174" s="338"/>
      <c r="EG174" s="339"/>
      <c r="EH174" s="360"/>
      <c r="EI174" s="21"/>
      <c r="EJ174" s="21"/>
      <c r="EK174" s="21"/>
      <c r="EL174" s="21"/>
      <c r="EM174" s="21"/>
    </row>
    <row r="175" spans="1:143" ht="13.5" customHeight="1">
      <c r="A175" s="21"/>
      <c r="B175" s="21"/>
      <c r="C175" s="21"/>
      <c r="D175" s="422">
        <f t="shared" si="890"/>
        <v>137</v>
      </c>
      <c r="E175" s="1625"/>
      <c r="F175" s="403" t="str">
        <f>+Assumption!F323</f>
        <v>Bonds/MTN/Securities 5</v>
      </c>
      <c r="G175" s="265"/>
      <c r="H175" s="442"/>
      <c r="I175" s="303"/>
      <c r="J175" s="338"/>
      <c r="K175" s="338"/>
      <c r="L175" s="338"/>
      <c r="M175" s="338"/>
      <c r="N175" s="338"/>
      <c r="O175" s="338"/>
      <c r="P175" s="338"/>
      <c r="Q175" s="338"/>
      <c r="R175" s="338"/>
      <c r="S175" s="338"/>
      <c r="T175" s="339">
        <v>50</v>
      </c>
      <c r="U175" s="360"/>
      <c r="V175" s="303"/>
      <c r="W175" s="338"/>
      <c r="X175" s="338"/>
      <c r="Y175" s="338"/>
      <c r="Z175" s="338"/>
      <c r="AA175" s="338"/>
      <c r="AB175" s="338"/>
      <c r="AC175" s="338"/>
      <c r="AD175" s="338"/>
      <c r="AE175" s="338"/>
      <c r="AF175" s="338"/>
      <c r="AG175" s="339"/>
      <c r="AH175" s="360"/>
      <c r="AI175" s="303"/>
      <c r="AJ175" s="338"/>
      <c r="AK175" s="338"/>
      <c r="AL175" s="338"/>
      <c r="AM175" s="338"/>
      <c r="AN175" s="338"/>
      <c r="AO175" s="338"/>
      <c r="AP175" s="338"/>
      <c r="AQ175" s="338"/>
      <c r="AR175" s="338"/>
      <c r="AS175" s="338"/>
      <c r="AT175" s="339"/>
      <c r="AU175" s="360"/>
      <c r="AV175" s="303"/>
      <c r="AW175" s="338"/>
      <c r="AX175" s="338"/>
      <c r="AY175" s="338"/>
      <c r="AZ175" s="338"/>
      <c r="BA175" s="338"/>
      <c r="BB175" s="338"/>
      <c r="BC175" s="338"/>
      <c r="BD175" s="338"/>
      <c r="BE175" s="338"/>
      <c r="BF175" s="338"/>
      <c r="BG175" s="339"/>
      <c r="BH175" s="360"/>
      <c r="BI175" s="303"/>
      <c r="BJ175" s="338"/>
      <c r="BK175" s="338"/>
      <c r="BL175" s="338"/>
      <c r="BM175" s="338"/>
      <c r="BN175" s="338"/>
      <c r="BO175" s="338"/>
      <c r="BP175" s="338"/>
      <c r="BQ175" s="338"/>
      <c r="BR175" s="338"/>
      <c r="BS175" s="338"/>
      <c r="BT175" s="339"/>
      <c r="BU175" s="360"/>
      <c r="BV175" s="303"/>
      <c r="BW175" s="338"/>
      <c r="BX175" s="338"/>
      <c r="BY175" s="338"/>
      <c r="BZ175" s="338"/>
      <c r="CA175" s="338"/>
      <c r="CB175" s="338"/>
      <c r="CC175" s="338"/>
      <c r="CD175" s="338"/>
      <c r="CE175" s="338"/>
      <c r="CF175" s="338"/>
      <c r="CG175" s="339"/>
      <c r="CH175" s="360"/>
      <c r="CI175" s="303"/>
      <c r="CJ175" s="338"/>
      <c r="CK175" s="338"/>
      <c r="CL175" s="338"/>
      <c r="CM175" s="338"/>
      <c r="CN175" s="338"/>
      <c r="CO175" s="338"/>
      <c r="CP175" s="338"/>
      <c r="CQ175" s="338"/>
      <c r="CR175" s="338"/>
      <c r="CS175" s="338"/>
      <c r="CT175" s="339"/>
      <c r="CU175" s="360"/>
      <c r="CV175" s="303"/>
      <c r="CW175" s="338"/>
      <c r="CX175" s="338"/>
      <c r="CY175" s="338"/>
      <c r="CZ175" s="338"/>
      <c r="DA175" s="338"/>
      <c r="DB175" s="338"/>
      <c r="DC175" s="338"/>
      <c r="DD175" s="338"/>
      <c r="DE175" s="338"/>
      <c r="DF175" s="338"/>
      <c r="DG175" s="339"/>
      <c r="DH175" s="360"/>
      <c r="DI175" s="303"/>
      <c r="DJ175" s="338"/>
      <c r="DK175" s="338"/>
      <c r="DL175" s="338"/>
      <c r="DM175" s="338"/>
      <c r="DN175" s="338"/>
      <c r="DO175" s="338"/>
      <c r="DP175" s="338"/>
      <c r="DQ175" s="338"/>
      <c r="DR175" s="338"/>
      <c r="DS175" s="338"/>
      <c r="DT175" s="339"/>
      <c r="DU175" s="360"/>
      <c r="DV175" s="303"/>
      <c r="DW175" s="338"/>
      <c r="DX175" s="338"/>
      <c r="DY175" s="338"/>
      <c r="DZ175" s="338"/>
      <c r="EA175" s="338"/>
      <c r="EB175" s="338"/>
      <c r="EC175" s="338"/>
      <c r="ED175" s="338"/>
      <c r="EE175" s="338"/>
      <c r="EF175" s="338"/>
      <c r="EG175" s="339"/>
      <c r="EH175" s="360"/>
      <c r="EI175" s="21"/>
      <c r="EJ175" s="21"/>
      <c r="EK175" s="21"/>
      <c r="EL175" s="21"/>
      <c r="EM175" s="21"/>
    </row>
    <row r="176" spans="1:143" ht="13.5" customHeight="1">
      <c r="A176" s="21"/>
      <c r="B176" s="21"/>
      <c r="C176" s="21"/>
      <c r="D176" s="422">
        <f t="shared" si="890"/>
        <v>138</v>
      </c>
      <c r="E176" s="1625"/>
      <c r="F176" s="403" t="str">
        <f>+Assumption!F324</f>
        <v>Bonds/MTN/Securities 6</v>
      </c>
      <c r="G176" s="265"/>
      <c r="H176" s="442"/>
      <c r="I176" s="303"/>
      <c r="J176" s="338"/>
      <c r="K176" s="338"/>
      <c r="L176" s="338"/>
      <c r="M176" s="338"/>
      <c r="N176" s="338"/>
      <c r="O176" s="338"/>
      <c r="P176" s="338"/>
      <c r="Q176" s="338"/>
      <c r="R176" s="338"/>
      <c r="S176" s="338"/>
      <c r="T176" s="339">
        <v>10</v>
      </c>
      <c r="U176" s="360"/>
      <c r="V176" s="303"/>
      <c r="W176" s="338"/>
      <c r="X176" s="338"/>
      <c r="Y176" s="338"/>
      <c r="Z176" s="338"/>
      <c r="AA176" s="338"/>
      <c r="AB176" s="338"/>
      <c r="AC176" s="338"/>
      <c r="AD176" s="338"/>
      <c r="AE176" s="338"/>
      <c r="AF176" s="338"/>
      <c r="AG176" s="339"/>
      <c r="AH176" s="360"/>
      <c r="AI176" s="303"/>
      <c r="AJ176" s="338"/>
      <c r="AK176" s="338"/>
      <c r="AL176" s="338"/>
      <c r="AM176" s="338"/>
      <c r="AN176" s="338"/>
      <c r="AO176" s="338"/>
      <c r="AP176" s="338"/>
      <c r="AQ176" s="338"/>
      <c r="AR176" s="338"/>
      <c r="AS176" s="338"/>
      <c r="AT176" s="339"/>
      <c r="AU176" s="360"/>
      <c r="AV176" s="303"/>
      <c r="AW176" s="338"/>
      <c r="AX176" s="338"/>
      <c r="AY176" s="338"/>
      <c r="AZ176" s="338"/>
      <c r="BA176" s="338"/>
      <c r="BB176" s="338"/>
      <c r="BC176" s="338"/>
      <c r="BD176" s="338"/>
      <c r="BE176" s="338"/>
      <c r="BF176" s="338"/>
      <c r="BG176" s="339"/>
      <c r="BH176" s="360"/>
      <c r="BI176" s="303"/>
      <c r="BJ176" s="338"/>
      <c r="BK176" s="338"/>
      <c r="BL176" s="338"/>
      <c r="BM176" s="338"/>
      <c r="BN176" s="338"/>
      <c r="BO176" s="338"/>
      <c r="BP176" s="338"/>
      <c r="BQ176" s="338"/>
      <c r="BR176" s="338"/>
      <c r="BS176" s="338"/>
      <c r="BT176" s="339"/>
      <c r="BU176" s="360"/>
      <c r="BV176" s="303"/>
      <c r="BW176" s="338"/>
      <c r="BX176" s="338"/>
      <c r="BY176" s="338"/>
      <c r="BZ176" s="338"/>
      <c r="CA176" s="338"/>
      <c r="CB176" s="338"/>
      <c r="CC176" s="338"/>
      <c r="CD176" s="338"/>
      <c r="CE176" s="338"/>
      <c r="CF176" s="338"/>
      <c r="CG176" s="339"/>
      <c r="CH176" s="360"/>
      <c r="CI176" s="303"/>
      <c r="CJ176" s="338"/>
      <c r="CK176" s="338"/>
      <c r="CL176" s="338"/>
      <c r="CM176" s="338"/>
      <c r="CN176" s="338"/>
      <c r="CO176" s="338"/>
      <c r="CP176" s="338"/>
      <c r="CQ176" s="338"/>
      <c r="CR176" s="338"/>
      <c r="CS176" s="338"/>
      <c r="CT176" s="339"/>
      <c r="CU176" s="360"/>
      <c r="CV176" s="303"/>
      <c r="CW176" s="338"/>
      <c r="CX176" s="338"/>
      <c r="CY176" s="338"/>
      <c r="CZ176" s="338"/>
      <c r="DA176" s="338"/>
      <c r="DB176" s="338"/>
      <c r="DC176" s="338"/>
      <c r="DD176" s="338"/>
      <c r="DE176" s="338"/>
      <c r="DF176" s="338"/>
      <c r="DG176" s="339"/>
      <c r="DH176" s="360"/>
      <c r="DI176" s="303"/>
      <c r="DJ176" s="338"/>
      <c r="DK176" s="338"/>
      <c r="DL176" s="338"/>
      <c r="DM176" s="338"/>
      <c r="DN176" s="338"/>
      <c r="DO176" s="338"/>
      <c r="DP176" s="338"/>
      <c r="DQ176" s="338"/>
      <c r="DR176" s="338"/>
      <c r="DS176" s="338"/>
      <c r="DT176" s="339"/>
      <c r="DU176" s="360"/>
      <c r="DV176" s="303"/>
      <c r="DW176" s="338"/>
      <c r="DX176" s="338"/>
      <c r="DY176" s="338"/>
      <c r="DZ176" s="338"/>
      <c r="EA176" s="338"/>
      <c r="EB176" s="338"/>
      <c r="EC176" s="338"/>
      <c r="ED176" s="338"/>
      <c r="EE176" s="338"/>
      <c r="EF176" s="338"/>
      <c r="EG176" s="339"/>
      <c r="EH176" s="360"/>
      <c r="EI176" s="21"/>
      <c r="EJ176" s="21"/>
      <c r="EK176" s="21"/>
      <c r="EL176" s="21"/>
      <c r="EM176" s="21"/>
    </row>
    <row r="177" spans="1:143" ht="13.5" customHeight="1">
      <c r="A177" s="21"/>
      <c r="B177" s="21"/>
      <c r="C177" s="21"/>
      <c r="D177" s="422">
        <f t="shared" si="890"/>
        <v>139</v>
      </c>
      <c r="E177" s="1625"/>
      <c r="F177" s="403" t="str">
        <f>+Assumption!F325</f>
        <v>Bonds/MTN/Securities 7</v>
      </c>
      <c r="G177" s="265"/>
      <c r="H177" s="442"/>
      <c r="I177" s="303"/>
      <c r="J177" s="338"/>
      <c r="K177" s="338"/>
      <c r="L177" s="338"/>
      <c r="M177" s="338"/>
      <c r="N177" s="338"/>
      <c r="O177" s="338"/>
      <c r="P177" s="338"/>
      <c r="Q177" s="338"/>
      <c r="R177" s="338"/>
      <c r="S177" s="338"/>
      <c r="T177" s="339">
        <v>20</v>
      </c>
      <c r="U177" s="360"/>
      <c r="V177" s="303"/>
      <c r="W177" s="338"/>
      <c r="X177" s="338"/>
      <c r="Y177" s="338"/>
      <c r="Z177" s="338"/>
      <c r="AA177" s="338"/>
      <c r="AB177" s="338"/>
      <c r="AC177" s="338"/>
      <c r="AD177" s="338"/>
      <c r="AE177" s="338"/>
      <c r="AF177" s="338"/>
      <c r="AG177" s="339"/>
      <c r="AH177" s="360"/>
      <c r="AI177" s="303"/>
      <c r="AJ177" s="338"/>
      <c r="AK177" s="338"/>
      <c r="AL177" s="338"/>
      <c r="AM177" s="338"/>
      <c r="AN177" s="338"/>
      <c r="AO177" s="338"/>
      <c r="AP177" s="338"/>
      <c r="AQ177" s="338"/>
      <c r="AR177" s="338"/>
      <c r="AS177" s="338"/>
      <c r="AT177" s="339"/>
      <c r="AU177" s="360"/>
      <c r="AV177" s="303"/>
      <c r="AW177" s="338"/>
      <c r="AX177" s="338"/>
      <c r="AY177" s="338"/>
      <c r="AZ177" s="338"/>
      <c r="BA177" s="338"/>
      <c r="BB177" s="338"/>
      <c r="BC177" s="338"/>
      <c r="BD177" s="338"/>
      <c r="BE177" s="338"/>
      <c r="BF177" s="338"/>
      <c r="BG177" s="339"/>
      <c r="BH177" s="360"/>
      <c r="BI177" s="303"/>
      <c r="BJ177" s="338"/>
      <c r="BK177" s="338"/>
      <c r="BL177" s="338"/>
      <c r="BM177" s="338"/>
      <c r="BN177" s="338"/>
      <c r="BO177" s="338"/>
      <c r="BP177" s="338"/>
      <c r="BQ177" s="338"/>
      <c r="BR177" s="338"/>
      <c r="BS177" s="338"/>
      <c r="BT177" s="339"/>
      <c r="BU177" s="360"/>
      <c r="BV177" s="303"/>
      <c r="BW177" s="338"/>
      <c r="BX177" s="338"/>
      <c r="BY177" s="338"/>
      <c r="BZ177" s="338"/>
      <c r="CA177" s="338"/>
      <c r="CB177" s="338"/>
      <c r="CC177" s="338"/>
      <c r="CD177" s="338"/>
      <c r="CE177" s="338"/>
      <c r="CF177" s="338"/>
      <c r="CG177" s="339"/>
      <c r="CH177" s="360"/>
      <c r="CI177" s="303"/>
      <c r="CJ177" s="338"/>
      <c r="CK177" s="338"/>
      <c r="CL177" s="338"/>
      <c r="CM177" s="338"/>
      <c r="CN177" s="338"/>
      <c r="CO177" s="338"/>
      <c r="CP177" s="338"/>
      <c r="CQ177" s="338"/>
      <c r="CR177" s="338"/>
      <c r="CS177" s="338"/>
      <c r="CT177" s="339"/>
      <c r="CU177" s="360"/>
      <c r="CV177" s="303"/>
      <c r="CW177" s="338"/>
      <c r="CX177" s="338"/>
      <c r="CY177" s="338"/>
      <c r="CZ177" s="338"/>
      <c r="DA177" s="338"/>
      <c r="DB177" s="338"/>
      <c r="DC177" s="338"/>
      <c r="DD177" s="338"/>
      <c r="DE177" s="338"/>
      <c r="DF177" s="338"/>
      <c r="DG177" s="339"/>
      <c r="DH177" s="360"/>
      <c r="DI177" s="303"/>
      <c r="DJ177" s="338"/>
      <c r="DK177" s="338"/>
      <c r="DL177" s="338"/>
      <c r="DM177" s="338"/>
      <c r="DN177" s="338"/>
      <c r="DO177" s="338"/>
      <c r="DP177" s="338"/>
      <c r="DQ177" s="338"/>
      <c r="DR177" s="338"/>
      <c r="DS177" s="338"/>
      <c r="DT177" s="339"/>
      <c r="DU177" s="360"/>
      <c r="DV177" s="303"/>
      <c r="DW177" s="338"/>
      <c r="DX177" s="338"/>
      <c r="DY177" s="338"/>
      <c r="DZ177" s="338"/>
      <c r="EA177" s="338"/>
      <c r="EB177" s="338"/>
      <c r="EC177" s="338"/>
      <c r="ED177" s="338"/>
      <c r="EE177" s="338"/>
      <c r="EF177" s="338"/>
      <c r="EG177" s="339"/>
      <c r="EH177" s="360"/>
      <c r="EI177" s="21"/>
      <c r="EJ177" s="21"/>
      <c r="EK177" s="21"/>
      <c r="EL177" s="21"/>
      <c r="EM177" s="21"/>
    </row>
    <row r="178" spans="1:143" ht="13.5" customHeight="1">
      <c r="A178" s="21"/>
      <c r="B178" s="21"/>
      <c r="C178" s="21"/>
      <c r="D178" s="422">
        <f t="shared" si="890"/>
        <v>140</v>
      </c>
      <c r="E178" s="1625"/>
      <c r="F178" s="403" t="str">
        <f>+Assumption!F326</f>
        <v>Bonds/MTN/Securities 8</v>
      </c>
      <c r="G178" s="265"/>
      <c r="H178" s="442"/>
      <c r="I178" s="303"/>
      <c r="J178" s="338"/>
      <c r="K178" s="338"/>
      <c r="L178" s="338"/>
      <c r="M178" s="338"/>
      <c r="N178" s="338"/>
      <c r="O178" s="338"/>
      <c r="P178" s="338"/>
      <c r="Q178" s="338"/>
      <c r="R178" s="338"/>
      <c r="S178" s="338"/>
      <c r="T178" s="339">
        <v>30</v>
      </c>
      <c r="U178" s="360"/>
      <c r="V178" s="303"/>
      <c r="W178" s="338"/>
      <c r="X178" s="338"/>
      <c r="Y178" s="338"/>
      <c r="Z178" s="338"/>
      <c r="AA178" s="338"/>
      <c r="AB178" s="338"/>
      <c r="AC178" s="338"/>
      <c r="AD178" s="338"/>
      <c r="AE178" s="338"/>
      <c r="AF178" s="338"/>
      <c r="AG178" s="339"/>
      <c r="AH178" s="360"/>
      <c r="AI178" s="303"/>
      <c r="AJ178" s="338"/>
      <c r="AK178" s="338"/>
      <c r="AL178" s="338"/>
      <c r="AM178" s="338"/>
      <c r="AN178" s="338"/>
      <c r="AO178" s="338"/>
      <c r="AP178" s="338"/>
      <c r="AQ178" s="338"/>
      <c r="AR178" s="338"/>
      <c r="AS178" s="338"/>
      <c r="AT178" s="339"/>
      <c r="AU178" s="360"/>
      <c r="AV178" s="303"/>
      <c r="AW178" s="338"/>
      <c r="AX178" s="338"/>
      <c r="AY178" s="338"/>
      <c r="AZ178" s="338"/>
      <c r="BA178" s="338"/>
      <c r="BB178" s="338"/>
      <c r="BC178" s="338"/>
      <c r="BD178" s="338"/>
      <c r="BE178" s="338"/>
      <c r="BF178" s="338"/>
      <c r="BG178" s="339"/>
      <c r="BH178" s="360"/>
      <c r="BI178" s="303"/>
      <c r="BJ178" s="338"/>
      <c r="BK178" s="338"/>
      <c r="BL178" s="338"/>
      <c r="BM178" s="338"/>
      <c r="BN178" s="338"/>
      <c r="BO178" s="338"/>
      <c r="BP178" s="338"/>
      <c r="BQ178" s="338"/>
      <c r="BR178" s="338"/>
      <c r="BS178" s="338"/>
      <c r="BT178" s="339"/>
      <c r="BU178" s="360"/>
      <c r="BV178" s="303"/>
      <c r="BW178" s="338"/>
      <c r="BX178" s="338"/>
      <c r="BY178" s="338"/>
      <c r="BZ178" s="338"/>
      <c r="CA178" s="338"/>
      <c r="CB178" s="338"/>
      <c r="CC178" s="338"/>
      <c r="CD178" s="338"/>
      <c r="CE178" s="338"/>
      <c r="CF178" s="338"/>
      <c r="CG178" s="339"/>
      <c r="CH178" s="360"/>
      <c r="CI178" s="303"/>
      <c r="CJ178" s="338"/>
      <c r="CK178" s="338"/>
      <c r="CL178" s="338"/>
      <c r="CM178" s="338"/>
      <c r="CN178" s="338"/>
      <c r="CO178" s="338"/>
      <c r="CP178" s="338"/>
      <c r="CQ178" s="338"/>
      <c r="CR178" s="338"/>
      <c r="CS178" s="338"/>
      <c r="CT178" s="339"/>
      <c r="CU178" s="360"/>
      <c r="CV178" s="303"/>
      <c r="CW178" s="338"/>
      <c r="CX178" s="338"/>
      <c r="CY178" s="338"/>
      <c r="CZ178" s="338"/>
      <c r="DA178" s="338"/>
      <c r="DB178" s="338"/>
      <c r="DC178" s="338"/>
      <c r="DD178" s="338"/>
      <c r="DE178" s="338"/>
      <c r="DF178" s="338"/>
      <c r="DG178" s="339"/>
      <c r="DH178" s="360"/>
      <c r="DI178" s="303"/>
      <c r="DJ178" s="338"/>
      <c r="DK178" s="338"/>
      <c r="DL178" s="338"/>
      <c r="DM178" s="338"/>
      <c r="DN178" s="338"/>
      <c r="DO178" s="338"/>
      <c r="DP178" s="338"/>
      <c r="DQ178" s="338"/>
      <c r="DR178" s="338"/>
      <c r="DS178" s="338"/>
      <c r="DT178" s="339"/>
      <c r="DU178" s="360"/>
      <c r="DV178" s="303"/>
      <c r="DW178" s="338"/>
      <c r="DX178" s="338"/>
      <c r="DY178" s="338"/>
      <c r="DZ178" s="338"/>
      <c r="EA178" s="338"/>
      <c r="EB178" s="338"/>
      <c r="EC178" s="338"/>
      <c r="ED178" s="338"/>
      <c r="EE178" s="338"/>
      <c r="EF178" s="338"/>
      <c r="EG178" s="339"/>
      <c r="EH178" s="360"/>
      <c r="EI178" s="21"/>
      <c r="EJ178" s="21"/>
      <c r="EK178" s="21"/>
      <c r="EL178" s="21"/>
      <c r="EM178" s="21"/>
    </row>
    <row r="179" spans="1:143" ht="13.5" customHeight="1">
      <c r="A179" s="21"/>
      <c r="B179" s="21"/>
      <c r="C179" s="21"/>
      <c r="D179" s="422">
        <f t="shared" si="890"/>
        <v>141</v>
      </c>
      <c r="E179" s="1625"/>
      <c r="F179" s="403" t="str">
        <f>+Assumption!F327</f>
        <v>Bonds/MTN/Securities 9</v>
      </c>
      <c r="G179" s="265"/>
      <c r="H179" s="442"/>
      <c r="I179" s="303"/>
      <c r="J179" s="338"/>
      <c r="K179" s="338"/>
      <c r="L179" s="338"/>
      <c r="M179" s="338"/>
      <c r="N179" s="338"/>
      <c r="O179" s="338"/>
      <c r="P179" s="338"/>
      <c r="Q179" s="338"/>
      <c r="R179" s="338"/>
      <c r="S179" s="338"/>
      <c r="T179" s="339">
        <v>40</v>
      </c>
      <c r="U179" s="360"/>
      <c r="V179" s="303"/>
      <c r="W179" s="338"/>
      <c r="X179" s="338"/>
      <c r="Y179" s="338"/>
      <c r="Z179" s="338"/>
      <c r="AA179" s="338"/>
      <c r="AB179" s="338"/>
      <c r="AC179" s="338"/>
      <c r="AD179" s="338"/>
      <c r="AE179" s="338"/>
      <c r="AF179" s="338"/>
      <c r="AG179" s="339"/>
      <c r="AH179" s="360"/>
      <c r="AI179" s="303"/>
      <c r="AJ179" s="338"/>
      <c r="AK179" s="338"/>
      <c r="AL179" s="338"/>
      <c r="AM179" s="338"/>
      <c r="AN179" s="338"/>
      <c r="AO179" s="338"/>
      <c r="AP179" s="338"/>
      <c r="AQ179" s="338"/>
      <c r="AR179" s="338"/>
      <c r="AS179" s="338"/>
      <c r="AT179" s="339"/>
      <c r="AU179" s="360"/>
      <c r="AV179" s="303"/>
      <c r="AW179" s="338"/>
      <c r="AX179" s="338"/>
      <c r="AY179" s="338"/>
      <c r="AZ179" s="338"/>
      <c r="BA179" s="338"/>
      <c r="BB179" s="338"/>
      <c r="BC179" s="338"/>
      <c r="BD179" s="338"/>
      <c r="BE179" s="338"/>
      <c r="BF179" s="338"/>
      <c r="BG179" s="339"/>
      <c r="BH179" s="360"/>
      <c r="BI179" s="303"/>
      <c r="BJ179" s="338"/>
      <c r="BK179" s="338"/>
      <c r="BL179" s="338"/>
      <c r="BM179" s="338"/>
      <c r="BN179" s="338"/>
      <c r="BO179" s="338"/>
      <c r="BP179" s="338"/>
      <c r="BQ179" s="338"/>
      <c r="BR179" s="338"/>
      <c r="BS179" s="338"/>
      <c r="BT179" s="339"/>
      <c r="BU179" s="360"/>
      <c r="BV179" s="303"/>
      <c r="BW179" s="338"/>
      <c r="BX179" s="338"/>
      <c r="BY179" s="338"/>
      <c r="BZ179" s="338"/>
      <c r="CA179" s="338"/>
      <c r="CB179" s="338"/>
      <c r="CC179" s="338"/>
      <c r="CD179" s="338"/>
      <c r="CE179" s="338"/>
      <c r="CF179" s="338"/>
      <c r="CG179" s="339"/>
      <c r="CH179" s="360"/>
      <c r="CI179" s="303"/>
      <c r="CJ179" s="338"/>
      <c r="CK179" s="338"/>
      <c r="CL179" s="338"/>
      <c r="CM179" s="338"/>
      <c r="CN179" s="338"/>
      <c r="CO179" s="338"/>
      <c r="CP179" s="338"/>
      <c r="CQ179" s="338"/>
      <c r="CR179" s="338"/>
      <c r="CS179" s="338"/>
      <c r="CT179" s="339"/>
      <c r="CU179" s="360"/>
      <c r="CV179" s="303"/>
      <c r="CW179" s="338"/>
      <c r="CX179" s="338"/>
      <c r="CY179" s="338"/>
      <c r="CZ179" s="338"/>
      <c r="DA179" s="338"/>
      <c r="DB179" s="338"/>
      <c r="DC179" s="338"/>
      <c r="DD179" s="338"/>
      <c r="DE179" s="338"/>
      <c r="DF179" s="338"/>
      <c r="DG179" s="339"/>
      <c r="DH179" s="360"/>
      <c r="DI179" s="303"/>
      <c r="DJ179" s="338"/>
      <c r="DK179" s="338"/>
      <c r="DL179" s="338"/>
      <c r="DM179" s="338"/>
      <c r="DN179" s="338"/>
      <c r="DO179" s="338"/>
      <c r="DP179" s="338"/>
      <c r="DQ179" s="338"/>
      <c r="DR179" s="338"/>
      <c r="DS179" s="338"/>
      <c r="DT179" s="339"/>
      <c r="DU179" s="360"/>
      <c r="DV179" s="303"/>
      <c r="DW179" s="338"/>
      <c r="DX179" s="338"/>
      <c r="DY179" s="338"/>
      <c r="DZ179" s="338"/>
      <c r="EA179" s="338"/>
      <c r="EB179" s="338"/>
      <c r="EC179" s="338"/>
      <c r="ED179" s="338"/>
      <c r="EE179" s="338"/>
      <c r="EF179" s="338"/>
      <c r="EG179" s="339"/>
      <c r="EH179" s="360"/>
      <c r="EI179" s="21"/>
      <c r="EJ179" s="21"/>
      <c r="EK179" s="21"/>
      <c r="EL179" s="21"/>
      <c r="EM179" s="21"/>
    </row>
    <row r="180" spans="1:143" ht="14.25" customHeight="1">
      <c r="A180" s="21"/>
      <c r="B180" s="21"/>
      <c r="C180" s="21"/>
      <c r="D180" s="445">
        <f t="shared" si="890"/>
        <v>142</v>
      </c>
      <c r="E180" s="1631"/>
      <c r="F180" s="446" t="str">
        <f>+Assumption!F328</f>
        <v>Bonds/MTN/Securities 10</v>
      </c>
      <c r="G180" s="243"/>
      <c r="H180" s="447"/>
      <c r="I180" s="308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429">
        <v>50</v>
      </c>
      <c r="U180" s="360"/>
      <c r="V180" s="308"/>
      <c r="W180" s="306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429"/>
      <c r="AH180" s="360"/>
      <c r="AI180" s="308"/>
      <c r="AJ180" s="306"/>
      <c r="AK180" s="306"/>
      <c r="AL180" s="306"/>
      <c r="AM180" s="306"/>
      <c r="AN180" s="306"/>
      <c r="AO180" s="306"/>
      <c r="AP180" s="306"/>
      <c r="AQ180" s="306"/>
      <c r="AR180" s="306"/>
      <c r="AS180" s="306"/>
      <c r="AT180" s="429"/>
      <c r="AU180" s="360"/>
      <c r="AV180" s="308"/>
      <c r="AW180" s="306"/>
      <c r="AX180" s="306"/>
      <c r="AY180" s="306"/>
      <c r="AZ180" s="306"/>
      <c r="BA180" s="306"/>
      <c r="BB180" s="306"/>
      <c r="BC180" s="306"/>
      <c r="BD180" s="306"/>
      <c r="BE180" s="306"/>
      <c r="BF180" s="306"/>
      <c r="BG180" s="429"/>
      <c r="BH180" s="360"/>
      <c r="BI180" s="308"/>
      <c r="BJ180" s="306"/>
      <c r="BK180" s="306"/>
      <c r="BL180" s="306"/>
      <c r="BM180" s="306"/>
      <c r="BN180" s="306"/>
      <c r="BO180" s="306"/>
      <c r="BP180" s="306"/>
      <c r="BQ180" s="306"/>
      <c r="BR180" s="306"/>
      <c r="BS180" s="306"/>
      <c r="BT180" s="429"/>
      <c r="BU180" s="360"/>
      <c r="BV180" s="308"/>
      <c r="BW180" s="306"/>
      <c r="BX180" s="306"/>
      <c r="BY180" s="306"/>
      <c r="BZ180" s="306"/>
      <c r="CA180" s="306"/>
      <c r="CB180" s="306"/>
      <c r="CC180" s="306"/>
      <c r="CD180" s="306"/>
      <c r="CE180" s="306"/>
      <c r="CF180" s="306"/>
      <c r="CG180" s="429"/>
      <c r="CH180" s="360"/>
      <c r="CI180" s="308"/>
      <c r="CJ180" s="306"/>
      <c r="CK180" s="306"/>
      <c r="CL180" s="306"/>
      <c r="CM180" s="306"/>
      <c r="CN180" s="306"/>
      <c r="CO180" s="306"/>
      <c r="CP180" s="306"/>
      <c r="CQ180" s="306"/>
      <c r="CR180" s="306"/>
      <c r="CS180" s="306"/>
      <c r="CT180" s="429"/>
      <c r="CU180" s="360"/>
      <c r="CV180" s="308"/>
      <c r="CW180" s="306"/>
      <c r="CX180" s="306"/>
      <c r="CY180" s="306"/>
      <c r="CZ180" s="306"/>
      <c r="DA180" s="306"/>
      <c r="DB180" s="306"/>
      <c r="DC180" s="306"/>
      <c r="DD180" s="306"/>
      <c r="DE180" s="306"/>
      <c r="DF180" s="306"/>
      <c r="DG180" s="429"/>
      <c r="DH180" s="360"/>
      <c r="DI180" s="308"/>
      <c r="DJ180" s="306"/>
      <c r="DK180" s="306"/>
      <c r="DL180" s="306"/>
      <c r="DM180" s="306"/>
      <c r="DN180" s="306"/>
      <c r="DO180" s="306"/>
      <c r="DP180" s="306"/>
      <c r="DQ180" s="306"/>
      <c r="DR180" s="306"/>
      <c r="DS180" s="306"/>
      <c r="DT180" s="429"/>
      <c r="DU180" s="360"/>
      <c r="DV180" s="308"/>
      <c r="DW180" s="306"/>
      <c r="DX180" s="306"/>
      <c r="DY180" s="306"/>
      <c r="DZ180" s="306"/>
      <c r="EA180" s="306"/>
      <c r="EB180" s="306"/>
      <c r="EC180" s="306"/>
      <c r="ED180" s="306"/>
      <c r="EE180" s="306"/>
      <c r="EF180" s="306"/>
      <c r="EG180" s="429"/>
      <c r="EH180" s="360"/>
      <c r="EI180" s="21"/>
      <c r="EJ180" s="21"/>
      <c r="EK180" s="21"/>
      <c r="EL180" s="21"/>
      <c r="EM180" s="21"/>
    </row>
    <row r="181" spans="1:143" ht="46.5" customHeight="1">
      <c r="A181" s="21"/>
      <c r="B181" s="21"/>
      <c r="C181" s="21"/>
      <c r="D181" s="1455" t="s">
        <v>638</v>
      </c>
      <c r="E181" s="1632"/>
      <c r="F181" s="679"/>
      <c r="G181" s="680"/>
      <c r="H181" s="442"/>
      <c r="I181" s="97"/>
      <c r="J181" s="420"/>
      <c r="K181" s="420"/>
      <c r="L181" s="420"/>
      <c r="M181" s="420"/>
      <c r="N181" s="420"/>
      <c r="O181" s="420"/>
      <c r="P181" s="420"/>
      <c r="Q181" s="420"/>
      <c r="R181" s="420"/>
      <c r="S181" s="420"/>
      <c r="T181" s="448"/>
      <c r="U181" s="360"/>
      <c r="V181" s="97"/>
      <c r="W181" s="420"/>
      <c r="X181" s="420"/>
      <c r="Y181" s="420"/>
      <c r="Z181" s="420"/>
      <c r="AA181" s="420"/>
      <c r="AB181" s="420"/>
      <c r="AC181" s="420"/>
      <c r="AD181" s="420"/>
      <c r="AE181" s="420"/>
      <c r="AF181" s="420"/>
      <c r="AG181" s="448"/>
      <c r="AH181" s="360"/>
      <c r="AI181" s="97"/>
      <c r="AJ181" s="420"/>
      <c r="AK181" s="420"/>
      <c r="AL181" s="420"/>
      <c r="AM181" s="420"/>
      <c r="AN181" s="420"/>
      <c r="AO181" s="420"/>
      <c r="AP181" s="420"/>
      <c r="AQ181" s="420"/>
      <c r="AR181" s="420"/>
      <c r="AS181" s="420"/>
      <c r="AT181" s="448"/>
      <c r="AU181" s="360"/>
      <c r="AV181" s="97"/>
      <c r="AW181" s="420"/>
      <c r="AX181" s="420"/>
      <c r="AY181" s="420"/>
      <c r="AZ181" s="420"/>
      <c r="BA181" s="420"/>
      <c r="BB181" s="420"/>
      <c r="BC181" s="420"/>
      <c r="BD181" s="420"/>
      <c r="BE181" s="420"/>
      <c r="BF181" s="420"/>
      <c r="BG181" s="448"/>
      <c r="BH181" s="360"/>
      <c r="BI181" s="97"/>
      <c r="BJ181" s="420"/>
      <c r="BK181" s="420"/>
      <c r="BL181" s="420"/>
      <c r="BM181" s="420"/>
      <c r="BN181" s="420"/>
      <c r="BO181" s="420"/>
      <c r="BP181" s="420"/>
      <c r="BQ181" s="420"/>
      <c r="BR181" s="420"/>
      <c r="BS181" s="420"/>
      <c r="BT181" s="448"/>
      <c r="BU181" s="360"/>
      <c r="BV181" s="97"/>
      <c r="BW181" s="420"/>
      <c r="BX181" s="420"/>
      <c r="BY181" s="420"/>
      <c r="BZ181" s="420"/>
      <c r="CA181" s="420"/>
      <c r="CB181" s="420"/>
      <c r="CC181" s="420"/>
      <c r="CD181" s="420"/>
      <c r="CE181" s="420"/>
      <c r="CF181" s="420"/>
      <c r="CG181" s="448"/>
      <c r="CH181" s="360"/>
      <c r="CI181" s="97"/>
      <c r="CJ181" s="420"/>
      <c r="CK181" s="420"/>
      <c r="CL181" s="420"/>
      <c r="CM181" s="420"/>
      <c r="CN181" s="420"/>
      <c r="CO181" s="420"/>
      <c r="CP181" s="420"/>
      <c r="CQ181" s="420"/>
      <c r="CR181" s="420"/>
      <c r="CS181" s="420"/>
      <c r="CT181" s="448"/>
      <c r="CU181" s="360"/>
      <c r="CV181" s="97"/>
      <c r="CW181" s="420"/>
      <c r="CX181" s="420"/>
      <c r="CY181" s="420"/>
      <c r="CZ181" s="420"/>
      <c r="DA181" s="420"/>
      <c r="DB181" s="420"/>
      <c r="DC181" s="420"/>
      <c r="DD181" s="420"/>
      <c r="DE181" s="420"/>
      <c r="DF181" s="420"/>
      <c r="DG181" s="448"/>
      <c r="DH181" s="360"/>
      <c r="DI181" s="97"/>
      <c r="DJ181" s="420"/>
      <c r="DK181" s="420"/>
      <c r="DL181" s="420"/>
      <c r="DM181" s="420"/>
      <c r="DN181" s="420"/>
      <c r="DO181" s="420"/>
      <c r="DP181" s="420"/>
      <c r="DQ181" s="420"/>
      <c r="DR181" s="420"/>
      <c r="DS181" s="420"/>
      <c r="DT181" s="448"/>
      <c r="DU181" s="360"/>
      <c r="DV181" s="97"/>
      <c r="DW181" s="420"/>
      <c r="DX181" s="420"/>
      <c r="DY181" s="420"/>
      <c r="DZ181" s="420"/>
      <c r="EA181" s="420"/>
      <c r="EB181" s="420"/>
      <c r="EC181" s="420"/>
      <c r="ED181" s="420"/>
      <c r="EE181" s="420"/>
      <c r="EF181" s="420"/>
      <c r="EG181" s="448"/>
      <c r="EH181" s="360"/>
      <c r="EI181" s="21"/>
      <c r="EJ181" s="21"/>
      <c r="EK181" s="21"/>
      <c r="EL181" s="21"/>
      <c r="EM181" s="21"/>
    </row>
    <row r="182" spans="1:143" ht="14.25" customHeight="1">
      <c r="A182" s="21"/>
      <c r="B182" s="21"/>
      <c r="C182" s="21"/>
      <c r="D182" s="422">
        <f>+D179+1</f>
        <v>142</v>
      </c>
      <c r="E182" s="1451"/>
      <c r="F182" s="678" t="s">
        <v>639</v>
      </c>
      <c r="G182" s="243"/>
      <c r="H182" s="438"/>
      <c r="I182" s="439">
        <f t="shared" ref="I182:T182" si="891">+SUM(I183:I192)</f>
        <v>0</v>
      </c>
      <c r="J182" s="440">
        <f t="shared" si="891"/>
        <v>0</v>
      </c>
      <c r="K182" s="440">
        <f t="shared" si="891"/>
        <v>0</v>
      </c>
      <c r="L182" s="440">
        <f t="shared" si="891"/>
        <v>0</v>
      </c>
      <c r="M182" s="440">
        <f t="shared" si="891"/>
        <v>0</v>
      </c>
      <c r="N182" s="440">
        <f t="shared" si="891"/>
        <v>0</v>
      </c>
      <c r="O182" s="440">
        <f t="shared" si="891"/>
        <v>0</v>
      </c>
      <c r="P182" s="440">
        <f t="shared" si="891"/>
        <v>0</v>
      </c>
      <c r="Q182" s="440">
        <f t="shared" si="891"/>
        <v>0</v>
      </c>
      <c r="R182" s="440">
        <f t="shared" si="891"/>
        <v>0</v>
      </c>
      <c r="S182" s="440">
        <f t="shared" si="891"/>
        <v>0</v>
      </c>
      <c r="T182" s="441">
        <f t="shared" si="891"/>
        <v>300</v>
      </c>
      <c r="U182" s="360"/>
      <c r="V182" s="439">
        <f t="shared" ref="V182:AG182" si="892">+SUM(V183:V192)</f>
        <v>0</v>
      </c>
      <c r="W182" s="440">
        <f t="shared" si="892"/>
        <v>0</v>
      </c>
      <c r="X182" s="440">
        <f t="shared" si="892"/>
        <v>0</v>
      </c>
      <c r="Y182" s="440">
        <f t="shared" si="892"/>
        <v>0</v>
      </c>
      <c r="Z182" s="440">
        <f t="shared" si="892"/>
        <v>0</v>
      </c>
      <c r="AA182" s="440">
        <f t="shared" si="892"/>
        <v>0</v>
      </c>
      <c r="AB182" s="440">
        <f t="shared" si="892"/>
        <v>0</v>
      </c>
      <c r="AC182" s="440">
        <f t="shared" si="892"/>
        <v>0</v>
      </c>
      <c r="AD182" s="440">
        <f t="shared" si="892"/>
        <v>0</v>
      </c>
      <c r="AE182" s="440">
        <f t="shared" si="892"/>
        <v>0</v>
      </c>
      <c r="AF182" s="440">
        <f t="shared" si="892"/>
        <v>0</v>
      </c>
      <c r="AG182" s="441">
        <f t="shared" si="892"/>
        <v>0</v>
      </c>
      <c r="AH182" s="360"/>
      <c r="AI182" s="439">
        <f t="shared" ref="AI182:AT182" si="893">+SUM(AI183:AI192)</f>
        <v>0</v>
      </c>
      <c r="AJ182" s="440">
        <f t="shared" si="893"/>
        <v>0</v>
      </c>
      <c r="AK182" s="440">
        <f t="shared" si="893"/>
        <v>0</v>
      </c>
      <c r="AL182" s="440">
        <f t="shared" si="893"/>
        <v>0</v>
      </c>
      <c r="AM182" s="440">
        <f t="shared" si="893"/>
        <v>0</v>
      </c>
      <c r="AN182" s="440">
        <f t="shared" si="893"/>
        <v>0</v>
      </c>
      <c r="AO182" s="440">
        <f t="shared" si="893"/>
        <v>0</v>
      </c>
      <c r="AP182" s="440">
        <f t="shared" si="893"/>
        <v>0</v>
      </c>
      <c r="AQ182" s="440">
        <f t="shared" si="893"/>
        <v>0</v>
      </c>
      <c r="AR182" s="440">
        <f t="shared" si="893"/>
        <v>0</v>
      </c>
      <c r="AS182" s="440">
        <f t="shared" si="893"/>
        <v>0</v>
      </c>
      <c r="AT182" s="441">
        <f t="shared" si="893"/>
        <v>0</v>
      </c>
      <c r="AU182" s="360"/>
      <c r="AV182" s="439">
        <f t="shared" ref="AV182:BG182" si="894">+SUM(AV183:AV192)</f>
        <v>0</v>
      </c>
      <c r="AW182" s="440">
        <f t="shared" si="894"/>
        <v>0</v>
      </c>
      <c r="AX182" s="440">
        <f t="shared" si="894"/>
        <v>0</v>
      </c>
      <c r="AY182" s="440">
        <f t="shared" si="894"/>
        <v>0</v>
      </c>
      <c r="AZ182" s="440">
        <f t="shared" si="894"/>
        <v>0</v>
      </c>
      <c r="BA182" s="440">
        <f t="shared" si="894"/>
        <v>0</v>
      </c>
      <c r="BB182" s="440">
        <f t="shared" si="894"/>
        <v>0</v>
      </c>
      <c r="BC182" s="440">
        <f t="shared" si="894"/>
        <v>0</v>
      </c>
      <c r="BD182" s="440">
        <f t="shared" si="894"/>
        <v>0</v>
      </c>
      <c r="BE182" s="440">
        <f t="shared" si="894"/>
        <v>0</v>
      </c>
      <c r="BF182" s="440">
        <f t="shared" si="894"/>
        <v>0</v>
      </c>
      <c r="BG182" s="441">
        <f t="shared" si="894"/>
        <v>0</v>
      </c>
      <c r="BH182" s="360"/>
      <c r="BI182" s="439">
        <f t="shared" ref="BI182:BT182" si="895">+SUM(BI183:BI192)</f>
        <v>0</v>
      </c>
      <c r="BJ182" s="440">
        <f t="shared" si="895"/>
        <v>0</v>
      </c>
      <c r="BK182" s="440">
        <f t="shared" si="895"/>
        <v>0</v>
      </c>
      <c r="BL182" s="440">
        <f t="shared" si="895"/>
        <v>0</v>
      </c>
      <c r="BM182" s="440">
        <f t="shared" si="895"/>
        <v>0</v>
      </c>
      <c r="BN182" s="440">
        <f t="shared" si="895"/>
        <v>0</v>
      </c>
      <c r="BO182" s="440">
        <f t="shared" si="895"/>
        <v>0</v>
      </c>
      <c r="BP182" s="440">
        <f t="shared" si="895"/>
        <v>0</v>
      </c>
      <c r="BQ182" s="440">
        <f t="shared" si="895"/>
        <v>0</v>
      </c>
      <c r="BR182" s="440">
        <f t="shared" si="895"/>
        <v>0</v>
      </c>
      <c r="BS182" s="440">
        <f t="shared" si="895"/>
        <v>0</v>
      </c>
      <c r="BT182" s="441">
        <f t="shared" si="895"/>
        <v>0</v>
      </c>
      <c r="BU182" s="360"/>
      <c r="BV182" s="439">
        <f t="shared" ref="BV182:CG182" si="896">+SUM(BV183:BV192)</f>
        <v>0</v>
      </c>
      <c r="BW182" s="440">
        <f t="shared" si="896"/>
        <v>0</v>
      </c>
      <c r="BX182" s="440">
        <f t="shared" si="896"/>
        <v>0</v>
      </c>
      <c r="BY182" s="440">
        <f t="shared" si="896"/>
        <v>0</v>
      </c>
      <c r="BZ182" s="440">
        <f t="shared" si="896"/>
        <v>0</v>
      </c>
      <c r="CA182" s="440">
        <f t="shared" si="896"/>
        <v>0</v>
      </c>
      <c r="CB182" s="440">
        <f t="shared" si="896"/>
        <v>0</v>
      </c>
      <c r="CC182" s="440">
        <f t="shared" si="896"/>
        <v>0</v>
      </c>
      <c r="CD182" s="440">
        <f t="shared" si="896"/>
        <v>0</v>
      </c>
      <c r="CE182" s="440">
        <f t="shared" si="896"/>
        <v>0</v>
      </c>
      <c r="CF182" s="440">
        <f t="shared" si="896"/>
        <v>0</v>
      </c>
      <c r="CG182" s="441">
        <f t="shared" si="896"/>
        <v>0</v>
      </c>
      <c r="CH182" s="360"/>
      <c r="CI182" s="439">
        <f t="shared" ref="CI182:CT182" si="897">+SUM(CI183:CI192)</f>
        <v>0</v>
      </c>
      <c r="CJ182" s="440">
        <f t="shared" si="897"/>
        <v>0</v>
      </c>
      <c r="CK182" s="440">
        <f t="shared" si="897"/>
        <v>0</v>
      </c>
      <c r="CL182" s="440">
        <f t="shared" si="897"/>
        <v>0</v>
      </c>
      <c r="CM182" s="440">
        <f t="shared" si="897"/>
        <v>0</v>
      </c>
      <c r="CN182" s="440">
        <f t="shared" si="897"/>
        <v>0</v>
      </c>
      <c r="CO182" s="440">
        <f t="shared" si="897"/>
        <v>0</v>
      </c>
      <c r="CP182" s="440">
        <f t="shared" si="897"/>
        <v>0</v>
      </c>
      <c r="CQ182" s="440">
        <f t="shared" si="897"/>
        <v>0</v>
      </c>
      <c r="CR182" s="440">
        <f t="shared" si="897"/>
        <v>0</v>
      </c>
      <c r="CS182" s="440">
        <f t="shared" si="897"/>
        <v>0</v>
      </c>
      <c r="CT182" s="441">
        <f t="shared" si="897"/>
        <v>0</v>
      </c>
      <c r="CU182" s="360"/>
      <c r="CV182" s="439">
        <f t="shared" ref="CV182:DG182" si="898">+SUM(CV183:CV192)</f>
        <v>0</v>
      </c>
      <c r="CW182" s="440">
        <f t="shared" si="898"/>
        <v>0</v>
      </c>
      <c r="CX182" s="440">
        <f t="shared" si="898"/>
        <v>0</v>
      </c>
      <c r="CY182" s="440">
        <f t="shared" si="898"/>
        <v>0</v>
      </c>
      <c r="CZ182" s="440">
        <f t="shared" si="898"/>
        <v>0</v>
      </c>
      <c r="DA182" s="440">
        <f t="shared" si="898"/>
        <v>0</v>
      </c>
      <c r="DB182" s="440">
        <f t="shared" si="898"/>
        <v>0</v>
      </c>
      <c r="DC182" s="440">
        <f t="shared" si="898"/>
        <v>0</v>
      </c>
      <c r="DD182" s="440">
        <f t="shared" si="898"/>
        <v>0</v>
      </c>
      <c r="DE182" s="440">
        <f t="shared" si="898"/>
        <v>0</v>
      </c>
      <c r="DF182" s="440">
        <f t="shared" si="898"/>
        <v>0</v>
      </c>
      <c r="DG182" s="441">
        <f t="shared" si="898"/>
        <v>0</v>
      </c>
      <c r="DH182" s="360"/>
      <c r="DI182" s="439">
        <f t="shared" ref="DI182:DT182" si="899">+SUM(DI183:DI192)</f>
        <v>0</v>
      </c>
      <c r="DJ182" s="440">
        <f t="shared" si="899"/>
        <v>0</v>
      </c>
      <c r="DK182" s="440">
        <f t="shared" si="899"/>
        <v>0</v>
      </c>
      <c r="DL182" s="440">
        <f t="shared" si="899"/>
        <v>0</v>
      </c>
      <c r="DM182" s="440">
        <f t="shared" si="899"/>
        <v>0</v>
      </c>
      <c r="DN182" s="440">
        <f t="shared" si="899"/>
        <v>0</v>
      </c>
      <c r="DO182" s="440">
        <f t="shared" si="899"/>
        <v>0</v>
      </c>
      <c r="DP182" s="440">
        <f t="shared" si="899"/>
        <v>0</v>
      </c>
      <c r="DQ182" s="440">
        <f t="shared" si="899"/>
        <v>0</v>
      </c>
      <c r="DR182" s="440">
        <f t="shared" si="899"/>
        <v>0</v>
      </c>
      <c r="DS182" s="440">
        <f t="shared" si="899"/>
        <v>0</v>
      </c>
      <c r="DT182" s="441">
        <f t="shared" si="899"/>
        <v>0</v>
      </c>
      <c r="DU182" s="360"/>
      <c r="DV182" s="439">
        <f t="shared" ref="DV182:EG182" si="900">+SUM(DV183:DV192)</f>
        <v>0</v>
      </c>
      <c r="DW182" s="440">
        <f t="shared" si="900"/>
        <v>0</v>
      </c>
      <c r="DX182" s="440">
        <f t="shared" si="900"/>
        <v>0</v>
      </c>
      <c r="DY182" s="440">
        <f t="shared" si="900"/>
        <v>0</v>
      </c>
      <c r="DZ182" s="440">
        <f t="shared" si="900"/>
        <v>0</v>
      </c>
      <c r="EA182" s="440">
        <f t="shared" si="900"/>
        <v>0</v>
      </c>
      <c r="EB182" s="440">
        <f t="shared" si="900"/>
        <v>0</v>
      </c>
      <c r="EC182" s="440">
        <f t="shared" si="900"/>
        <v>0</v>
      </c>
      <c r="ED182" s="440">
        <f t="shared" si="900"/>
        <v>0</v>
      </c>
      <c r="EE182" s="440">
        <f t="shared" si="900"/>
        <v>0</v>
      </c>
      <c r="EF182" s="440">
        <f t="shared" si="900"/>
        <v>0</v>
      </c>
      <c r="EG182" s="441">
        <f t="shared" si="900"/>
        <v>0</v>
      </c>
      <c r="EH182" s="360"/>
      <c r="EI182" s="21"/>
      <c r="EJ182" s="21"/>
      <c r="EK182" s="21"/>
      <c r="EL182" s="21"/>
      <c r="EM182" s="21"/>
    </row>
    <row r="183" spans="1:143" ht="14.25" customHeight="1">
      <c r="A183" s="21"/>
      <c r="B183" s="21"/>
      <c r="C183" s="21"/>
      <c r="D183" s="422">
        <f t="shared" ref="D183:D192" si="901">+D182+1</f>
        <v>143</v>
      </c>
      <c r="E183" s="1625"/>
      <c r="F183" s="403" t="str">
        <f t="shared" ref="F183:F192" si="902">+F171</f>
        <v>Bonds/MTN/Securities 1</v>
      </c>
      <c r="G183" s="672"/>
      <c r="H183" s="442"/>
      <c r="I183" s="293"/>
      <c r="J183" s="443"/>
      <c r="K183" s="443"/>
      <c r="L183" s="443">
        <v>0</v>
      </c>
      <c r="M183" s="443"/>
      <c r="N183" s="443"/>
      <c r="O183" s="443"/>
      <c r="P183" s="443"/>
      <c r="Q183" s="443"/>
      <c r="R183" s="443"/>
      <c r="S183" s="443"/>
      <c r="T183" s="444">
        <v>10</v>
      </c>
      <c r="U183" s="360"/>
      <c r="V183" s="293"/>
      <c r="W183" s="443"/>
      <c r="X183" s="443"/>
      <c r="Y183" s="443"/>
      <c r="Z183" s="443"/>
      <c r="AA183" s="443"/>
      <c r="AB183" s="443"/>
      <c r="AC183" s="443"/>
      <c r="AD183" s="443"/>
      <c r="AE183" s="443"/>
      <c r="AF183" s="443"/>
      <c r="AG183" s="444"/>
      <c r="AH183" s="360"/>
      <c r="AI183" s="293"/>
      <c r="AJ183" s="443"/>
      <c r="AK183" s="443"/>
      <c r="AL183" s="443"/>
      <c r="AM183" s="443"/>
      <c r="AN183" s="443"/>
      <c r="AO183" s="443"/>
      <c r="AP183" s="443"/>
      <c r="AQ183" s="443"/>
      <c r="AR183" s="443"/>
      <c r="AS183" s="443"/>
      <c r="AT183" s="444"/>
      <c r="AU183" s="360"/>
      <c r="AV183" s="293"/>
      <c r="AW183" s="443"/>
      <c r="AX183" s="443"/>
      <c r="AY183" s="443"/>
      <c r="AZ183" s="443"/>
      <c r="BA183" s="443"/>
      <c r="BB183" s="443"/>
      <c r="BC183" s="443"/>
      <c r="BD183" s="443"/>
      <c r="BE183" s="443"/>
      <c r="BF183" s="443"/>
      <c r="BG183" s="444"/>
      <c r="BH183" s="360"/>
      <c r="BI183" s="293"/>
      <c r="BJ183" s="443"/>
      <c r="BK183" s="443"/>
      <c r="BL183" s="443"/>
      <c r="BM183" s="443"/>
      <c r="BN183" s="443"/>
      <c r="BO183" s="443"/>
      <c r="BP183" s="443"/>
      <c r="BQ183" s="443"/>
      <c r="BR183" s="443"/>
      <c r="BS183" s="443"/>
      <c r="BT183" s="444"/>
      <c r="BU183" s="360"/>
      <c r="BV183" s="293"/>
      <c r="BW183" s="443"/>
      <c r="BX183" s="443"/>
      <c r="BY183" s="443"/>
      <c r="BZ183" s="443"/>
      <c r="CA183" s="443"/>
      <c r="CB183" s="443"/>
      <c r="CC183" s="443"/>
      <c r="CD183" s="443"/>
      <c r="CE183" s="443"/>
      <c r="CF183" s="443"/>
      <c r="CG183" s="444"/>
      <c r="CH183" s="360"/>
      <c r="CI183" s="293"/>
      <c r="CJ183" s="443"/>
      <c r="CK183" s="443"/>
      <c r="CL183" s="443"/>
      <c r="CM183" s="443"/>
      <c r="CN183" s="443"/>
      <c r="CO183" s="443"/>
      <c r="CP183" s="443"/>
      <c r="CQ183" s="443"/>
      <c r="CR183" s="443"/>
      <c r="CS183" s="443"/>
      <c r="CT183" s="444"/>
      <c r="CU183" s="360"/>
      <c r="CV183" s="293"/>
      <c r="CW183" s="443"/>
      <c r="CX183" s="443"/>
      <c r="CY183" s="443"/>
      <c r="CZ183" s="443"/>
      <c r="DA183" s="443"/>
      <c r="DB183" s="443"/>
      <c r="DC183" s="443"/>
      <c r="DD183" s="443"/>
      <c r="DE183" s="443"/>
      <c r="DF183" s="443"/>
      <c r="DG183" s="444"/>
      <c r="DH183" s="360"/>
      <c r="DI183" s="293"/>
      <c r="DJ183" s="443"/>
      <c r="DK183" s="443"/>
      <c r="DL183" s="443"/>
      <c r="DM183" s="443"/>
      <c r="DN183" s="443"/>
      <c r="DO183" s="443"/>
      <c r="DP183" s="443"/>
      <c r="DQ183" s="443"/>
      <c r="DR183" s="443"/>
      <c r="DS183" s="443"/>
      <c r="DT183" s="444"/>
      <c r="DU183" s="360"/>
      <c r="DV183" s="293"/>
      <c r="DW183" s="443"/>
      <c r="DX183" s="443"/>
      <c r="DY183" s="443"/>
      <c r="DZ183" s="443"/>
      <c r="EA183" s="443"/>
      <c r="EB183" s="443"/>
      <c r="EC183" s="443"/>
      <c r="ED183" s="443"/>
      <c r="EE183" s="443"/>
      <c r="EF183" s="443"/>
      <c r="EG183" s="444"/>
      <c r="EH183" s="360"/>
      <c r="EI183" s="21"/>
      <c r="EJ183" s="21"/>
      <c r="EK183" s="21"/>
      <c r="EL183" s="21"/>
      <c r="EM183" s="21"/>
    </row>
    <row r="184" spans="1:143" ht="13.5" customHeight="1">
      <c r="A184" s="21"/>
      <c r="B184" s="21"/>
      <c r="C184" s="21"/>
      <c r="D184" s="422">
        <f t="shared" si="901"/>
        <v>144</v>
      </c>
      <c r="E184" s="1625"/>
      <c r="F184" s="403" t="str">
        <f t="shared" si="902"/>
        <v>Bonds/MTN/Securities 2</v>
      </c>
      <c r="G184" s="265"/>
      <c r="H184" s="442"/>
      <c r="I184" s="303"/>
      <c r="J184" s="338"/>
      <c r="K184" s="338"/>
      <c r="L184" s="338"/>
      <c r="M184" s="338"/>
      <c r="N184" s="338"/>
      <c r="O184" s="338"/>
      <c r="P184" s="338"/>
      <c r="Q184" s="338"/>
      <c r="R184" s="338"/>
      <c r="S184" s="338"/>
      <c r="T184" s="339">
        <v>20</v>
      </c>
      <c r="U184" s="360"/>
      <c r="V184" s="303"/>
      <c r="W184" s="338"/>
      <c r="X184" s="338"/>
      <c r="Y184" s="338"/>
      <c r="Z184" s="338"/>
      <c r="AA184" s="338"/>
      <c r="AB184" s="338"/>
      <c r="AC184" s="338"/>
      <c r="AD184" s="338"/>
      <c r="AE184" s="338"/>
      <c r="AF184" s="338"/>
      <c r="AG184" s="339"/>
      <c r="AH184" s="360"/>
      <c r="AI184" s="303"/>
      <c r="AJ184" s="338"/>
      <c r="AK184" s="338"/>
      <c r="AL184" s="338"/>
      <c r="AM184" s="338"/>
      <c r="AN184" s="338"/>
      <c r="AO184" s="338"/>
      <c r="AP184" s="338"/>
      <c r="AQ184" s="338"/>
      <c r="AR184" s="338"/>
      <c r="AS184" s="338"/>
      <c r="AT184" s="339"/>
      <c r="AU184" s="360"/>
      <c r="AV184" s="303"/>
      <c r="AW184" s="338"/>
      <c r="AX184" s="338"/>
      <c r="AY184" s="338"/>
      <c r="AZ184" s="338"/>
      <c r="BA184" s="338"/>
      <c r="BB184" s="338"/>
      <c r="BC184" s="338"/>
      <c r="BD184" s="338"/>
      <c r="BE184" s="338"/>
      <c r="BF184" s="338"/>
      <c r="BG184" s="339"/>
      <c r="BH184" s="360"/>
      <c r="BI184" s="303"/>
      <c r="BJ184" s="338"/>
      <c r="BK184" s="338"/>
      <c r="BL184" s="338"/>
      <c r="BM184" s="338"/>
      <c r="BN184" s="338"/>
      <c r="BO184" s="338"/>
      <c r="BP184" s="338"/>
      <c r="BQ184" s="338"/>
      <c r="BR184" s="338"/>
      <c r="BS184" s="338"/>
      <c r="BT184" s="339"/>
      <c r="BU184" s="360"/>
      <c r="BV184" s="303"/>
      <c r="BW184" s="338"/>
      <c r="BX184" s="338"/>
      <c r="BY184" s="338"/>
      <c r="BZ184" s="338"/>
      <c r="CA184" s="338"/>
      <c r="CB184" s="338"/>
      <c r="CC184" s="338"/>
      <c r="CD184" s="338"/>
      <c r="CE184" s="338"/>
      <c r="CF184" s="338"/>
      <c r="CG184" s="339"/>
      <c r="CH184" s="360"/>
      <c r="CI184" s="303"/>
      <c r="CJ184" s="338"/>
      <c r="CK184" s="338"/>
      <c r="CL184" s="338"/>
      <c r="CM184" s="338"/>
      <c r="CN184" s="338"/>
      <c r="CO184" s="338"/>
      <c r="CP184" s="338"/>
      <c r="CQ184" s="338"/>
      <c r="CR184" s="338"/>
      <c r="CS184" s="338"/>
      <c r="CT184" s="339"/>
      <c r="CU184" s="360"/>
      <c r="CV184" s="303"/>
      <c r="CW184" s="338"/>
      <c r="CX184" s="338"/>
      <c r="CY184" s="338"/>
      <c r="CZ184" s="338"/>
      <c r="DA184" s="338"/>
      <c r="DB184" s="338"/>
      <c r="DC184" s="338"/>
      <c r="DD184" s="338"/>
      <c r="DE184" s="338"/>
      <c r="DF184" s="338"/>
      <c r="DG184" s="339"/>
      <c r="DH184" s="360"/>
      <c r="DI184" s="303"/>
      <c r="DJ184" s="338"/>
      <c r="DK184" s="338"/>
      <c r="DL184" s="338"/>
      <c r="DM184" s="338"/>
      <c r="DN184" s="338"/>
      <c r="DO184" s="338"/>
      <c r="DP184" s="338"/>
      <c r="DQ184" s="338"/>
      <c r="DR184" s="338"/>
      <c r="DS184" s="338"/>
      <c r="DT184" s="339"/>
      <c r="DU184" s="360"/>
      <c r="DV184" s="303"/>
      <c r="DW184" s="338"/>
      <c r="DX184" s="338"/>
      <c r="DY184" s="338"/>
      <c r="DZ184" s="338"/>
      <c r="EA184" s="338"/>
      <c r="EB184" s="338"/>
      <c r="EC184" s="338"/>
      <c r="ED184" s="338"/>
      <c r="EE184" s="338"/>
      <c r="EF184" s="338"/>
      <c r="EG184" s="339"/>
      <c r="EH184" s="360"/>
      <c r="EI184" s="21"/>
      <c r="EJ184" s="21"/>
      <c r="EK184" s="21"/>
      <c r="EL184" s="21"/>
      <c r="EM184" s="21"/>
    </row>
    <row r="185" spans="1:143" ht="13.5" customHeight="1">
      <c r="A185" s="21"/>
      <c r="B185" s="21"/>
      <c r="C185" s="21"/>
      <c r="D185" s="422">
        <f t="shared" si="901"/>
        <v>145</v>
      </c>
      <c r="E185" s="1625"/>
      <c r="F185" s="403" t="str">
        <f t="shared" si="902"/>
        <v>Bonds/MTN/Securities 3</v>
      </c>
      <c r="G185" s="265"/>
      <c r="H185" s="442"/>
      <c r="I185" s="303"/>
      <c r="J185" s="338"/>
      <c r="K185" s="338"/>
      <c r="L185" s="338"/>
      <c r="M185" s="338"/>
      <c r="N185" s="338"/>
      <c r="O185" s="338"/>
      <c r="P185" s="338"/>
      <c r="Q185" s="338"/>
      <c r="R185" s="338"/>
      <c r="S185" s="338"/>
      <c r="T185" s="339">
        <v>30</v>
      </c>
      <c r="U185" s="360"/>
      <c r="V185" s="303"/>
      <c r="W185" s="338"/>
      <c r="X185" s="338"/>
      <c r="Y185" s="338"/>
      <c r="Z185" s="338"/>
      <c r="AA185" s="338"/>
      <c r="AB185" s="338"/>
      <c r="AC185" s="338"/>
      <c r="AD185" s="338"/>
      <c r="AE185" s="338"/>
      <c r="AF185" s="338"/>
      <c r="AG185" s="339"/>
      <c r="AH185" s="360"/>
      <c r="AI185" s="303"/>
      <c r="AJ185" s="338"/>
      <c r="AK185" s="338"/>
      <c r="AL185" s="338"/>
      <c r="AM185" s="338"/>
      <c r="AN185" s="338"/>
      <c r="AO185" s="338"/>
      <c r="AP185" s="338"/>
      <c r="AQ185" s="338"/>
      <c r="AR185" s="338"/>
      <c r="AS185" s="338"/>
      <c r="AT185" s="339"/>
      <c r="AU185" s="360"/>
      <c r="AV185" s="303"/>
      <c r="AW185" s="338"/>
      <c r="AX185" s="338"/>
      <c r="AY185" s="338"/>
      <c r="AZ185" s="338"/>
      <c r="BA185" s="338"/>
      <c r="BB185" s="338"/>
      <c r="BC185" s="338"/>
      <c r="BD185" s="338"/>
      <c r="BE185" s="338"/>
      <c r="BF185" s="338"/>
      <c r="BG185" s="339"/>
      <c r="BH185" s="360"/>
      <c r="BI185" s="303"/>
      <c r="BJ185" s="338"/>
      <c r="BK185" s="338"/>
      <c r="BL185" s="338"/>
      <c r="BM185" s="338"/>
      <c r="BN185" s="338"/>
      <c r="BO185" s="338"/>
      <c r="BP185" s="338"/>
      <c r="BQ185" s="338"/>
      <c r="BR185" s="338"/>
      <c r="BS185" s="338"/>
      <c r="BT185" s="339"/>
      <c r="BU185" s="360"/>
      <c r="BV185" s="303"/>
      <c r="BW185" s="338"/>
      <c r="BX185" s="338"/>
      <c r="BY185" s="338"/>
      <c r="BZ185" s="338"/>
      <c r="CA185" s="338"/>
      <c r="CB185" s="338"/>
      <c r="CC185" s="338"/>
      <c r="CD185" s="338"/>
      <c r="CE185" s="338"/>
      <c r="CF185" s="338"/>
      <c r="CG185" s="339"/>
      <c r="CH185" s="360"/>
      <c r="CI185" s="303"/>
      <c r="CJ185" s="338"/>
      <c r="CK185" s="338"/>
      <c r="CL185" s="338"/>
      <c r="CM185" s="338"/>
      <c r="CN185" s="338"/>
      <c r="CO185" s="338"/>
      <c r="CP185" s="338"/>
      <c r="CQ185" s="338"/>
      <c r="CR185" s="338"/>
      <c r="CS185" s="338"/>
      <c r="CT185" s="339"/>
      <c r="CU185" s="360"/>
      <c r="CV185" s="303"/>
      <c r="CW185" s="338"/>
      <c r="CX185" s="338"/>
      <c r="CY185" s="338"/>
      <c r="CZ185" s="338"/>
      <c r="DA185" s="338"/>
      <c r="DB185" s="338"/>
      <c r="DC185" s="338"/>
      <c r="DD185" s="338"/>
      <c r="DE185" s="338"/>
      <c r="DF185" s="338"/>
      <c r="DG185" s="339"/>
      <c r="DH185" s="360"/>
      <c r="DI185" s="303"/>
      <c r="DJ185" s="338"/>
      <c r="DK185" s="338"/>
      <c r="DL185" s="338"/>
      <c r="DM185" s="338"/>
      <c r="DN185" s="338"/>
      <c r="DO185" s="338"/>
      <c r="DP185" s="338"/>
      <c r="DQ185" s="338"/>
      <c r="DR185" s="338"/>
      <c r="DS185" s="338"/>
      <c r="DT185" s="339"/>
      <c r="DU185" s="360"/>
      <c r="DV185" s="303"/>
      <c r="DW185" s="338"/>
      <c r="DX185" s="338"/>
      <c r="DY185" s="338"/>
      <c r="DZ185" s="338"/>
      <c r="EA185" s="338"/>
      <c r="EB185" s="338"/>
      <c r="EC185" s="338"/>
      <c r="ED185" s="338"/>
      <c r="EE185" s="338"/>
      <c r="EF185" s="338"/>
      <c r="EG185" s="339"/>
      <c r="EH185" s="360"/>
      <c r="EI185" s="21"/>
      <c r="EJ185" s="21"/>
      <c r="EK185" s="21"/>
      <c r="EL185" s="21"/>
      <c r="EM185" s="21"/>
    </row>
    <row r="186" spans="1:143" ht="13.5" customHeight="1">
      <c r="A186" s="21"/>
      <c r="B186" s="21"/>
      <c r="C186" s="21"/>
      <c r="D186" s="422">
        <f t="shared" si="901"/>
        <v>146</v>
      </c>
      <c r="E186" s="1625"/>
      <c r="F186" s="403" t="str">
        <f t="shared" si="902"/>
        <v>Bonds/MTN/Securities 4</v>
      </c>
      <c r="G186" s="265"/>
      <c r="H186" s="442"/>
      <c r="I186" s="303"/>
      <c r="J186" s="338"/>
      <c r="K186" s="338"/>
      <c r="L186" s="338"/>
      <c r="M186" s="338"/>
      <c r="N186" s="338"/>
      <c r="O186" s="338"/>
      <c r="P186" s="338"/>
      <c r="Q186" s="338"/>
      <c r="R186" s="338"/>
      <c r="S186" s="338"/>
      <c r="T186" s="339">
        <v>40</v>
      </c>
      <c r="U186" s="360"/>
      <c r="V186" s="303"/>
      <c r="W186" s="338"/>
      <c r="X186" s="338"/>
      <c r="Y186" s="338"/>
      <c r="Z186" s="338"/>
      <c r="AA186" s="338"/>
      <c r="AB186" s="338"/>
      <c r="AC186" s="338"/>
      <c r="AD186" s="338"/>
      <c r="AE186" s="338"/>
      <c r="AF186" s="338"/>
      <c r="AG186" s="339"/>
      <c r="AH186" s="360"/>
      <c r="AI186" s="303"/>
      <c r="AJ186" s="338"/>
      <c r="AK186" s="338"/>
      <c r="AL186" s="338"/>
      <c r="AM186" s="338"/>
      <c r="AN186" s="338"/>
      <c r="AO186" s="338"/>
      <c r="AP186" s="338"/>
      <c r="AQ186" s="338"/>
      <c r="AR186" s="338"/>
      <c r="AS186" s="338"/>
      <c r="AT186" s="339"/>
      <c r="AU186" s="360"/>
      <c r="AV186" s="303"/>
      <c r="AW186" s="338"/>
      <c r="AX186" s="338"/>
      <c r="AY186" s="338"/>
      <c r="AZ186" s="338"/>
      <c r="BA186" s="338"/>
      <c r="BB186" s="338"/>
      <c r="BC186" s="338"/>
      <c r="BD186" s="338"/>
      <c r="BE186" s="338"/>
      <c r="BF186" s="338"/>
      <c r="BG186" s="339"/>
      <c r="BH186" s="360"/>
      <c r="BI186" s="303"/>
      <c r="BJ186" s="338"/>
      <c r="BK186" s="338"/>
      <c r="BL186" s="338"/>
      <c r="BM186" s="338"/>
      <c r="BN186" s="338"/>
      <c r="BO186" s="338"/>
      <c r="BP186" s="338"/>
      <c r="BQ186" s="338"/>
      <c r="BR186" s="338"/>
      <c r="BS186" s="338"/>
      <c r="BT186" s="339"/>
      <c r="BU186" s="360"/>
      <c r="BV186" s="303"/>
      <c r="BW186" s="338"/>
      <c r="BX186" s="338"/>
      <c r="BY186" s="338"/>
      <c r="BZ186" s="338"/>
      <c r="CA186" s="338"/>
      <c r="CB186" s="338"/>
      <c r="CC186" s="338"/>
      <c r="CD186" s="338"/>
      <c r="CE186" s="338"/>
      <c r="CF186" s="338"/>
      <c r="CG186" s="339"/>
      <c r="CH186" s="360"/>
      <c r="CI186" s="303"/>
      <c r="CJ186" s="338"/>
      <c r="CK186" s="338"/>
      <c r="CL186" s="338"/>
      <c r="CM186" s="338"/>
      <c r="CN186" s="338"/>
      <c r="CO186" s="338"/>
      <c r="CP186" s="338"/>
      <c r="CQ186" s="338"/>
      <c r="CR186" s="338"/>
      <c r="CS186" s="338"/>
      <c r="CT186" s="339"/>
      <c r="CU186" s="360"/>
      <c r="CV186" s="303"/>
      <c r="CW186" s="338"/>
      <c r="CX186" s="338"/>
      <c r="CY186" s="338"/>
      <c r="CZ186" s="338"/>
      <c r="DA186" s="338"/>
      <c r="DB186" s="338"/>
      <c r="DC186" s="338"/>
      <c r="DD186" s="338"/>
      <c r="DE186" s="338"/>
      <c r="DF186" s="338"/>
      <c r="DG186" s="339"/>
      <c r="DH186" s="360"/>
      <c r="DI186" s="303"/>
      <c r="DJ186" s="338"/>
      <c r="DK186" s="338"/>
      <c r="DL186" s="338"/>
      <c r="DM186" s="338"/>
      <c r="DN186" s="338"/>
      <c r="DO186" s="338"/>
      <c r="DP186" s="338"/>
      <c r="DQ186" s="338"/>
      <c r="DR186" s="338"/>
      <c r="DS186" s="338"/>
      <c r="DT186" s="339"/>
      <c r="DU186" s="360"/>
      <c r="DV186" s="303"/>
      <c r="DW186" s="338"/>
      <c r="DX186" s="338"/>
      <c r="DY186" s="338"/>
      <c r="DZ186" s="338"/>
      <c r="EA186" s="338"/>
      <c r="EB186" s="338"/>
      <c r="EC186" s="338"/>
      <c r="ED186" s="338"/>
      <c r="EE186" s="338"/>
      <c r="EF186" s="338"/>
      <c r="EG186" s="339"/>
      <c r="EH186" s="360"/>
      <c r="EI186" s="21"/>
      <c r="EJ186" s="21"/>
      <c r="EK186" s="21"/>
      <c r="EL186" s="21"/>
      <c r="EM186" s="21"/>
    </row>
    <row r="187" spans="1:143" ht="13.5" customHeight="1">
      <c r="A187" s="21"/>
      <c r="B187" s="21"/>
      <c r="C187" s="21"/>
      <c r="D187" s="422">
        <f t="shared" si="901"/>
        <v>147</v>
      </c>
      <c r="E187" s="1625"/>
      <c r="F187" s="403" t="str">
        <f t="shared" si="902"/>
        <v>Bonds/MTN/Securities 5</v>
      </c>
      <c r="G187" s="265"/>
      <c r="H187" s="442"/>
      <c r="I187" s="303"/>
      <c r="J187" s="338"/>
      <c r="K187" s="338"/>
      <c r="L187" s="338"/>
      <c r="M187" s="338"/>
      <c r="N187" s="338"/>
      <c r="O187" s="338"/>
      <c r="P187" s="338"/>
      <c r="Q187" s="338"/>
      <c r="R187" s="338"/>
      <c r="S187" s="338"/>
      <c r="T187" s="339">
        <v>50</v>
      </c>
      <c r="U187" s="360"/>
      <c r="V187" s="303"/>
      <c r="W187" s="338"/>
      <c r="X187" s="338"/>
      <c r="Y187" s="338"/>
      <c r="Z187" s="338"/>
      <c r="AA187" s="338"/>
      <c r="AB187" s="338"/>
      <c r="AC187" s="338"/>
      <c r="AD187" s="338"/>
      <c r="AE187" s="338"/>
      <c r="AF187" s="338"/>
      <c r="AG187" s="339"/>
      <c r="AH187" s="360"/>
      <c r="AI187" s="303"/>
      <c r="AJ187" s="338"/>
      <c r="AK187" s="338"/>
      <c r="AL187" s="338"/>
      <c r="AM187" s="338"/>
      <c r="AN187" s="338"/>
      <c r="AO187" s="338"/>
      <c r="AP187" s="338"/>
      <c r="AQ187" s="338"/>
      <c r="AR187" s="338"/>
      <c r="AS187" s="338"/>
      <c r="AT187" s="339"/>
      <c r="AU187" s="360"/>
      <c r="AV187" s="303"/>
      <c r="AW187" s="338"/>
      <c r="AX187" s="338"/>
      <c r="AY187" s="338"/>
      <c r="AZ187" s="338"/>
      <c r="BA187" s="338"/>
      <c r="BB187" s="338"/>
      <c r="BC187" s="338"/>
      <c r="BD187" s="338"/>
      <c r="BE187" s="338"/>
      <c r="BF187" s="338"/>
      <c r="BG187" s="339"/>
      <c r="BH187" s="360"/>
      <c r="BI187" s="303"/>
      <c r="BJ187" s="338"/>
      <c r="BK187" s="338"/>
      <c r="BL187" s="338"/>
      <c r="BM187" s="338"/>
      <c r="BN187" s="338"/>
      <c r="BO187" s="338"/>
      <c r="BP187" s="338"/>
      <c r="BQ187" s="338"/>
      <c r="BR187" s="338"/>
      <c r="BS187" s="338"/>
      <c r="BT187" s="339"/>
      <c r="BU187" s="360"/>
      <c r="BV187" s="303"/>
      <c r="BW187" s="338"/>
      <c r="BX187" s="338"/>
      <c r="BY187" s="338"/>
      <c r="BZ187" s="338"/>
      <c r="CA187" s="338"/>
      <c r="CB187" s="338"/>
      <c r="CC187" s="338"/>
      <c r="CD187" s="338"/>
      <c r="CE187" s="338"/>
      <c r="CF187" s="338"/>
      <c r="CG187" s="339"/>
      <c r="CH187" s="360"/>
      <c r="CI187" s="303"/>
      <c r="CJ187" s="338"/>
      <c r="CK187" s="338"/>
      <c r="CL187" s="338"/>
      <c r="CM187" s="338"/>
      <c r="CN187" s="338"/>
      <c r="CO187" s="338"/>
      <c r="CP187" s="338"/>
      <c r="CQ187" s="338"/>
      <c r="CR187" s="338"/>
      <c r="CS187" s="338"/>
      <c r="CT187" s="339"/>
      <c r="CU187" s="360"/>
      <c r="CV187" s="303"/>
      <c r="CW187" s="338"/>
      <c r="CX187" s="338"/>
      <c r="CY187" s="338"/>
      <c r="CZ187" s="338"/>
      <c r="DA187" s="338"/>
      <c r="DB187" s="338"/>
      <c r="DC187" s="338"/>
      <c r="DD187" s="338"/>
      <c r="DE187" s="338"/>
      <c r="DF187" s="338"/>
      <c r="DG187" s="339"/>
      <c r="DH187" s="360"/>
      <c r="DI187" s="303"/>
      <c r="DJ187" s="338"/>
      <c r="DK187" s="338"/>
      <c r="DL187" s="338"/>
      <c r="DM187" s="338"/>
      <c r="DN187" s="338"/>
      <c r="DO187" s="338"/>
      <c r="DP187" s="338"/>
      <c r="DQ187" s="338"/>
      <c r="DR187" s="338"/>
      <c r="DS187" s="338"/>
      <c r="DT187" s="339"/>
      <c r="DU187" s="360"/>
      <c r="DV187" s="303"/>
      <c r="DW187" s="338"/>
      <c r="DX187" s="338"/>
      <c r="DY187" s="338"/>
      <c r="DZ187" s="338"/>
      <c r="EA187" s="338"/>
      <c r="EB187" s="338"/>
      <c r="EC187" s="338"/>
      <c r="ED187" s="338"/>
      <c r="EE187" s="338"/>
      <c r="EF187" s="338"/>
      <c r="EG187" s="339"/>
      <c r="EH187" s="360"/>
      <c r="EI187" s="21"/>
      <c r="EJ187" s="21"/>
      <c r="EK187" s="21"/>
      <c r="EL187" s="21"/>
      <c r="EM187" s="21"/>
    </row>
    <row r="188" spans="1:143" ht="13.5" customHeight="1">
      <c r="A188" s="21"/>
      <c r="B188" s="21"/>
      <c r="C188" s="21"/>
      <c r="D188" s="422">
        <f t="shared" si="901"/>
        <v>148</v>
      </c>
      <c r="E188" s="1625"/>
      <c r="F188" s="403" t="str">
        <f t="shared" si="902"/>
        <v>Bonds/MTN/Securities 6</v>
      </c>
      <c r="G188" s="265"/>
      <c r="H188" s="442"/>
      <c r="I188" s="303"/>
      <c r="J188" s="338"/>
      <c r="K188" s="338"/>
      <c r="L188" s="338"/>
      <c r="M188" s="338"/>
      <c r="N188" s="338"/>
      <c r="O188" s="338"/>
      <c r="P188" s="338"/>
      <c r="Q188" s="338"/>
      <c r="R188" s="338"/>
      <c r="S188" s="338"/>
      <c r="T188" s="339">
        <v>10</v>
      </c>
      <c r="U188" s="360"/>
      <c r="V188" s="303"/>
      <c r="W188" s="338"/>
      <c r="X188" s="338"/>
      <c r="Y188" s="338"/>
      <c r="Z188" s="338"/>
      <c r="AA188" s="338"/>
      <c r="AB188" s="338"/>
      <c r="AC188" s="338"/>
      <c r="AD188" s="338"/>
      <c r="AE188" s="338"/>
      <c r="AF188" s="338"/>
      <c r="AG188" s="339"/>
      <c r="AH188" s="360"/>
      <c r="AI188" s="303"/>
      <c r="AJ188" s="338"/>
      <c r="AK188" s="338"/>
      <c r="AL188" s="338"/>
      <c r="AM188" s="338"/>
      <c r="AN188" s="338"/>
      <c r="AO188" s="338"/>
      <c r="AP188" s="338"/>
      <c r="AQ188" s="338"/>
      <c r="AR188" s="338"/>
      <c r="AS188" s="338"/>
      <c r="AT188" s="339"/>
      <c r="AU188" s="360"/>
      <c r="AV188" s="303"/>
      <c r="AW188" s="338"/>
      <c r="AX188" s="338"/>
      <c r="AY188" s="338"/>
      <c r="AZ188" s="338"/>
      <c r="BA188" s="338"/>
      <c r="BB188" s="338"/>
      <c r="BC188" s="338"/>
      <c r="BD188" s="338"/>
      <c r="BE188" s="338"/>
      <c r="BF188" s="338"/>
      <c r="BG188" s="339"/>
      <c r="BH188" s="360"/>
      <c r="BI188" s="303"/>
      <c r="BJ188" s="338"/>
      <c r="BK188" s="338"/>
      <c r="BL188" s="338"/>
      <c r="BM188" s="338"/>
      <c r="BN188" s="338"/>
      <c r="BO188" s="338"/>
      <c r="BP188" s="338"/>
      <c r="BQ188" s="338"/>
      <c r="BR188" s="338"/>
      <c r="BS188" s="338"/>
      <c r="BT188" s="339"/>
      <c r="BU188" s="360"/>
      <c r="BV188" s="303"/>
      <c r="BW188" s="338"/>
      <c r="BX188" s="338"/>
      <c r="BY188" s="338"/>
      <c r="BZ188" s="338"/>
      <c r="CA188" s="338"/>
      <c r="CB188" s="338"/>
      <c r="CC188" s="338"/>
      <c r="CD188" s="338"/>
      <c r="CE188" s="338"/>
      <c r="CF188" s="338"/>
      <c r="CG188" s="339"/>
      <c r="CH188" s="360"/>
      <c r="CI188" s="303"/>
      <c r="CJ188" s="338"/>
      <c r="CK188" s="338"/>
      <c r="CL188" s="338"/>
      <c r="CM188" s="338"/>
      <c r="CN188" s="338"/>
      <c r="CO188" s="338"/>
      <c r="CP188" s="338"/>
      <c r="CQ188" s="338"/>
      <c r="CR188" s="338"/>
      <c r="CS188" s="338"/>
      <c r="CT188" s="339"/>
      <c r="CU188" s="360"/>
      <c r="CV188" s="303"/>
      <c r="CW188" s="338"/>
      <c r="CX188" s="338"/>
      <c r="CY188" s="338"/>
      <c r="CZ188" s="338"/>
      <c r="DA188" s="338"/>
      <c r="DB188" s="338"/>
      <c r="DC188" s="338"/>
      <c r="DD188" s="338"/>
      <c r="DE188" s="338"/>
      <c r="DF188" s="338"/>
      <c r="DG188" s="339"/>
      <c r="DH188" s="360"/>
      <c r="DI188" s="303"/>
      <c r="DJ188" s="338"/>
      <c r="DK188" s="338"/>
      <c r="DL188" s="338"/>
      <c r="DM188" s="338"/>
      <c r="DN188" s="338"/>
      <c r="DO188" s="338"/>
      <c r="DP188" s="338"/>
      <c r="DQ188" s="338"/>
      <c r="DR188" s="338"/>
      <c r="DS188" s="338"/>
      <c r="DT188" s="339"/>
      <c r="DU188" s="360"/>
      <c r="DV188" s="303"/>
      <c r="DW188" s="338"/>
      <c r="DX188" s="338"/>
      <c r="DY188" s="338"/>
      <c r="DZ188" s="338"/>
      <c r="EA188" s="338"/>
      <c r="EB188" s="338"/>
      <c r="EC188" s="338"/>
      <c r="ED188" s="338"/>
      <c r="EE188" s="338"/>
      <c r="EF188" s="338"/>
      <c r="EG188" s="339"/>
      <c r="EH188" s="360"/>
      <c r="EI188" s="21"/>
      <c r="EJ188" s="21"/>
      <c r="EK188" s="21"/>
      <c r="EL188" s="21"/>
      <c r="EM188" s="21"/>
    </row>
    <row r="189" spans="1:143" ht="13.5" customHeight="1">
      <c r="A189" s="21"/>
      <c r="B189" s="21"/>
      <c r="C189" s="21"/>
      <c r="D189" s="422">
        <f t="shared" si="901"/>
        <v>149</v>
      </c>
      <c r="E189" s="1625"/>
      <c r="F189" s="403" t="str">
        <f t="shared" si="902"/>
        <v>Bonds/MTN/Securities 7</v>
      </c>
      <c r="G189" s="265"/>
      <c r="H189" s="442"/>
      <c r="I189" s="303"/>
      <c r="J189" s="338"/>
      <c r="K189" s="338"/>
      <c r="L189" s="338"/>
      <c r="M189" s="338"/>
      <c r="N189" s="338"/>
      <c r="O189" s="338"/>
      <c r="P189" s="338"/>
      <c r="Q189" s="338"/>
      <c r="R189" s="338"/>
      <c r="S189" s="338"/>
      <c r="T189" s="339">
        <v>20</v>
      </c>
      <c r="U189" s="360"/>
      <c r="V189" s="303"/>
      <c r="W189" s="338"/>
      <c r="X189" s="338"/>
      <c r="Y189" s="338"/>
      <c r="Z189" s="338"/>
      <c r="AA189" s="338"/>
      <c r="AB189" s="338"/>
      <c r="AC189" s="338"/>
      <c r="AD189" s="338"/>
      <c r="AE189" s="338"/>
      <c r="AF189" s="338"/>
      <c r="AG189" s="339"/>
      <c r="AH189" s="360"/>
      <c r="AI189" s="303"/>
      <c r="AJ189" s="338"/>
      <c r="AK189" s="338"/>
      <c r="AL189" s="338"/>
      <c r="AM189" s="338"/>
      <c r="AN189" s="338"/>
      <c r="AO189" s="338"/>
      <c r="AP189" s="338"/>
      <c r="AQ189" s="338"/>
      <c r="AR189" s="338"/>
      <c r="AS189" s="338"/>
      <c r="AT189" s="339"/>
      <c r="AU189" s="360"/>
      <c r="AV189" s="303"/>
      <c r="AW189" s="338"/>
      <c r="AX189" s="338"/>
      <c r="AY189" s="338"/>
      <c r="AZ189" s="338"/>
      <c r="BA189" s="338"/>
      <c r="BB189" s="338"/>
      <c r="BC189" s="338"/>
      <c r="BD189" s="338"/>
      <c r="BE189" s="338"/>
      <c r="BF189" s="338"/>
      <c r="BG189" s="339"/>
      <c r="BH189" s="360"/>
      <c r="BI189" s="303"/>
      <c r="BJ189" s="338"/>
      <c r="BK189" s="338"/>
      <c r="BL189" s="338"/>
      <c r="BM189" s="338"/>
      <c r="BN189" s="338"/>
      <c r="BO189" s="338"/>
      <c r="BP189" s="338"/>
      <c r="BQ189" s="338"/>
      <c r="BR189" s="338"/>
      <c r="BS189" s="338"/>
      <c r="BT189" s="339"/>
      <c r="BU189" s="360"/>
      <c r="BV189" s="303"/>
      <c r="BW189" s="338"/>
      <c r="BX189" s="338"/>
      <c r="BY189" s="338"/>
      <c r="BZ189" s="338"/>
      <c r="CA189" s="338"/>
      <c r="CB189" s="338"/>
      <c r="CC189" s="338"/>
      <c r="CD189" s="338"/>
      <c r="CE189" s="338"/>
      <c r="CF189" s="338"/>
      <c r="CG189" s="339"/>
      <c r="CH189" s="360"/>
      <c r="CI189" s="303"/>
      <c r="CJ189" s="338"/>
      <c r="CK189" s="338"/>
      <c r="CL189" s="338"/>
      <c r="CM189" s="338"/>
      <c r="CN189" s="338"/>
      <c r="CO189" s="338"/>
      <c r="CP189" s="338"/>
      <c r="CQ189" s="338"/>
      <c r="CR189" s="338"/>
      <c r="CS189" s="338"/>
      <c r="CT189" s="339"/>
      <c r="CU189" s="360"/>
      <c r="CV189" s="303"/>
      <c r="CW189" s="338"/>
      <c r="CX189" s="338"/>
      <c r="CY189" s="338"/>
      <c r="CZ189" s="338"/>
      <c r="DA189" s="338"/>
      <c r="DB189" s="338"/>
      <c r="DC189" s="338"/>
      <c r="DD189" s="338"/>
      <c r="DE189" s="338"/>
      <c r="DF189" s="338"/>
      <c r="DG189" s="339"/>
      <c r="DH189" s="360"/>
      <c r="DI189" s="303"/>
      <c r="DJ189" s="338"/>
      <c r="DK189" s="338"/>
      <c r="DL189" s="338"/>
      <c r="DM189" s="338"/>
      <c r="DN189" s="338"/>
      <c r="DO189" s="338"/>
      <c r="DP189" s="338"/>
      <c r="DQ189" s="338"/>
      <c r="DR189" s="338"/>
      <c r="DS189" s="338"/>
      <c r="DT189" s="339"/>
      <c r="DU189" s="360"/>
      <c r="DV189" s="303"/>
      <c r="DW189" s="338"/>
      <c r="DX189" s="338"/>
      <c r="DY189" s="338"/>
      <c r="DZ189" s="338"/>
      <c r="EA189" s="338"/>
      <c r="EB189" s="338"/>
      <c r="EC189" s="338"/>
      <c r="ED189" s="338"/>
      <c r="EE189" s="338"/>
      <c r="EF189" s="338"/>
      <c r="EG189" s="339"/>
      <c r="EH189" s="360"/>
      <c r="EI189" s="21"/>
      <c r="EJ189" s="21"/>
      <c r="EK189" s="21"/>
      <c r="EL189" s="21"/>
      <c r="EM189" s="21"/>
    </row>
    <row r="190" spans="1:143" ht="13.5" customHeight="1">
      <c r="A190" s="21"/>
      <c r="B190" s="21"/>
      <c r="C190" s="21"/>
      <c r="D190" s="422">
        <f t="shared" si="901"/>
        <v>150</v>
      </c>
      <c r="E190" s="1625"/>
      <c r="F190" s="403" t="str">
        <f t="shared" si="902"/>
        <v>Bonds/MTN/Securities 8</v>
      </c>
      <c r="G190" s="265"/>
      <c r="H190" s="442"/>
      <c r="I190" s="303"/>
      <c r="J190" s="338"/>
      <c r="K190" s="338"/>
      <c r="L190" s="338"/>
      <c r="M190" s="338"/>
      <c r="N190" s="338"/>
      <c r="O190" s="338"/>
      <c r="P190" s="338"/>
      <c r="Q190" s="338"/>
      <c r="R190" s="338"/>
      <c r="S190" s="338"/>
      <c r="T190" s="339">
        <v>30</v>
      </c>
      <c r="U190" s="360"/>
      <c r="V190" s="303"/>
      <c r="W190" s="338"/>
      <c r="X190" s="338"/>
      <c r="Y190" s="338"/>
      <c r="Z190" s="338"/>
      <c r="AA190" s="338"/>
      <c r="AB190" s="338"/>
      <c r="AC190" s="338"/>
      <c r="AD190" s="338"/>
      <c r="AE190" s="338"/>
      <c r="AF190" s="338"/>
      <c r="AG190" s="339"/>
      <c r="AH190" s="360"/>
      <c r="AI190" s="303"/>
      <c r="AJ190" s="338"/>
      <c r="AK190" s="338"/>
      <c r="AL190" s="338"/>
      <c r="AM190" s="338"/>
      <c r="AN190" s="338"/>
      <c r="AO190" s="338"/>
      <c r="AP190" s="338"/>
      <c r="AQ190" s="338"/>
      <c r="AR190" s="338"/>
      <c r="AS190" s="338"/>
      <c r="AT190" s="339"/>
      <c r="AU190" s="360"/>
      <c r="AV190" s="303"/>
      <c r="AW190" s="338"/>
      <c r="AX190" s="338"/>
      <c r="AY190" s="338"/>
      <c r="AZ190" s="338"/>
      <c r="BA190" s="338"/>
      <c r="BB190" s="338"/>
      <c r="BC190" s="338"/>
      <c r="BD190" s="338"/>
      <c r="BE190" s="338"/>
      <c r="BF190" s="338"/>
      <c r="BG190" s="339"/>
      <c r="BH190" s="360"/>
      <c r="BI190" s="303"/>
      <c r="BJ190" s="338"/>
      <c r="BK190" s="338"/>
      <c r="BL190" s="338"/>
      <c r="BM190" s="338"/>
      <c r="BN190" s="338"/>
      <c r="BO190" s="338"/>
      <c r="BP190" s="338"/>
      <c r="BQ190" s="338"/>
      <c r="BR190" s="338"/>
      <c r="BS190" s="338"/>
      <c r="BT190" s="339"/>
      <c r="BU190" s="360"/>
      <c r="BV190" s="303"/>
      <c r="BW190" s="338"/>
      <c r="BX190" s="338"/>
      <c r="BY190" s="338"/>
      <c r="BZ190" s="338"/>
      <c r="CA190" s="338"/>
      <c r="CB190" s="338"/>
      <c r="CC190" s="338"/>
      <c r="CD190" s="338"/>
      <c r="CE190" s="338"/>
      <c r="CF190" s="338"/>
      <c r="CG190" s="339"/>
      <c r="CH190" s="360"/>
      <c r="CI190" s="303"/>
      <c r="CJ190" s="338"/>
      <c r="CK190" s="338"/>
      <c r="CL190" s="338"/>
      <c r="CM190" s="338"/>
      <c r="CN190" s="338"/>
      <c r="CO190" s="338"/>
      <c r="CP190" s="338"/>
      <c r="CQ190" s="338"/>
      <c r="CR190" s="338"/>
      <c r="CS190" s="338"/>
      <c r="CT190" s="339"/>
      <c r="CU190" s="360"/>
      <c r="CV190" s="303"/>
      <c r="CW190" s="338"/>
      <c r="CX190" s="338"/>
      <c r="CY190" s="338"/>
      <c r="CZ190" s="338"/>
      <c r="DA190" s="338"/>
      <c r="DB190" s="338"/>
      <c r="DC190" s="338"/>
      <c r="DD190" s="338"/>
      <c r="DE190" s="338"/>
      <c r="DF190" s="338"/>
      <c r="DG190" s="339"/>
      <c r="DH190" s="360"/>
      <c r="DI190" s="303"/>
      <c r="DJ190" s="338"/>
      <c r="DK190" s="338"/>
      <c r="DL190" s="338"/>
      <c r="DM190" s="338"/>
      <c r="DN190" s="338"/>
      <c r="DO190" s="338"/>
      <c r="DP190" s="338"/>
      <c r="DQ190" s="338"/>
      <c r="DR190" s="338"/>
      <c r="DS190" s="338"/>
      <c r="DT190" s="339"/>
      <c r="DU190" s="360"/>
      <c r="DV190" s="303"/>
      <c r="DW190" s="338"/>
      <c r="DX190" s="338"/>
      <c r="DY190" s="338"/>
      <c r="DZ190" s="338"/>
      <c r="EA190" s="338"/>
      <c r="EB190" s="338"/>
      <c r="EC190" s="338"/>
      <c r="ED190" s="338"/>
      <c r="EE190" s="338"/>
      <c r="EF190" s="338"/>
      <c r="EG190" s="339"/>
      <c r="EH190" s="360"/>
      <c r="EI190" s="21"/>
      <c r="EJ190" s="21"/>
      <c r="EK190" s="21"/>
      <c r="EL190" s="21"/>
      <c r="EM190" s="21"/>
    </row>
    <row r="191" spans="1:143" ht="13.5" customHeight="1">
      <c r="A191" s="21"/>
      <c r="B191" s="21"/>
      <c r="C191" s="21"/>
      <c r="D191" s="422">
        <f t="shared" si="901"/>
        <v>151</v>
      </c>
      <c r="E191" s="1625"/>
      <c r="F191" s="403" t="str">
        <f t="shared" si="902"/>
        <v>Bonds/MTN/Securities 9</v>
      </c>
      <c r="G191" s="265"/>
      <c r="H191" s="442"/>
      <c r="I191" s="303"/>
      <c r="J191" s="338"/>
      <c r="K191" s="338"/>
      <c r="L191" s="338"/>
      <c r="M191" s="338"/>
      <c r="N191" s="338"/>
      <c r="O191" s="338"/>
      <c r="P191" s="338"/>
      <c r="Q191" s="338"/>
      <c r="R191" s="338"/>
      <c r="S191" s="338"/>
      <c r="T191" s="339">
        <v>40</v>
      </c>
      <c r="U191" s="360"/>
      <c r="V191" s="303"/>
      <c r="W191" s="338"/>
      <c r="X191" s="338"/>
      <c r="Y191" s="338"/>
      <c r="Z191" s="338"/>
      <c r="AA191" s="338"/>
      <c r="AB191" s="338"/>
      <c r="AC191" s="338"/>
      <c r="AD191" s="338"/>
      <c r="AE191" s="338"/>
      <c r="AF191" s="338"/>
      <c r="AG191" s="339"/>
      <c r="AH191" s="360"/>
      <c r="AI191" s="303"/>
      <c r="AJ191" s="338"/>
      <c r="AK191" s="338"/>
      <c r="AL191" s="338"/>
      <c r="AM191" s="338"/>
      <c r="AN191" s="338"/>
      <c r="AO191" s="338"/>
      <c r="AP191" s="338"/>
      <c r="AQ191" s="338"/>
      <c r="AR191" s="338"/>
      <c r="AS191" s="338"/>
      <c r="AT191" s="339"/>
      <c r="AU191" s="360"/>
      <c r="AV191" s="303"/>
      <c r="AW191" s="338"/>
      <c r="AX191" s="338"/>
      <c r="AY191" s="338"/>
      <c r="AZ191" s="338"/>
      <c r="BA191" s="338"/>
      <c r="BB191" s="338"/>
      <c r="BC191" s="338"/>
      <c r="BD191" s="338"/>
      <c r="BE191" s="338"/>
      <c r="BF191" s="338"/>
      <c r="BG191" s="339"/>
      <c r="BH191" s="360"/>
      <c r="BI191" s="303"/>
      <c r="BJ191" s="338"/>
      <c r="BK191" s="338"/>
      <c r="BL191" s="338"/>
      <c r="BM191" s="338"/>
      <c r="BN191" s="338"/>
      <c r="BO191" s="338"/>
      <c r="BP191" s="338"/>
      <c r="BQ191" s="338"/>
      <c r="BR191" s="338"/>
      <c r="BS191" s="338"/>
      <c r="BT191" s="339"/>
      <c r="BU191" s="360"/>
      <c r="BV191" s="303"/>
      <c r="BW191" s="338"/>
      <c r="BX191" s="338"/>
      <c r="BY191" s="338"/>
      <c r="BZ191" s="338"/>
      <c r="CA191" s="338"/>
      <c r="CB191" s="338"/>
      <c r="CC191" s="338"/>
      <c r="CD191" s="338"/>
      <c r="CE191" s="338"/>
      <c r="CF191" s="338"/>
      <c r="CG191" s="339"/>
      <c r="CH191" s="360"/>
      <c r="CI191" s="303"/>
      <c r="CJ191" s="338"/>
      <c r="CK191" s="338"/>
      <c r="CL191" s="338"/>
      <c r="CM191" s="338"/>
      <c r="CN191" s="338"/>
      <c r="CO191" s="338"/>
      <c r="CP191" s="338"/>
      <c r="CQ191" s="338"/>
      <c r="CR191" s="338"/>
      <c r="CS191" s="338"/>
      <c r="CT191" s="339"/>
      <c r="CU191" s="360"/>
      <c r="CV191" s="303"/>
      <c r="CW191" s="338"/>
      <c r="CX191" s="338"/>
      <c r="CY191" s="338"/>
      <c r="CZ191" s="338"/>
      <c r="DA191" s="338"/>
      <c r="DB191" s="338"/>
      <c r="DC191" s="338"/>
      <c r="DD191" s="338"/>
      <c r="DE191" s="338"/>
      <c r="DF191" s="338"/>
      <c r="DG191" s="339"/>
      <c r="DH191" s="360"/>
      <c r="DI191" s="303"/>
      <c r="DJ191" s="338"/>
      <c r="DK191" s="338"/>
      <c r="DL191" s="338"/>
      <c r="DM191" s="338"/>
      <c r="DN191" s="338"/>
      <c r="DO191" s="338"/>
      <c r="DP191" s="338"/>
      <c r="DQ191" s="338"/>
      <c r="DR191" s="338"/>
      <c r="DS191" s="338"/>
      <c r="DT191" s="339"/>
      <c r="DU191" s="360"/>
      <c r="DV191" s="303"/>
      <c r="DW191" s="338"/>
      <c r="DX191" s="338"/>
      <c r="DY191" s="338"/>
      <c r="DZ191" s="338"/>
      <c r="EA191" s="338"/>
      <c r="EB191" s="338"/>
      <c r="EC191" s="338"/>
      <c r="ED191" s="338"/>
      <c r="EE191" s="338"/>
      <c r="EF191" s="338"/>
      <c r="EG191" s="339"/>
      <c r="EH191" s="360"/>
      <c r="EI191" s="21"/>
      <c r="EJ191" s="21"/>
      <c r="EK191" s="21"/>
      <c r="EL191" s="21"/>
      <c r="EM191" s="21"/>
    </row>
    <row r="192" spans="1:143" ht="14.25" customHeight="1">
      <c r="A192" s="21"/>
      <c r="B192" s="21"/>
      <c r="C192" s="21"/>
      <c r="D192" s="422">
        <f t="shared" si="901"/>
        <v>152</v>
      </c>
      <c r="E192" s="1627"/>
      <c r="F192" s="403" t="str">
        <f t="shared" si="902"/>
        <v>Bonds/MTN/Securities 10</v>
      </c>
      <c r="G192" s="672"/>
      <c r="H192" s="442"/>
      <c r="I192" s="308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429">
        <v>50</v>
      </c>
      <c r="U192" s="360"/>
      <c r="V192" s="308"/>
      <c r="W192" s="306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429"/>
      <c r="AH192" s="360"/>
      <c r="AI192" s="308"/>
      <c r="AJ192" s="306"/>
      <c r="AK192" s="306"/>
      <c r="AL192" s="306"/>
      <c r="AM192" s="306"/>
      <c r="AN192" s="306"/>
      <c r="AO192" s="306"/>
      <c r="AP192" s="306"/>
      <c r="AQ192" s="306"/>
      <c r="AR192" s="306"/>
      <c r="AS192" s="306"/>
      <c r="AT192" s="429"/>
      <c r="AU192" s="360"/>
      <c r="AV192" s="308"/>
      <c r="AW192" s="306"/>
      <c r="AX192" s="306"/>
      <c r="AY192" s="306"/>
      <c r="AZ192" s="306"/>
      <c r="BA192" s="306"/>
      <c r="BB192" s="306"/>
      <c r="BC192" s="306"/>
      <c r="BD192" s="306"/>
      <c r="BE192" s="306"/>
      <c r="BF192" s="306"/>
      <c r="BG192" s="429"/>
      <c r="BH192" s="360"/>
      <c r="BI192" s="308"/>
      <c r="BJ192" s="306"/>
      <c r="BK192" s="306"/>
      <c r="BL192" s="306"/>
      <c r="BM192" s="306"/>
      <c r="BN192" s="306"/>
      <c r="BO192" s="306"/>
      <c r="BP192" s="306"/>
      <c r="BQ192" s="306"/>
      <c r="BR192" s="306"/>
      <c r="BS192" s="306"/>
      <c r="BT192" s="429"/>
      <c r="BU192" s="360"/>
      <c r="BV192" s="308"/>
      <c r="BW192" s="306"/>
      <c r="BX192" s="306"/>
      <c r="BY192" s="306"/>
      <c r="BZ192" s="306"/>
      <c r="CA192" s="306"/>
      <c r="CB192" s="306"/>
      <c r="CC192" s="306"/>
      <c r="CD192" s="306"/>
      <c r="CE192" s="306"/>
      <c r="CF192" s="306"/>
      <c r="CG192" s="429"/>
      <c r="CH192" s="360"/>
      <c r="CI192" s="308"/>
      <c r="CJ192" s="306"/>
      <c r="CK192" s="306"/>
      <c r="CL192" s="306"/>
      <c r="CM192" s="306"/>
      <c r="CN192" s="306"/>
      <c r="CO192" s="306"/>
      <c r="CP192" s="306"/>
      <c r="CQ192" s="306"/>
      <c r="CR192" s="306"/>
      <c r="CS192" s="306"/>
      <c r="CT192" s="429"/>
      <c r="CU192" s="360"/>
      <c r="CV192" s="308"/>
      <c r="CW192" s="306"/>
      <c r="CX192" s="306"/>
      <c r="CY192" s="306"/>
      <c r="CZ192" s="306"/>
      <c r="DA192" s="306"/>
      <c r="DB192" s="306"/>
      <c r="DC192" s="306"/>
      <c r="DD192" s="306"/>
      <c r="DE192" s="306"/>
      <c r="DF192" s="306"/>
      <c r="DG192" s="429"/>
      <c r="DH192" s="360"/>
      <c r="DI192" s="308"/>
      <c r="DJ192" s="306"/>
      <c r="DK192" s="306"/>
      <c r="DL192" s="306"/>
      <c r="DM192" s="306"/>
      <c r="DN192" s="306"/>
      <c r="DO192" s="306"/>
      <c r="DP192" s="306"/>
      <c r="DQ192" s="306"/>
      <c r="DR192" s="306"/>
      <c r="DS192" s="306"/>
      <c r="DT192" s="429"/>
      <c r="DU192" s="360"/>
      <c r="DV192" s="308"/>
      <c r="DW192" s="306"/>
      <c r="DX192" s="306"/>
      <c r="DY192" s="306"/>
      <c r="DZ192" s="306"/>
      <c r="EA192" s="306"/>
      <c r="EB192" s="306"/>
      <c r="EC192" s="306"/>
      <c r="ED192" s="306"/>
      <c r="EE192" s="306"/>
      <c r="EF192" s="306"/>
      <c r="EG192" s="429"/>
      <c r="EH192" s="360"/>
      <c r="EI192" s="21"/>
      <c r="EJ192" s="21"/>
      <c r="EK192" s="21"/>
      <c r="EL192" s="21"/>
      <c r="EM192" s="21"/>
    </row>
    <row r="193" spans="1:143" ht="6" customHeight="1">
      <c r="A193" s="21"/>
      <c r="B193" s="21"/>
      <c r="C193" s="21"/>
      <c r="D193" s="681"/>
      <c r="E193" s="682"/>
      <c r="F193" s="683"/>
      <c r="G193" s="684"/>
      <c r="H193" s="685"/>
      <c r="I193" s="686"/>
      <c r="J193" s="686"/>
      <c r="K193" s="686"/>
      <c r="L193" s="686"/>
      <c r="M193" s="686"/>
      <c r="N193" s="686"/>
      <c r="O193" s="686"/>
      <c r="P193" s="686"/>
      <c r="Q193" s="686"/>
      <c r="R193" s="686"/>
      <c r="S193" s="686"/>
      <c r="T193" s="687"/>
      <c r="U193" s="360"/>
      <c r="V193" s="686"/>
      <c r="W193" s="686"/>
      <c r="X193" s="686"/>
      <c r="Y193" s="686"/>
      <c r="Z193" s="686"/>
      <c r="AA193" s="686"/>
      <c r="AB193" s="686"/>
      <c r="AC193" s="686"/>
      <c r="AD193" s="686"/>
      <c r="AE193" s="686"/>
      <c r="AF193" s="686"/>
      <c r="AG193" s="687"/>
      <c r="AH193" s="360"/>
      <c r="AI193" s="686"/>
      <c r="AJ193" s="686"/>
      <c r="AK193" s="686"/>
      <c r="AL193" s="686"/>
      <c r="AM193" s="686"/>
      <c r="AN193" s="686"/>
      <c r="AO193" s="686"/>
      <c r="AP193" s="686"/>
      <c r="AQ193" s="686"/>
      <c r="AR193" s="686"/>
      <c r="AS193" s="686"/>
      <c r="AT193" s="687"/>
      <c r="AU193" s="360"/>
      <c r="AV193" s="686"/>
      <c r="AW193" s="686"/>
      <c r="AX193" s="686"/>
      <c r="AY193" s="686"/>
      <c r="AZ193" s="686"/>
      <c r="BA193" s="686"/>
      <c r="BB193" s="686"/>
      <c r="BC193" s="686"/>
      <c r="BD193" s="686"/>
      <c r="BE193" s="686"/>
      <c r="BF193" s="686"/>
      <c r="BG193" s="687"/>
      <c r="BH193" s="360"/>
      <c r="BI193" s="686"/>
      <c r="BJ193" s="686"/>
      <c r="BK193" s="686"/>
      <c r="BL193" s="686"/>
      <c r="BM193" s="686"/>
      <c r="BN193" s="686"/>
      <c r="BO193" s="686"/>
      <c r="BP193" s="686"/>
      <c r="BQ193" s="686"/>
      <c r="BR193" s="686"/>
      <c r="BS193" s="686"/>
      <c r="BT193" s="687"/>
      <c r="BU193" s="360"/>
      <c r="BV193" s="686"/>
      <c r="BW193" s="686"/>
      <c r="BX193" s="686"/>
      <c r="BY193" s="686"/>
      <c r="BZ193" s="686"/>
      <c r="CA193" s="686"/>
      <c r="CB193" s="686"/>
      <c r="CC193" s="686"/>
      <c r="CD193" s="686"/>
      <c r="CE193" s="686"/>
      <c r="CF193" s="686"/>
      <c r="CG193" s="687"/>
      <c r="CH193" s="360"/>
      <c r="CI193" s="686"/>
      <c r="CJ193" s="686"/>
      <c r="CK193" s="686"/>
      <c r="CL193" s="686"/>
      <c r="CM193" s="686"/>
      <c r="CN193" s="686"/>
      <c r="CO193" s="686"/>
      <c r="CP193" s="686"/>
      <c r="CQ193" s="686"/>
      <c r="CR193" s="686"/>
      <c r="CS193" s="686"/>
      <c r="CT193" s="687"/>
      <c r="CU193" s="360"/>
      <c r="CV193" s="686"/>
      <c r="CW193" s="686"/>
      <c r="CX193" s="686"/>
      <c r="CY193" s="686"/>
      <c r="CZ193" s="686"/>
      <c r="DA193" s="686"/>
      <c r="DB193" s="686"/>
      <c r="DC193" s="686"/>
      <c r="DD193" s="686"/>
      <c r="DE193" s="686"/>
      <c r="DF193" s="686"/>
      <c r="DG193" s="687"/>
      <c r="DH193" s="360"/>
      <c r="DI193" s="686"/>
      <c r="DJ193" s="686"/>
      <c r="DK193" s="686"/>
      <c r="DL193" s="686"/>
      <c r="DM193" s="686"/>
      <c r="DN193" s="686"/>
      <c r="DO193" s="686"/>
      <c r="DP193" s="686"/>
      <c r="DQ193" s="686"/>
      <c r="DR193" s="686"/>
      <c r="DS193" s="686"/>
      <c r="DT193" s="687"/>
      <c r="DU193" s="360"/>
      <c r="DV193" s="686"/>
      <c r="DW193" s="686"/>
      <c r="DX193" s="686"/>
      <c r="DY193" s="686"/>
      <c r="DZ193" s="686"/>
      <c r="EA193" s="686"/>
      <c r="EB193" s="686"/>
      <c r="EC193" s="686"/>
      <c r="ED193" s="686"/>
      <c r="EE193" s="686"/>
      <c r="EF193" s="686"/>
      <c r="EG193" s="687"/>
      <c r="EH193" s="360"/>
      <c r="EI193" s="21"/>
      <c r="EJ193" s="21"/>
      <c r="EK193" s="21"/>
      <c r="EL193" s="21"/>
      <c r="EM193" s="21"/>
    </row>
    <row r="194" spans="1:143" ht="33.75" customHeight="1">
      <c r="A194" s="21"/>
      <c r="B194" s="21"/>
      <c r="C194" s="21"/>
      <c r="D194" s="1452" t="s">
        <v>640</v>
      </c>
      <c r="E194" s="1630"/>
      <c r="F194" s="418"/>
      <c r="G194" s="263"/>
      <c r="H194" s="419"/>
      <c r="I194" s="420"/>
      <c r="J194" s="420"/>
      <c r="K194" s="420"/>
      <c r="L194" s="420"/>
      <c r="M194" s="420"/>
      <c r="N194" s="420"/>
      <c r="O194" s="420"/>
      <c r="P194" s="420"/>
      <c r="Q194" s="420"/>
      <c r="R194" s="420"/>
      <c r="S194" s="420"/>
      <c r="T194" s="421"/>
      <c r="U194" s="360"/>
      <c r="V194" s="420"/>
      <c r="W194" s="420"/>
      <c r="X194" s="420"/>
      <c r="Y194" s="420"/>
      <c r="Z194" s="420"/>
      <c r="AA194" s="420"/>
      <c r="AB194" s="420"/>
      <c r="AC194" s="420"/>
      <c r="AD194" s="420"/>
      <c r="AE194" s="420"/>
      <c r="AF194" s="420"/>
      <c r="AG194" s="421"/>
      <c r="AH194" s="360"/>
      <c r="AI194" s="420"/>
      <c r="AJ194" s="420"/>
      <c r="AK194" s="420"/>
      <c r="AL194" s="420"/>
      <c r="AM194" s="420"/>
      <c r="AN194" s="420"/>
      <c r="AO194" s="420"/>
      <c r="AP194" s="420"/>
      <c r="AQ194" s="420"/>
      <c r="AR194" s="420"/>
      <c r="AS194" s="420"/>
      <c r="AT194" s="421"/>
      <c r="AU194" s="360"/>
      <c r="AV194" s="420"/>
      <c r="AW194" s="420"/>
      <c r="AX194" s="420"/>
      <c r="AY194" s="420"/>
      <c r="AZ194" s="420"/>
      <c r="BA194" s="420"/>
      <c r="BB194" s="420"/>
      <c r="BC194" s="420"/>
      <c r="BD194" s="420"/>
      <c r="BE194" s="420"/>
      <c r="BF194" s="420"/>
      <c r="BG194" s="421"/>
      <c r="BH194" s="360"/>
      <c r="BI194" s="420"/>
      <c r="BJ194" s="420"/>
      <c r="BK194" s="420"/>
      <c r="BL194" s="420"/>
      <c r="BM194" s="420"/>
      <c r="BN194" s="420"/>
      <c r="BO194" s="420"/>
      <c r="BP194" s="420"/>
      <c r="BQ194" s="420"/>
      <c r="BR194" s="420"/>
      <c r="BS194" s="420"/>
      <c r="BT194" s="421"/>
      <c r="BU194" s="360"/>
      <c r="BV194" s="420"/>
      <c r="BW194" s="420"/>
      <c r="BX194" s="420"/>
      <c r="BY194" s="420"/>
      <c r="BZ194" s="420"/>
      <c r="CA194" s="420"/>
      <c r="CB194" s="420"/>
      <c r="CC194" s="420"/>
      <c r="CD194" s="420"/>
      <c r="CE194" s="420"/>
      <c r="CF194" s="420"/>
      <c r="CG194" s="421"/>
      <c r="CH194" s="360"/>
      <c r="CI194" s="420"/>
      <c r="CJ194" s="420"/>
      <c r="CK194" s="420"/>
      <c r="CL194" s="420"/>
      <c r="CM194" s="420"/>
      <c r="CN194" s="420"/>
      <c r="CO194" s="420"/>
      <c r="CP194" s="420"/>
      <c r="CQ194" s="420"/>
      <c r="CR194" s="420"/>
      <c r="CS194" s="420"/>
      <c r="CT194" s="421"/>
      <c r="CU194" s="360"/>
      <c r="CV194" s="420"/>
      <c r="CW194" s="420"/>
      <c r="CX194" s="420"/>
      <c r="CY194" s="420"/>
      <c r="CZ194" s="420"/>
      <c r="DA194" s="420"/>
      <c r="DB194" s="420"/>
      <c r="DC194" s="420"/>
      <c r="DD194" s="420"/>
      <c r="DE194" s="420"/>
      <c r="DF194" s="420"/>
      <c r="DG194" s="421"/>
      <c r="DH194" s="360"/>
      <c r="DI194" s="420"/>
      <c r="DJ194" s="420"/>
      <c r="DK194" s="420"/>
      <c r="DL194" s="420"/>
      <c r="DM194" s="420"/>
      <c r="DN194" s="420"/>
      <c r="DO194" s="420"/>
      <c r="DP194" s="420"/>
      <c r="DQ194" s="420"/>
      <c r="DR194" s="420"/>
      <c r="DS194" s="420"/>
      <c r="DT194" s="421"/>
      <c r="DU194" s="360"/>
      <c r="DV194" s="420"/>
      <c r="DW194" s="420"/>
      <c r="DX194" s="420"/>
      <c r="DY194" s="420"/>
      <c r="DZ194" s="420"/>
      <c r="EA194" s="420"/>
      <c r="EB194" s="420"/>
      <c r="EC194" s="420"/>
      <c r="ED194" s="420"/>
      <c r="EE194" s="420"/>
      <c r="EF194" s="420"/>
      <c r="EG194" s="421"/>
      <c r="EH194" s="360"/>
      <c r="EI194" s="21"/>
      <c r="EJ194" s="21"/>
      <c r="EK194" s="21"/>
      <c r="EL194" s="21"/>
      <c r="EM194" s="21"/>
    </row>
    <row r="195" spans="1:143" ht="14.25" customHeight="1">
      <c r="A195" s="21"/>
      <c r="B195" s="21"/>
      <c r="C195" s="21"/>
      <c r="D195" s="422">
        <f>+D167+1</f>
        <v>132</v>
      </c>
      <c r="E195" s="1453"/>
      <c r="F195" s="403" t="s">
        <v>641</v>
      </c>
      <c r="G195" s="265"/>
      <c r="H195" s="425"/>
      <c r="I195" s="430">
        <f t="shared" ref="I195:T195" si="903">+SUM(I196:I205)</f>
        <v>0</v>
      </c>
      <c r="J195" s="430">
        <f t="shared" si="903"/>
        <v>0</v>
      </c>
      <c r="K195" s="430">
        <f t="shared" si="903"/>
        <v>0</v>
      </c>
      <c r="L195" s="430">
        <f t="shared" si="903"/>
        <v>0</v>
      </c>
      <c r="M195" s="430">
        <f t="shared" si="903"/>
        <v>0</v>
      </c>
      <c r="N195" s="430">
        <f t="shared" si="903"/>
        <v>0</v>
      </c>
      <c r="O195" s="430">
        <f t="shared" si="903"/>
        <v>0</v>
      </c>
      <c r="P195" s="430">
        <f t="shared" si="903"/>
        <v>0</v>
      </c>
      <c r="Q195" s="430">
        <f t="shared" si="903"/>
        <v>0</v>
      </c>
      <c r="R195" s="430">
        <f t="shared" si="903"/>
        <v>0</v>
      </c>
      <c r="S195" s="430">
        <f t="shared" si="903"/>
        <v>0</v>
      </c>
      <c r="T195" s="431">
        <f t="shared" si="903"/>
        <v>300</v>
      </c>
      <c r="U195" s="360"/>
      <c r="V195" s="430">
        <f t="shared" ref="V195:AG195" si="904">+SUM(V196:V205)</f>
        <v>0</v>
      </c>
      <c r="W195" s="430">
        <f t="shared" si="904"/>
        <v>0</v>
      </c>
      <c r="X195" s="430">
        <f t="shared" si="904"/>
        <v>0</v>
      </c>
      <c r="Y195" s="430">
        <f t="shared" si="904"/>
        <v>0</v>
      </c>
      <c r="Z195" s="430">
        <f t="shared" si="904"/>
        <v>0</v>
      </c>
      <c r="AA195" s="430">
        <f t="shared" si="904"/>
        <v>0</v>
      </c>
      <c r="AB195" s="430">
        <f t="shared" si="904"/>
        <v>0</v>
      </c>
      <c r="AC195" s="430">
        <f t="shared" si="904"/>
        <v>0</v>
      </c>
      <c r="AD195" s="430">
        <f t="shared" si="904"/>
        <v>0</v>
      </c>
      <c r="AE195" s="430">
        <f t="shared" si="904"/>
        <v>0</v>
      </c>
      <c r="AF195" s="430">
        <f t="shared" si="904"/>
        <v>0</v>
      </c>
      <c r="AG195" s="431">
        <f t="shared" si="904"/>
        <v>0</v>
      </c>
      <c r="AH195" s="360"/>
      <c r="AI195" s="430">
        <f t="shared" ref="AI195:AT195" si="905">+SUM(AI196:AI205)</f>
        <v>0</v>
      </c>
      <c r="AJ195" s="430">
        <f t="shared" si="905"/>
        <v>0</v>
      </c>
      <c r="AK195" s="430">
        <f t="shared" si="905"/>
        <v>0</v>
      </c>
      <c r="AL195" s="430">
        <f t="shared" si="905"/>
        <v>0</v>
      </c>
      <c r="AM195" s="430">
        <f t="shared" si="905"/>
        <v>0</v>
      </c>
      <c r="AN195" s="430">
        <f t="shared" si="905"/>
        <v>0</v>
      </c>
      <c r="AO195" s="430">
        <f t="shared" si="905"/>
        <v>0</v>
      </c>
      <c r="AP195" s="430">
        <f t="shared" si="905"/>
        <v>0</v>
      </c>
      <c r="AQ195" s="430">
        <f t="shared" si="905"/>
        <v>0</v>
      </c>
      <c r="AR195" s="430">
        <f t="shared" si="905"/>
        <v>0</v>
      </c>
      <c r="AS195" s="430">
        <f t="shared" si="905"/>
        <v>0</v>
      </c>
      <c r="AT195" s="431">
        <f t="shared" si="905"/>
        <v>0</v>
      </c>
      <c r="AU195" s="360"/>
      <c r="AV195" s="430">
        <f t="shared" ref="AV195:BG195" si="906">+SUM(AV196:AV205)</f>
        <v>0</v>
      </c>
      <c r="AW195" s="430">
        <f t="shared" si="906"/>
        <v>0</v>
      </c>
      <c r="AX195" s="430">
        <f t="shared" si="906"/>
        <v>0</v>
      </c>
      <c r="AY195" s="430">
        <f t="shared" si="906"/>
        <v>0</v>
      </c>
      <c r="AZ195" s="430">
        <f t="shared" si="906"/>
        <v>0</v>
      </c>
      <c r="BA195" s="430">
        <f t="shared" si="906"/>
        <v>0</v>
      </c>
      <c r="BB195" s="430">
        <f t="shared" si="906"/>
        <v>0</v>
      </c>
      <c r="BC195" s="430">
        <f t="shared" si="906"/>
        <v>0</v>
      </c>
      <c r="BD195" s="430">
        <f t="shared" si="906"/>
        <v>0</v>
      </c>
      <c r="BE195" s="430">
        <f t="shared" si="906"/>
        <v>0</v>
      </c>
      <c r="BF195" s="430">
        <f t="shared" si="906"/>
        <v>0</v>
      </c>
      <c r="BG195" s="431">
        <f t="shared" si="906"/>
        <v>0</v>
      </c>
      <c r="BH195" s="360"/>
      <c r="BI195" s="430">
        <f t="shared" ref="BI195:BT195" si="907">+SUM(BI196:BI205)</f>
        <v>0</v>
      </c>
      <c r="BJ195" s="430">
        <f t="shared" si="907"/>
        <v>0</v>
      </c>
      <c r="BK195" s="430">
        <f t="shared" si="907"/>
        <v>0</v>
      </c>
      <c r="BL195" s="430">
        <f t="shared" si="907"/>
        <v>0</v>
      </c>
      <c r="BM195" s="430">
        <f t="shared" si="907"/>
        <v>0</v>
      </c>
      <c r="BN195" s="430">
        <f t="shared" si="907"/>
        <v>0</v>
      </c>
      <c r="BO195" s="430">
        <f t="shared" si="907"/>
        <v>0</v>
      </c>
      <c r="BP195" s="430">
        <f t="shared" si="907"/>
        <v>0</v>
      </c>
      <c r="BQ195" s="430">
        <f t="shared" si="907"/>
        <v>0</v>
      </c>
      <c r="BR195" s="430">
        <f t="shared" si="907"/>
        <v>0</v>
      </c>
      <c r="BS195" s="430">
        <f t="shared" si="907"/>
        <v>0</v>
      </c>
      <c r="BT195" s="431">
        <f t="shared" si="907"/>
        <v>0</v>
      </c>
      <c r="BU195" s="360"/>
      <c r="BV195" s="430">
        <f t="shared" ref="BV195:CG195" si="908">+SUM(BV196:BV205)</f>
        <v>0</v>
      </c>
      <c r="BW195" s="430">
        <f t="shared" si="908"/>
        <v>0</v>
      </c>
      <c r="BX195" s="430">
        <f t="shared" si="908"/>
        <v>0</v>
      </c>
      <c r="BY195" s="430">
        <f t="shared" si="908"/>
        <v>0</v>
      </c>
      <c r="BZ195" s="430">
        <f t="shared" si="908"/>
        <v>0</v>
      </c>
      <c r="CA195" s="430">
        <f t="shared" si="908"/>
        <v>0</v>
      </c>
      <c r="CB195" s="430">
        <f t="shared" si="908"/>
        <v>0</v>
      </c>
      <c r="CC195" s="430">
        <f t="shared" si="908"/>
        <v>0</v>
      </c>
      <c r="CD195" s="430">
        <f t="shared" si="908"/>
        <v>0</v>
      </c>
      <c r="CE195" s="430">
        <f t="shared" si="908"/>
        <v>0</v>
      </c>
      <c r="CF195" s="430">
        <f t="shared" si="908"/>
        <v>0</v>
      </c>
      <c r="CG195" s="431">
        <f t="shared" si="908"/>
        <v>0</v>
      </c>
      <c r="CH195" s="360"/>
      <c r="CI195" s="430">
        <f t="shared" ref="CI195:CT195" si="909">+SUM(CI196:CI205)</f>
        <v>0</v>
      </c>
      <c r="CJ195" s="430">
        <f t="shared" si="909"/>
        <v>0</v>
      </c>
      <c r="CK195" s="430">
        <f t="shared" si="909"/>
        <v>0</v>
      </c>
      <c r="CL195" s="430">
        <f t="shared" si="909"/>
        <v>0</v>
      </c>
      <c r="CM195" s="430">
        <f t="shared" si="909"/>
        <v>0</v>
      </c>
      <c r="CN195" s="430">
        <f t="shared" si="909"/>
        <v>0</v>
      </c>
      <c r="CO195" s="430">
        <f t="shared" si="909"/>
        <v>0</v>
      </c>
      <c r="CP195" s="430">
        <f t="shared" si="909"/>
        <v>0</v>
      </c>
      <c r="CQ195" s="430">
        <f t="shared" si="909"/>
        <v>0</v>
      </c>
      <c r="CR195" s="430">
        <f t="shared" si="909"/>
        <v>0</v>
      </c>
      <c r="CS195" s="430">
        <f t="shared" si="909"/>
        <v>0</v>
      </c>
      <c r="CT195" s="431">
        <f t="shared" si="909"/>
        <v>0</v>
      </c>
      <c r="CU195" s="360"/>
      <c r="CV195" s="430">
        <f t="shared" ref="CV195:DG195" si="910">+SUM(CV196:CV205)</f>
        <v>0</v>
      </c>
      <c r="CW195" s="430">
        <f t="shared" si="910"/>
        <v>0</v>
      </c>
      <c r="CX195" s="430">
        <f t="shared" si="910"/>
        <v>0</v>
      </c>
      <c r="CY195" s="430">
        <f t="shared" si="910"/>
        <v>0</v>
      </c>
      <c r="CZ195" s="430">
        <f t="shared" si="910"/>
        <v>0</v>
      </c>
      <c r="DA195" s="430">
        <f t="shared" si="910"/>
        <v>0</v>
      </c>
      <c r="DB195" s="430">
        <f t="shared" si="910"/>
        <v>0</v>
      </c>
      <c r="DC195" s="430">
        <f t="shared" si="910"/>
        <v>0</v>
      </c>
      <c r="DD195" s="430">
        <f t="shared" si="910"/>
        <v>0</v>
      </c>
      <c r="DE195" s="430">
        <f t="shared" si="910"/>
        <v>0</v>
      </c>
      <c r="DF195" s="430">
        <f t="shared" si="910"/>
        <v>0</v>
      </c>
      <c r="DG195" s="431">
        <f t="shared" si="910"/>
        <v>0</v>
      </c>
      <c r="DH195" s="360"/>
      <c r="DI195" s="430">
        <f t="shared" ref="DI195:DT195" si="911">+SUM(DI196:DI205)</f>
        <v>0</v>
      </c>
      <c r="DJ195" s="430">
        <f t="shared" si="911"/>
        <v>0</v>
      </c>
      <c r="DK195" s="430">
        <f t="shared" si="911"/>
        <v>0</v>
      </c>
      <c r="DL195" s="430">
        <f t="shared" si="911"/>
        <v>0</v>
      </c>
      <c r="DM195" s="430">
        <f t="shared" si="911"/>
        <v>0</v>
      </c>
      <c r="DN195" s="430">
        <f t="shared" si="911"/>
        <v>0</v>
      </c>
      <c r="DO195" s="430">
        <f t="shared" si="911"/>
        <v>0</v>
      </c>
      <c r="DP195" s="430">
        <f t="shared" si="911"/>
        <v>0</v>
      </c>
      <c r="DQ195" s="430">
        <f t="shared" si="911"/>
        <v>0</v>
      </c>
      <c r="DR195" s="430">
        <f t="shared" si="911"/>
        <v>0</v>
      </c>
      <c r="DS195" s="430">
        <f t="shared" si="911"/>
        <v>0</v>
      </c>
      <c r="DT195" s="431">
        <f t="shared" si="911"/>
        <v>0</v>
      </c>
      <c r="DU195" s="360"/>
      <c r="DV195" s="430">
        <f t="shared" ref="DV195:EG195" si="912">+SUM(DV196:DV205)</f>
        <v>0</v>
      </c>
      <c r="DW195" s="430">
        <f t="shared" si="912"/>
        <v>0</v>
      </c>
      <c r="DX195" s="430">
        <f t="shared" si="912"/>
        <v>0</v>
      </c>
      <c r="DY195" s="430">
        <f t="shared" si="912"/>
        <v>0</v>
      </c>
      <c r="DZ195" s="430">
        <f t="shared" si="912"/>
        <v>0</v>
      </c>
      <c r="EA195" s="430">
        <f t="shared" si="912"/>
        <v>0</v>
      </c>
      <c r="EB195" s="430">
        <f t="shared" si="912"/>
        <v>0</v>
      </c>
      <c r="EC195" s="430">
        <f t="shared" si="912"/>
        <v>0</v>
      </c>
      <c r="ED195" s="430">
        <f t="shared" si="912"/>
        <v>0</v>
      </c>
      <c r="EE195" s="430">
        <f t="shared" si="912"/>
        <v>0</v>
      </c>
      <c r="EF195" s="430">
        <f t="shared" si="912"/>
        <v>0</v>
      </c>
      <c r="EG195" s="431">
        <f t="shared" si="912"/>
        <v>0</v>
      </c>
      <c r="EH195" s="360"/>
      <c r="EI195" s="21"/>
      <c r="EJ195" s="21"/>
      <c r="EK195" s="21"/>
      <c r="EL195" s="21"/>
      <c r="EM195" s="21"/>
    </row>
    <row r="196" spans="1:143" ht="13.5" customHeight="1">
      <c r="A196" s="21"/>
      <c r="B196" s="21"/>
      <c r="C196" s="21"/>
      <c r="D196" s="422">
        <f t="shared" ref="D196:D205" si="913">+D195+1</f>
        <v>133</v>
      </c>
      <c r="E196" s="1625"/>
      <c r="F196" s="403" t="str">
        <f t="shared" ref="F196:F205" si="914">+F86</f>
        <v>Leasing 1</v>
      </c>
      <c r="G196" s="265"/>
      <c r="H196" s="666"/>
      <c r="I196" s="293"/>
      <c r="J196" s="443"/>
      <c r="K196" s="443"/>
      <c r="L196" s="443"/>
      <c r="M196" s="443"/>
      <c r="N196" s="443"/>
      <c r="O196" s="443"/>
      <c r="P196" s="443"/>
      <c r="Q196" s="443"/>
      <c r="R196" s="443"/>
      <c r="S196" s="443"/>
      <c r="T196" s="444">
        <v>10</v>
      </c>
      <c r="U196" s="360"/>
      <c r="V196" s="293"/>
      <c r="W196" s="443"/>
      <c r="X196" s="443"/>
      <c r="Y196" s="443"/>
      <c r="Z196" s="443"/>
      <c r="AA196" s="443"/>
      <c r="AB196" s="443"/>
      <c r="AC196" s="443"/>
      <c r="AD196" s="443"/>
      <c r="AE196" s="443"/>
      <c r="AF196" s="443"/>
      <c r="AG196" s="444"/>
      <c r="AH196" s="360"/>
      <c r="AI196" s="293"/>
      <c r="AJ196" s="443"/>
      <c r="AK196" s="443"/>
      <c r="AL196" s="443"/>
      <c r="AM196" s="443"/>
      <c r="AN196" s="443"/>
      <c r="AO196" s="443"/>
      <c r="AP196" s="443"/>
      <c r="AQ196" s="443"/>
      <c r="AR196" s="443"/>
      <c r="AS196" s="443"/>
      <c r="AT196" s="444"/>
      <c r="AU196" s="360"/>
      <c r="AV196" s="293"/>
      <c r="AW196" s="443"/>
      <c r="AX196" s="443"/>
      <c r="AY196" s="443"/>
      <c r="AZ196" s="443"/>
      <c r="BA196" s="443"/>
      <c r="BB196" s="443"/>
      <c r="BC196" s="443"/>
      <c r="BD196" s="443"/>
      <c r="BE196" s="443"/>
      <c r="BF196" s="443"/>
      <c r="BG196" s="444"/>
      <c r="BH196" s="360"/>
      <c r="BI196" s="293"/>
      <c r="BJ196" s="443"/>
      <c r="BK196" s="443"/>
      <c r="BL196" s="443"/>
      <c r="BM196" s="443"/>
      <c r="BN196" s="443"/>
      <c r="BO196" s="443"/>
      <c r="BP196" s="443"/>
      <c r="BQ196" s="443"/>
      <c r="BR196" s="443"/>
      <c r="BS196" s="443"/>
      <c r="BT196" s="444"/>
      <c r="BU196" s="360"/>
      <c r="BV196" s="293"/>
      <c r="BW196" s="443"/>
      <c r="BX196" s="443"/>
      <c r="BY196" s="443"/>
      <c r="BZ196" s="443"/>
      <c r="CA196" s="443"/>
      <c r="CB196" s="443"/>
      <c r="CC196" s="443"/>
      <c r="CD196" s="443"/>
      <c r="CE196" s="443"/>
      <c r="CF196" s="443"/>
      <c r="CG196" s="444"/>
      <c r="CH196" s="360"/>
      <c r="CI196" s="293"/>
      <c r="CJ196" s="443"/>
      <c r="CK196" s="443"/>
      <c r="CL196" s="443"/>
      <c r="CM196" s="443"/>
      <c r="CN196" s="443"/>
      <c r="CO196" s="443"/>
      <c r="CP196" s="443"/>
      <c r="CQ196" s="443"/>
      <c r="CR196" s="443"/>
      <c r="CS196" s="443"/>
      <c r="CT196" s="444"/>
      <c r="CU196" s="360"/>
      <c r="CV196" s="293"/>
      <c r="CW196" s="443"/>
      <c r="CX196" s="443"/>
      <c r="CY196" s="443"/>
      <c r="CZ196" s="443"/>
      <c r="DA196" s="443"/>
      <c r="DB196" s="443"/>
      <c r="DC196" s="443"/>
      <c r="DD196" s="443"/>
      <c r="DE196" s="443"/>
      <c r="DF196" s="443"/>
      <c r="DG196" s="444"/>
      <c r="DH196" s="360"/>
      <c r="DI196" s="293"/>
      <c r="DJ196" s="443"/>
      <c r="DK196" s="443"/>
      <c r="DL196" s="443"/>
      <c r="DM196" s="443"/>
      <c r="DN196" s="443"/>
      <c r="DO196" s="443"/>
      <c r="DP196" s="443"/>
      <c r="DQ196" s="443"/>
      <c r="DR196" s="443"/>
      <c r="DS196" s="443"/>
      <c r="DT196" s="444"/>
      <c r="DU196" s="360"/>
      <c r="DV196" s="293"/>
      <c r="DW196" s="443"/>
      <c r="DX196" s="443"/>
      <c r="DY196" s="443"/>
      <c r="DZ196" s="443"/>
      <c r="EA196" s="443"/>
      <c r="EB196" s="443"/>
      <c r="EC196" s="443"/>
      <c r="ED196" s="443"/>
      <c r="EE196" s="443"/>
      <c r="EF196" s="443"/>
      <c r="EG196" s="444"/>
      <c r="EH196" s="360"/>
      <c r="EI196" s="21"/>
      <c r="EJ196" s="21"/>
      <c r="EK196" s="21"/>
      <c r="EL196" s="21"/>
      <c r="EM196" s="21"/>
    </row>
    <row r="197" spans="1:143" ht="13.5" customHeight="1">
      <c r="A197" s="21"/>
      <c r="B197" s="21"/>
      <c r="C197" s="21"/>
      <c r="D197" s="422">
        <f t="shared" si="913"/>
        <v>134</v>
      </c>
      <c r="E197" s="1625"/>
      <c r="F197" s="403" t="str">
        <f t="shared" si="914"/>
        <v>Leasing 2</v>
      </c>
      <c r="G197" s="265"/>
      <c r="H197" s="666"/>
      <c r="I197" s="303"/>
      <c r="J197" s="338"/>
      <c r="K197" s="338"/>
      <c r="L197" s="338"/>
      <c r="M197" s="338"/>
      <c r="N197" s="338"/>
      <c r="O197" s="338"/>
      <c r="P197" s="338"/>
      <c r="Q197" s="338"/>
      <c r="R197" s="338"/>
      <c r="S197" s="338"/>
      <c r="T197" s="339">
        <v>20</v>
      </c>
      <c r="U197" s="360"/>
      <c r="V197" s="303"/>
      <c r="W197" s="338"/>
      <c r="X197" s="338"/>
      <c r="Y197" s="338"/>
      <c r="Z197" s="338"/>
      <c r="AA197" s="338"/>
      <c r="AB197" s="338"/>
      <c r="AC197" s="338"/>
      <c r="AD197" s="338"/>
      <c r="AE197" s="338"/>
      <c r="AF197" s="338"/>
      <c r="AG197" s="339"/>
      <c r="AH197" s="360"/>
      <c r="AI197" s="303"/>
      <c r="AJ197" s="338"/>
      <c r="AK197" s="338"/>
      <c r="AL197" s="338"/>
      <c r="AM197" s="338"/>
      <c r="AN197" s="338"/>
      <c r="AO197" s="338"/>
      <c r="AP197" s="338"/>
      <c r="AQ197" s="338"/>
      <c r="AR197" s="338"/>
      <c r="AS197" s="338"/>
      <c r="AT197" s="339"/>
      <c r="AU197" s="360"/>
      <c r="AV197" s="303"/>
      <c r="AW197" s="338"/>
      <c r="AX197" s="338"/>
      <c r="AY197" s="338"/>
      <c r="AZ197" s="338"/>
      <c r="BA197" s="338"/>
      <c r="BB197" s="338"/>
      <c r="BC197" s="338"/>
      <c r="BD197" s="338"/>
      <c r="BE197" s="338"/>
      <c r="BF197" s="338"/>
      <c r="BG197" s="339"/>
      <c r="BH197" s="360"/>
      <c r="BI197" s="303"/>
      <c r="BJ197" s="338"/>
      <c r="BK197" s="338"/>
      <c r="BL197" s="338"/>
      <c r="BM197" s="338"/>
      <c r="BN197" s="338"/>
      <c r="BO197" s="338"/>
      <c r="BP197" s="338"/>
      <c r="BQ197" s="338"/>
      <c r="BR197" s="338"/>
      <c r="BS197" s="338"/>
      <c r="BT197" s="339"/>
      <c r="BU197" s="360"/>
      <c r="BV197" s="303"/>
      <c r="BW197" s="338"/>
      <c r="BX197" s="338"/>
      <c r="BY197" s="338"/>
      <c r="BZ197" s="338"/>
      <c r="CA197" s="338"/>
      <c r="CB197" s="338"/>
      <c r="CC197" s="338"/>
      <c r="CD197" s="338"/>
      <c r="CE197" s="338"/>
      <c r="CF197" s="338"/>
      <c r="CG197" s="339"/>
      <c r="CH197" s="360"/>
      <c r="CI197" s="303"/>
      <c r="CJ197" s="338"/>
      <c r="CK197" s="338"/>
      <c r="CL197" s="338"/>
      <c r="CM197" s="338"/>
      <c r="CN197" s="338"/>
      <c r="CO197" s="338"/>
      <c r="CP197" s="338"/>
      <c r="CQ197" s="338"/>
      <c r="CR197" s="338"/>
      <c r="CS197" s="338"/>
      <c r="CT197" s="339"/>
      <c r="CU197" s="360"/>
      <c r="CV197" s="303"/>
      <c r="CW197" s="338"/>
      <c r="CX197" s="338"/>
      <c r="CY197" s="338"/>
      <c r="CZ197" s="338"/>
      <c r="DA197" s="338"/>
      <c r="DB197" s="338"/>
      <c r="DC197" s="338"/>
      <c r="DD197" s="338"/>
      <c r="DE197" s="338"/>
      <c r="DF197" s="338"/>
      <c r="DG197" s="339"/>
      <c r="DH197" s="360"/>
      <c r="DI197" s="303"/>
      <c r="DJ197" s="338"/>
      <c r="DK197" s="338"/>
      <c r="DL197" s="338"/>
      <c r="DM197" s="338"/>
      <c r="DN197" s="338"/>
      <c r="DO197" s="338"/>
      <c r="DP197" s="338"/>
      <c r="DQ197" s="338"/>
      <c r="DR197" s="338"/>
      <c r="DS197" s="338"/>
      <c r="DT197" s="339"/>
      <c r="DU197" s="360"/>
      <c r="DV197" s="303"/>
      <c r="DW197" s="338"/>
      <c r="DX197" s="338"/>
      <c r="DY197" s="338"/>
      <c r="DZ197" s="338"/>
      <c r="EA197" s="338"/>
      <c r="EB197" s="338"/>
      <c r="EC197" s="338"/>
      <c r="ED197" s="338"/>
      <c r="EE197" s="338"/>
      <c r="EF197" s="338"/>
      <c r="EG197" s="339"/>
      <c r="EH197" s="360"/>
      <c r="EI197" s="21"/>
      <c r="EJ197" s="21"/>
      <c r="EK197" s="21"/>
      <c r="EL197" s="21"/>
      <c r="EM197" s="21"/>
    </row>
    <row r="198" spans="1:143" ht="13.5" customHeight="1">
      <c r="A198" s="21"/>
      <c r="B198" s="21"/>
      <c r="C198" s="21"/>
      <c r="D198" s="422">
        <f t="shared" si="913"/>
        <v>135</v>
      </c>
      <c r="E198" s="1625"/>
      <c r="F198" s="403" t="str">
        <f t="shared" si="914"/>
        <v>Leasing 3</v>
      </c>
      <c r="G198" s="265"/>
      <c r="H198" s="666"/>
      <c r="I198" s="303"/>
      <c r="J198" s="338"/>
      <c r="K198" s="338"/>
      <c r="L198" s="338"/>
      <c r="M198" s="338"/>
      <c r="N198" s="338"/>
      <c r="O198" s="338"/>
      <c r="P198" s="338"/>
      <c r="Q198" s="338"/>
      <c r="R198" s="338"/>
      <c r="S198" s="338"/>
      <c r="T198" s="339">
        <v>30</v>
      </c>
      <c r="U198" s="360"/>
      <c r="V198" s="303"/>
      <c r="W198" s="338"/>
      <c r="X198" s="338"/>
      <c r="Y198" s="338"/>
      <c r="Z198" s="338"/>
      <c r="AA198" s="338"/>
      <c r="AB198" s="338"/>
      <c r="AC198" s="338"/>
      <c r="AD198" s="338"/>
      <c r="AE198" s="338"/>
      <c r="AF198" s="338"/>
      <c r="AG198" s="339"/>
      <c r="AH198" s="360"/>
      <c r="AI198" s="303"/>
      <c r="AJ198" s="338"/>
      <c r="AK198" s="338"/>
      <c r="AL198" s="338"/>
      <c r="AM198" s="338"/>
      <c r="AN198" s="338"/>
      <c r="AO198" s="338"/>
      <c r="AP198" s="338"/>
      <c r="AQ198" s="338"/>
      <c r="AR198" s="338"/>
      <c r="AS198" s="338"/>
      <c r="AT198" s="339"/>
      <c r="AU198" s="360"/>
      <c r="AV198" s="303"/>
      <c r="AW198" s="338"/>
      <c r="AX198" s="338"/>
      <c r="AY198" s="338"/>
      <c r="AZ198" s="338"/>
      <c r="BA198" s="338"/>
      <c r="BB198" s="338"/>
      <c r="BC198" s="338"/>
      <c r="BD198" s="338"/>
      <c r="BE198" s="338"/>
      <c r="BF198" s="338"/>
      <c r="BG198" s="339"/>
      <c r="BH198" s="360"/>
      <c r="BI198" s="303"/>
      <c r="BJ198" s="338"/>
      <c r="BK198" s="338"/>
      <c r="BL198" s="338"/>
      <c r="BM198" s="338"/>
      <c r="BN198" s="338"/>
      <c r="BO198" s="338"/>
      <c r="BP198" s="338"/>
      <c r="BQ198" s="338"/>
      <c r="BR198" s="338"/>
      <c r="BS198" s="338"/>
      <c r="BT198" s="339"/>
      <c r="BU198" s="360"/>
      <c r="BV198" s="303"/>
      <c r="BW198" s="338"/>
      <c r="BX198" s="338"/>
      <c r="BY198" s="338"/>
      <c r="BZ198" s="338"/>
      <c r="CA198" s="338"/>
      <c r="CB198" s="338"/>
      <c r="CC198" s="338"/>
      <c r="CD198" s="338"/>
      <c r="CE198" s="338"/>
      <c r="CF198" s="338"/>
      <c r="CG198" s="339"/>
      <c r="CH198" s="360"/>
      <c r="CI198" s="303"/>
      <c r="CJ198" s="338"/>
      <c r="CK198" s="338"/>
      <c r="CL198" s="338"/>
      <c r="CM198" s="338"/>
      <c r="CN198" s="338"/>
      <c r="CO198" s="338"/>
      <c r="CP198" s="338"/>
      <c r="CQ198" s="338"/>
      <c r="CR198" s="338"/>
      <c r="CS198" s="338"/>
      <c r="CT198" s="339"/>
      <c r="CU198" s="360"/>
      <c r="CV198" s="303"/>
      <c r="CW198" s="338"/>
      <c r="CX198" s="338"/>
      <c r="CY198" s="338"/>
      <c r="CZ198" s="338"/>
      <c r="DA198" s="338"/>
      <c r="DB198" s="338"/>
      <c r="DC198" s="338"/>
      <c r="DD198" s="338"/>
      <c r="DE198" s="338"/>
      <c r="DF198" s="338"/>
      <c r="DG198" s="339"/>
      <c r="DH198" s="360"/>
      <c r="DI198" s="303"/>
      <c r="DJ198" s="338"/>
      <c r="DK198" s="338"/>
      <c r="DL198" s="338"/>
      <c r="DM198" s="338"/>
      <c r="DN198" s="338"/>
      <c r="DO198" s="338"/>
      <c r="DP198" s="338"/>
      <c r="DQ198" s="338"/>
      <c r="DR198" s="338"/>
      <c r="DS198" s="338"/>
      <c r="DT198" s="339"/>
      <c r="DU198" s="360"/>
      <c r="DV198" s="303"/>
      <c r="DW198" s="338"/>
      <c r="DX198" s="338"/>
      <c r="DY198" s="338"/>
      <c r="DZ198" s="338"/>
      <c r="EA198" s="338"/>
      <c r="EB198" s="338"/>
      <c r="EC198" s="338"/>
      <c r="ED198" s="338"/>
      <c r="EE198" s="338"/>
      <c r="EF198" s="338"/>
      <c r="EG198" s="339"/>
      <c r="EH198" s="360"/>
      <c r="EI198" s="21"/>
      <c r="EJ198" s="21"/>
      <c r="EK198" s="21"/>
      <c r="EL198" s="21"/>
      <c r="EM198" s="21"/>
    </row>
    <row r="199" spans="1:143" ht="13.5" customHeight="1">
      <c r="A199" s="21"/>
      <c r="B199" s="21"/>
      <c r="C199" s="21"/>
      <c r="D199" s="422">
        <f t="shared" si="913"/>
        <v>136</v>
      </c>
      <c r="E199" s="1625"/>
      <c r="F199" s="403" t="str">
        <f t="shared" si="914"/>
        <v>Leasing 4</v>
      </c>
      <c r="G199" s="265"/>
      <c r="H199" s="666"/>
      <c r="I199" s="303"/>
      <c r="J199" s="338"/>
      <c r="K199" s="338"/>
      <c r="L199" s="338"/>
      <c r="M199" s="338"/>
      <c r="N199" s="338"/>
      <c r="O199" s="338"/>
      <c r="P199" s="338"/>
      <c r="Q199" s="338"/>
      <c r="R199" s="338"/>
      <c r="S199" s="338"/>
      <c r="T199" s="339">
        <v>40</v>
      </c>
      <c r="U199" s="360"/>
      <c r="V199" s="303"/>
      <c r="W199" s="338"/>
      <c r="X199" s="338"/>
      <c r="Y199" s="338"/>
      <c r="Z199" s="338"/>
      <c r="AA199" s="338"/>
      <c r="AB199" s="338"/>
      <c r="AC199" s="338"/>
      <c r="AD199" s="338"/>
      <c r="AE199" s="338"/>
      <c r="AF199" s="338"/>
      <c r="AG199" s="339"/>
      <c r="AH199" s="360"/>
      <c r="AI199" s="303"/>
      <c r="AJ199" s="338"/>
      <c r="AK199" s="338"/>
      <c r="AL199" s="338"/>
      <c r="AM199" s="338"/>
      <c r="AN199" s="338"/>
      <c r="AO199" s="338"/>
      <c r="AP199" s="338"/>
      <c r="AQ199" s="338"/>
      <c r="AR199" s="338"/>
      <c r="AS199" s="338"/>
      <c r="AT199" s="339"/>
      <c r="AU199" s="360"/>
      <c r="AV199" s="303"/>
      <c r="AW199" s="338"/>
      <c r="AX199" s="338"/>
      <c r="AY199" s="338"/>
      <c r="AZ199" s="338"/>
      <c r="BA199" s="338"/>
      <c r="BB199" s="338"/>
      <c r="BC199" s="338"/>
      <c r="BD199" s="338"/>
      <c r="BE199" s="338"/>
      <c r="BF199" s="338"/>
      <c r="BG199" s="339"/>
      <c r="BH199" s="360"/>
      <c r="BI199" s="303"/>
      <c r="BJ199" s="338"/>
      <c r="BK199" s="338"/>
      <c r="BL199" s="338"/>
      <c r="BM199" s="338"/>
      <c r="BN199" s="338"/>
      <c r="BO199" s="338"/>
      <c r="BP199" s="338"/>
      <c r="BQ199" s="338"/>
      <c r="BR199" s="338"/>
      <c r="BS199" s="338"/>
      <c r="BT199" s="339"/>
      <c r="BU199" s="360"/>
      <c r="BV199" s="303"/>
      <c r="BW199" s="338"/>
      <c r="BX199" s="338"/>
      <c r="BY199" s="338"/>
      <c r="BZ199" s="338"/>
      <c r="CA199" s="338"/>
      <c r="CB199" s="338"/>
      <c r="CC199" s="338"/>
      <c r="CD199" s="338"/>
      <c r="CE199" s="338"/>
      <c r="CF199" s="338"/>
      <c r="CG199" s="339"/>
      <c r="CH199" s="360"/>
      <c r="CI199" s="303"/>
      <c r="CJ199" s="338"/>
      <c r="CK199" s="338"/>
      <c r="CL199" s="338"/>
      <c r="CM199" s="338"/>
      <c r="CN199" s="338"/>
      <c r="CO199" s="338"/>
      <c r="CP199" s="338"/>
      <c r="CQ199" s="338"/>
      <c r="CR199" s="338"/>
      <c r="CS199" s="338"/>
      <c r="CT199" s="339"/>
      <c r="CU199" s="360"/>
      <c r="CV199" s="303"/>
      <c r="CW199" s="338"/>
      <c r="CX199" s="338"/>
      <c r="CY199" s="338"/>
      <c r="CZ199" s="338"/>
      <c r="DA199" s="338"/>
      <c r="DB199" s="338"/>
      <c r="DC199" s="338"/>
      <c r="DD199" s="338"/>
      <c r="DE199" s="338"/>
      <c r="DF199" s="338"/>
      <c r="DG199" s="339"/>
      <c r="DH199" s="360"/>
      <c r="DI199" s="303"/>
      <c r="DJ199" s="338"/>
      <c r="DK199" s="338"/>
      <c r="DL199" s="338"/>
      <c r="DM199" s="338"/>
      <c r="DN199" s="338"/>
      <c r="DO199" s="338"/>
      <c r="DP199" s="338"/>
      <c r="DQ199" s="338"/>
      <c r="DR199" s="338"/>
      <c r="DS199" s="338"/>
      <c r="DT199" s="339"/>
      <c r="DU199" s="360"/>
      <c r="DV199" s="303"/>
      <c r="DW199" s="338"/>
      <c r="DX199" s="338"/>
      <c r="DY199" s="338"/>
      <c r="DZ199" s="338"/>
      <c r="EA199" s="338"/>
      <c r="EB199" s="338"/>
      <c r="EC199" s="338"/>
      <c r="ED199" s="338"/>
      <c r="EE199" s="338"/>
      <c r="EF199" s="338"/>
      <c r="EG199" s="339"/>
      <c r="EH199" s="360"/>
      <c r="EI199" s="21"/>
      <c r="EJ199" s="21"/>
      <c r="EK199" s="21"/>
      <c r="EL199" s="21"/>
      <c r="EM199" s="21"/>
    </row>
    <row r="200" spans="1:143" ht="13.5" customHeight="1">
      <c r="A200" s="21"/>
      <c r="B200" s="21"/>
      <c r="C200" s="21"/>
      <c r="D200" s="422">
        <f t="shared" si="913"/>
        <v>137</v>
      </c>
      <c r="E200" s="1625"/>
      <c r="F200" s="403" t="str">
        <f t="shared" si="914"/>
        <v>Leasing 5</v>
      </c>
      <c r="G200" s="265"/>
      <c r="H200" s="666"/>
      <c r="I200" s="303"/>
      <c r="J200" s="338"/>
      <c r="K200" s="338"/>
      <c r="L200" s="338"/>
      <c r="M200" s="338"/>
      <c r="N200" s="338"/>
      <c r="O200" s="338"/>
      <c r="P200" s="338"/>
      <c r="Q200" s="338"/>
      <c r="R200" s="338"/>
      <c r="S200" s="338"/>
      <c r="T200" s="339">
        <v>50</v>
      </c>
      <c r="U200" s="360"/>
      <c r="V200" s="303"/>
      <c r="W200" s="338"/>
      <c r="X200" s="338"/>
      <c r="Y200" s="338"/>
      <c r="Z200" s="338"/>
      <c r="AA200" s="338"/>
      <c r="AB200" s="338"/>
      <c r="AC200" s="338"/>
      <c r="AD200" s="338"/>
      <c r="AE200" s="338"/>
      <c r="AF200" s="338"/>
      <c r="AG200" s="339"/>
      <c r="AH200" s="360"/>
      <c r="AI200" s="303"/>
      <c r="AJ200" s="338"/>
      <c r="AK200" s="338"/>
      <c r="AL200" s="338"/>
      <c r="AM200" s="338"/>
      <c r="AN200" s="338"/>
      <c r="AO200" s="338"/>
      <c r="AP200" s="338"/>
      <c r="AQ200" s="338"/>
      <c r="AR200" s="338"/>
      <c r="AS200" s="338"/>
      <c r="AT200" s="339"/>
      <c r="AU200" s="360"/>
      <c r="AV200" s="303"/>
      <c r="AW200" s="338"/>
      <c r="AX200" s="338"/>
      <c r="AY200" s="338"/>
      <c r="AZ200" s="338"/>
      <c r="BA200" s="338"/>
      <c r="BB200" s="338"/>
      <c r="BC200" s="338"/>
      <c r="BD200" s="338"/>
      <c r="BE200" s="338"/>
      <c r="BF200" s="338"/>
      <c r="BG200" s="339"/>
      <c r="BH200" s="360"/>
      <c r="BI200" s="303"/>
      <c r="BJ200" s="338"/>
      <c r="BK200" s="338"/>
      <c r="BL200" s="338"/>
      <c r="BM200" s="338"/>
      <c r="BN200" s="338"/>
      <c r="BO200" s="338"/>
      <c r="BP200" s="338"/>
      <c r="BQ200" s="338"/>
      <c r="BR200" s="338"/>
      <c r="BS200" s="338"/>
      <c r="BT200" s="339"/>
      <c r="BU200" s="360"/>
      <c r="BV200" s="303"/>
      <c r="BW200" s="338"/>
      <c r="BX200" s="338"/>
      <c r="BY200" s="338"/>
      <c r="BZ200" s="338"/>
      <c r="CA200" s="338"/>
      <c r="CB200" s="338"/>
      <c r="CC200" s="338"/>
      <c r="CD200" s="338"/>
      <c r="CE200" s="338"/>
      <c r="CF200" s="338"/>
      <c r="CG200" s="339"/>
      <c r="CH200" s="360"/>
      <c r="CI200" s="303"/>
      <c r="CJ200" s="338"/>
      <c r="CK200" s="338"/>
      <c r="CL200" s="338"/>
      <c r="CM200" s="338"/>
      <c r="CN200" s="338"/>
      <c r="CO200" s="338"/>
      <c r="CP200" s="338"/>
      <c r="CQ200" s="338"/>
      <c r="CR200" s="338"/>
      <c r="CS200" s="338"/>
      <c r="CT200" s="339"/>
      <c r="CU200" s="360"/>
      <c r="CV200" s="303"/>
      <c r="CW200" s="338"/>
      <c r="CX200" s="338"/>
      <c r="CY200" s="338"/>
      <c r="CZ200" s="338"/>
      <c r="DA200" s="338"/>
      <c r="DB200" s="338"/>
      <c r="DC200" s="338"/>
      <c r="DD200" s="338"/>
      <c r="DE200" s="338"/>
      <c r="DF200" s="338"/>
      <c r="DG200" s="339"/>
      <c r="DH200" s="360"/>
      <c r="DI200" s="303"/>
      <c r="DJ200" s="338"/>
      <c r="DK200" s="338"/>
      <c r="DL200" s="338"/>
      <c r="DM200" s="338"/>
      <c r="DN200" s="338"/>
      <c r="DO200" s="338"/>
      <c r="DP200" s="338"/>
      <c r="DQ200" s="338"/>
      <c r="DR200" s="338"/>
      <c r="DS200" s="338"/>
      <c r="DT200" s="339"/>
      <c r="DU200" s="360"/>
      <c r="DV200" s="303"/>
      <c r="DW200" s="338"/>
      <c r="DX200" s="338"/>
      <c r="DY200" s="338"/>
      <c r="DZ200" s="338"/>
      <c r="EA200" s="338"/>
      <c r="EB200" s="338"/>
      <c r="EC200" s="338"/>
      <c r="ED200" s="338"/>
      <c r="EE200" s="338"/>
      <c r="EF200" s="338"/>
      <c r="EG200" s="339"/>
      <c r="EH200" s="360"/>
      <c r="EI200" s="21"/>
      <c r="EJ200" s="21"/>
      <c r="EK200" s="21"/>
      <c r="EL200" s="21"/>
      <c r="EM200" s="21"/>
    </row>
    <row r="201" spans="1:143" ht="13.5" customHeight="1">
      <c r="A201" s="21"/>
      <c r="B201" s="21"/>
      <c r="C201" s="21"/>
      <c r="D201" s="422">
        <f t="shared" si="913"/>
        <v>138</v>
      </c>
      <c r="E201" s="1625"/>
      <c r="F201" s="403" t="str">
        <f t="shared" si="914"/>
        <v>Leasing 6</v>
      </c>
      <c r="G201" s="265"/>
      <c r="H201" s="666"/>
      <c r="I201" s="303"/>
      <c r="J201" s="338"/>
      <c r="K201" s="338"/>
      <c r="L201" s="338"/>
      <c r="M201" s="338"/>
      <c r="N201" s="338"/>
      <c r="O201" s="338"/>
      <c r="P201" s="338"/>
      <c r="Q201" s="338"/>
      <c r="R201" s="338"/>
      <c r="S201" s="338"/>
      <c r="T201" s="339">
        <v>10</v>
      </c>
      <c r="U201" s="360"/>
      <c r="V201" s="303"/>
      <c r="W201" s="338"/>
      <c r="X201" s="338"/>
      <c r="Y201" s="338"/>
      <c r="Z201" s="338"/>
      <c r="AA201" s="338"/>
      <c r="AB201" s="338"/>
      <c r="AC201" s="338"/>
      <c r="AD201" s="338"/>
      <c r="AE201" s="338"/>
      <c r="AF201" s="338"/>
      <c r="AG201" s="339"/>
      <c r="AH201" s="360"/>
      <c r="AI201" s="303"/>
      <c r="AJ201" s="338"/>
      <c r="AK201" s="338"/>
      <c r="AL201" s="338"/>
      <c r="AM201" s="338"/>
      <c r="AN201" s="338"/>
      <c r="AO201" s="338"/>
      <c r="AP201" s="338"/>
      <c r="AQ201" s="338"/>
      <c r="AR201" s="338"/>
      <c r="AS201" s="338"/>
      <c r="AT201" s="339"/>
      <c r="AU201" s="360"/>
      <c r="AV201" s="303"/>
      <c r="AW201" s="338"/>
      <c r="AX201" s="338"/>
      <c r="AY201" s="338"/>
      <c r="AZ201" s="338"/>
      <c r="BA201" s="338"/>
      <c r="BB201" s="338"/>
      <c r="BC201" s="338"/>
      <c r="BD201" s="338"/>
      <c r="BE201" s="338"/>
      <c r="BF201" s="338"/>
      <c r="BG201" s="339"/>
      <c r="BH201" s="360"/>
      <c r="BI201" s="303"/>
      <c r="BJ201" s="338"/>
      <c r="BK201" s="338"/>
      <c r="BL201" s="338"/>
      <c r="BM201" s="338"/>
      <c r="BN201" s="338"/>
      <c r="BO201" s="338"/>
      <c r="BP201" s="338"/>
      <c r="BQ201" s="338"/>
      <c r="BR201" s="338"/>
      <c r="BS201" s="338"/>
      <c r="BT201" s="339"/>
      <c r="BU201" s="360"/>
      <c r="BV201" s="303"/>
      <c r="BW201" s="338"/>
      <c r="BX201" s="338"/>
      <c r="BY201" s="338"/>
      <c r="BZ201" s="338"/>
      <c r="CA201" s="338"/>
      <c r="CB201" s="338"/>
      <c r="CC201" s="338"/>
      <c r="CD201" s="338"/>
      <c r="CE201" s="338"/>
      <c r="CF201" s="338"/>
      <c r="CG201" s="339"/>
      <c r="CH201" s="360"/>
      <c r="CI201" s="303"/>
      <c r="CJ201" s="338"/>
      <c r="CK201" s="338"/>
      <c r="CL201" s="338"/>
      <c r="CM201" s="338"/>
      <c r="CN201" s="338"/>
      <c r="CO201" s="338"/>
      <c r="CP201" s="338"/>
      <c r="CQ201" s="338"/>
      <c r="CR201" s="338"/>
      <c r="CS201" s="338"/>
      <c r="CT201" s="339"/>
      <c r="CU201" s="360"/>
      <c r="CV201" s="303"/>
      <c r="CW201" s="338"/>
      <c r="CX201" s="338"/>
      <c r="CY201" s="338"/>
      <c r="CZ201" s="338"/>
      <c r="DA201" s="338"/>
      <c r="DB201" s="338"/>
      <c r="DC201" s="338"/>
      <c r="DD201" s="338"/>
      <c r="DE201" s="338"/>
      <c r="DF201" s="338"/>
      <c r="DG201" s="339"/>
      <c r="DH201" s="360"/>
      <c r="DI201" s="303"/>
      <c r="DJ201" s="338"/>
      <c r="DK201" s="338"/>
      <c r="DL201" s="338"/>
      <c r="DM201" s="338"/>
      <c r="DN201" s="338"/>
      <c r="DO201" s="338"/>
      <c r="DP201" s="338"/>
      <c r="DQ201" s="338"/>
      <c r="DR201" s="338"/>
      <c r="DS201" s="338"/>
      <c r="DT201" s="339"/>
      <c r="DU201" s="360"/>
      <c r="DV201" s="303"/>
      <c r="DW201" s="338"/>
      <c r="DX201" s="338"/>
      <c r="DY201" s="338"/>
      <c r="DZ201" s="338"/>
      <c r="EA201" s="338"/>
      <c r="EB201" s="338"/>
      <c r="EC201" s="338"/>
      <c r="ED201" s="338"/>
      <c r="EE201" s="338"/>
      <c r="EF201" s="338"/>
      <c r="EG201" s="339"/>
      <c r="EH201" s="360"/>
      <c r="EI201" s="21"/>
      <c r="EJ201" s="21"/>
      <c r="EK201" s="21"/>
      <c r="EL201" s="21"/>
      <c r="EM201" s="21"/>
    </row>
    <row r="202" spans="1:143" ht="13.5" customHeight="1">
      <c r="A202" s="21"/>
      <c r="B202" s="21"/>
      <c r="C202" s="21"/>
      <c r="D202" s="422">
        <f t="shared" si="913"/>
        <v>139</v>
      </c>
      <c r="E202" s="1625"/>
      <c r="F202" s="403" t="str">
        <f t="shared" si="914"/>
        <v>Leasing 7</v>
      </c>
      <c r="G202" s="265"/>
      <c r="H202" s="666"/>
      <c r="I202" s="303"/>
      <c r="J202" s="338"/>
      <c r="K202" s="338"/>
      <c r="L202" s="338"/>
      <c r="M202" s="338"/>
      <c r="N202" s="338"/>
      <c r="O202" s="338"/>
      <c r="P202" s="338"/>
      <c r="Q202" s="338"/>
      <c r="R202" s="338"/>
      <c r="S202" s="338"/>
      <c r="T202" s="339">
        <v>20</v>
      </c>
      <c r="U202" s="360"/>
      <c r="V202" s="303"/>
      <c r="W202" s="338"/>
      <c r="X202" s="338"/>
      <c r="Y202" s="338"/>
      <c r="Z202" s="338"/>
      <c r="AA202" s="338"/>
      <c r="AB202" s="338"/>
      <c r="AC202" s="338"/>
      <c r="AD202" s="338"/>
      <c r="AE202" s="338"/>
      <c r="AF202" s="338"/>
      <c r="AG202" s="339"/>
      <c r="AH202" s="360"/>
      <c r="AI202" s="303"/>
      <c r="AJ202" s="338"/>
      <c r="AK202" s="338"/>
      <c r="AL202" s="338"/>
      <c r="AM202" s="338"/>
      <c r="AN202" s="338"/>
      <c r="AO202" s="338"/>
      <c r="AP202" s="338"/>
      <c r="AQ202" s="338"/>
      <c r="AR202" s="338"/>
      <c r="AS202" s="338"/>
      <c r="AT202" s="339"/>
      <c r="AU202" s="360"/>
      <c r="AV202" s="303"/>
      <c r="AW202" s="338"/>
      <c r="AX202" s="338"/>
      <c r="AY202" s="338"/>
      <c r="AZ202" s="338"/>
      <c r="BA202" s="338"/>
      <c r="BB202" s="338"/>
      <c r="BC202" s="338"/>
      <c r="BD202" s="338"/>
      <c r="BE202" s="338"/>
      <c r="BF202" s="338"/>
      <c r="BG202" s="339"/>
      <c r="BH202" s="360"/>
      <c r="BI202" s="303"/>
      <c r="BJ202" s="338"/>
      <c r="BK202" s="338"/>
      <c r="BL202" s="338"/>
      <c r="BM202" s="338"/>
      <c r="BN202" s="338"/>
      <c r="BO202" s="338"/>
      <c r="BP202" s="338"/>
      <c r="BQ202" s="338"/>
      <c r="BR202" s="338"/>
      <c r="BS202" s="338"/>
      <c r="BT202" s="339"/>
      <c r="BU202" s="360"/>
      <c r="BV202" s="303"/>
      <c r="BW202" s="338"/>
      <c r="BX202" s="338"/>
      <c r="BY202" s="338"/>
      <c r="BZ202" s="338"/>
      <c r="CA202" s="338"/>
      <c r="CB202" s="338"/>
      <c r="CC202" s="338"/>
      <c r="CD202" s="338"/>
      <c r="CE202" s="338"/>
      <c r="CF202" s="338"/>
      <c r="CG202" s="339"/>
      <c r="CH202" s="360"/>
      <c r="CI202" s="303"/>
      <c r="CJ202" s="338"/>
      <c r="CK202" s="338"/>
      <c r="CL202" s="338"/>
      <c r="CM202" s="338"/>
      <c r="CN202" s="338"/>
      <c r="CO202" s="338"/>
      <c r="CP202" s="338"/>
      <c r="CQ202" s="338"/>
      <c r="CR202" s="338"/>
      <c r="CS202" s="338"/>
      <c r="CT202" s="339"/>
      <c r="CU202" s="360"/>
      <c r="CV202" s="303"/>
      <c r="CW202" s="338"/>
      <c r="CX202" s="338"/>
      <c r="CY202" s="338"/>
      <c r="CZ202" s="338"/>
      <c r="DA202" s="338"/>
      <c r="DB202" s="338"/>
      <c r="DC202" s="338"/>
      <c r="DD202" s="338"/>
      <c r="DE202" s="338"/>
      <c r="DF202" s="338"/>
      <c r="DG202" s="339"/>
      <c r="DH202" s="360"/>
      <c r="DI202" s="303"/>
      <c r="DJ202" s="338"/>
      <c r="DK202" s="338"/>
      <c r="DL202" s="338"/>
      <c r="DM202" s="338"/>
      <c r="DN202" s="338"/>
      <c r="DO202" s="338"/>
      <c r="DP202" s="338"/>
      <c r="DQ202" s="338"/>
      <c r="DR202" s="338"/>
      <c r="DS202" s="338"/>
      <c r="DT202" s="339"/>
      <c r="DU202" s="360"/>
      <c r="DV202" s="303"/>
      <c r="DW202" s="338"/>
      <c r="DX202" s="338"/>
      <c r="DY202" s="338"/>
      <c r="DZ202" s="338"/>
      <c r="EA202" s="338"/>
      <c r="EB202" s="338"/>
      <c r="EC202" s="338"/>
      <c r="ED202" s="338"/>
      <c r="EE202" s="338"/>
      <c r="EF202" s="338"/>
      <c r="EG202" s="339"/>
      <c r="EH202" s="360"/>
      <c r="EI202" s="21"/>
      <c r="EJ202" s="21"/>
      <c r="EK202" s="21"/>
      <c r="EL202" s="21"/>
      <c r="EM202" s="21"/>
    </row>
    <row r="203" spans="1:143" ht="13.5" customHeight="1">
      <c r="A203" s="21"/>
      <c r="B203" s="21"/>
      <c r="C203" s="21"/>
      <c r="D203" s="422">
        <f t="shared" si="913"/>
        <v>140</v>
      </c>
      <c r="E203" s="1625"/>
      <c r="F203" s="403" t="str">
        <f t="shared" si="914"/>
        <v>Leasing 8</v>
      </c>
      <c r="G203" s="265"/>
      <c r="H203" s="666"/>
      <c r="I203" s="303"/>
      <c r="J203" s="338"/>
      <c r="K203" s="338"/>
      <c r="L203" s="338"/>
      <c r="M203" s="338"/>
      <c r="N203" s="338"/>
      <c r="O203" s="338"/>
      <c r="P203" s="338"/>
      <c r="Q203" s="338"/>
      <c r="R203" s="338"/>
      <c r="S203" s="338"/>
      <c r="T203" s="339">
        <v>30</v>
      </c>
      <c r="U203" s="360"/>
      <c r="V203" s="303"/>
      <c r="W203" s="338"/>
      <c r="X203" s="338"/>
      <c r="Y203" s="338"/>
      <c r="Z203" s="338"/>
      <c r="AA203" s="338"/>
      <c r="AB203" s="338"/>
      <c r="AC203" s="338"/>
      <c r="AD203" s="338"/>
      <c r="AE203" s="338"/>
      <c r="AF203" s="338"/>
      <c r="AG203" s="339"/>
      <c r="AH203" s="360"/>
      <c r="AI203" s="303"/>
      <c r="AJ203" s="338"/>
      <c r="AK203" s="338"/>
      <c r="AL203" s="338"/>
      <c r="AM203" s="338"/>
      <c r="AN203" s="338"/>
      <c r="AO203" s="338"/>
      <c r="AP203" s="338"/>
      <c r="AQ203" s="338"/>
      <c r="AR203" s="338"/>
      <c r="AS203" s="338"/>
      <c r="AT203" s="339"/>
      <c r="AU203" s="360"/>
      <c r="AV203" s="303"/>
      <c r="AW203" s="338"/>
      <c r="AX203" s="338"/>
      <c r="AY203" s="338"/>
      <c r="AZ203" s="338"/>
      <c r="BA203" s="338"/>
      <c r="BB203" s="338"/>
      <c r="BC203" s="338"/>
      <c r="BD203" s="338"/>
      <c r="BE203" s="338"/>
      <c r="BF203" s="338"/>
      <c r="BG203" s="339"/>
      <c r="BH203" s="360"/>
      <c r="BI203" s="303"/>
      <c r="BJ203" s="338"/>
      <c r="BK203" s="338"/>
      <c r="BL203" s="338"/>
      <c r="BM203" s="338"/>
      <c r="BN203" s="338"/>
      <c r="BO203" s="338"/>
      <c r="BP203" s="338"/>
      <c r="BQ203" s="338"/>
      <c r="BR203" s="338"/>
      <c r="BS203" s="338"/>
      <c r="BT203" s="339"/>
      <c r="BU203" s="360"/>
      <c r="BV203" s="303"/>
      <c r="BW203" s="338"/>
      <c r="BX203" s="338"/>
      <c r="BY203" s="338"/>
      <c r="BZ203" s="338"/>
      <c r="CA203" s="338"/>
      <c r="CB203" s="338"/>
      <c r="CC203" s="338"/>
      <c r="CD203" s="338"/>
      <c r="CE203" s="338"/>
      <c r="CF203" s="338"/>
      <c r="CG203" s="339"/>
      <c r="CH203" s="360"/>
      <c r="CI203" s="303"/>
      <c r="CJ203" s="338"/>
      <c r="CK203" s="338"/>
      <c r="CL203" s="338"/>
      <c r="CM203" s="338"/>
      <c r="CN203" s="338"/>
      <c r="CO203" s="338"/>
      <c r="CP203" s="338"/>
      <c r="CQ203" s="338"/>
      <c r="CR203" s="338"/>
      <c r="CS203" s="338"/>
      <c r="CT203" s="339"/>
      <c r="CU203" s="360"/>
      <c r="CV203" s="303"/>
      <c r="CW203" s="338"/>
      <c r="CX203" s="338"/>
      <c r="CY203" s="338"/>
      <c r="CZ203" s="338"/>
      <c r="DA203" s="338"/>
      <c r="DB203" s="338"/>
      <c r="DC203" s="338"/>
      <c r="DD203" s="338"/>
      <c r="DE203" s="338"/>
      <c r="DF203" s="338"/>
      <c r="DG203" s="339"/>
      <c r="DH203" s="360"/>
      <c r="DI203" s="303"/>
      <c r="DJ203" s="338"/>
      <c r="DK203" s="338"/>
      <c r="DL203" s="338"/>
      <c r="DM203" s="338"/>
      <c r="DN203" s="338"/>
      <c r="DO203" s="338"/>
      <c r="DP203" s="338"/>
      <c r="DQ203" s="338"/>
      <c r="DR203" s="338"/>
      <c r="DS203" s="338"/>
      <c r="DT203" s="339"/>
      <c r="DU203" s="360"/>
      <c r="DV203" s="303"/>
      <c r="DW203" s="338"/>
      <c r="DX203" s="338"/>
      <c r="DY203" s="338"/>
      <c r="DZ203" s="338"/>
      <c r="EA203" s="338"/>
      <c r="EB203" s="338"/>
      <c r="EC203" s="338"/>
      <c r="ED203" s="338"/>
      <c r="EE203" s="338"/>
      <c r="EF203" s="338"/>
      <c r="EG203" s="339"/>
      <c r="EH203" s="360"/>
      <c r="EI203" s="21"/>
      <c r="EJ203" s="21"/>
      <c r="EK203" s="21"/>
      <c r="EL203" s="21"/>
      <c r="EM203" s="21"/>
    </row>
    <row r="204" spans="1:143" ht="13.5" customHeight="1">
      <c r="A204" s="21"/>
      <c r="B204" s="21"/>
      <c r="C204" s="21"/>
      <c r="D204" s="422">
        <f t="shared" si="913"/>
        <v>141</v>
      </c>
      <c r="E204" s="1625"/>
      <c r="F204" s="403" t="str">
        <f t="shared" si="914"/>
        <v>Leasing 9</v>
      </c>
      <c r="G204" s="265"/>
      <c r="H204" s="666"/>
      <c r="I204" s="303"/>
      <c r="J204" s="338"/>
      <c r="K204" s="338"/>
      <c r="L204" s="338"/>
      <c r="M204" s="338"/>
      <c r="N204" s="338"/>
      <c r="O204" s="338"/>
      <c r="P204" s="338"/>
      <c r="Q204" s="338"/>
      <c r="R204" s="338"/>
      <c r="S204" s="338"/>
      <c r="T204" s="339">
        <v>40</v>
      </c>
      <c r="U204" s="360"/>
      <c r="V204" s="303"/>
      <c r="W204" s="338"/>
      <c r="X204" s="338"/>
      <c r="Y204" s="338"/>
      <c r="Z204" s="338"/>
      <c r="AA204" s="338"/>
      <c r="AB204" s="338"/>
      <c r="AC204" s="338"/>
      <c r="AD204" s="338"/>
      <c r="AE204" s="338"/>
      <c r="AF204" s="338"/>
      <c r="AG204" s="339"/>
      <c r="AH204" s="360"/>
      <c r="AI204" s="303"/>
      <c r="AJ204" s="338"/>
      <c r="AK204" s="338"/>
      <c r="AL204" s="338"/>
      <c r="AM204" s="338"/>
      <c r="AN204" s="338"/>
      <c r="AO204" s="338"/>
      <c r="AP204" s="338"/>
      <c r="AQ204" s="338"/>
      <c r="AR204" s="338"/>
      <c r="AS204" s="338"/>
      <c r="AT204" s="339"/>
      <c r="AU204" s="360"/>
      <c r="AV204" s="303"/>
      <c r="AW204" s="338"/>
      <c r="AX204" s="338"/>
      <c r="AY204" s="338"/>
      <c r="AZ204" s="338"/>
      <c r="BA204" s="338"/>
      <c r="BB204" s="338"/>
      <c r="BC204" s="338"/>
      <c r="BD204" s="338"/>
      <c r="BE204" s="338"/>
      <c r="BF204" s="338"/>
      <c r="BG204" s="339"/>
      <c r="BH204" s="360"/>
      <c r="BI204" s="303"/>
      <c r="BJ204" s="338"/>
      <c r="BK204" s="338"/>
      <c r="BL204" s="338"/>
      <c r="BM204" s="338"/>
      <c r="BN204" s="338"/>
      <c r="BO204" s="338"/>
      <c r="BP204" s="338"/>
      <c r="BQ204" s="338"/>
      <c r="BR204" s="338"/>
      <c r="BS204" s="338"/>
      <c r="BT204" s="339"/>
      <c r="BU204" s="360"/>
      <c r="BV204" s="303"/>
      <c r="BW204" s="338"/>
      <c r="BX204" s="338"/>
      <c r="BY204" s="338"/>
      <c r="BZ204" s="338"/>
      <c r="CA204" s="338"/>
      <c r="CB204" s="338"/>
      <c r="CC204" s="338"/>
      <c r="CD204" s="338"/>
      <c r="CE204" s="338"/>
      <c r="CF204" s="338"/>
      <c r="CG204" s="339"/>
      <c r="CH204" s="360"/>
      <c r="CI204" s="303"/>
      <c r="CJ204" s="338"/>
      <c r="CK204" s="338"/>
      <c r="CL204" s="338"/>
      <c r="CM204" s="338"/>
      <c r="CN204" s="338"/>
      <c r="CO204" s="338"/>
      <c r="CP204" s="338"/>
      <c r="CQ204" s="338"/>
      <c r="CR204" s="338"/>
      <c r="CS204" s="338"/>
      <c r="CT204" s="339"/>
      <c r="CU204" s="360"/>
      <c r="CV204" s="303"/>
      <c r="CW204" s="338"/>
      <c r="CX204" s="338"/>
      <c r="CY204" s="338"/>
      <c r="CZ204" s="338"/>
      <c r="DA204" s="338"/>
      <c r="DB204" s="338"/>
      <c r="DC204" s="338"/>
      <c r="DD204" s="338"/>
      <c r="DE204" s="338"/>
      <c r="DF204" s="338"/>
      <c r="DG204" s="339"/>
      <c r="DH204" s="360"/>
      <c r="DI204" s="303"/>
      <c r="DJ204" s="338"/>
      <c r="DK204" s="338"/>
      <c r="DL204" s="338"/>
      <c r="DM204" s="338"/>
      <c r="DN204" s="338"/>
      <c r="DO204" s="338"/>
      <c r="DP204" s="338"/>
      <c r="DQ204" s="338"/>
      <c r="DR204" s="338"/>
      <c r="DS204" s="338"/>
      <c r="DT204" s="339"/>
      <c r="DU204" s="360"/>
      <c r="DV204" s="303"/>
      <c r="DW204" s="338"/>
      <c r="DX204" s="338"/>
      <c r="DY204" s="338"/>
      <c r="DZ204" s="338"/>
      <c r="EA204" s="338"/>
      <c r="EB204" s="338"/>
      <c r="EC204" s="338"/>
      <c r="ED204" s="338"/>
      <c r="EE204" s="338"/>
      <c r="EF204" s="338"/>
      <c r="EG204" s="339"/>
      <c r="EH204" s="360"/>
      <c r="EI204" s="21"/>
      <c r="EJ204" s="21"/>
      <c r="EK204" s="21"/>
      <c r="EL204" s="21"/>
      <c r="EM204" s="21"/>
    </row>
    <row r="205" spans="1:143" ht="14.25" customHeight="1">
      <c r="A205" s="21"/>
      <c r="B205" s="21"/>
      <c r="C205" s="21"/>
      <c r="D205" s="432">
        <f t="shared" si="913"/>
        <v>142</v>
      </c>
      <c r="E205" s="1627"/>
      <c r="F205" s="405" t="str">
        <f t="shared" si="914"/>
        <v>Leasing 10</v>
      </c>
      <c r="G205" s="433"/>
      <c r="H205" s="669"/>
      <c r="I205" s="308"/>
      <c r="J205" s="306"/>
      <c r="K205" s="306"/>
      <c r="L205" s="306"/>
      <c r="M205" s="306"/>
      <c r="N205" s="306"/>
      <c r="O205" s="306"/>
      <c r="P205" s="306"/>
      <c r="Q205" s="306"/>
      <c r="R205" s="306"/>
      <c r="S205" s="306"/>
      <c r="T205" s="429">
        <v>50</v>
      </c>
      <c r="U205" s="411"/>
      <c r="V205" s="308"/>
      <c r="W205" s="306"/>
      <c r="X205" s="306"/>
      <c r="Y205" s="306"/>
      <c r="Z205" s="306"/>
      <c r="AA205" s="306"/>
      <c r="AB205" s="306"/>
      <c r="AC205" s="306"/>
      <c r="AD205" s="306"/>
      <c r="AE205" s="306"/>
      <c r="AF205" s="306"/>
      <c r="AG205" s="429"/>
      <c r="AH205" s="411"/>
      <c r="AI205" s="308"/>
      <c r="AJ205" s="306"/>
      <c r="AK205" s="306"/>
      <c r="AL205" s="306"/>
      <c r="AM205" s="306"/>
      <c r="AN205" s="306"/>
      <c r="AO205" s="306"/>
      <c r="AP205" s="306"/>
      <c r="AQ205" s="306"/>
      <c r="AR205" s="306"/>
      <c r="AS205" s="306"/>
      <c r="AT205" s="429"/>
      <c r="AU205" s="411"/>
      <c r="AV205" s="308"/>
      <c r="AW205" s="306"/>
      <c r="AX205" s="306"/>
      <c r="AY205" s="306"/>
      <c r="AZ205" s="306"/>
      <c r="BA205" s="306"/>
      <c r="BB205" s="306"/>
      <c r="BC205" s="306"/>
      <c r="BD205" s="306"/>
      <c r="BE205" s="306"/>
      <c r="BF205" s="306"/>
      <c r="BG205" s="429"/>
      <c r="BH205" s="411"/>
      <c r="BI205" s="308"/>
      <c r="BJ205" s="306"/>
      <c r="BK205" s="306"/>
      <c r="BL205" s="306"/>
      <c r="BM205" s="306"/>
      <c r="BN205" s="306"/>
      <c r="BO205" s="306"/>
      <c r="BP205" s="306"/>
      <c r="BQ205" s="306"/>
      <c r="BR205" s="306"/>
      <c r="BS205" s="306"/>
      <c r="BT205" s="429"/>
      <c r="BU205" s="411"/>
      <c r="BV205" s="308"/>
      <c r="BW205" s="306"/>
      <c r="BX205" s="306"/>
      <c r="BY205" s="306"/>
      <c r="BZ205" s="306"/>
      <c r="CA205" s="306"/>
      <c r="CB205" s="306"/>
      <c r="CC205" s="306"/>
      <c r="CD205" s="306"/>
      <c r="CE205" s="306"/>
      <c r="CF205" s="306"/>
      <c r="CG205" s="429"/>
      <c r="CH205" s="411"/>
      <c r="CI205" s="308"/>
      <c r="CJ205" s="306"/>
      <c r="CK205" s="306"/>
      <c r="CL205" s="306"/>
      <c r="CM205" s="306"/>
      <c r="CN205" s="306"/>
      <c r="CO205" s="306"/>
      <c r="CP205" s="306"/>
      <c r="CQ205" s="306"/>
      <c r="CR205" s="306"/>
      <c r="CS205" s="306"/>
      <c r="CT205" s="429"/>
      <c r="CU205" s="411"/>
      <c r="CV205" s="308"/>
      <c r="CW205" s="306"/>
      <c r="CX205" s="306"/>
      <c r="CY205" s="306"/>
      <c r="CZ205" s="306"/>
      <c r="DA205" s="306"/>
      <c r="DB205" s="306"/>
      <c r="DC205" s="306"/>
      <c r="DD205" s="306"/>
      <c r="DE205" s="306"/>
      <c r="DF205" s="306"/>
      <c r="DG205" s="429"/>
      <c r="DH205" s="411"/>
      <c r="DI205" s="308"/>
      <c r="DJ205" s="306"/>
      <c r="DK205" s="306"/>
      <c r="DL205" s="306"/>
      <c r="DM205" s="306"/>
      <c r="DN205" s="306"/>
      <c r="DO205" s="306"/>
      <c r="DP205" s="306"/>
      <c r="DQ205" s="306"/>
      <c r="DR205" s="306"/>
      <c r="DS205" s="306"/>
      <c r="DT205" s="429"/>
      <c r="DU205" s="411"/>
      <c r="DV205" s="308"/>
      <c r="DW205" s="306"/>
      <c r="DX205" s="306"/>
      <c r="DY205" s="306"/>
      <c r="DZ205" s="306"/>
      <c r="EA205" s="306"/>
      <c r="EB205" s="306"/>
      <c r="EC205" s="306"/>
      <c r="ED205" s="306"/>
      <c r="EE205" s="306"/>
      <c r="EF205" s="306"/>
      <c r="EG205" s="429"/>
      <c r="EH205" s="411"/>
      <c r="EI205" s="21"/>
      <c r="EJ205" s="21"/>
      <c r="EK205" s="21"/>
      <c r="EL205" s="21"/>
      <c r="EM205" s="21"/>
    </row>
    <row r="206" spans="1:143" ht="13.5" customHeight="1">
      <c r="A206" s="21"/>
      <c r="B206" s="21"/>
      <c r="C206" s="21"/>
      <c r="D206" s="449"/>
      <c r="E206" s="21"/>
      <c r="F206" s="21"/>
      <c r="G206" s="21"/>
      <c r="H206" s="21"/>
      <c r="I206" s="617"/>
      <c r="J206" s="617"/>
      <c r="K206" s="617"/>
      <c r="L206" s="617"/>
      <c r="M206" s="617"/>
      <c r="N206" s="617"/>
      <c r="O206" s="617"/>
      <c r="P206" s="617"/>
      <c r="Q206" s="617"/>
      <c r="R206" s="617"/>
      <c r="S206" s="617"/>
      <c r="T206" s="617"/>
      <c r="U206" s="349"/>
      <c r="V206" s="617"/>
      <c r="W206" s="617"/>
      <c r="X206" s="617"/>
      <c r="Y206" s="617"/>
      <c r="Z206" s="617"/>
      <c r="AA206" s="617"/>
      <c r="AB206" s="617"/>
      <c r="AC206" s="617"/>
      <c r="AD206" s="617"/>
      <c r="AE206" s="617"/>
      <c r="AF206" s="617"/>
      <c r="AG206" s="617"/>
      <c r="AH206" s="349"/>
      <c r="AI206" s="617"/>
      <c r="AJ206" s="617"/>
      <c r="AK206" s="617"/>
      <c r="AL206" s="617"/>
      <c r="AM206" s="617"/>
      <c r="AN206" s="617"/>
      <c r="AO206" s="617"/>
      <c r="AP206" s="617"/>
      <c r="AQ206" s="617"/>
      <c r="AR206" s="617"/>
      <c r="AS206" s="617"/>
      <c r="AT206" s="617"/>
      <c r="AU206" s="349"/>
      <c r="AV206" s="617"/>
      <c r="AW206" s="617"/>
      <c r="AX206" s="617"/>
      <c r="AY206" s="617"/>
      <c r="AZ206" s="617"/>
      <c r="BA206" s="617"/>
      <c r="BB206" s="617"/>
      <c r="BC206" s="617"/>
      <c r="BD206" s="617"/>
      <c r="BE206" s="617"/>
      <c r="BF206" s="617"/>
      <c r="BG206" s="617"/>
      <c r="BH206" s="349"/>
      <c r="BI206" s="617"/>
      <c r="BJ206" s="617"/>
      <c r="BK206" s="617"/>
      <c r="BL206" s="617"/>
      <c r="BM206" s="617"/>
      <c r="BN206" s="617"/>
      <c r="BO206" s="617"/>
      <c r="BP206" s="617"/>
      <c r="BQ206" s="617"/>
      <c r="BR206" s="617"/>
      <c r="BS206" s="617"/>
      <c r="BT206" s="617"/>
      <c r="BU206" s="349"/>
      <c r="BV206" s="617"/>
      <c r="BW206" s="617"/>
      <c r="BX206" s="617"/>
      <c r="BY206" s="617"/>
      <c r="BZ206" s="617"/>
      <c r="CA206" s="617"/>
      <c r="CB206" s="617"/>
      <c r="CC206" s="617"/>
      <c r="CD206" s="617"/>
      <c r="CE206" s="617"/>
      <c r="CF206" s="617"/>
      <c r="CG206" s="617"/>
      <c r="CH206" s="349"/>
      <c r="CI206" s="617"/>
      <c r="CJ206" s="617"/>
      <c r="CK206" s="617"/>
      <c r="CL206" s="617"/>
      <c r="CM206" s="617"/>
      <c r="CN206" s="617"/>
      <c r="CO206" s="617"/>
      <c r="CP206" s="617"/>
      <c r="CQ206" s="617"/>
      <c r="CR206" s="617"/>
      <c r="CS206" s="617"/>
      <c r="CT206" s="617"/>
      <c r="CU206" s="349"/>
      <c r="CV206" s="617"/>
      <c r="CW206" s="617"/>
      <c r="CX206" s="617"/>
      <c r="CY206" s="617"/>
      <c r="CZ206" s="617"/>
      <c r="DA206" s="617"/>
      <c r="DB206" s="617"/>
      <c r="DC206" s="617"/>
      <c r="DD206" s="617"/>
      <c r="DE206" s="617"/>
      <c r="DF206" s="617"/>
      <c r="DG206" s="617"/>
      <c r="DH206" s="349"/>
      <c r="DI206" s="617"/>
      <c r="DJ206" s="617"/>
      <c r="DK206" s="617"/>
      <c r="DL206" s="617"/>
      <c r="DM206" s="617"/>
      <c r="DN206" s="617"/>
      <c r="DO206" s="617"/>
      <c r="DP206" s="617"/>
      <c r="DQ206" s="617"/>
      <c r="DR206" s="617"/>
      <c r="DS206" s="617"/>
      <c r="DT206" s="617"/>
      <c r="DU206" s="349"/>
      <c r="DV206" s="617"/>
      <c r="DW206" s="617"/>
      <c r="DX206" s="617"/>
      <c r="DY206" s="617"/>
      <c r="DZ206" s="617"/>
      <c r="EA206" s="617"/>
      <c r="EB206" s="617"/>
      <c r="EC206" s="617"/>
      <c r="ED206" s="617"/>
      <c r="EE206" s="617"/>
      <c r="EF206" s="617"/>
      <c r="EG206" s="617"/>
      <c r="EH206" s="349"/>
      <c r="EI206" s="21"/>
      <c r="EJ206" s="21"/>
      <c r="EK206" s="21"/>
      <c r="EL206" s="21"/>
      <c r="EM206" s="21"/>
    </row>
    <row r="207" spans="1:143" ht="14.25" customHeight="1">
      <c r="A207" s="450"/>
      <c r="B207" s="450"/>
      <c r="C207" s="450"/>
      <c r="D207" s="450"/>
      <c r="E207" s="450"/>
      <c r="F207" s="450"/>
      <c r="G207" s="450"/>
      <c r="H207" s="451" t="s">
        <v>642</v>
      </c>
      <c r="I207" s="688">
        <f t="shared" ref="I207:T207" si="915">I39-I14+SUM(I60:I74,I76:I78)-SUM(I40:I57)+($H$208-I9)</f>
        <v>16410.768750000003</v>
      </c>
      <c r="J207" s="688">
        <f t="shared" si="915"/>
        <v>16424.537500000002</v>
      </c>
      <c r="K207" s="688">
        <f t="shared" si="915"/>
        <v>16438.306250000001</v>
      </c>
      <c r="L207" s="688">
        <f t="shared" si="915"/>
        <v>16452.075000000001</v>
      </c>
      <c r="M207" s="688">
        <f t="shared" si="915"/>
        <v>16465.84375</v>
      </c>
      <c r="N207" s="688">
        <f t="shared" si="915"/>
        <v>16479.612499999999</v>
      </c>
      <c r="O207" s="688">
        <f t="shared" si="915"/>
        <v>47500.236250000002</v>
      </c>
      <c r="P207" s="688">
        <f t="shared" si="915"/>
        <v>3219.4351979166659</v>
      </c>
      <c r="Q207" s="688">
        <f t="shared" si="915"/>
        <v>4026.1227481770816</v>
      </c>
      <c r="R207" s="688">
        <f t="shared" si="915"/>
        <v>3827.1670280230028</v>
      </c>
      <c r="S207" s="688">
        <f t="shared" si="915"/>
        <v>2798.9264041403662</v>
      </c>
      <c r="T207" s="688">
        <f t="shared" si="915"/>
        <v>4423.2435585183066</v>
      </c>
      <c r="U207" s="688"/>
      <c r="V207" s="688">
        <f t="shared" ref="V207:AG207" si="916">V39-V14+SUM(V60:V74,V76:V78)-SUM(V40:V57)</f>
        <v>2904.1155376675724</v>
      </c>
      <c r="W207" s="688">
        <f t="shared" si="916"/>
        <v>-5478.9412772963078</v>
      </c>
      <c r="X207" s="688">
        <f t="shared" si="916"/>
        <v>-295.45578794044559</v>
      </c>
      <c r="Y207" s="688">
        <f t="shared" si="916"/>
        <v>1161.0854138267186</v>
      </c>
      <c r="Z207" s="688">
        <f t="shared" si="916"/>
        <v>-995.48354105805993</v>
      </c>
      <c r="AA207" s="688">
        <f t="shared" si="916"/>
        <v>-1178.5399039002077</v>
      </c>
      <c r="AB207" s="688">
        <f t="shared" si="916"/>
        <v>-1147.1100221470006</v>
      </c>
      <c r="AC207" s="688">
        <f t="shared" si="916"/>
        <v>-1425.357367569648</v>
      </c>
      <c r="AD207" s="688">
        <f t="shared" si="916"/>
        <v>1097.0337019863146</v>
      </c>
      <c r="AE207" s="688">
        <f t="shared" si="916"/>
        <v>1541.6069828362015</v>
      </c>
      <c r="AF207" s="688">
        <f t="shared" si="916"/>
        <v>-3366.3589589734947</v>
      </c>
      <c r="AG207" s="688">
        <f t="shared" si="916"/>
        <v>-3869.8406169649388</v>
      </c>
      <c r="AH207" s="688"/>
      <c r="AI207" s="688">
        <f t="shared" ref="AI207:AT207" si="917">AI39-AI14+SUM(AI60:AI74,AI76:AI78)-SUM(AI40:AI57)</f>
        <v>1058.6892472874788</v>
      </c>
      <c r="AJ207" s="688">
        <f t="shared" si="917"/>
        <v>-6589.5480089851244</v>
      </c>
      <c r="AK207" s="688">
        <f t="shared" si="917"/>
        <v>-1258.7232423933419</v>
      </c>
      <c r="AL207" s="688">
        <f t="shared" si="917"/>
        <v>647.96439725338678</v>
      </c>
      <c r="AM207" s="688">
        <f t="shared" si="917"/>
        <v>-1730.150366102831</v>
      </c>
      <c r="AN207" s="688">
        <f t="shared" si="917"/>
        <v>-1908.8943524870265</v>
      </c>
      <c r="AO207" s="688">
        <f t="shared" si="917"/>
        <v>-1879.3795578053741</v>
      </c>
      <c r="AP207" s="688">
        <f t="shared" si="917"/>
        <v>-2219.0041493585086</v>
      </c>
      <c r="AQ207" s="688">
        <f t="shared" si="917"/>
        <v>550.08486368254853</v>
      </c>
      <c r="AR207" s="688">
        <f t="shared" si="917"/>
        <v>1062.1187042132369</v>
      </c>
      <c r="AS207" s="688">
        <f t="shared" si="917"/>
        <v>-4313.2949065849898</v>
      </c>
      <c r="AT207" s="688">
        <f t="shared" si="917"/>
        <v>-4900.7518974731884</v>
      </c>
      <c r="AU207" s="688"/>
      <c r="AV207" s="688">
        <f t="shared" ref="AV207:BG207" si="918">AV39-AV14+SUM(AV60:AV74,AV76:AV78)-SUM(AV40:AV57)</f>
        <v>992.06714194721644</v>
      </c>
      <c r="AW207" s="688">
        <f t="shared" si="918"/>
        <v>-7402.2645985365689</v>
      </c>
      <c r="AX207" s="688">
        <f t="shared" si="918"/>
        <v>-1165.081370191032</v>
      </c>
      <c r="AY207" s="688">
        <f t="shared" si="918"/>
        <v>559.54698505737906</v>
      </c>
      <c r="AZ207" s="688">
        <f t="shared" si="918"/>
        <v>-2057.656036733817</v>
      </c>
      <c r="BA207" s="688">
        <f t="shared" si="918"/>
        <v>-2255.5618437065932</v>
      </c>
      <c r="BB207" s="688">
        <f t="shared" si="918"/>
        <v>-2224.3937200232012</v>
      </c>
      <c r="BC207" s="688">
        <f t="shared" si="918"/>
        <v>-2599.2897391186216</v>
      </c>
      <c r="BD207" s="688">
        <f t="shared" si="918"/>
        <v>445.38829876966884</v>
      </c>
      <c r="BE207" s="688">
        <f t="shared" si="918"/>
        <v>1007.2946479260881</v>
      </c>
      <c r="BF207" s="688">
        <f t="shared" si="918"/>
        <v>-4907.0022900078657</v>
      </c>
      <c r="BG207" s="688">
        <f t="shared" si="918"/>
        <v>-5554.5581290912614</v>
      </c>
      <c r="BH207" s="688"/>
      <c r="BI207" s="688">
        <f t="shared" ref="BI207:BT207" si="919">BI39-BI14+SUM(BI60:BI74,BI76:BI78)-SUM(BI40:BI57)</f>
        <v>919.59754761448494</v>
      </c>
      <c r="BJ207" s="688">
        <f t="shared" si="919"/>
        <v>-8315.5980028220602</v>
      </c>
      <c r="BK207" s="688">
        <f t="shared" si="919"/>
        <v>-1456.1390095122442</v>
      </c>
      <c r="BL207" s="688">
        <f t="shared" si="919"/>
        <v>439.49760207515646</v>
      </c>
      <c r="BM207" s="688">
        <f t="shared" si="919"/>
        <v>-2440.8924225742194</v>
      </c>
      <c r="BN207" s="688">
        <f t="shared" si="919"/>
        <v>-2653.8089929253401</v>
      </c>
      <c r="BO207" s="688">
        <f t="shared" si="919"/>
        <v>-2598.8480733062988</v>
      </c>
      <c r="BP207" s="688">
        <f t="shared" si="919"/>
        <v>-2990.8434185443875</v>
      </c>
      <c r="BQ207" s="688">
        <f t="shared" si="919"/>
        <v>382.12924574132194</v>
      </c>
      <c r="BR207" s="688">
        <f t="shared" si="919"/>
        <v>996.14350374132482</v>
      </c>
      <c r="BS207" s="688">
        <f t="shared" si="919"/>
        <v>-5518.8166622586759</v>
      </c>
      <c r="BT207" s="688">
        <f t="shared" si="919"/>
        <v>-6186.1472309253422</v>
      </c>
      <c r="BU207" s="688"/>
      <c r="BV207" s="688">
        <f t="shared" ref="BV207:CG207" si="920">BV39-BV14+SUM(BV60:BV74,BV76:BV78)-SUM(BV40:BV57)</f>
        <v>-29881.133452797359</v>
      </c>
      <c r="BW207" s="688">
        <f t="shared" si="920"/>
        <v>-4159.8517983328529</v>
      </c>
      <c r="BX207" s="688">
        <f t="shared" si="920"/>
        <v>-1827.0368588150159</v>
      </c>
      <c r="BY207" s="688">
        <f t="shared" si="920"/>
        <v>-832.12799511952107</v>
      </c>
      <c r="BZ207" s="688">
        <f t="shared" si="920"/>
        <v>-2732.5540687760222</v>
      </c>
      <c r="CA207" s="688">
        <f t="shared" si="920"/>
        <v>-1528.2904834741748</v>
      </c>
      <c r="CB207" s="688">
        <f t="shared" si="920"/>
        <v>-1543.3632619023774</v>
      </c>
      <c r="CC207" s="688">
        <f t="shared" si="920"/>
        <v>-2585.594479101168</v>
      </c>
      <c r="CD207" s="688">
        <f t="shared" si="920"/>
        <v>959.30777195381233</v>
      </c>
      <c r="CE207" s="688">
        <f t="shared" si="920"/>
        <v>2118.5073548436631</v>
      </c>
      <c r="CF207" s="688">
        <f t="shared" si="920"/>
        <v>-4078.9343880448541</v>
      </c>
      <c r="CG207" s="688">
        <f t="shared" si="920"/>
        <v>-5191.174759397345</v>
      </c>
      <c r="CH207" s="688"/>
      <c r="CI207" s="688">
        <f t="shared" ref="CI207:CT207" si="921">CI39-CI14+SUM(CI60:CI74,CI76:CI78)-SUM(CI40:CI57)</f>
        <v>49938.929205469933</v>
      </c>
      <c r="CJ207" s="688">
        <f t="shared" si="921"/>
        <v>-8483.4249868122351</v>
      </c>
      <c r="CK207" s="688">
        <f t="shared" si="921"/>
        <v>-6388.729319161057</v>
      </c>
      <c r="CL207" s="688">
        <f t="shared" si="921"/>
        <v>102.26824358776867</v>
      </c>
      <c r="CM207" s="688">
        <f t="shared" si="921"/>
        <v>428.85196217660996</v>
      </c>
      <c r="CN207" s="688">
        <f t="shared" si="921"/>
        <v>-1004.7490887855729</v>
      </c>
      <c r="CO207" s="688">
        <f t="shared" si="921"/>
        <v>-929.6483999931861</v>
      </c>
      <c r="CP207" s="688">
        <f t="shared" si="921"/>
        <v>-303.37975354911032</v>
      </c>
      <c r="CQ207" s="688">
        <f t="shared" si="921"/>
        <v>1852.9427183433254</v>
      </c>
      <c r="CR207" s="688">
        <f t="shared" si="921"/>
        <v>1711.5318606433848</v>
      </c>
      <c r="CS207" s="688">
        <f t="shared" si="921"/>
        <v>-3645.3732997722309</v>
      </c>
      <c r="CT207" s="688">
        <f t="shared" si="921"/>
        <v>-3543.8190181967384</v>
      </c>
      <c r="CU207" s="688"/>
      <c r="CV207" s="688">
        <f t="shared" ref="CV207:DG207" si="922">CV39-CV14+SUM(CV60:CV74,CV76:CV78)-SUM(CV40:CV57)</f>
        <v>10488.037296469935</v>
      </c>
      <c r="CW207" s="688">
        <f t="shared" si="922"/>
        <v>-8483.4249868122351</v>
      </c>
      <c r="CX207" s="688">
        <f t="shared" si="922"/>
        <v>-6388.729319161057</v>
      </c>
      <c r="CY207" s="688">
        <f t="shared" si="922"/>
        <v>102.26824358776867</v>
      </c>
      <c r="CZ207" s="688">
        <f t="shared" si="922"/>
        <v>428.85196217660996</v>
      </c>
      <c r="DA207" s="688">
        <f t="shared" si="922"/>
        <v>-1004.7490887855729</v>
      </c>
      <c r="DB207" s="688">
        <f t="shared" si="922"/>
        <v>-929.6483999931861</v>
      </c>
      <c r="DC207" s="688">
        <f t="shared" si="922"/>
        <v>-303.37975354911032</v>
      </c>
      <c r="DD207" s="688">
        <f t="shared" si="922"/>
        <v>1852.9427183433254</v>
      </c>
      <c r="DE207" s="688">
        <f t="shared" si="922"/>
        <v>1711.5318606433848</v>
      </c>
      <c r="DF207" s="688">
        <f t="shared" si="922"/>
        <v>-3645.3732997722309</v>
      </c>
      <c r="DG207" s="688">
        <f t="shared" si="922"/>
        <v>-3543.8190181967384</v>
      </c>
      <c r="DH207" s="688"/>
      <c r="DI207" s="688">
        <f t="shared" ref="DI207:DT207" si="923">DI39-DI14+SUM(DI60:DI74,DI76:DI78)-SUM(DI40:DI57)</f>
        <v>10488.037296469935</v>
      </c>
      <c r="DJ207" s="688">
        <f t="shared" si="923"/>
        <v>-8483.4249868122351</v>
      </c>
      <c r="DK207" s="688">
        <f t="shared" si="923"/>
        <v>-6388.729319161057</v>
      </c>
      <c r="DL207" s="688">
        <f t="shared" si="923"/>
        <v>102.26824358776867</v>
      </c>
      <c r="DM207" s="688">
        <f t="shared" si="923"/>
        <v>428.85196217660996</v>
      </c>
      <c r="DN207" s="688">
        <f t="shared" si="923"/>
        <v>-1004.7490887855729</v>
      </c>
      <c r="DO207" s="688">
        <f t="shared" si="923"/>
        <v>-929.6483999931861</v>
      </c>
      <c r="DP207" s="688">
        <f t="shared" si="923"/>
        <v>-303.37975354911032</v>
      </c>
      <c r="DQ207" s="688">
        <f t="shared" si="923"/>
        <v>1852.9427183433254</v>
      </c>
      <c r="DR207" s="688">
        <f t="shared" si="923"/>
        <v>1711.5318606433848</v>
      </c>
      <c r="DS207" s="688">
        <f t="shared" si="923"/>
        <v>-3645.3732997722309</v>
      </c>
      <c r="DT207" s="688">
        <f t="shared" si="923"/>
        <v>-3543.8190181967384</v>
      </c>
      <c r="DU207" s="688"/>
      <c r="DV207" s="688">
        <f t="shared" ref="DV207:EG207" si="924">DV39-DV14+SUM(DV60:DV74,DV76:DV78)-SUM(DV40:DV57)</f>
        <v>10488.037296469935</v>
      </c>
      <c r="DW207" s="688">
        <f t="shared" si="924"/>
        <v>-8483.4249868122351</v>
      </c>
      <c r="DX207" s="688">
        <f t="shared" si="924"/>
        <v>-6388.729319161057</v>
      </c>
      <c r="DY207" s="688">
        <f t="shared" si="924"/>
        <v>102.26824358776867</v>
      </c>
      <c r="DZ207" s="688">
        <f t="shared" si="924"/>
        <v>428.85196217660996</v>
      </c>
      <c r="EA207" s="688">
        <f t="shared" si="924"/>
        <v>-1004.7490887855729</v>
      </c>
      <c r="EB207" s="688">
        <f t="shared" si="924"/>
        <v>-929.6483999931861</v>
      </c>
      <c r="EC207" s="688">
        <f t="shared" si="924"/>
        <v>-303.37975354911032</v>
      </c>
      <c r="ED207" s="688">
        <f t="shared" si="924"/>
        <v>1852.9427183433254</v>
      </c>
      <c r="EE207" s="688">
        <f t="shared" si="924"/>
        <v>1711.5318606433848</v>
      </c>
      <c r="EF207" s="688">
        <f t="shared" si="924"/>
        <v>-3645.3732997722309</v>
      </c>
      <c r="EG207" s="688">
        <f t="shared" si="924"/>
        <v>-3543.8190181967384</v>
      </c>
      <c r="EH207" s="688"/>
      <c r="EI207" s="450"/>
      <c r="EJ207" s="450"/>
      <c r="EK207" s="450"/>
      <c r="EL207" s="450"/>
      <c r="EM207" s="450"/>
    </row>
    <row r="208" spans="1:143" ht="14.25" customHeight="1">
      <c r="A208" s="450"/>
      <c r="B208" s="450"/>
      <c r="C208" s="450"/>
      <c r="D208" s="450"/>
      <c r="E208" s="450"/>
      <c r="F208" s="452" t="s">
        <v>643</v>
      </c>
      <c r="G208" s="689"/>
      <c r="H208" s="690">
        <f>+Assumption!K345</f>
        <v>500</v>
      </c>
      <c r="I208" s="688"/>
      <c r="J208" s="688"/>
      <c r="K208" s="688"/>
      <c r="L208" s="688"/>
      <c r="M208" s="688"/>
      <c r="N208" s="688"/>
      <c r="O208" s="688"/>
      <c r="P208" s="688"/>
      <c r="Q208" s="688"/>
      <c r="R208" s="688"/>
      <c r="S208" s="688"/>
      <c r="T208" s="688"/>
      <c r="U208" s="688"/>
      <c r="V208" s="688"/>
      <c r="W208" s="688"/>
      <c r="X208" s="688"/>
      <c r="Y208" s="688"/>
      <c r="Z208" s="688"/>
      <c r="AA208" s="688"/>
      <c r="AB208" s="688"/>
      <c r="AC208" s="688"/>
      <c r="AD208" s="688"/>
      <c r="AE208" s="688"/>
      <c r="AF208" s="688"/>
      <c r="AG208" s="688"/>
      <c r="AH208" s="688"/>
      <c r="AI208" s="688"/>
      <c r="AJ208" s="688"/>
      <c r="AK208" s="688"/>
      <c r="AL208" s="688"/>
      <c r="AM208" s="688"/>
      <c r="AN208" s="688"/>
      <c r="AO208" s="688"/>
      <c r="AP208" s="688"/>
      <c r="AQ208" s="688"/>
      <c r="AR208" s="688"/>
      <c r="AS208" s="688"/>
      <c r="AT208" s="688"/>
      <c r="AU208" s="688"/>
      <c r="AV208" s="688"/>
      <c r="AW208" s="688"/>
      <c r="AX208" s="688"/>
      <c r="AY208" s="688"/>
      <c r="AZ208" s="688"/>
      <c r="BA208" s="688"/>
      <c r="BB208" s="688"/>
      <c r="BC208" s="688"/>
      <c r="BD208" s="688"/>
      <c r="BE208" s="688"/>
      <c r="BF208" s="688"/>
      <c r="BG208" s="688"/>
      <c r="BH208" s="688"/>
      <c r="BI208" s="688"/>
      <c r="BJ208" s="688"/>
      <c r="BK208" s="688"/>
      <c r="BL208" s="688"/>
      <c r="BM208" s="688"/>
      <c r="BN208" s="688"/>
      <c r="BO208" s="688"/>
      <c r="BP208" s="688"/>
      <c r="BQ208" s="688"/>
      <c r="BR208" s="688"/>
      <c r="BS208" s="688"/>
      <c r="BT208" s="688"/>
      <c r="BU208" s="688"/>
      <c r="BV208" s="688"/>
      <c r="BW208" s="688"/>
      <c r="BX208" s="688"/>
      <c r="BY208" s="688"/>
      <c r="BZ208" s="688"/>
      <c r="CA208" s="688"/>
      <c r="CB208" s="688"/>
      <c r="CC208" s="688"/>
      <c r="CD208" s="688"/>
      <c r="CE208" s="688"/>
      <c r="CF208" s="688"/>
      <c r="CG208" s="688"/>
      <c r="CH208" s="688"/>
      <c r="CI208" s="688"/>
      <c r="CJ208" s="688"/>
      <c r="CK208" s="688"/>
      <c r="CL208" s="688"/>
      <c r="CM208" s="688"/>
      <c r="CN208" s="688"/>
      <c r="CO208" s="688"/>
      <c r="CP208" s="688"/>
      <c r="CQ208" s="688"/>
      <c r="CR208" s="688"/>
      <c r="CS208" s="688"/>
      <c r="CT208" s="688"/>
      <c r="CU208" s="688"/>
      <c r="CV208" s="688"/>
      <c r="CW208" s="688"/>
      <c r="CX208" s="688"/>
      <c r="CY208" s="688"/>
      <c r="CZ208" s="688"/>
      <c r="DA208" s="688"/>
      <c r="DB208" s="688"/>
      <c r="DC208" s="688"/>
      <c r="DD208" s="688"/>
      <c r="DE208" s="688"/>
      <c r="DF208" s="688"/>
      <c r="DG208" s="688"/>
      <c r="DH208" s="688"/>
      <c r="DI208" s="688"/>
      <c r="DJ208" s="688"/>
      <c r="DK208" s="688"/>
      <c r="DL208" s="688"/>
      <c r="DM208" s="688"/>
      <c r="DN208" s="688"/>
      <c r="DO208" s="688"/>
      <c r="DP208" s="688"/>
      <c r="DQ208" s="688"/>
      <c r="DR208" s="688"/>
      <c r="DS208" s="688"/>
      <c r="DT208" s="688"/>
      <c r="DU208" s="688"/>
      <c r="DV208" s="688"/>
      <c r="DW208" s="688"/>
      <c r="DX208" s="688"/>
      <c r="DY208" s="688"/>
      <c r="DZ208" s="688"/>
      <c r="EA208" s="688"/>
      <c r="EB208" s="688"/>
      <c r="EC208" s="688"/>
      <c r="ED208" s="688"/>
      <c r="EE208" s="688"/>
      <c r="EF208" s="688"/>
      <c r="EG208" s="688"/>
      <c r="EH208" s="688"/>
      <c r="EI208" s="450"/>
      <c r="EJ208" s="450"/>
      <c r="EK208" s="450"/>
      <c r="EL208" s="450"/>
      <c r="EM208" s="450"/>
    </row>
    <row r="209" spans="1:143" ht="13.5" customHeight="1">
      <c r="A209" s="450"/>
      <c r="B209" s="450"/>
      <c r="C209" s="450"/>
      <c r="D209" s="450"/>
      <c r="E209" s="450"/>
      <c r="F209" s="450"/>
      <c r="G209" s="450"/>
      <c r="H209" s="450"/>
      <c r="I209" s="688"/>
      <c r="J209" s="688"/>
      <c r="K209" s="688"/>
      <c r="L209" s="688"/>
      <c r="M209" s="688"/>
      <c r="N209" s="688"/>
      <c r="O209" s="688"/>
      <c r="P209" s="688"/>
      <c r="Q209" s="688"/>
      <c r="R209" s="688"/>
      <c r="S209" s="688"/>
      <c r="T209" s="688"/>
      <c r="U209" s="688">
        <f>+SUM(I182:T182)</f>
        <v>300</v>
      </c>
      <c r="V209" s="688"/>
      <c r="W209" s="688"/>
      <c r="X209" s="688"/>
      <c r="Y209" s="688"/>
      <c r="Z209" s="688"/>
      <c r="AA209" s="688"/>
      <c r="AB209" s="688"/>
      <c r="AC209" s="688"/>
      <c r="AD209" s="688"/>
      <c r="AE209" s="688"/>
      <c r="AF209" s="688"/>
      <c r="AG209" s="688"/>
      <c r="AH209" s="688">
        <f>+SUM(V182:AG182)</f>
        <v>0</v>
      </c>
      <c r="AI209" s="688"/>
      <c r="AJ209" s="688"/>
      <c r="AK209" s="688"/>
      <c r="AL209" s="688"/>
      <c r="AM209" s="688"/>
      <c r="AN209" s="688"/>
      <c r="AO209" s="688"/>
      <c r="AP209" s="688"/>
      <c r="AQ209" s="688"/>
      <c r="AR209" s="688"/>
      <c r="AS209" s="688"/>
      <c r="AT209" s="688"/>
      <c r="AU209" s="688">
        <f>+SUM(AI182:AT182)</f>
        <v>0</v>
      </c>
      <c r="AV209" s="688"/>
      <c r="AW209" s="688"/>
      <c r="AX209" s="688"/>
      <c r="AY209" s="688"/>
      <c r="AZ209" s="688"/>
      <c r="BA209" s="688"/>
      <c r="BB209" s="688"/>
      <c r="BC209" s="688"/>
      <c r="BD209" s="688"/>
      <c r="BE209" s="688"/>
      <c r="BF209" s="688"/>
      <c r="BG209" s="688"/>
      <c r="BH209" s="688">
        <f>+SUM(AV182:BG182)</f>
        <v>0</v>
      </c>
      <c r="BI209" s="688"/>
      <c r="BJ209" s="688"/>
      <c r="BK209" s="688"/>
      <c r="BL209" s="688"/>
      <c r="BM209" s="688"/>
      <c r="BN209" s="688"/>
      <c r="BO209" s="688"/>
      <c r="BP209" s="688"/>
      <c r="BQ209" s="688"/>
      <c r="BR209" s="688"/>
      <c r="BS209" s="688"/>
      <c r="BT209" s="688"/>
      <c r="BU209" s="688">
        <f>+SUM(BI182:BT182)</f>
        <v>0</v>
      </c>
      <c r="BV209" s="688"/>
      <c r="BW209" s="688"/>
      <c r="BX209" s="688"/>
      <c r="BY209" s="688"/>
      <c r="BZ209" s="688"/>
      <c r="CA209" s="688"/>
      <c r="CB209" s="688"/>
      <c r="CC209" s="688"/>
      <c r="CD209" s="688"/>
      <c r="CE209" s="688"/>
      <c r="CF209" s="688"/>
      <c r="CG209" s="688"/>
      <c r="CH209" s="688">
        <f>+SUM(BV182:CG182)</f>
        <v>0</v>
      </c>
      <c r="CI209" s="688"/>
      <c r="CJ209" s="688"/>
      <c r="CK209" s="688"/>
      <c r="CL209" s="688"/>
      <c r="CM209" s="688"/>
      <c r="CN209" s="688"/>
      <c r="CO209" s="688"/>
      <c r="CP209" s="688"/>
      <c r="CQ209" s="688"/>
      <c r="CR209" s="688"/>
      <c r="CS209" s="688"/>
      <c r="CT209" s="688"/>
      <c r="CU209" s="688">
        <f>+SUM(CI182:CT182)</f>
        <v>0</v>
      </c>
      <c r="CV209" s="688"/>
      <c r="CW209" s="688"/>
      <c r="CX209" s="688"/>
      <c r="CY209" s="688"/>
      <c r="CZ209" s="688"/>
      <c r="DA209" s="688"/>
      <c r="DB209" s="688"/>
      <c r="DC209" s="688"/>
      <c r="DD209" s="688"/>
      <c r="DE209" s="688"/>
      <c r="DF209" s="688"/>
      <c r="DG209" s="688"/>
      <c r="DH209" s="688">
        <f>+SUM(CV182:DG182)</f>
        <v>0</v>
      </c>
      <c r="DI209" s="688"/>
      <c r="DJ209" s="688"/>
      <c r="DK209" s="688"/>
      <c r="DL209" s="688"/>
      <c r="DM209" s="688"/>
      <c r="DN209" s="688"/>
      <c r="DO209" s="688"/>
      <c r="DP209" s="688"/>
      <c r="DQ209" s="688"/>
      <c r="DR209" s="688"/>
      <c r="DS209" s="688"/>
      <c r="DT209" s="688"/>
      <c r="DU209" s="688">
        <f>+SUM(DI182:DT182)</f>
        <v>0</v>
      </c>
      <c r="DV209" s="688"/>
      <c r="DW209" s="688"/>
      <c r="DX209" s="688"/>
      <c r="DY209" s="688"/>
      <c r="DZ209" s="688"/>
      <c r="EA209" s="688"/>
      <c r="EB209" s="688"/>
      <c r="EC209" s="688"/>
      <c r="ED209" s="688"/>
      <c r="EE209" s="688"/>
      <c r="EF209" s="688"/>
      <c r="EG209" s="688"/>
      <c r="EH209" s="688">
        <f>+SUM(DV182:EG182)</f>
        <v>0</v>
      </c>
      <c r="EI209" s="450"/>
      <c r="EJ209" s="450"/>
      <c r="EK209" s="450"/>
      <c r="EL209" s="450"/>
      <c r="EM209" s="450"/>
    </row>
    <row r="210" spans="1:143" ht="13.5" customHeight="1">
      <c r="A210" s="450"/>
      <c r="B210" s="450"/>
      <c r="C210" s="450"/>
      <c r="D210" s="450"/>
      <c r="E210" s="450"/>
      <c r="F210" s="450" t="s">
        <v>492</v>
      </c>
      <c r="G210" s="450"/>
      <c r="H210" s="450"/>
      <c r="I210" s="688">
        <f>+I62*Assumption!$H$253</f>
        <v>40000</v>
      </c>
      <c r="J210" s="688">
        <f>+J61*Assumption!$H$253</f>
        <v>0</v>
      </c>
      <c r="K210" s="688">
        <f>+K61*Assumption!$H$253</f>
        <v>0</v>
      </c>
      <c r="L210" s="688">
        <f>+L61*Assumption!$H$253</f>
        <v>0</v>
      </c>
      <c r="M210" s="688">
        <f>+M61*Assumption!$H$253</f>
        <v>0</v>
      </c>
      <c r="N210" s="688">
        <f>+N61*Assumption!$H$253</f>
        <v>0</v>
      </c>
      <c r="O210" s="688">
        <f>+O61*Assumption!$H$253</f>
        <v>0</v>
      </c>
      <c r="P210" s="688">
        <f>+P61*Assumption!$H$253</f>
        <v>0</v>
      </c>
      <c r="Q210" s="688">
        <f>+Q61*Assumption!$H$253</f>
        <v>0</v>
      </c>
      <c r="R210" s="688">
        <f>+R61*Assumption!$H$253</f>
        <v>0</v>
      </c>
      <c r="S210" s="688">
        <f>+S61*Assumption!$H$253</f>
        <v>0</v>
      </c>
      <c r="T210" s="688">
        <f>+T61*Assumption!$H$253</f>
        <v>8</v>
      </c>
      <c r="U210" s="688"/>
      <c r="V210" s="688">
        <f>+V61*Assumption!$H$253</f>
        <v>0</v>
      </c>
      <c r="W210" s="688">
        <f>+W61*Assumption!$H$253</f>
        <v>0</v>
      </c>
      <c r="X210" s="688">
        <f>+X61*Assumption!$H$253</f>
        <v>0</v>
      </c>
      <c r="Y210" s="688">
        <f>+Y61*Assumption!$H$253</f>
        <v>0</v>
      </c>
      <c r="Z210" s="688">
        <f>+Z61*Assumption!$H$253</f>
        <v>0</v>
      </c>
      <c r="AA210" s="688">
        <f>+AA61*Assumption!$H$253</f>
        <v>0</v>
      </c>
      <c r="AB210" s="688">
        <f>+AB61*Assumption!$H$253</f>
        <v>0</v>
      </c>
      <c r="AC210" s="688">
        <f>+AC61*Assumption!$H$253</f>
        <v>0</v>
      </c>
      <c r="AD210" s="688">
        <f>+AD61*Assumption!$H$253</f>
        <v>0</v>
      </c>
      <c r="AE210" s="688">
        <f>+AE61*Assumption!$H$253</f>
        <v>0</v>
      </c>
      <c r="AF210" s="688">
        <f>+AF61*Assumption!$H$253</f>
        <v>0</v>
      </c>
      <c r="AG210" s="688">
        <f>+AG61*Assumption!$H$253</f>
        <v>0</v>
      </c>
      <c r="AH210" s="688"/>
      <c r="AI210" s="688">
        <f>+AI61*Assumption!$H$253</f>
        <v>0</v>
      </c>
      <c r="AJ210" s="688">
        <f>+AJ61*Assumption!$H$253</f>
        <v>0</v>
      </c>
      <c r="AK210" s="688">
        <f>+AK61*Assumption!$H$253</f>
        <v>0</v>
      </c>
      <c r="AL210" s="688">
        <f>+AL61*Assumption!$H$253</f>
        <v>0</v>
      </c>
      <c r="AM210" s="688">
        <f>+AM61*Assumption!$H$253</f>
        <v>0</v>
      </c>
      <c r="AN210" s="688">
        <f>+AN61*Assumption!$H$253</f>
        <v>0</v>
      </c>
      <c r="AO210" s="688">
        <f>+AO61*Assumption!$H$253</f>
        <v>0</v>
      </c>
      <c r="AP210" s="688">
        <f>+AP61*Assumption!$H$253</f>
        <v>0</v>
      </c>
      <c r="AQ210" s="688">
        <f>+AQ61*Assumption!$H$253</f>
        <v>0</v>
      </c>
      <c r="AR210" s="688">
        <f>+AR61*Assumption!$H$253</f>
        <v>0</v>
      </c>
      <c r="AS210" s="688">
        <f>+AS61*Assumption!$H$253</f>
        <v>0</v>
      </c>
      <c r="AT210" s="688">
        <f>+AT61*Assumption!$H$253</f>
        <v>0</v>
      </c>
      <c r="AU210" s="688"/>
      <c r="AV210" s="688">
        <f>+AV61*Assumption!$H$253</f>
        <v>0</v>
      </c>
      <c r="AW210" s="688">
        <f>+AW61*Assumption!$H$253</f>
        <v>0</v>
      </c>
      <c r="AX210" s="688">
        <f>+AX61*Assumption!$H$253</f>
        <v>0</v>
      </c>
      <c r="AY210" s="688">
        <f>+AY61*Assumption!$H$253</f>
        <v>0</v>
      </c>
      <c r="AZ210" s="688">
        <f>+AZ61*Assumption!$H$253</f>
        <v>0</v>
      </c>
      <c r="BA210" s="688">
        <f>+BA61*Assumption!$H$253</f>
        <v>0</v>
      </c>
      <c r="BB210" s="688">
        <f>+BB61*Assumption!$H$253</f>
        <v>0</v>
      </c>
      <c r="BC210" s="688">
        <f>+BC61*Assumption!$H$253</f>
        <v>0</v>
      </c>
      <c r="BD210" s="688">
        <f>+BD61*Assumption!$H$253</f>
        <v>0</v>
      </c>
      <c r="BE210" s="688">
        <f>+BE61*Assumption!$H$253</f>
        <v>0</v>
      </c>
      <c r="BF210" s="688">
        <f>+BF61*Assumption!$H$253</f>
        <v>0</v>
      </c>
      <c r="BG210" s="688">
        <f>+BG61*Assumption!$H$253</f>
        <v>0</v>
      </c>
      <c r="BH210" s="688"/>
      <c r="BI210" s="688">
        <f>+BI61*Assumption!$H$253</f>
        <v>0</v>
      </c>
      <c r="BJ210" s="688">
        <f>+BJ61*Assumption!$H$253</f>
        <v>0</v>
      </c>
      <c r="BK210" s="688">
        <f>+BK61*Assumption!$H$253</f>
        <v>0</v>
      </c>
      <c r="BL210" s="688">
        <f>+BL61*Assumption!$H$253</f>
        <v>0</v>
      </c>
      <c r="BM210" s="688">
        <f>+BM61*Assumption!$H$253</f>
        <v>0</v>
      </c>
      <c r="BN210" s="688">
        <f>+BN61*Assumption!$H$253</f>
        <v>0</v>
      </c>
      <c r="BO210" s="688">
        <f>+BO61*Assumption!$H$253</f>
        <v>0</v>
      </c>
      <c r="BP210" s="688">
        <f>+BP61*Assumption!$H$253</f>
        <v>0</v>
      </c>
      <c r="BQ210" s="688">
        <f>+BQ61*Assumption!$H$253</f>
        <v>0</v>
      </c>
      <c r="BR210" s="688">
        <f>+BR61*Assumption!$H$253</f>
        <v>0</v>
      </c>
      <c r="BS210" s="688">
        <f>+BS61*Assumption!$H$253</f>
        <v>0</v>
      </c>
      <c r="BT210" s="688">
        <f>+BT61*Assumption!$H$253</f>
        <v>0</v>
      </c>
      <c r="BU210" s="688"/>
      <c r="BV210" s="688">
        <f>+BV61*Assumption!$H$253</f>
        <v>0</v>
      </c>
      <c r="BW210" s="688">
        <f>+BW61*Assumption!$H$253</f>
        <v>0</v>
      </c>
      <c r="BX210" s="688">
        <f>+BX61*Assumption!$H$253</f>
        <v>0</v>
      </c>
      <c r="BY210" s="688">
        <f>+BY61*Assumption!$H$253</f>
        <v>0</v>
      </c>
      <c r="BZ210" s="688">
        <f>+BZ61*Assumption!$H$253</f>
        <v>0</v>
      </c>
      <c r="CA210" s="688">
        <f>+CA61*Assumption!$H$253</f>
        <v>0</v>
      </c>
      <c r="CB210" s="688">
        <f>+CB61*Assumption!$H$253</f>
        <v>0</v>
      </c>
      <c r="CC210" s="688">
        <f>+CC61*Assumption!$H$253</f>
        <v>0</v>
      </c>
      <c r="CD210" s="688">
        <f>+CD61*Assumption!$H$253</f>
        <v>0</v>
      </c>
      <c r="CE210" s="688">
        <f>+CE61*Assumption!$H$253</f>
        <v>0</v>
      </c>
      <c r="CF210" s="688">
        <f>+CF61*Assumption!$H$253</f>
        <v>0</v>
      </c>
      <c r="CG210" s="688">
        <f>+CG61*Assumption!$H$253</f>
        <v>0</v>
      </c>
      <c r="CH210" s="688"/>
      <c r="CI210" s="688">
        <f>+CI61*Assumption!$H$253</f>
        <v>0</v>
      </c>
      <c r="CJ210" s="688">
        <f>+CJ61*Assumption!$H$253</f>
        <v>0</v>
      </c>
      <c r="CK210" s="688">
        <f>+CK61*Assumption!$H$253</f>
        <v>0</v>
      </c>
      <c r="CL210" s="688">
        <f>+CL61*Assumption!$H$253</f>
        <v>0</v>
      </c>
      <c r="CM210" s="688">
        <f>+CM61*Assumption!$H$253</f>
        <v>0</v>
      </c>
      <c r="CN210" s="688">
        <f>+CN61*Assumption!$H$253</f>
        <v>0</v>
      </c>
      <c r="CO210" s="688">
        <f>+CO61*Assumption!$H$253</f>
        <v>0</v>
      </c>
      <c r="CP210" s="688">
        <f>+CP61*Assumption!$H$253</f>
        <v>0</v>
      </c>
      <c r="CQ210" s="688">
        <f>+CQ61*Assumption!$H$253</f>
        <v>0</v>
      </c>
      <c r="CR210" s="688">
        <f>+CR61*Assumption!$H$253</f>
        <v>0</v>
      </c>
      <c r="CS210" s="688">
        <f>+CS61*Assumption!$H$253</f>
        <v>0</v>
      </c>
      <c r="CT210" s="688">
        <f>+CT61*Assumption!$H$253</f>
        <v>0</v>
      </c>
      <c r="CU210" s="688"/>
      <c r="CV210" s="688">
        <f>+CV61*Assumption!$H$253</f>
        <v>0</v>
      </c>
      <c r="CW210" s="688">
        <f>+CW61*Assumption!$H$253</f>
        <v>0</v>
      </c>
      <c r="CX210" s="688">
        <f>+CX61*Assumption!$H$253</f>
        <v>0</v>
      </c>
      <c r="CY210" s="688">
        <f>+CY61*Assumption!$H$253</f>
        <v>0</v>
      </c>
      <c r="CZ210" s="688">
        <f>+CZ61*Assumption!$H$253</f>
        <v>0</v>
      </c>
      <c r="DA210" s="688">
        <f>+DA61*Assumption!$H$253</f>
        <v>0</v>
      </c>
      <c r="DB210" s="688">
        <f>+DB61*Assumption!$H$253</f>
        <v>0</v>
      </c>
      <c r="DC210" s="688">
        <f>+DC61*Assumption!$H$253</f>
        <v>0</v>
      </c>
      <c r="DD210" s="688">
        <f>+DD61*Assumption!$H$253</f>
        <v>0</v>
      </c>
      <c r="DE210" s="688">
        <f>+DE61*Assumption!$H$253</f>
        <v>0</v>
      </c>
      <c r="DF210" s="688">
        <f>+DF61*Assumption!$H$253</f>
        <v>0</v>
      </c>
      <c r="DG210" s="688">
        <f>+DG61*Assumption!$H$253</f>
        <v>0</v>
      </c>
      <c r="DH210" s="688"/>
      <c r="DI210" s="688">
        <f>+DI61*Assumption!$H$253</f>
        <v>0</v>
      </c>
      <c r="DJ210" s="688">
        <f>+DJ61*Assumption!$H$253</f>
        <v>0</v>
      </c>
      <c r="DK210" s="688">
        <f>+DK61*Assumption!$H$253</f>
        <v>0</v>
      </c>
      <c r="DL210" s="688">
        <f>+DL61*Assumption!$H$253</f>
        <v>0</v>
      </c>
      <c r="DM210" s="688">
        <f>+DM61*Assumption!$H$253</f>
        <v>0</v>
      </c>
      <c r="DN210" s="688">
        <f>+DN61*Assumption!$H$253</f>
        <v>0</v>
      </c>
      <c r="DO210" s="688">
        <f>+DO61*Assumption!$H$253</f>
        <v>0</v>
      </c>
      <c r="DP210" s="688">
        <f>+DP61*Assumption!$H$253</f>
        <v>0</v>
      </c>
      <c r="DQ210" s="688">
        <f>+DQ61*Assumption!$H$253</f>
        <v>0</v>
      </c>
      <c r="DR210" s="688">
        <f>+DR61*Assumption!$H$253</f>
        <v>0</v>
      </c>
      <c r="DS210" s="688">
        <f>+DS61*Assumption!$H$253</f>
        <v>0</v>
      </c>
      <c r="DT210" s="688">
        <f>+DT61*Assumption!$H$253</f>
        <v>0</v>
      </c>
      <c r="DU210" s="688"/>
      <c r="DV210" s="688">
        <f>+DV61*Assumption!$H$253</f>
        <v>0</v>
      </c>
      <c r="DW210" s="688">
        <f>+DW61*Assumption!$H$253</f>
        <v>0</v>
      </c>
      <c r="DX210" s="688">
        <f>+DX61*Assumption!$H$253</f>
        <v>0</v>
      </c>
      <c r="DY210" s="688">
        <f>+DY61*Assumption!$H$253</f>
        <v>0</v>
      </c>
      <c r="DZ210" s="688">
        <f>+DZ61*Assumption!$H$253</f>
        <v>0</v>
      </c>
      <c r="EA210" s="688">
        <f>+EA61*Assumption!$H$253</f>
        <v>0</v>
      </c>
      <c r="EB210" s="688">
        <f>+EB61*Assumption!$H$253</f>
        <v>0</v>
      </c>
      <c r="EC210" s="688">
        <f>+EC61*Assumption!$H$253</f>
        <v>0</v>
      </c>
      <c r="ED210" s="688">
        <f>+ED61*Assumption!$H$253</f>
        <v>0</v>
      </c>
      <c r="EE210" s="688">
        <f>+EE61*Assumption!$H$253</f>
        <v>0</v>
      </c>
      <c r="EF210" s="688">
        <f>+EF61*Assumption!$H$253</f>
        <v>0</v>
      </c>
      <c r="EG210" s="688">
        <f>+EG61*Assumption!$H$253</f>
        <v>0</v>
      </c>
      <c r="EH210" s="688"/>
      <c r="EI210" s="450"/>
      <c r="EJ210" s="450"/>
      <c r="EK210" s="450"/>
      <c r="EL210" s="450"/>
      <c r="EM210" s="450"/>
    </row>
    <row r="211" spans="1:143" ht="13.5" customHeight="1">
      <c r="A211" s="450"/>
      <c r="B211" s="450"/>
      <c r="C211" s="450"/>
      <c r="D211" s="450"/>
      <c r="E211" s="450"/>
      <c r="F211" s="450" t="str">
        <f t="shared" ref="F211:F212" si="925">+F52</f>
        <v xml:space="preserve"> Additions to Subordinated Shareholders &amp; Related Parties Loan</v>
      </c>
      <c r="G211" s="450"/>
      <c r="H211" s="450"/>
      <c r="I211" s="688">
        <f>+I210*Assumption!$H$258</f>
        <v>10000</v>
      </c>
      <c r="J211" s="688">
        <f>+J210*Assumption!$H$258</f>
        <v>0</v>
      </c>
      <c r="K211" s="688">
        <f>+K210*Assumption!$H$258</f>
        <v>0</v>
      </c>
      <c r="L211" s="688">
        <f>+L210*Assumption!$H$258</f>
        <v>0</v>
      </c>
      <c r="M211" s="688">
        <f>+M210*Assumption!$H$258</f>
        <v>0</v>
      </c>
      <c r="N211" s="688">
        <f>+N210*Assumption!$H$258</f>
        <v>0</v>
      </c>
      <c r="O211" s="688">
        <f>+O210*Assumption!$H$258</f>
        <v>0</v>
      </c>
      <c r="P211" s="688">
        <f>+P210*Assumption!$H$258</f>
        <v>0</v>
      </c>
      <c r="Q211" s="688">
        <f>+Q210*Assumption!$H$258</f>
        <v>0</v>
      </c>
      <c r="R211" s="688">
        <f>+R210*Assumption!$H$258</f>
        <v>0</v>
      </c>
      <c r="S211" s="688">
        <f>+S210*Assumption!$H$258</f>
        <v>0</v>
      </c>
      <c r="T211" s="688">
        <f>+T210*Assumption!$H$258</f>
        <v>2</v>
      </c>
      <c r="U211" s="688"/>
      <c r="V211" s="688">
        <f>+V210*Assumption!$H$258</f>
        <v>0</v>
      </c>
      <c r="W211" s="688">
        <f>+W210*Assumption!$H$258</f>
        <v>0</v>
      </c>
      <c r="X211" s="688">
        <f>+X210*Assumption!$H$258</f>
        <v>0</v>
      </c>
      <c r="Y211" s="688">
        <f>+Y210*Assumption!$H$258</f>
        <v>0</v>
      </c>
      <c r="Z211" s="688">
        <f>+Z210*Assumption!$H$258</f>
        <v>0</v>
      </c>
      <c r="AA211" s="688">
        <f>+AA210*Assumption!$H$258</f>
        <v>0</v>
      </c>
      <c r="AB211" s="688">
        <f>+AB210*Assumption!$H$258</f>
        <v>0</v>
      </c>
      <c r="AC211" s="688">
        <f>+AC210*Assumption!$H$258</f>
        <v>0</v>
      </c>
      <c r="AD211" s="688">
        <f>+AD210*Assumption!$H$258</f>
        <v>0</v>
      </c>
      <c r="AE211" s="688">
        <f>+AE210*Assumption!$H$258</f>
        <v>0</v>
      </c>
      <c r="AF211" s="688">
        <f>+AF210*Assumption!$H$258</f>
        <v>0</v>
      </c>
      <c r="AG211" s="688">
        <f>+AG210*Assumption!$H$258</f>
        <v>0</v>
      </c>
      <c r="AH211" s="688"/>
      <c r="AI211" s="688">
        <f>+AI210*Assumption!$H$258</f>
        <v>0</v>
      </c>
      <c r="AJ211" s="688">
        <f>+AJ210*Assumption!$H$258</f>
        <v>0</v>
      </c>
      <c r="AK211" s="688">
        <f>+AK210*Assumption!$H$258</f>
        <v>0</v>
      </c>
      <c r="AL211" s="688">
        <f>+AL210*Assumption!$H$258</f>
        <v>0</v>
      </c>
      <c r="AM211" s="688">
        <f>+AM210*Assumption!$H$258</f>
        <v>0</v>
      </c>
      <c r="AN211" s="688">
        <f>+AN210*Assumption!$H$258</f>
        <v>0</v>
      </c>
      <c r="AO211" s="688">
        <f>+AO210*Assumption!$H$258</f>
        <v>0</v>
      </c>
      <c r="AP211" s="688">
        <f>+AP210*Assumption!$H$258</f>
        <v>0</v>
      </c>
      <c r="AQ211" s="688">
        <f>+AQ210*Assumption!$H$258</f>
        <v>0</v>
      </c>
      <c r="AR211" s="688">
        <f>+AR210*Assumption!$H$258</f>
        <v>0</v>
      </c>
      <c r="AS211" s="688">
        <f>+AS210*Assumption!$H$258</f>
        <v>0</v>
      </c>
      <c r="AT211" s="688">
        <f>+AT210*Assumption!$H$258</f>
        <v>0</v>
      </c>
      <c r="AU211" s="688"/>
      <c r="AV211" s="688">
        <f>+AV210*Assumption!$H$258</f>
        <v>0</v>
      </c>
      <c r="AW211" s="688">
        <f>+AW210*Assumption!$H$258</f>
        <v>0</v>
      </c>
      <c r="AX211" s="688">
        <f>+AX210*Assumption!$H$258</f>
        <v>0</v>
      </c>
      <c r="AY211" s="688">
        <f>+AY210*Assumption!$H$258</f>
        <v>0</v>
      </c>
      <c r="AZ211" s="688">
        <f>+AZ210*Assumption!$H$258</f>
        <v>0</v>
      </c>
      <c r="BA211" s="688">
        <f>+BA210*Assumption!$H$258</f>
        <v>0</v>
      </c>
      <c r="BB211" s="688">
        <f>+BB210*Assumption!$H$258</f>
        <v>0</v>
      </c>
      <c r="BC211" s="688">
        <f>+BC210*Assumption!$H$258</f>
        <v>0</v>
      </c>
      <c r="BD211" s="688">
        <f>+BD210*Assumption!$H$258</f>
        <v>0</v>
      </c>
      <c r="BE211" s="688">
        <f>+BE210*Assumption!$H$258</f>
        <v>0</v>
      </c>
      <c r="BF211" s="688">
        <f>+BF210*Assumption!$H$258</f>
        <v>0</v>
      </c>
      <c r="BG211" s="688">
        <f>+BG210*Assumption!$H$258</f>
        <v>0</v>
      </c>
      <c r="BH211" s="688"/>
      <c r="BI211" s="688">
        <f>+BI210*Assumption!$H$258</f>
        <v>0</v>
      </c>
      <c r="BJ211" s="688">
        <f>+BJ210*Assumption!$H$258</f>
        <v>0</v>
      </c>
      <c r="BK211" s="688">
        <f>+BK210*Assumption!$H$258</f>
        <v>0</v>
      </c>
      <c r="BL211" s="688">
        <f>+BL210*Assumption!$H$258</f>
        <v>0</v>
      </c>
      <c r="BM211" s="688">
        <f>+BM210*Assumption!$H$258</f>
        <v>0</v>
      </c>
      <c r="BN211" s="688">
        <f>+BN210*Assumption!$H$258</f>
        <v>0</v>
      </c>
      <c r="BO211" s="688">
        <f>+BO210*Assumption!$H$258</f>
        <v>0</v>
      </c>
      <c r="BP211" s="688">
        <f>+BP210*Assumption!$H$258</f>
        <v>0</v>
      </c>
      <c r="BQ211" s="688">
        <f>+BQ210*Assumption!$H$258</f>
        <v>0</v>
      </c>
      <c r="BR211" s="688">
        <f>+BR210*Assumption!$H$258</f>
        <v>0</v>
      </c>
      <c r="BS211" s="688">
        <f>+BS210*Assumption!$H$258</f>
        <v>0</v>
      </c>
      <c r="BT211" s="688">
        <f>+BT210*Assumption!$H$258</f>
        <v>0</v>
      </c>
      <c r="BU211" s="688"/>
      <c r="BV211" s="688">
        <f>+BV210*Assumption!$H$258</f>
        <v>0</v>
      </c>
      <c r="BW211" s="688">
        <f>+BW210*Assumption!$H$258</f>
        <v>0</v>
      </c>
      <c r="BX211" s="688">
        <f>+BX210*Assumption!$H$258</f>
        <v>0</v>
      </c>
      <c r="BY211" s="688">
        <f>+BY210*Assumption!$H$258</f>
        <v>0</v>
      </c>
      <c r="BZ211" s="688">
        <f>+BZ210*Assumption!$H$258</f>
        <v>0</v>
      </c>
      <c r="CA211" s="688">
        <f>+CA210*Assumption!$H$258</f>
        <v>0</v>
      </c>
      <c r="CB211" s="688">
        <f>+CB210*Assumption!$H$258</f>
        <v>0</v>
      </c>
      <c r="CC211" s="688">
        <f>+CC210*Assumption!$H$258</f>
        <v>0</v>
      </c>
      <c r="CD211" s="688">
        <f>+CD210*Assumption!$H$258</f>
        <v>0</v>
      </c>
      <c r="CE211" s="688">
        <f>+CE210*Assumption!$H$258</f>
        <v>0</v>
      </c>
      <c r="CF211" s="688">
        <f>+CF210*Assumption!$H$258</f>
        <v>0</v>
      </c>
      <c r="CG211" s="688">
        <f>+CG210*Assumption!$H$258</f>
        <v>0</v>
      </c>
      <c r="CH211" s="688"/>
      <c r="CI211" s="688">
        <f>+CI210*Assumption!$H$258</f>
        <v>0</v>
      </c>
      <c r="CJ211" s="688">
        <f>+CJ210*Assumption!$H$258</f>
        <v>0</v>
      </c>
      <c r="CK211" s="688">
        <f>+CK210*Assumption!$H$258</f>
        <v>0</v>
      </c>
      <c r="CL211" s="688">
        <f>+CL210*Assumption!$H$258</f>
        <v>0</v>
      </c>
      <c r="CM211" s="688">
        <f>+CM210*Assumption!$H$258</f>
        <v>0</v>
      </c>
      <c r="CN211" s="688">
        <f>+CN210*Assumption!$H$258</f>
        <v>0</v>
      </c>
      <c r="CO211" s="688">
        <f>+CO210*Assumption!$H$258</f>
        <v>0</v>
      </c>
      <c r="CP211" s="688">
        <f>+CP210*Assumption!$H$258</f>
        <v>0</v>
      </c>
      <c r="CQ211" s="688">
        <f>+CQ210*Assumption!$H$258</f>
        <v>0</v>
      </c>
      <c r="CR211" s="688">
        <f>+CR210*Assumption!$H$258</f>
        <v>0</v>
      </c>
      <c r="CS211" s="688">
        <f>+CS210*Assumption!$H$258</f>
        <v>0</v>
      </c>
      <c r="CT211" s="688">
        <f>+CT210*Assumption!$H$258</f>
        <v>0</v>
      </c>
      <c r="CU211" s="688"/>
      <c r="CV211" s="688">
        <f>+CV210*Assumption!$H$258</f>
        <v>0</v>
      </c>
      <c r="CW211" s="688">
        <f>+CW210*Assumption!$H$258</f>
        <v>0</v>
      </c>
      <c r="CX211" s="688">
        <f>+CX210*Assumption!$H$258</f>
        <v>0</v>
      </c>
      <c r="CY211" s="688">
        <f>+CY210*Assumption!$H$258</f>
        <v>0</v>
      </c>
      <c r="CZ211" s="688">
        <f>+CZ210*Assumption!$H$258</f>
        <v>0</v>
      </c>
      <c r="DA211" s="688">
        <f>+DA210*Assumption!$H$258</f>
        <v>0</v>
      </c>
      <c r="DB211" s="688">
        <f>+DB210*Assumption!$H$258</f>
        <v>0</v>
      </c>
      <c r="DC211" s="688">
        <f>+DC210*Assumption!$H$258</f>
        <v>0</v>
      </c>
      <c r="DD211" s="688">
        <f>+DD210*Assumption!$H$258</f>
        <v>0</v>
      </c>
      <c r="DE211" s="688">
        <f>+DE210*Assumption!$H$258</f>
        <v>0</v>
      </c>
      <c r="DF211" s="688">
        <f>+DF210*Assumption!$H$258</f>
        <v>0</v>
      </c>
      <c r="DG211" s="688">
        <f>+DG210*Assumption!$H$258</f>
        <v>0</v>
      </c>
      <c r="DH211" s="688"/>
      <c r="DI211" s="688">
        <f>+DI210*Assumption!$H$258</f>
        <v>0</v>
      </c>
      <c r="DJ211" s="688">
        <f>+DJ210*Assumption!$H$258</f>
        <v>0</v>
      </c>
      <c r="DK211" s="688">
        <f>+DK210*Assumption!$H$258</f>
        <v>0</v>
      </c>
      <c r="DL211" s="688">
        <f>+DL210*Assumption!$H$258</f>
        <v>0</v>
      </c>
      <c r="DM211" s="688">
        <f>+DM210*Assumption!$H$258</f>
        <v>0</v>
      </c>
      <c r="DN211" s="688">
        <f>+DN210*Assumption!$H$258</f>
        <v>0</v>
      </c>
      <c r="DO211" s="688">
        <f>+DO210*Assumption!$H$258</f>
        <v>0</v>
      </c>
      <c r="DP211" s="688">
        <f>+DP210*Assumption!$H$258</f>
        <v>0</v>
      </c>
      <c r="DQ211" s="688">
        <f>+DQ210*Assumption!$H$258</f>
        <v>0</v>
      </c>
      <c r="DR211" s="688">
        <f>+DR210*Assumption!$H$258</f>
        <v>0</v>
      </c>
      <c r="DS211" s="688">
        <f>+DS210*Assumption!$H$258</f>
        <v>0</v>
      </c>
      <c r="DT211" s="688">
        <f>+DT210*Assumption!$H$258</f>
        <v>0</v>
      </c>
      <c r="DU211" s="688"/>
      <c r="DV211" s="688">
        <f>+DV210*Assumption!$H$258</f>
        <v>0</v>
      </c>
      <c r="DW211" s="688">
        <f>+DW210*Assumption!$H$258</f>
        <v>0</v>
      </c>
      <c r="DX211" s="688">
        <f>+DX210*Assumption!$H$258</f>
        <v>0</v>
      </c>
      <c r="DY211" s="688">
        <f>+DY210*Assumption!$H$258</f>
        <v>0</v>
      </c>
      <c r="DZ211" s="688">
        <f>+DZ210*Assumption!$H$258</f>
        <v>0</v>
      </c>
      <c r="EA211" s="688">
        <f>+EA210*Assumption!$H$258</f>
        <v>0</v>
      </c>
      <c r="EB211" s="688">
        <f>+EB210*Assumption!$H$258</f>
        <v>0</v>
      </c>
      <c r="EC211" s="688">
        <f>+EC210*Assumption!$H$258</f>
        <v>0</v>
      </c>
      <c r="ED211" s="688">
        <f>+ED210*Assumption!$H$258</f>
        <v>0</v>
      </c>
      <c r="EE211" s="688">
        <f>+EE210*Assumption!$H$258</f>
        <v>0</v>
      </c>
      <c r="EF211" s="688">
        <f>+EF210*Assumption!$H$258</f>
        <v>0</v>
      </c>
      <c r="EG211" s="688">
        <f>+EG210*Assumption!$H$258</f>
        <v>0</v>
      </c>
      <c r="EH211" s="688"/>
      <c r="EI211" s="450"/>
      <c r="EJ211" s="450"/>
      <c r="EK211" s="450"/>
      <c r="EL211" s="450"/>
      <c r="EM211" s="450"/>
    </row>
    <row r="212" spans="1:143" ht="13.5" customHeight="1">
      <c r="A212" s="450"/>
      <c r="B212" s="450"/>
      <c r="C212" s="450"/>
      <c r="D212" s="450"/>
      <c r="E212" s="450"/>
      <c r="F212" s="450" t="str">
        <f t="shared" si="925"/>
        <v xml:space="preserve"> Additions to Additional Paid-In Capital</v>
      </c>
      <c r="G212" s="450"/>
      <c r="H212" s="450"/>
      <c r="I212" s="688">
        <f>+I210*Assumption!$H$260</f>
        <v>16000</v>
      </c>
      <c r="J212" s="688">
        <f>+J210*Assumption!$H$260</f>
        <v>0</v>
      </c>
      <c r="K212" s="688">
        <f>+K210*Assumption!$H$260</f>
        <v>0</v>
      </c>
      <c r="L212" s="688">
        <f>+L210*Assumption!$H$260</f>
        <v>0</v>
      </c>
      <c r="M212" s="688">
        <f>+M210*Assumption!$H$260</f>
        <v>0</v>
      </c>
      <c r="N212" s="688">
        <f>+N210*Assumption!$H$260</f>
        <v>0</v>
      </c>
      <c r="O212" s="688">
        <f>+O210*Assumption!$H$260</f>
        <v>0</v>
      </c>
      <c r="P212" s="688">
        <f>+P210*Assumption!$H$260</f>
        <v>0</v>
      </c>
      <c r="Q212" s="688">
        <f>+Q210*Assumption!$H$260</f>
        <v>0</v>
      </c>
      <c r="R212" s="688">
        <f>+R210*Assumption!$H$260</f>
        <v>0</v>
      </c>
      <c r="S212" s="688">
        <f>+S210*Assumption!$H$260</f>
        <v>0</v>
      </c>
      <c r="T212" s="688">
        <f>+T210*Assumption!$H$260</f>
        <v>3.2</v>
      </c>
      <c r="U212" s="688"/>
      <c r="V212" s="688">
        <f>+V210*Assumption!$H$260</f>
        <v>0</v>
      </c>
      <c r="W212" s="688">
        <f>+W210*Assumption!$H$260</f>
        <v>0</v>
      </c>
      <c r="X212" s="688">
        <f>+X210*Assumption!$H$260</f>
        <v>0</v>
      </c>
      <c r="Y212" s="688">
        <f>+Y210*Assumption!$H$260</f>
        <v>0</v>
      </c>
      <c r="Z212" s="688">
        <f>+Z210*Assumption!$H$260</f>
        <v>0</v>
      </c>
      <c r="AA212" s="688">
        <f>+AA210*Assumption!$H$260</f>
        <v>0</v>
      </c>
      <c r="AB212" s="688">
        <f>+AB210*Assumption!$H$260</f>
        <v>0</v>
      </c>
      <c r="AC212" s="688">
        <f>+AC210*Assumption!$H$260</f>
        <v>0</v>
      </c>
      <c r="AD212" s="688">
        <f>+AD210*Assumption!$H$260</f>
        <v>0</v>
      </c>
      <c r="AE212" s="688">
        <f>+AE210*Assumption!$H$260</f>
        <v>0</v>
      </c>
      <c r="AF212" s="688">
        <f>+AF210*Assumption!$H$260</f>
        <v>0</v>
      </c>
      <c r="AG212" s="688">
        <f>+AG210*Assumption!$H$260</f>
        <v>0</v>
      </c>
      <c r="AH212" s="688"/>
      <c r="AI212" s="688">
        <f>+AI210*Assumption!$H$260</f>
        <v>0</v>
      </c>
      <c r="AJ212" s="688">
        <f>+AJ210*Assumption!$H$260</f>
        <v>0</v>
      </c>
      <c r="AK212" s="688">
        <f>+AK210*Assumption!$H$260</f>
        <v>0</v>
      </c>
      <c r="AL212" s="688">
        <f>+AL210*Assumption!$H$260</f>
        <v>0</v>
      </c>
      <c r="AM212" s="688">
        <f>+AM210*Assumption!$H$260</f>
        <v>0</v>
      </c>
      <c r="AN212" s="688">
        <f>+AN210*Assumption!$H$260</f>
        <v>0</v>
      </c>
      <c r="AO212" s="688">
        <f>+AO210*Assumption!$H$260</f>
        <v>0</v>
      </c>
      <c r="AP212" s="688">
        <f>+AP210*Assumption!$H$260</f>
        <v>0</v>
      </c>
      <c r="AQ212" s="688">
        <f>+AQ210*Assumption!$H$260</f>
        <v>0</v>
      </c>
      <c r="AR212" s="688">
        <f>+AR210*Assumption!$H$260</f>
        <v>0</v>
      </c>
      <c r="AS212" s="688">
        <f>+AS210*Assumption!$H$260</f>
        <v>0</v>
      </c>
      <c r="AT212" s="688">
        <f>+AT210*Assumption!$H$260</f>
        <v>0</v>
      </c>
      <c r="AU212" s="688"/>
      <c r="AV212" s="688">
        <f>+AV210*Assumption!$H$260</f>
        <v>0</v>
      </c>
      <c r="AW212" s="688">
        <f>+AW210*Assumption!$H$260</f>
        <v>0</v>
      </c>
      <c r="AX212" s="688">
        <f>+AX210*Assumption!$H$260</f>
        <v>0</v>
      </c>
      <c r="AY212" s="688">
        <f>+AY210*Assumption!$H$260</f>
        <v>0</v>
      </c>
      <c r="AZ212" s="688">
        <f>+AZ210*Assumption!$H$260</f>
        <v>0</v>
      </c>
      <c r="BA212" s="688">
        <f>+BA210*Assumption!$H$260</f>
        <v>0</v>
      </c>
      <c r="BB212" s="688">
        <f>+BB210*Assumption!$H$260</f>
        <v>0</v>
      </c>
      <c r="BC212" s="688">
        <f>+BC210*Assumption!$H$260</f>
        <v>0</v>
      </c>
      <c r="BD212" s="688">
        <f>+BD210*Assumption!$H$260</f>
        <v>0</v>
      </c>
      <c r="BE212" s="688">
        <f>+BE210*Assumption!$H$260</f>
        <v>0</v>
      </c>
      <c r="BF212" s="688">
        <f>+BF210*Assumption!$H$260</f>
        <v>0</v>
      </c>
      <c r="BG212" s="688">
        <f>+BG210*Assumption!$H$260</f>
        <v>0</v>
      </c>
      <c r="BH212" s="688"/>
      <c r="BI212" s="688">
        <f>+BI210*Assumption!$H$260</f>
        <v>0</v>
      </c>
      <c r="BJ212" s="688">
        <f>+BJ210*Assumption!$H$260</f>
        <v>0</v>
      </c>
      <c r="BK212" s="688">
        <f>+BK210*Assumption!$H$260</f>
        <v>0</v>
      </c>
      <c r="BL212" s="688">
        <f>+BL210*Assumption!$H$260</f>
        <v>0</v>
      </c>
      <c r="BM212" s="688">
        <f>+BM210*Assumption!$H$260</f>
        <v>0</v>
      </c>
      <c r="BN212" s="688">
        <f>+BN210*Assumption!$H$260</f>
        <v>0</v>
      </c>
      <c r="BO212" s="688">
        <f>+BO210*Assumption!$H$260</f>
        <v>0</v>
      </c>
      <c r="BP212" s="688">
        <f>+BP210*Assumption!$H$260</f>
        <v>0</v>
      </c>
      <c r="BQ212" s="688">
        <f>+BQ210*Assumption!$H$260</f>
        <v>0</v>
      </c>
      <c r="BR212" s="688">
        <f>+BR210*Assumption!$H$260</f>
        <v>0</v>
      </c>
      <c r="BS212" s="688">
        <f>+BS210*Assumption!$H$260</f>
        <v>0</v>
      </c>
      <c r="BT212" s="688">
        <f>+BT210*Assumption!$H$260</f>
        <v>0</v>
      </c>
      <c r="BU212" s="688"/>
      <c r="BV212" s="688">
        <f>+BV210*Assumption!$H$260</f>
        <v>0</v>
      </c>
      <c r="BW212" s="688">
        <f>+BW210*Assumption!$H$260</f>
        <v>0</v>
      </c>
      <c r="BX212" s="688">
        <f>+BX210*Assumption!$H$260</f>
        <v>0</v>
      </c>
      <c r="BY212" s="688">
        <f>+BY210*Assumption!$H$260</f>
        <v>0</v>
      </c>
      <c r="BZ212" s="688">
        <f>+BZ210*Assumption!$H$260</f>
        <v>0</v>
      </c>
      <c r="CA212" s="688">
        <f>+CA210*Assumption!$H$260</f>
        <v>0</v>
      </c>
      <c r="CB212" s="688">
        <f>+CB210*Assumption!$H$260</f>
        <v>0</v>
      </c>
      <c r="CC212" s="688">
        <f>+CC210*Assumption!$H$260</f>
        <v>0</v>
      </c>
      <c r="CD212" s="688">
        <f>+CD210*Assumption!$H$260</f>
        <v>0</v>
      </c>
      <c r="CE212" s="688">
        <f>+CE210*Assumption!$H$260</f>
        <v>0</v>
      </c>
      <c r="CF212" s="688">
        <f>+CF210*Assumption!$H$260</f>
        <v>0</v>
      </c>
      <c r="CG212" s="688">
        <f>+CG210*Assumption!$H$260</f>
        <v>0</v>
      </c>
      <c r="CH212" s="688"/>
      <c r="CI212" s="688">
        <f>+CI210*Assumption!$H$260</f>
        <v>0</v>
      </c>
      <c r="CJ212" s="688">
        <f>+CJ210*Assumption!$H$260</f>
        <v>0</v>
      </c>
      <c r="CK212" s="688">
        <f>+CK210*Assumption!$H$260</f>
        <v>0</v>
      </c>
      <c r="CL212" s="688">
        <f>+CL210*Assumption!$H$260</f>
        <v>0</v>
      </c>
      <c r="CM212" s="688">
        <f>+CM210*Assumption!$H$260</f>
        <v>0</v>
      </c>
      <c r="CN212" s="688">
        <f>+CN210*Assumption!$H$260</f>
        <v>0</v>
      </c>
      <c r="CO212" s="688">
        <f>+CO210*Assumption!$H$260</f>
        <v>0</v>
      </c>
      <c r="CP212" s="688">
        <f>+CP210*Assumption!$H$260</f>
        <v>0</v>
      </c>
      <c r="CQ212" s="688">
        <f>+CQ210*Assumption!$H$260</f>
        <v>0</v>
      </c>
      <c r="CR212" s="688">
        <f>+CR210*Assumption!$H$260</f>
        <v>0</v>
      </c>
      <c r="CS212" s="688">
        <f>+CS210*Assumption!$H$260</f>
        <v>0</v>
      </c>
      <c r="CT212" s="688">
        <f>+CT210*Assumption!$H$260</f>
        <v>0</v>
      </c>
      <c r="CU212" s="688"/>
      <c r="CV212" s="688">
        <f>+CV210*Assumption!$H$260</f>
        <v>0</v>
      </c>
      <c r="CW212" s="688">
        <f>+CW210*Assumption!$H$260</f>
        <v>0</v>
      </c>
      <c r="CX212" s="688">
        <f>+CX210*Assumption!$H$260</f>
        <v>0</v>
      </c>
      <c r="CY212" s="688">
        <f>+CY210*Assumption!$H$260</f>
        <v>0</v>
      </c>
      <c r="CZ212" s="688">
        <f>+CZ210*Assumption!$H$260</f>
        <v>0</v>
      </c>
      <c r="DA212" s="688">
        <f>+DA210*Assumption!$H$260</f>
        <v>0</v>
      </c>
      <c r="DB212" s="688">
        <f>+DB210*Assumption!$H$260</f>
        <v>0</v>
      </c>
      <c r="DC212" s="688">
        <f>+DC210*Assumption!$H$260</f>
        <v>0</v>
      </c>
      <c r="DD212" s="688">
        <f>+DD210*Assumption!$H$260</f>
        <v>0</v>
      </c>
      <c r="DE212" s="688">
        <f>+DE210*Assumption!$H$260</f>
        <v>0</v>
      </c>
      <c r="DF212" s="688">
        <f>+DF210*Assumption!$H$260</f>
        <v>0</v>
      </c>
      <c r="DG212" s="688">
        <f>+DG210*Assumption!$H$260</f>
        <v>0</v>
      </c>
      <c r="DH212" s="688"/>
      <c r="DI212" s="688">
        <f>+DI210*Assumption!$H$260</f>
        <v>0</v>
      </c>
      <c r="DJ212" s="688">
        <f>+DJ210*Assumption!$H$260</f>
        <v>0</v>
      </c>
      <c r="DK212" s="688">
        <f>+DK210*Assumption!$H$260</f>
        <v>0</v>
      </c>
      <c r="DL212" s="688">
        <f>+DL210*Assumption!$H$260</f>
        <v>0</v>
      </c>
      <c r="DM212" s="688">
        <f>+DM210*Assumption!$H$260</f>
        <v>0</v>
      </c>
      <c r="DN212" s="688">
        <f>+DN210*Assumption!$H$260</f>
        <v>0</v>
      </c>
      <c r="DO212" s="688">
        <f>+DO210*Assumption!$H$260</f>
        <v>0</v>
      </c>
      <c r="DP212" s="688">
        <f>+DP210*Assumption!$H$260</f>
        <v>0</v>
      </c>
      <c r="DQ212" s="688">
        <f>+DQ210*Assumption!$H$260</f>
        <v>0</v>
      </c>
      <c r="DR212" s="688">
        <f>+DR210*Assumption!$H$260</f>
        <v>0</v>
      </c>
      <c r="DS212" s="688">
        <f>+DS210*Assumption!$H$260</f>
        <v>0</v>
      </c>
      <c r="DT212" s="688">
        <f>+DT210*Assumption!$H$260</f>
        <v>0</v>
      </c>
      <c r="DU212" s="688"/>
      <c r="DV212" s="688">
        <f>+DV210*Assumption!$H$260</f>
        <v>0</v>
      </c>
      <c r="DW212" s="688">
        <f>+DW210*Assumption!$H$260</f>
        <v>0</v>
      </c>
      <c r="DX212" s="688">
        <f>+DX210*Assumption!$H$260</f>
        <v>0</v>
      </c>
      <c r="DY212" s="688">
        <f>+DY210*Assumption!$H$260</f>
        <v>0</v>
      </c>
      <c r="DZ212" s="688">
        <f>+DZ210*Assumption!$H$260</f>
        <v>0</v>
      </c>
      <c r="EA212" s="688">
        <f>+EA210*Assumption!$H$260</f>
        <v>0</v>
      </c>
      <c r="EB212" s="688">
        <f>+EB210*Assumption!$H$260</f>
        <v>0</v>
      </c>
      <c r="EC212" s="688">
        <f>+EC210*Assumption!$H$260</f>
        <v>0</v>
      </c>
      <c r="ED212" s="688">
        <f>+ED210*Assumption!$H$260</f>
        <v>0</v>
      </c>
      <c r="EE212" s="688">
        <f>+EE210*Assumption!$H$260</f>
        <v>0</v>
      </c>
      <c r="EF212" s="688">
        <f>+EF210*Assumption!$H$260</f>
        <v>0</v>
      </c>
      <c r="EG212" s="688">
        <f>+EG210*Assumption!$H$260</f>
        <v>0</v>
      </c>
      <c r="EH212" s="688"/>
      <c r="EI212" s="450"/>
      <c r="EJ212" s="450"/>
      <c r="EK212" s="450"/>
      <c r="EL212" s="450"/>
      <c r="EM212" s="450"/>
    </row>
    <row r="213" spans="1:143" ht="13.5" customHeight="1">
      <c r="A213" s="21"/>
      <c r="B213" s="21"/>
      <c r="C213" s="21"/>
      <c r="D213" s="21"/>
      <c r="E213" s="21"/>
      <c r="F213" s="21"/>
      <c r="G213" s="21"/>
      <c r="H213" s="21"/>
      <c r="I213" s="617"/>
      <c r="J213" s="617"/>
      <c r="K213" s="617"/>
      <c r="L213" s="617"/>
      <c r="M213" s="617"/>
      <c r="N213" s="617"/>
      <c r="O213" s="617"/>
      <c r="P213" s="617"/>
      <c r="Q213" s="617"/>
      <c r="R213" s="617"/>
      <c r="S213" s="617"/>
      <c r="T213" s="617"/>
      <c r="U213" s="617"/>
      <c r="V213" s="617"/>
      <c r="W213" s="617"/>
      <c r="X213" s="617"/>
      <c r="Y213" s="617"/>
      <c r="Z213" s="617"/>
      <c r="AA213" s="617"/>
      <c r="AB213" s="617"/>
      <c r="AC213" s="617"/>
      <c r="AD213" s="617"/>
      <c r="AE213" s="617"/>
      <c r="AF213" s="617"/>
      <c r="AG213" s="617"/>
      <c r="AH213" s="617"/>
      <c r="AI213" s="617"/>
      <c r="AJ213" s="617"/>
      <c r="AK213" s="617"/>
      <c r="AL213" s="617"/>
      <c r="AM213" s="617"/>
      <c r="AN213" s="617"/>
      <c r="AO213" s="617"/>
      <c r="AP213" s="617"/>
      <c r="AQ213" s="617"/>
      <c r="AR213" s="617"/>
      <c r="AS213" s="617"/>
      <c r="AT213" s="617"/>
      <c r="AU213" s="617"/>
      <c r="AV213" s="617"/>
      <c r="AW213" s="617"/>
      <c r="AX213" s="617"/>
      <c r="AY213" s="617"/>
      <c r="AZ213" s="617"/>
      <c r="BA213" s="617"/>
      <c r="BB213" s="617"/>
      <c r="BC213" s="617"/>
      <c r="BD213" s="617"/>
      <c r="BE213" s="617"/>
      <c r="BF213" s="617"/>
      <c r="BG213" s="617"/>
      <c r="BH213" s="617"/>
      <c r="BI213" s="617"/>
      <c r="BJ213" s="617"/>
      <c r="BK213" s="617"/>
      <c r="BL213" s="617"/>
      <c r="BM213" s="617"/>
      <c r="BN213" s="617"/>
      <c r="BO213" s="617"/>
      <c r="BP213" s="617"/>
      <c r="BQ213" s="617"/>
      <c r="BR213" s="617"/>
      <c r="BS213" s="617"/>
      <c r="BT213" s="617"/>
      <c r="BU213" s="617"/>
      <c r="BV213" s="617"/>
      <c r="BW213" s="617"/>
      <c r="BX213" s="617"/>
      <c r="BY213" s="617"/>
      <c r="BZ213" s="617"/>
      <c r="CA213" s="617"/>
      <c r="CB213" s="617"/>
      <c r="CC213" s="617"/>
      <c r="CD213" s="617"/>
      <c r="CE213" s="617"/>
      <c r="CF213" s="617"/>
      <c r="CG213" s="617"/>
      <c r="CH213" s="617"/>
      <c r="CI213" s="617"/>
      <c r="CJ213" s="617"/>
      <c r="CK213" s="617"/>
      <c r="CL213" s="617"/>
      <c r="CM213" s="617"/>
      <c r="CN213" s="617"/>
      <c r="CO213" s="617"/>
      <c r="CP213" s="617"/>
      <c r="CQ213" s="617"/>
      <c r="CR213" s="617"/>
      <c r="CS213" s="617"/>
      <c r="CT213" s="617"/>
      <c r="CU213" s="617"/>
      <c r="CV213" s="617"/>
      <c r="CW213" s="617"/>
      <c r="CX213" s="617"/>
      <c r="CY213" s="617"/>
      <c r="CZ213" s="617"/>
      <c r="DA213" s="617"/>
      <c r="DB213" s="617"/>
      <c r="DC213" s="617"/>
      <c r="DD213" s="617"/>
      <c r="DE213" s="617"/>
      <c r="DF213" s="617"/>
      <c r="DG213" s="617"/>
      <c r="DH213" s="617"/>
      <c r="DI213" s="617"/>
      <c r="DJ213" s="617"/>
      <c r="DK213" s="617"/>
      <c r="DL213" s="617"/>
      <c r="DM213" s="617"/>
      <c r="DN213" s="617"/>
      <c r="DO213" s="617"/>
      <c r="DP213" s="617"/>
      <c r="DQ213" s="617"/>
      <c r="DR213" s="617"/>
      <c r="DS213" s="617"/>
      <c r="DT213" s="617"/>
      <c r="DU213" s="617"/>
      <c r="DV213" s="617"/>
      <c r="DW213" s="617"/>
      <c r="DX213" s="617"/>
      <c r="DY213" s="617"/>
      <c r="DZ213" s="617"/>
      <c r="EA213" s="617"/>
      <c r="EB213" s="617"/>
      <c r="EC213" s="617"/>
      <c r="ED213" s="617"/>
      <c r="EE213" s="617"/>
      <c r="EF213" s="617"/>
      <c r="EG213" s="617"/>
      <c r="EH213" s="617"/>
      <c r="EI213" s="21"/>
      <c r="EJ213" s="21"/>
      <c r="EK213" s="21"/>
      <c r="EL213" s="21"/>
      <c r="EM213" s="21"/>
    </row>
    <row r="214" spans="1:143" ht="13.5" customHeight="1">
      <c r="A214" s="21"/>
      <c r="B214" s="21"/>
      <c r="C214" s="21"/>
      <c r="D214" s="21"/>
      <c r="E214" s="21"/>
      <c r="F214" s="21"/>
      <c r="G214" s="21"/>
      <c r="H214" s="21"/>
      <c r="I214" s="617"/>
      <c r="J214" s="617"/>
      <c r="K214" s="617"/>
      <c r="L214" s="617"/>
      <c r="M214" s="617"/>
      <c r="N214" s="617"/>
      <c r="O214" s="617"/>
      <c r="P214" s="617"/>
      <c r="Q214" s="617"/>
      <c r="R214" s="617"/>
      <c r="S214" s="617"/>
      <c r="T214" s="617"/>
      <c r="U214" s="617"/>
      <c r="V214" s="617"/>
      <c r="W214" s="617"/>
      <c r="X214" s="617"/>
      <c r="Y214" s="617"/>
      <c r="Z214" s="617"/>
      <c r="AA214" s="617"/>
      <c r="AB214" s="617"/>
      <c r="AC214" s="617"/>
      <c r="AD214" s="617"/>
      <c r="AE214" s="617"/>
      <c r="AF214" s="617"/>
      <c r="AG214" s="617"/>
      <c r="AH214" s="617"/>
      <c r="AI214" s="617"/>
      <c r="AJ214" s="617"/>
      <c r="AK214" s="617"/>
      <c r="AL214" s="617"/>
      <c r="AM214" s="617"/>
      <c r="AN214" s="617"/>
      <c r="AO214" s="617"/>
      <c r="AP214" s="617"/>
      <c r="AQ214" s="617"/>
      <c r="AR214" s="617"/>
      <c r="AS214" s="617"/>
      <c r="AT214" s="617"/>
      <c r="AU214" s="617"/>
      <c r="AV214" s="617"/>
      <c r="AW214" s="617"/>
      <c r="AX214" s="617"/>
      <c r="AY214" s="617"/>
      <c r="AZ214" s="617"/>
      <c r="BA214" s="617"/>
      <c r="BB214" s="617"/>
      <c r="BC214" s="617"/>
      <c r="BD214" s="617"/>
      <c r="BE214" s="617"/>
      <c r="BF214" s="617"/>
      <c r="BG214" s="617"/>
      <c r="BH214" s="617"/>
      <c r="BI214" s="617"/>
      <c r="BJ214" s="617"/>
      <c r="BK214" s="617"/>
      <c r="BL214" s="617"/>
      <c r="BM214" s="617"/>
      <c r="BN214" s="617"/>
      <c r="BO214" s="617"/>
      <c r="BP214" s="617"/>
      <c r="BQ214" s="617"/>
      <c r="BR214" s="617"/>
      <c r="BS214" s="617"/>
      <c r="BT214" s="617"/>
      <c r="BU214" s="617"/>
      <c r="BV214" s="617"/>
      <c r="BW214" s="617"/>
      <c r="BX214" s="617"/>
      <c r="BY214" s="617"/>
      <c r="BZ214" s="617"/>
      <c r="CA214" s="617"/>
      <c r="CB214" s="617"/>
      <c r="CC214" s="617"/>
      <c r="CD214" s="617"/>
      <c r="CE214" s="617"/>
      <c r="CF214" s="617"/>
      <c r="CG214" s="617"/>
      <c r="CH214" s="617"/>
      <c r="CI214" s="617"/>
      <c r="CJ214" s="617"/>
      <c r="CK214" s="617"/>
      <c r="CL214" s="617"/>
      <c r="CM214" s="617"/>
      <c r="CN214" s="617"/>
      <c r="CO214" s="617"/>
      <c r="CP214" s="617"/>
      <c r="CQ214" s="617"/>
      <c r="CR214" s="617"/>
      <c r="CS214" s="617"/>
      <c r="CT214" s="617"/>
      <c r="CU214" s="617"/>
      <c r="CV214" s="617"/>
      <c r="CW214" s="617"/>
      <c r="CX214" s="617"/>
      <c r="CY214" s="617"/>
      <c r="CZ214" s="617"/>
      <c r="DA214" s="617"/>
      <c r="DB214" s="617"/>
      <c r="DC214" s="617"/>
      <c r="DD214" s="617"/>
      <c r="DE214" s="617"/>
      <c r="DF214" s="617"/>
      <c r="DG214" s="617"/>
      <c r="DH214" s="617"/>
      <c r="DI214" s="617"/>
      <c r="DJ214" s="617"/>
      <c r="DK214" s="617"/>
      <c r="DL214" s="617"/>
      <c r="DM214" s="617"/>
      <c r="DN214" s="617"/>
      <c r="DO214" s="617"/>
      <c r="DP214" s="617"/>
      <c r="DQ214" s="617"/>
      <c r="DR214" s="617"/>
      <c r="DS214" s="617"/>
      <c r="DT214" s="617"/>
      <c r="DU214" s="617"/>
      <c r="DV214" s="617"/>
      <c r="DW214" s="617"/>
      <c r="DX214" s="617"/>
      <c r="DY214" s="617"/>
      <c r="DZ214" s="617"/>
      <c r="EA214" s="617"/>
      <c r="EB214" s="617"/>
      <c r="EC214" s="617"/>
      <c r="ED214" s="617"/>
      <c r="EE214" s="617"/>
      <c r="EF214" s="617"/>
      <c r="EG214" s="617"/>
      <c r="EH214" s="617"/>
      <c r="EI214" s="21"/>
      <c r="EJ214" s="21"/>
      <c r="EK214" s="21"/>
      <c r="EL214" s="21"/>
      <c r="EM214" s="21"/>
    </row>
    <row r="215" spans="1:143" ht="13.5" customHeight="1">
      <c r="A215" s="21"/>
      <c r="B215" s="21"/>
      <c r="C215" s="21"/>
      <c r="D215" s="21"/>
      <c r="E215" s="21"/>
      <c r="F215" s="21" t="s">
        <v>644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688"/>
      <c r="DJ215" s="688"/>
      <c r="DK215" s="688"/>
      <c r="DL215" s="688"/>
      <c r="DM215" s="688"/>
      <c r="DN215" s="688"/>
      <c r="DO215" s="688"/>
      <c r="DP215" s="688"/>
      <c r="DQ215" s="688"/>
      <c r="DR215" s="688"/>
      <c r="DS215" s="688"/>
      <c r="DT215" s="688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</row>
    <row r="216" spans="1:143" ht="13.5" customHeight="1">
      <c r="A216" s="21"/>
      <c r="B216" s="21"/>
      <c r="C216" s="21"/>
      <c r="D216" s="21"/>
      <c r="E216" s="21"/>
      <c r="F216" s="21" t="s">
        <v>645</v>
      </c>
      <c r="G216" s="15"/>
      <c r="H216" s="66">
        <f>+MAX(Assumption!H266:H270)</f>
        <v>0.1</v>
      </c>
      <c r="I216" s="688">
        <f t="shared" ref="I216:T216" si="926">+$H$216*H96/12</f>
        <v>16.691666666666666</v>
      </c>
      <c r="J216" s="688">
        <f t="shared" si="926"/>
        <v>16.691666666666666</v>
      </c>
      <c r="K216" s="688">
        <f t="shared" si="926"/>
        <v>16.691666666666666</v>
      </c>
      <c r="L216" s="688">
        <f t="shared" si="926"/>
        <v>16.691666666666666</v>
      </c>
      <c r="M216" s="688">
        <f t="shared" si="926"/>
        <v>16.691666666666666</v>
      </c>
      <c r="N216" s="688">
        <f t="shared" si="926"/>
        <v>16.691666666666666</v>
      </c>
      <c r="O216" s="688">
        <f t="shared" si="926"/>
        <v>16.691666666666666</v>
      </c>
      <c r="P216" s="688">
        <f t="shared" si="926"/>
        <v>412.52696875000009</v>
      </c>
      <c r="Q216" s="688">
        <f t="shared" si="926"/>
        <v>439.35559539930563</v>
      </c>
      <c r="R216" s="688">
        <f t="shared" si="926"/>
        <v>472.9066183007813</v>
      </c>
      <c r="S216" s="688">
        <f t="shared" si="926"/>
        <v>504.79967686763968</v>
      </c>
      <c r="T216" s="688">
        <f t="shared" si="926"/>
        <v>528.12406356880945</v>
      </c>
      <c r="U216" s="15"/>
      <c r="V216" s="688">
        <f>+$H$216*T96/12</f>
        <v>564.98442655646193</v>
      </c>
      <c r="W216" s="688">
        <f t="shared" ref="W216:AG216" si="927">+$H$216*V96/12</f>
        <v>589.18538937035839</v>
      </c>
      <c r="X216" s="688">
        <f t="shared" si="927"/>
        <v>543.52754539288912</v>
      </c>
      <c r="Y216" s="688">
        <f t="shared" si="927"/>
        <v>541.06541382671878</v>
      </c>
      <c r="Z216" s="688">
        <f t="shared" si="927"/>
        <v>550.74112560860806</v>
      </c>
      <c r="AA216" s="688">
        <f t="shared" si="927"/>
        <v>542.44542943312422</v>
      </c>
      <c r="AB216" s="688">
        <f t="shared" si="927"/>
        <v>532.62426356728918</v>
      </c>
      <c r="AC216" s="688">
        <f t="shared" si="927"/>
        <v>523.06501338273085</v>
      </c>
      <c r="AD216" s="688">
        <f t="shared" si="927"/>
        <v>511.18703531965048</v>
      </c>
      <c r="AE216" s="688">
        <f t="shared" si="927"/>
        <v>520.32898283620307</v>
      </c>
      <c r="AF216" s="688">
        <f t="shared" si="927"/>
        <v>533.17570769317138</v>
      </c>
      <c r="AG216" s="688">
        <f t="shared" si="927"/>
        <v>505.12271636839228</v>
      </c>
      <c r="AH216" s="21"/>
      <c r="AI216" s="688">
        <f>+$H$216*AG96/12</f>
        <v>472.87404456035114</v>
      </c>
      <c r="AJ216" s="688">
        <f t="shared" ref="AJ216:AT216" si="928">+$H$216*AI96/12</f>
        <v>481.69645495441341</v>
      </c>
      <c r="AK216" s="688">
        <f t="shared" si="928"/>
        <v>426.78355487953741</v>
      </c>
      <c r="AL216" s="688">
        <f t="shared" si="928"/>
        <v>416.29419452625956</v>
      </c>
      <c r="AM216" s="688">
        <f t="shared" si="928"/>
        <v>421.69389783670448</v>
      </c>
      <c r="AN216" s="688">
        <f t="shared" si="928"/>
        <v>407.27597811918082</v>
      </c>
      <c r="AO216" s="688">
        <f t="shared" si="928"/>
        <v>391.36852518178898</v>
      </c>
      <c r="AP216" s="688">
        <f t="shared" si="928"/>
        <v>375.70702886674417</v>
      </c>
      <c r="AQ216" s="688">
        <f t="shared" si="928"/>
        <v>357.21532762208994</v>
      </c>
      <c r="AR216" s="688">
        <f t="shared" si="928"/>
        <v>361.79936815277779</v>
      </c>
      <c r="AS216" s="688">
        <f t="shared" si="928"/>
        <v>370.65035735455473</v>
      </c>
      <c r="AT216" s="688">
        <f t="shared" si="928"/>
        <v>334.7062331330132</v>
      </c>
      <c r="AU216" s="21"/>
      <c r="AV216" s="688">
        <f>+$H$216*AT96/12</f>
        <v>293.8666339874033</v>
      </c>
      <c r="AW216" s="688">
        <f t="shared" ref="AW216:BG216" si="929">+$H$216*AV96/12</f>
        <v>302.13386017029671</v>
      </c>
      <c r="AX216" s="688">
        <f t="shared" si="929"/>
        <v>240.44832184915867</v>
      </c>
      <c r="AY216" s="688">
        <f t="shared" si="929"/>
        <v>230.7393104309001</v>
      </c>
      <c r="AZ216" s="688">
        <f t="shared" si="929"/>
        <v>235.40220197304492</v>
      </c>
      <c r="BA216" s="688">
        <f t="shared" si="929"/>
        <v>218.25506833359645</v>
      </c>
      <c r="BB216" s="688">
        <f t="shared" si="929"/>
        <v>199.45871963604148</v>
      </c>
      <c r="BC216" s="688">
        <f t="shared" si="929"/>
        <v>180.92210530251484</v>
      </c>
      <c r="BD216" s="688">
        <f t="shared" si="929"/>
        <v>159.26135747652631</v>
      </c>
      <c r="BE216" s="688">
        <f t="shared" si="929"/>
        <v>162.97292663294024</v>
      </c>
      <c r="BF216" s="688">
        <f t="shared" si="929"/>
        <v>171.36704869899097</v>
      </c>
      <c r="BG216" s="688">
        <f t="shared" si="929"/>
        <v>130.47536294892541</v>
      </c>
      <c r="BH216" s="21"/>
      <c r="BI216" s="688">
        <f>+$H$216*BG96/12</f>
        <v>84.187378539831556</v>
      </c>
      <c r="BJ216" s="688">
        <f t="shared" ref="BJ216:BT216" si="930">+$H$216*BI96/12</f>
        <v>91.850691436618931</v>
      </c>
      <c r="BK216" s="688">
        <f t="shared" si="930"/>
        <v>22.554041413101761</v>
      </c>
      <c r="BL216" s="688">
        <f t="shared" si="930"/>
        <v>10.419549667166393</v>
      </c>
      <c r="BM216" s="688">
        <f t="shared" si="930"/>
        <v>14.082029684459364</v>
      </c>
      <c r="BN216" s="688">
        <f t="shared" si="930"/>
        <v>0</v>
      </c>
      <c r="BO216" s="688">
        <f t="shared" si="930"/>
        <v>0</v>
      </c>
      <c r="BP216" s="688">
        <f t="shared" si="930"/>
        <v>0</v>
      </c>
      <c r="BQ216" s="688">
        <f t="shared" si="930"/>
        <v>0</v>
      </c>
      <c r="BR216" s="688">
        <f t="shared" si="930"/>
        <v>0</v>
      </c>
      <c r="BS216" s="688">
        <f t="shared" si="930"/>
        <v>0</v>
      </c>
      <c r="BT216" s="688">
        <f t="shared" si="930"/>
        <v>0</v>
      </c>
      <c r="BU216" s="21"/>
      <c r="BV216" s="688">
        <f>+$H$216*BT96/12</f>
        <v>0</v>
      </c>
      <c r="BW216" s="688">
        <f t="shared" ref="BW216:CG216" si="931">+$H$216*BV96/12</f>
        <v>0</v>
      </c>
      <c r="BX216" s="688">
        <f t="shared" si="931"/>
        <v>0</v>
      </c>
      <c r="BY216" s="688">
        <f t="shared" si="931"/>
        <v>0</v>
      </c>
      <c r="BZ216" s="688">
        <f t="shared" si="931"/>
        <v>0</v>
      </c>
      <c r="CA216" s="688">
        <f t="shared" si="931"/>
        <v>0</v>
      </c>
      <c r="CB216" s="688">
        <f t="shared" si="931"/>
        <v>0</v>
      </c>
      <c r="CC216" s="688">
        <f t="shared" si="931"/>
        <v>0</v>
      </c>
      <c r="CD216" s="688">
        <f t="shared" si="931"/>
        <v>0</v>
      </c>
      <c r="CE216" s="688">
        <f t="shared" si="931"/>
        <v>0</v>
      </c>
      <c r="CF216" s="688">
        <f t="shared" si="931"/>
        <v>0</v>
      </c>
      <c r="CG216" s="688">
        <f t="shared" si="931"/>
        <v>0</v>
      </c>
      <c r="CH216" s="21"/>
      <c r="CI216" s="688">
        <f>+$H$216*CG96/12</f>
        <v>0</v>
      </c>
      <c r="CJ216" s="688">
        <f t="shared" ref="CJ216:CT216" si="932">+$H$216*CI96/12</f>
        <v>0</v>
      </c>
      <c r="CK216" s="688">
        <f t="shared" si="932"/>
        <v>0</v>
      </c>
      <c r="CL216" s="688">
        <f t="shared" si="932"/>
        <v>0</v>
      </c>
      <c r="CM216" s="688">
        <f t="shared" si="932"/>
        <v>0</v>
      </c>
      <c r="CN216" s="688">
        <f t="shared" si="932"/>
        <v>0</v>
      </c>
      <c r="CO216" s="688">
        <f t="shared" si="932"/>
        <v>0</v>
      </c>
      <c r="CP216" s="688">
        <f t="shared" si="932"/>
        <v>0</v>
      </c>
      <c r="CQ216" s="688">
        <f t="shared" si="932"/>
        <v>0</v>
      </c>
      <c r="CR216" s="688">
        <f t="shared" si="932"/>
        <v>0</v>
      </c>
      <c r="CS216" s="688">
        <f t="shared" si="932"/>
        <v>0</v>
      </c>
      <c r="CT216" s="688">
        <f t="shared" si="932"/>
        <v>0</v>
      </c>
      <c r="CU216" s="21"/>
      <c r="CV216" s="688">
        <f>+$H$216*CT96/12</f>
        <v>0</v>
      </c>
      <c r="CW216" s="688">
        <f t="shared" ref="CW216:DG216" si="933">+$H$216*CV96/12</f>
        <v>0</v>
      </c>
      <c r="CX216" s="688">
        <f t="shared" si="933"/>
        <v>0</v>
      </c>
      <c r="CY216" s="688">
        <f t="shared" si="933"/>
        <v>0</v>
      </c>
      <c r="CZ216" s="688">
        <f t="shared" si="933"/>
        <v>0</v>
      </c>
      <c r="DA216" s="688">
        <f t="shared" si="933"/>
        <v>0</v>
      </c>
      <c r="DB216" s="688">
        <f t="shared" si="933"/>
        <v>0</v>
      </c>
      <c r="DC216" s="688">
        <f t="shared" si="933"/>
        <v>0</v>
      </c>
      <c r="DD216" s="688">
        <f t="shared" si="933"/>
        <v>0</v>
      </c>
      <c r="DE216" s="688">
        <f t="shared" si="933"/>
        <v>0</v>
      </c>
      <c r="DF216" s="688">
        <f t="shared" si="933"/>
        <v>0</v>
      </c>
      <c r="DG216" s="688">
        <f t="shared" si="933"/>
        <v>0</v>
      </c>
      <c r="DH216" s="21"/>
      <c r="DI216" s="688">
        <f>+$H$216*DG96/12</f>
        <v>0</v>
      </c>
      <c r="DJ216" s="688">
        <f t="shared" ref="DJ216:DT216" si="934">+$H$216*DI96/12</f>
        <v>0</v>
      </c>
      <c r="DK216" s="688">
        <f t="shared" si="934"/>
        <v>0</v>
      </c>
      <c r="DL216" s="688">
        <f t="shared" si="934"/>
        <v>0</v>
      </c>
      <c r="DM216" s="688">
        <f t="shared" si="934"/>
        <v>0</v>
      </c>
      <c r="DN216" s="688">
        <f t="shared" si="934"/>
        <v>0</v>
      </c>
      <c r="DO216" s="688">
        <f t="shared" si="934"/>
        <v>0</v>
      </c>
      <c r="DP216" s="688">
        <f t="shared" si="934"/>
        <v>0</v>
      </c>
      <c r="DQ216" s="688">
        <f t="shared" si="934"/>
        <v>0</v>
      </c>
      <c r="DR216" s="688">
        <f t="shared" si="934"/>
        <v>0</v>
      </c>
      <c r="DS216" s="688">
        <f t="shared" si="934"/>
        <v>0</v>
      </c>
      <c r="DT216" s="688">
        <f t="shared" si="934"/>
        <v>0</v>
      </c>
      <c r="DU216" s="21"/>
      <c r="DV216" s="688">
        <f>+$H$216*DT96/12</f>
        <v>0</v>
      </c>
      <c r="DW216" s="688">
        <f t="shared" ref="DW216:EG216" si="935">+$H$216*DV96/12</f>
        <v>0</v>
      </c>
      <c r="DX216" s="688">
        <f t="shared" si="935"/>
        <v>0</v>
      </c>
      <c r="DY216" s="688">
        <f t="shared" si="935"/>
        <v>0</v>
      </c>
      <c r="DZ216" s="688">
        <f t="shared" si="935"/>
        <v>0</v>
      </c>
      <c r="EA216" s="688">
        <f t="shared" si="935"/>
        <v>0</v>
      </c>
      <c r="EB216" s="688">
        <f t="shared" si="935"/>
        <v>0</v>
      </c>
      <c r="EC216" s="688">
        <f t="shared" si="935"/>
        <v>0</v>
      </c>
      <c r="ED216" s="688">
        <f t="shared" si="935"/>
        <v>0</v>
      </c>
      <c r="EE216" s="688">
        <f t="shared" si="935"/>
        <v>0</v>
      </c>
      <c r="EF216" s="688">
        <f t="shared" si="935"/>
        <v>0</v>
      </c>
      <c r="EG216" s="688">
        <f t="shared" si="935"/>
        <v>0</v>
      </c>
      <c r="EH216" s="21"/>
      <c r="EI216" s="21"/>
      <c r="EJ216" s="21"/>
      <c r="EK216" s="21"/>
      <c r="EL216" s="21"/>
      <c r="EM216" s="21"/>
    </row>
    <row r="217" spans="1:143" ht="13.5" customHeight="1">
      <c r="A217" s="21"/>
      <c r="B217" s="21"/>
      <c r="C217" s="21"/>
      <c r="D217" s="21"/>
      <c r="E217" s="21"/>
      <c r="F217" s="21" t="s">
        <v>646</v>
      </c>
      <c r="G217" s="15"/>
      <c r="H217" s="66">
        <f>+MAX(Assumption!H271:H280)</f>
        <v>0.12</v>
      </c>
      <c r="I217" s="688">
        <f t="shared" ref="I217:T217" si="936">+$H$217*H100/12</f>
        <v>21.029999999999998</v>
      </c>
      <c r="J217" s="688">
        <f t="shared" si="936"/>
        <v>21.029999999999998</v>
      </c>
      <c r="K217" s="688">
        <f t="shared" si="936"/>
        <v>21.029999999999998</v>
      </c>
      <c r="L217" s="688">
        <f t="shared" si="936"/>
        <v>21.029999999999998</v>
      </c>
      <c r="M217" s="688">
        <f t="shared" si="936"/>
        <v>21.029999999999998</v>
      </c>
      <c r="N217" s="688">
        <f t="shared" si="936"/>
        <v>21.029999999999998</v>
      </c>
      <c r="O217" s="688">
        <f t="shared" si="936"/>
        <v>21.029999999999998</v>
      </c>
      <c r="P217" s="688">
        <f t="shared" si="936"/>
        <v>21.029999999999998</v>
      </c>
      <c r="Q217" s="688">
        <f t="shared" si="936"/>
        <v>21.029999999999998</v>
      </c>
      <c r="R217" s="688">
        <f t="shared" si="936"/>
        <v>21.029999999999998</v>
      </c>
      <c r="S217" s="688">
        <f t="shared" si="936"/>
        <v>21.029999999999998</v>
      </c>
      <c r="T217" s="688">
        <f t="shared" si="936"/>
        <v>21.029999999999998</v>
      </c>
      <c r="U217" s="15"/>
      <c r="V217" s="688">
        <f>+$H$217*T100/12</f>
        <v>21.029999999999998</v>
      </c>
      <c r="W217" s="688">
        <f t="shared" ref="W217:AG217" si="937">+$H$217*V100/12</f>
        <v>21.029999999999998</v>
      </c>
      <c r="X217" s="688">
        <f t="shared" si="937"/>
        <v>21.029999999999998</v>
      </c>
      <c r="Y217" s="688">
        <f t="shared" si="937"/>
        <v>21.029999999999998</v>
      </c>
      <c r="Z217" s="688">
        <f t="shared" si="937"/>
        <v>21.029999999999998</v>
      </c>
      <c r="AA217" s="688">
        <f t="shared" si="937"/>
        <v>21.029999999999998</v>
      </c>
      <c r="AB217" s="688">
        <f t="shared" si="937"/>
        <v>21.029999999999998</v>
      </c>
      <c r="AC217" s="688">
        <f t="shared" si="937"/>
        <v>21.029999999999998</v>
      </c>
      <c r="AD217" s="688">
        <f t="shared" si="937"/>
        <v>21.029999999999998</v>
      </c>
      <c r="AE217" s="688">
        <f t="shared" si="937"/>
        <v>21.029999999999998</v>
      </c>
      <c r="AF217" s="688">
        <f t="shared" si="937"/>
        <v>21.029999999999998</v>
      </c>
      <c r="AG217" s="688">
        <f t="shared" si="937"/>
        <v>21.029999999999998</v>
      </c>
      <c r="AH217" s="21"/>
      <c r="AI217" s="688">
        <f>+$H$217*AG100/12</f>
        <v>21.029999999999998</v>
      </c>
      <c r="AJ217" s="688">
        <f t="shared" ref="AJ217:AT217" si="938">+$H$217*AI100/12</f>
        <v>21.029999999999998</v>
      </c>
      <c r="AK217" s="688">
        <f t="shared" si="938"/>
        <v>21.029999999999998</v>
      </c>
      <c r="AL217" s="688">
        <f t="shared" si="938"/>
        <v>21.029999999999998</v>
      </c>
      <c r="AM217" s="688">
        <f t="shared" si="938"/>
        <v>21.029999999999998</v>
      </c>
      <c r="AN217" s="688">
        <f t="shared" si="938"/>
        <v>21.029999999999998</v>
      </c>
      <c r="AO217" s="688">
        <f t="shared" si="938"/>
        <v>21.029999999999998</v>
      </c>
      <c r="AP217" s="688">
        <f t="shared" si="938"/>
        <v>21.029999999999998</v>
      </c>
      <c r="AQ217" s="688">
        <f t="shared" si="938"/>
        <v>21.029999999999998</v>
      </c>
      <c r="AR217" s="688">
        <f t="shared" si="938"/>
        <v>21.029999999999998</v>
      </c>
      <c r="AS217" s="688">
        <f t="shared" si="938"/>
        <v>21.029999999999998</v>
      </c>
      <c r="AT217" s="688">
        <f t="shared" si="938"/>
        <v>21.029999999999998</v>
      </c>
      <c r="AU217" s="21"/>
      <c r="AV217" s="688">
        <f>+$H$217*AT100/12</f>
        <v>21.029999999999998</v>
      </c>
      <c r="AW217" s="688">
        <f t="shared" ref="AW217:BG217" si="939">+$H$217*AV100/12</f>
        <v>21.029999999999998</v>
      </c>
      <c r="AX217" s="688">
        <f t="shared" si="939"/>
        <v>21.029999999999998</v>
      </c>
      <c r="AY217" s="688">
        <f t="shared" si="939"/>
        <v>21.029999999999998</v>
      </c>
      <c r="AZ217" s="688">
        <f t="shared" si="939"/>
        <v>21.029999999999998</v>
      </c>
      <c r="BA217" s="688">
        <f t="shared" si="939"/>
        <v>21.029999999999998</v>
      </c>
      <c r="BB217" s="688">
        <f t="shared" si="939"/>
        <v>21.029999999999998</v>
      </c>
      <c r="BC217" s="688">
        <f t="shared" si="939"/>
        <v>21.029999999999998</v>
      </c>
      <c r="BD217" s="688">
        <f t="shared" si="939"/>
        <v>21.029999999999998</v>
      </c>
      <c r="BE217" s="688">
        <f t="shared" si="939"/>
        <v>21.029999999999998</v>
      </c>
      <c r="BF217" s="688">
        <f t="shared" si="939"/>
        <v>21.029999999999998</v>
      </c>
      <c r="BG217" s="688">
        <f t="shared" si="939"/>
        <v>21.029999999999998</v>
      </c>
      <c r="BH217" s="21"/>
      <c r="BI217" s="688">
        <f>+$H$217*BG100/12</f>
        <v>21.029999999999998</v>
      </c>
      <c r="BJ217" s="688">
        <f t="shared" ref="BJ217:BT217" si="940">+$H$217*BI100/12</f>
        <v>21.029999999999998</v>
      </c>
      <c r="BK217" s="688">
        <f t="shared" si="940"/>
        <v>21.029999999999998</v>
      </c>
      <c r="BL217" s="688">
        <f t="shared" si="940"/>
        <v>21.029999999999998</v>
      </c>
      <c r="BM217" s="688">
        <f t="shared" si="940"/>
        <v>21.029999999999998</v>
      </c>
      <c r="BN217" s="688">
        <f t="shared" si="940"/>
        <v>21.029999999999998</v>
      </c>
      <c r="BO217" s="688">
        <f t="shared" si="940"/>
        <v>21.029999999999998</v>
      </c>
      <c r="BP217" s="688">
        <f t="shared" si="940"/>
        <v>21.029999999999998</v>
      </c>
      <c r="BQ217" s="688">
        <f t="shared" si="940"/>
        <v>21.029999999999998</v>
      </c>
      <c r="BR217" s="688">
        <f t="shared" si="940"/>
        <v>21.029999999999998</v>
      </c>
      <c r="BS217" s="688">
        <f t="shared" si="940"/>
        <v>21.029999999999998</v>
      </c>
      <c r="BT217" s="688">
        <f t="shared" si="940"/>
        <v>21.029999999999998</v>
      </c>
      <c r="BU217" s="21"/>
      <c r="BV217" s="688">
        <f>+$H$217*BT100/12</f>
        <v>21.029999999999998</v>
      </c>
      <c r="BW217" s="688">
        <f t="shared" ref="BW217:CG217" si="941">+$H$217*BV100/12</f>
        <v>21.029999999999998</v>
      </c>
      <c r="BX217" s="688">
        <f t="shared" si="941"/>
        <v>21.029999999999998</v>
      </c>
      <c r="BY217" s="688">
        <f t="shared" si="941"/>
        <v>21.029999999999998</v>
      </c>
      <c r="BZ217" s="688">
        <f t="shared" si="941"/>
        <v>21.029999999999998</v>
      </c>
      <c r="CA217" s="688">
        <f t="shared" si="941"/>
        <v>21.029999999999998</v>
      </c>
      <c r="CB217" s="688">
        <f t="shared" si="941"/>
        <v>21.029999999999998</v>
      </c>
      <c r="CC217" s="688">
        <f t="shared" si="941"/>
        <v>21.029999999999998</v>
      </c>
      <c r="CD217" s="688">
        <f t="shared" si="941"/>
        <v>21.029999999999998</v>
      </c>
      <c r="CE217" s="688">
        <f t="shared" si="941"/>
        <v>21.029999999999998</v>
      </c>
      <c r="CF217" s="688">
        <f t="shared" si="941"/>
        <v>21.029999999999998</v>
      </c>
      <c r="CG217" s="688">
        <f t="shared" si="941"/>
        <v>21.029999999999998</v>
      </c>
      <c r="CH217" s="21"/>
      <c r="CI217" s="688">
        <f>+$H$217*CG100/12</f>
        <v>21.029999999999998</v>
      </c>
      <c r="CJ217" s="688">
        <f t="shared" ref="CJ217:CT217" si="942">+$H$217*CI100/12</f>
        <v>21.029999999999998</v>
      </c>
      <c r="CK217" s="688">
        <f t="shared" si="942"/>
        <v>21.029999999999998</v>
      </c>
      <c r="CL217" s="688">
        <f t="shared" si="942"/>
        <v>21.029999999999998</v>
      </c>
      <c r="CM217" s="688">
        <f t="shared" si="942"/>
        <v>21.029999999999998</v>
      </c>
      <c r="CN217" s="688">
        <f t="shared" si="942"/>
        <v>21.029999999999998</v>
      </c>
      <c r="CO217" s="688">
        <f t="shared" si="942"/>
        <v>21.029999999999998</v>
      </c>
      <c r="CP217" s="688">
        <f t="shared" si="942"/>
        <v>21.029999999999998</v>
      </c>
      <c r="CQ217" s="688">
        <f t="shared" si="942"/>
        <v>21.029999999999998</v>
      </c>
      <c r="CR217" s="688">
        <f t="shared" si="942"/>
        <v>21.029999999999998</v>
      </c>
      <c r="CS217" s="688">
        <f t="shared" si="942"/>
        <v>21.029999999999998</v>
      </c>
      <c r="CT217" s="688">
        <f t="shared" si="942"/>
        <v>21.029999999999998</v>
      </c>
      <c r="CU217" s="21"/>
      <c r="CV217" s="688">
        <f>+$H$217*CT100/12</f>
        <v>21.029999999999998</v>
      </c>
      <c r="CW217" s="688">
        <f t="shared" ref="CW217:DG217" si="943">+$H$217*CV100/12</f>
        <v>21.029999999999998</v>
      </c>
      <c r="CX217" s="688">
        <f t="shared" si="943"/>
        <v>21.029999999999998</v>
      </c>
      <c r="CY217" s="688">
        <f t="shared" si="943"/>
        <v>21.029999999999998</v>
      </c>
      <c r="CZ217" s="688">
        <f t="shared" si="943"/>
        <v>21.029999999999998</v>
      </c>
      <c r="DA217" s="688">
        <f t="shared" si="943"/>
        <v>21.029999999999998</v>
      </c>
      <c r="DB217" s="688">
        <f t="shared" si="943"/>
        <v>21.029999999999998</v>
      </c>
      <c r="DC217" s="688">
        <f t="shared" si="943"/>
        <v>21.029999999999998</v>
      </c>
      <c r="DD217" s="688">
        <f t="shared" si="943"/>
        <v>21.029999999999998</v>
      </c>
      <c r="DE217" s="688">
        <f t="shared" si="943"/>
        <v>21.029999999999998</v>
      </c>
      <c r="DF217" s="688">
        <f t="shared" si="943"/>
        <v>21.029999999999998</v>
      </c>
      <c r="DG217" s="688">
        <f t="shared" si="943"/>
        <v>21.029999999999998</v>
      </c>
      <c r="DH217" s="21"/>
      <c r="DI217" s="688">
        <f>+$H$217*DG100/12</f>
        <v>21.029999999999998</v>
      </c>
      <c r="DJ217" s="688">
        <f t="shared" ref="DJ217:DT217" si="944">+$H$217*DI100/12</f>
        <v>21.029999999999998</v>
      </c>
      <c r="DK217" s="688">
        <f t="shared" si="944"/>
        <v>21.029999999999998</v>
      </c>
      <c r="DL217" s="688">
        <f t="shared" si="944"/>
        <v>21.029999999999998</v>
      </c>
      <c r="DM217" s="688">
        <f t="shared" si="944"/>
        <v>21.029999999999998</v>
      </c>
      <c r="DN217" s="688">
        <f t="shared" si="944"/>
        <v>21.029999999999998</v>
      </c>
      <c r="DO217" s="688">
        <f t="shared" si="944"/>
        <v>21.029999999999998</v>
      </c>
      <c r="DP217" s="688">
        <f t="shared" si="944"/>
        <v>21.029999999999998</v>
      </c>
      <c r="DQ217" s="688">
        <f t="shared" si="944"/>
        <v>21.029999999999998</v>
      </c>
      <c r="DR217" s="688">
        <f t="shared" si="944"/>
        <v>21.029999999999998</v>
      </c>
      <c r="DS217" s="688">
        <f t="shared" si="944"/>
        <v>21.029999999999998</v>
      </c>
      <c r="DT217" s="688">
        <f t="shared" si="944"/>
        <v>21.029999999999998</v>
      </c>
      <c r="DU217" s="21"/>
      <c r="DV217" s="688">
        <f>+$H$217*DT100/12</f>
        <v>21.029999999999998</v>
      </c>
      <c r="DW217" s="688">
        <f t="shared" ref="DW217:EG217" si="945">+$H$217*DV100/12</f>
        <v>21.029999999999998</v>
      </c>
      <c r="DX217" s="688">
        <f t="shared" si="945"/>
        <v>21.029999999999998</v>
      </c>
      <c r="DY217" s="688">
        <f t="shared" si="945"/>
        <v>21.029999999999998</v>
      </c>
      <c r="DZ217" s="688">
        <f t="shared" si="945"/>
        <v>21.029999999999998</v>
      </c>
      <c r="EA217" s="688">
        <f t="shared" si="945"/>
        <v>21.029999999999998</v>
      </c>
      <c r="EB217" s="688">
        <f t="shared" si="945"/>
        <v>21.029999999999998</v>
      </c>
      <c r="EC217" s="688">
        <f t="shared" si="945"/>
        <v>21.029999999999998</v>
      </c>
      <c r="ED217" s="688">
        <f t="shared" si="945"/>
        <v>21.029999999999998</v>
      </c>
      <c r="EE217" s="688">
        <f t="shared" si="945"/>
        <v>21.029999999999998</v>
      </c>
      <c r="EF217" s="688">
        <f t="shared" si="945"/>
        <v>21.029999999999998</v>
      </c>
      <c r="EG217" s="688">
        <f t="shared" si="945"/>
        <v>21.029999999999998</v>
      </c>
      <c r="EH217" s="21"/>
      <c r="EI217" s="21"/>
      <c r="EJ217" s="21"/>
      <c r="EK217" s="21"/>
      <c r="EL217" s="21"/>
      <c r="EM217" s="21"/>
    </row>
    <row r="218" spans="1:143" ht="13.5" customHeight="1">
      <c r="A218" s="21"/>
      <c r="B218" s="21"/>
      <c r="C218" s="21"/>
      <c r="D218" s="21"/>
      <c r="E218" s="21"/>
      <c r="F218" s="245" t="s">
        <v>458</v>
      </c>
      <c r="G218" s="15"/>
      <c r="H218" s="15"/>
      <c r="I218" s="688">
        <f t="shared" ref="I218:T218" si="946">+IF(I4=0,0,SUM(I216:I217))</f>
        <v>0</v>
      </c>
      <c r="J218" s="688">
        <f t="shared" si="946"/>
        <v>0</v>
      </c>
      <c r="K218" s="688">
        <f t="shared" si="946"/>
        <v>0</v>
      </c>
      <c r="L218" s="688">
        <f t="shared" si="946"/>
        <v>0</v>
      </c>
      <c r="M218" s="688">
        <f t="shared" si="946"/>
        <v>0</v>
      </c>
      <c r="N218" s="688">
        <f t="shared" si="946"/>
        <v>0</v>
      </c>
      <c r="O218" s="688">
        <f t="shared" si="946"/>
        <v>37.721666666666664</v>
      </c>
      <c r="P218" s="688">
        <f t="shared" si="946"/>
        <v>433.55696875000007</v>
      </c>
      <c r="Q218" s="688">
        <f t="shared" si="946"/>
        <v>460.3855953993056</v>
      </c>
      <c r="R218" s="688">
        <f t="shared" si="946"/>
        <v>493.93661830078128</v>
      </c>
      <c r="S218" s="688">
        <f t="shared" si="946"/>
        <v>525.82967686763971</v>
      </c>
      <c r="T218" s="688">
        <f t="shared" si="946"/>
        <v>549.15406356880942</v>
      </c>
      <c r="U218" s="15"/>
      <c r="V218" s="688">
        <f t="shared" ref="V218:AG218" si="947">+SUM(V216:V217)</f>
        <v>586.0144265564619</v>
      </c>
      <c r="W218" s="688">
        <f t="shared" si="947"/>
        <v>610.21538937035837</v>
      </c>
      <c r="X218" s="688">
        <f t="shared" si="947"/>
        <v>564.5575453928891</v>
      </c>
      <c r="Y218" s="688">
        <f t="shared" si="947"/>
        <v>562.09541382671875</v>
      </c>
      <c r="Z218" s="688">
        <f t="shared" si="947"/>
        <v>571.77112560860803</v>
      </c>
      <c r="AA218" s="688">
        <f t="shared" si="947"/>
        <v>563.47542943312419</v>
      </c>
      <c r="AB218" s="688">
        <f t="shared" si="947"/>
        <v>553.65426356728915</v>
      </c>
      <c r="AC218" s="688">
        <f t="shared" si="947"/>
        <v>544.09501338273083</v>
      </c>
      <c r="AD218" s="688">
        <f t="shared" si="947"/>
        <v>532.21703531965045</v>
      </c>
      <c r="AE218" s="688">
        <f t="shared" si="947"/>
        <v>541.35898283620304</v>
      </c>
      <c r="AF218" s="688">
        <f t="shared" si="947"/>
        <v>554.20570769317135</v>
      </c>
      <c r="AG218" s="688">
        <f t="shared" si="947"/>
        <v>526.15271636839225</v>
      </c>
      <c r="AH218" s="21"/>
      <c r="AI218" s="688">
        <f t="shared" ref="AI218:AT218" si="948">+SUM(AI216:AI217)</f>
        <v>493.90404456035111</v>
      </c>
      <c r="AJ218" s="688">
        <f t="shared" si="948"/>
        <v>502.72645495441338</v>
      </c>
      <c r="AK218" s="688">
        <f t="shared" si="948"/>
        <v>447.81355487953738</v>
      </c>
      <c r="AL218" s="688">
        <f t="shared" si="948"/>
        <v>437.32419452625953</v>
      </c>
      <c r="AM218" s="688">
        <f t="shared" si="948"/>
        <v>442.72389783670445</v>
      </c>
      <c r="AN218" s="688">
        <f t="shared" si="948"/>
        <v>428.30597811918079</v>
      </c>
      <c r="AO218" s="688">
        <f t="shared" si="948"/>
        <v>412.39852518178895</v>
      </c>
      <c r="AP218" s="688">
        <f t="shared" si="948"/>
        <v>396.73702886674414</v>
      </c>
      <c r="AQ218" s="688">
        <f t="shared" si="948"/>
        <v>378.24532762208992</v>
      </c>
      <c r="AR218" s="688">
        <f t="shared" si="948"/>
        <v>382.82936815277776</v>
      </c>
      <c r="AS218" s="688">
        <f t="shared" si="948"/>
        <v>391.6803573545547</v>
      </c>
      <c r="AT218" s="688">
        <f t="shared" si="948"/>
        <v>355.73623313301317</v>
      </c>
      <c r="AU218" s="21"/>
      <c r="AV218" s="688">
        <f t="shared" ref="AV218:BG218" si="949">+SUM(AV216:AV217)</f>
        <v>314.89663398740328</v>
      </c>
      <c r="AW218" s="688">
        <f t="shared" si="949"/>
        <v>323.16386017029669</v>
      </c>
      <c r="AX218" s="688">
        <f t="shared" si="949"/>
        <v>261.47832184915865</v>
      </c>
      <c r="AY218" s="688">
        <f t="shared" si="949"/>
        <v>251.76931043090011</v>
      </c>
      <c r="AZ218" s="688">
        <f t="shared" si="949"/>
        <v>256.43220197304493</v>
      </c>
      <c r="BA218" s="688">
        <f t="shared" si="949"/>
        <v>239.28506833359646</v>
      </c>
      <c r="BB218" s="688">
        <f t="shared" si="949"/>
        <v>220.48871963604148</v>
      </c>
      <c r="BC218" s="688">
        <f t="shared" si="949"/>
        <v>201.95210530251484</v>
      </c>
      <c r="BD218" s="688">
        <f t="shared" si="949"/>
        <v>180.29135747652631</v>
      </c>
      <c r="BE218" s="688">
        <f t="shared" si="949"/>
        <v>184.00292663294024</v>
      </c>
      <c r="BF218" s="688">
        <f t="shared" si="949"/>
        <v>192.39704869899097</v>
      </c>
      <c r="BG218" s="688">
        <f t="shared" si="949"/>
        <v>151.50536294892541</v>
      </c>
      <c r="BH218" s="21"/>
      <c r="BI218" s="688">
        <f t="shared" ref="BI218:BT218" si="950">+SUM(BI216:BI217)</f>
        <v>105.21737853983156</v>
      </c>
      <c r="BJ218" s="688">
        <f t="shared" si="950"/>
        <v>112.88069143661893</v>
      </c>
      <c r="BK218" s="688">
        <f t="shared" si="950"/>
        <v>43.584041413101758</v>
      </c>
      <c r="BL218" s="688">
        <f t="shared" si="950"/>
        <v>31.449549667166391</v>
      </c>
      <c r="BM218" s="688">
        <f t="shared" si="950"/>
        <v>35.112029684459358</v>
      </c>
      <c r="BN218" s="688">
        <f t="shared" si="950"/>
        <v>21.029999999999998</v>
      </c>
      <c r="BO218" s="688">
        <f t="shared" si="950"/>
        <v>21.029999999999998</v>
      </c>
      <c r="BP218" s="688">
        <f t="shared" si="950"/>
        <v>21.029999999999998</v>
      </c>
      <c r="BQ218" s="688">
        <f t="shared" si="950"/>
        <v>21.029999999999998</v>
      </c>
      <c r="BR218" s="688">
        <f t="shared" si="950"/>
        <v>21.029999999999998</v>
      </c>
      <c r="BS218" s="688">
        <f t="shared" si="950"/>
        <v>21.029999999999998</v>
      </c>
      <c r="BT218" s="688">
        <f t="shared" si="950"/>
        <v>21.029999999999998</v>
      </c>
      <c r="BU218" s="21"/>
      <c r="BV218" s="688">
        <f t="shared" ref="BV218:CG218" si="951">+SUM(BV216:BV217)</f>
        <v>21.029999999999998</v>
      </c>
      <c r="BW218" s="688">
        <f t="shared" si="951"/>
        <v>21.029999999999998</v>
      </c>
      <c r="BX218" s="688">
        <f t="shared" si="951"/>
        <v>21.029999999999998</v>
      </c>
      <c r="BY218" s="688">
        <f t="shared" si="951"/>
        <v>21.029999999999998</v>
      </c>
      <c r="BZ218" s="688">
        <f t="shared" si="951"/>
        <v>21.029999999999998</v>
      </c>
      <c r="CA218" s="688">
        <f t="shared" si="951"/>
        <v>21.029999999999998</v>
      </c>
      <c r="CB218" s="688">
        <f t="shared" si="951"/>
        <v>21.029999999999998</v>
      </c>
      <c r="CC218" s="688">
        <f t="shared" si="951"/>
        <v>21.029999999999998</v>
      </c>
      <c r="CD218" s="688">
        <f t="shared" si="951"/>
        <v>21.029999999999998</v>
      </c>
      <c r="CE218" s="688">
        <f t="shared" si="951"/>
        <v>21.029999999999998</v>
      </c>
      <c r="CF218" s="688">
        <f t="shared" si="951"/>
        <v>21.029999999999998</v>
      </c>
      <c r="CG218" s="688">
        <f t="shared" si="951"/>
        <v>21.029999999999998</v>
      </c>
      <c r="CH218" s="21"/>
      <c r="CI218" s="688">
        <f t="shared" ref="CI218:CT218" si="952">+SUM(CI216:CI217)</f>
        <v>21.029999999999998</v>
      </c>
      <c r="CJ218" s="688">
        <f t="shared" si="952"/>
        <v>21.029999999999998</v>
      </c>
      <c r="CK218" s="688">
        <f t="shared" si="952"/>
        <v>21.029999999999998</v>
      </c>
      <c r="CL218" s="688">
        <f t="shared" si="952"/>
        <v>21.029999999999998</v>
      </c>
      <c r="CM218" s="688">
        <f t="shared" si="952"/>
        <v>21.029999999999998</v>
      </c>
      <c r="CN218" s="688">
        <f t="shared" si="952"/>
        <v>21.029999999999998</v>
      </c>
      <c r="CO218" s="688">
        <f t="shared" si="952"/>
        <v>21.029999999999998</v>
      </c>
      <c r="CP218" s="688">
        <f t="shared" si="952"/>
        <v>21.029999999999998</v>
      </c>
      <c r="CQ218" s="688">
        <f t="shared" si="952"/>
        <v>21.029999999999998</v>
      </c>
      <c r="CR218" s="688">
        <f t="shared" si="952"/>
        <v>21.029999999999998</v>
      </c>
      <c r="CS218" s="688">
        <f t="shared" si="952"/>
        <v>21.029999999999998</v>
      </c>
      <c r="CT218" s="688">
        <f t="shared" si="952"/>
        <v>21.029999999999998</v>
      </c>
      <c r="CU218" s="21"/>
      <c r="CV218" s="688">
        <f t="shared" ref="CV218:DG218" si="953">+SUM(CV216:CV217)</f>
        <v>21.029999999999998</v>
      </c>
      <c r="CW218" s="688">
        <f t="shared" si="953"/>
        <v>21.029999999999998</v>
      </c>
      <c r="CX218" s="688">
        <f t="shared" si="953"/>
        <v>21.029999999999998</v>
      </c>
      <c r="CY218" s="688">
        <f t="shared" si="953"/>
        <v>21.029999999999998</v>
      </c>
      <c r="CZ218" s="688">
        <f t="shared" si="953"/>
        <v>21.029999999999998</v>
      </c>
      <c r="DA218" s="688">
        <f t="shared" si="953"/>
        <v>21.029999999999998</v>
      </c>
      <c r="DB218" s="688">
        <f t="shared" si="953"/>
        <v>21.029999999999998</v>
      </c>
      <c r="DC218" s="688">
        <f t="shared" si="953"/>
        <v>21.029999999999998</v>
      </c>
      <c r="DD218" s="688">
        <f t="shared" si="953"/>
        <v>21.029999999999998</v>
      </c>
      <c r="DE218" s="688">
        <f t="shared" si="953"/>
        <v>21.029999999999998</v>
      </c>
      <c r="DF218" s="688">
        <f t="shared" si="953"/>
        <v>21.029999999999998</v>
      </c>
      <c r="DG218" s="688">
        <f t="shared" si="953"/>
        <v>21.029999999999998</v>
      </c>
      <c r="DH218" s="21"/>
      <c r="DI218" s="688">
        <f t="shared" ref="DI218:DT218" si="954">+SUM(DI216:DI217)</f>
        <v>21.029999999999998</v>
      </c>
      <c r="DJ218" s="688">
        <f t="shared" si="954"/>
        <v>21.029999999999998</v>
      </c>
      <c r="DK218" s="688">
        <f t="shared" si="954"/>
        <v>21.029999999999998</v>
      </c>
      <c r="DL218" s="688">
        <f t="shared" si="954"/>
        <v>21.029999999999998</v>
      </c>
      <c r="DM218" s="688">
        <f t="shared" si="954"/>
        <v>21.029999999999998</v>
      </c>
      <c r="DN218" s="688">
        <f t="shared" si="954"/>
        <v>21.029999999999998</v>
      </c>
      <c r="DO218" s="688">
        <f t="shared" si="954"/>
        <v>21.029999999999998</v>
      </c>
      <c r="DP218" s="688">
        <f t="shared" si="954"/>
        <v>21.029999999999998</v>
      </c>
      <c r="DQ218" s="688">
        <f t="shared" si="954"/>
        <v>21.029999999999998</v>
      </c>
      <c r="DR218" s="688">
        <f t="shared" si="954"/>
        <v>21.029999999999998</v>
      </c>
      <c r="DS218" s="688">
        <f t="shared" si="954"/>
        <v>21.029999999999998</v>
      </c>
      <c r="DT218" s="688">
        <f t="shared" si="954"/>
        <v>21.029999999999998</v>
      </c>
      <c r="DU218" s="21"/>
      <c r="DV218" s="688">
        <f t="shared" ref="DV218:EG218" si="955">+SUM(DV216:DV217)</f>
        <v>21.029999999999998</v>
      </c>
      <c r="DW218" s="688">
        <f t="shared" si="955"/>
        <v>21.029999999999998</v>
      </c>
      <c r="DX218" s="688">
        <f t="shared" si="955"/>
        <v>21.029999999999998</v>
      </c>
      <c r="DY218" s="688">
        <f t="shared" si="955"/>
        <v>21.029999999999998</v>
      </c>
      <c r="DZ218" s="688">
        <f t="shared" si="955"/>
        <v>21.029999999999998</v>
      </c>
      <c r="EA218" s="688">
        <f t="shared" si="955"/>
        <v>21.029999999999998</v>
      </c>
      <c r="EB218" s="688">
        <f t="shared" si="955"/>
        <v>21.029999999999998</v>
      </c>
      <c r="EC218" s="688">
        <f t="shared" si="955"/>
        <v>21.029999999999998</v>
      </c>
      <c r="ED218" s="688">
        <f t="shared" si="955"/>
        <v>21.029999999999998</v>
      </c>
      <c r="EE218" s="688">
        <f t="shared" si="955"/>
        <v>21.029999999999998</v>
      </c>
      <c r="EF218" s="688">
        <f t="shared" si="955"/>
        <v>21.029999999999998</v>
      </c>
      <c r="EG218" s="688">
        <f t="shared" si="955"/>
        <v>21.029999999999998</v>
      </c>
      <c r="EH218" s="21"/>
      <c r="EI218" s="21"/>
      <c r="EJ218" s="21"/>
      <c r="EK218" s="21"/>
      <c r="EL218" s="21"/>
      <c r="EM218" s="21"/>
    </row>
    <row r="219" spans="1:143" ht="13.5" customHeight="1">
      <c r="A219" s="21"/>
      <c r="B219" s="21"/>
      <c r="C219" s="21"/>
      <c r="D219" s="21"/>
      <c r="E219" s="21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21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21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21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21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</row>
    <row r="220" spans="1:143" ht="13.5" customHeight="1">
      <c r="A220" s="21"/>
      <c r="B220" s="21"/>
      <c r="C220" s="21"/>
      <c r="D220" s="21"/>
      <c r="E220" s="21"/>
      <c r="F220" s="21" t="s">
        <v>647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21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21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21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21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</row>
    <row r="221" spans="1:143" ht="13.5" customHeight="1">
      <c r="A221" s="21"/>
      <c r="B221" s="21"/>
      <c r="C221" s="21"/>
      <c r="D221" s="21"/>
      <c r="E221" s="21"/>
      <c r="F221" s="21" t="str">
        <f>+Assumption!F285</f>
        <v>Long Term Bank Loan - BNI #1 (Eksisting)</v>
      </c>
      <c r="G221" s="15"/>
      <c r="H221" s="66">
        <f>+Assumption!H285</f>
        <v>0.11</v>
      </c>
      <c r="I221" s="688">
        <f t="shared" ref="I221:T221" si="956">+$H$221*H103/12</f>
        <v>61.471666666666664</v>
      </c>
      <c r="J221" s="688">
        <f t="shared" si="956"/>
        <v>61.471666666666664</v>
      </c>
      <c r="K221" s="688">
        <f t="shared" si="956"/>
        <v>61.471666666666664</v>
      </c>
      <c r="L221" s="688">
        <f t="shared" si="956"/>
        <v>61.471666666666664</v>
      </c>
      <c r="M221" s="688">
        <f t="shared" si="956"/>
        <v>61.471666666666664</v>
      </c>
      <c r="N221" s="688">
        <f t="shared" si="956"/>
        <v>61.471666666666664</v>
      </c>
      <c r="O221" s="688">
        <f t="shared" si="956"/>
        <v>61.471666666666664</v>
      </c>
      <c r="P221" s="688">
        <f t="shared" si="956"/>
        <v>61.471666666666664</v>
      </c>
      <c r="Q221" s="688">
        <f t="shared" si="956"/>
        <v>61.471666666666664</v>
      </c>
      <c r="R221" s="688">
        <f t="shared" si="956"/>
        <v>61.471666666666664</v>
      </c>
      <c r="S221" s="688">
        <f t="shared" si="956"/>
        <v>61.471666666666664</v>
      </c>
      <c r="T221" s="688">
        <f t="shared" si="956"/>
        <v>61.471666666666664</v>
      </c>
      <c r="U221" s="15"/>
      <c r="V221" s="688">
        <f>+$H$221*T103/12</f>
        <v>61.38</v>
      </c>
      <c r="W221" s="688">
        <f t="shared" ref="W221:AG221" si="957">+$H$221*V103/12</f>
        <v>61.38</v>
      </c>
      <c r="X221" s="688">
        <f t="shared" si="957"/>
        <v>61.38</v>
      </c>
      <c r="Y221" s="688">
        <f t="shared" si="957"/>
        <v>61.38</v>
      </c>
      <c r="Z221" s="688">
        <f t="shared" si="957"/>
        <v>61.38</v>
      </c>
      <c r="AA221" s="688">
        <f t="shared" si="957"/>
        <v>61.38</v>
      </c>
      <c r="AB221" s="688">
        <f t="shared" si="957"/>
        <v>61.38</v>
      </c>
      <c r="AC221" s="688">
        <f t="shared" si="957"/>
        <v>61.38</v>
      </c>
      <c r="AD221" s="688">
        <f t="shared" si="957"/>
        <v>61.38</v>
      </c>
      <c r="AE221" s="688">
        <f t="shared" si="957"/>
        <v>61.38</v>
      </c>
      <c r="AF221" s="688">
        <f t="shared" si="957"/>
        <v>61.38</v>
      </c>
      <c r="AG221" s="688">
        <f t="shared" si="957"/>
        <v>61.38</v>
      </c>
      <c r="AH221" s="21"/>
      <c r="AI221" s="688">
        <f>+$H$221*AG103/12</f>
        <v>61.38</v>
      </c>
      <c r="AJ221" s="688">
        <f t="shared" ref="AJ221:AT221" si="958">+$H$221*AI103/12</f>
        <v>61.38</v>
      </c>
      <c r="AK221" s="688">
        <f t="shared" si="958"/>
        <v>61.38</v>
      </c>
      <c r="AL221" s="688">
        <f t="shared" si="958"/>
        <v>61.38</v>
      </c>
      <c r="AM221" s="688">
        <f t="shared" si="958"/>
        <v>61.38</v>
      </c>
      <c r="AN221" s="688">
        <f t="shared" si="958"/>
        <v>61.38</v>
      </c>
      <c r="AO221" s="688">
        <f t="shared" si="958"/>
        <v>61.38</v>
      </c>
      <c r="AP221" s="688">
        <f t="shared" si="958"/>
        <v>61.38</v>
      </c>
      <c r="AQ221" s="688">
        <f t="shared" si="958"/>
        <v>61.38</v>
      </c>
      <c r="AR221" s="688">
        <f t="shared" si="958"/>
        <v>61.38</v>
      </c>
      <c r="AS221" s="688">
        <f t="shared" si="958"/>
        <v>61.38</v>
      </c>
      <c r="AT221" s="688">
        <f t="shared" si="958"/>
        <v>61.38</v>
      </c>
      <c r="AU221" s="21"/>
      <c r="AV221" s="688">
        <f>+$H$221*AT103/12</f>
        <v>61.38</v>
      </c>
      <c r="AW221" s="688">
        <f t="shared" ref="AW221:BG221" si="959">+$H$221*AV103/12</f>
        <v>61.38</v>
      </c>
      <c r="AX221" s="688">
        <f t="shared" si="959"/>
        <v>61.38</v>
      </c>
      <c r="AY221" s="688">
        <f t="shared" si="959"/>
        <v>61.38</v>
      </c>
      <c r="AZ221" s="688">
        <f t="shared" si="959"/>
        <v>61.38</v>
      </c>
      <c r="BA221" s="688">
        <f t="shared" si="959"/>
        <v>61.38</v>
      </c>
      <c r="BB221" s="688">
        <f t="shared" si="959"/>
        <v>61.38</v>
      </c>
      <c r="BC221" s="688">
        <f t="shared" si="959"/>
        <v>61.38</v>
      </c>
      <c r="BD221" s="688">
        <f t="shared" si="959"/>
        <v>61.38</v>
      </c>
      <c r="BE221" s="688">
        <f t="shared" si="959"/>
        <v>61.38</v>
      </c>
      <c r="BF221" s="688">
        <f t="shared" si="959"/>
        <v>61.38</v>
      </c>
      <c r="BG221" s="688">
        <f t="shared" si="959"/>
        <v>61.38</v>
      </c>
      <c r="BH221" s="21"/>
      <c r="BI221" s="688">
        <f>+$H$221*BG103/12</f>
        <v>61.38</v>
      </c>
      <c r="BJ221" s="688">
        <f t="shared" ref="BJ221:BT221" si="960">+$H$221*BI103/12</f>
        <v>61.38</v>
      </c>
      <c r="BK221" s="688">
        <f t="shared" si="960"/>
        <v>61.38</v>
      </c>
      <c r="BL221" s="688">
        <f t="shared" si="960"/>
        <v>61.38</v>
      </c>
      <c r="BM221" s="688">
        <f t="shared" si="960"/>
        <v>61.38</v>
      </c>
      <c r="BN221" s="688">
        <f t="shared" si="960"/>
        <v>61.38</v>
      </c>
      <c r="BO221" s="688">
        <f t="shared" si="960"/>
        <v>61.38</v>
      </c>
      <c r="BP221" s="688">
        <f t="shared" si="960"/>
        <v>61.38</v>
      </c>
      <c r="BQ221" s="688">
        <f t="shared" si="960"/>
        <v>61.38</v>
      </c>
      <c r="BR221" s="688">
        <f t="shared" si="960"/>
        <v>61.38</v>
      </c>
      <c r="BS221" s="688">
        <f t="shared" si="960"/>
        <v>61.38</v>
      </c>
      <c r="BT221" s="688">
        <f t="shared" si="960"/>
        <v>61.38</v>
      </c>
      <c r="BU221" s="21"/>
      <c r="BV221" s="688">
        <f>+$H$221*BT103/12</f>
        <v>61.38</v>
      </c>
      <c r="BW221" s="688">
        <f t="shared" ref="BW221:CG221" si="961">+$H$221*BV103/12</f>
        <v>61.38</v>
      </c>
      <c r="BX221" s="688">
        <f t="shared" si="961"/>
        <v>61.38</v>
      </c>
      <c r="BY221" s="688">
        <f t="shared" si="961"/>
        <v>61.38</v>
      </c>
      <c r="BZ221" s="688">
        <f t="shared" si="961"/>
        <v>61.38</v>
      </c>
      <c r="CA221" s="688">
        <f t="shared" si="961"/>
        <v>61.38</v>
      </c>
      <c r="CB221" s="688">
        <f t="shared" si="961"/>
        <v>61.38</v>
      </c>
      <c r="CC221" s="688">
        <f t="shared" si="961"/>
        <v>61.38</v>
      </c>
      <c r="CD221" s="688">
        <f t="shared" si="961"/>
        <v>61.38</v>
      </c>
      <c r="CE221" s="688">
        <f t="shared" si="961"/>
        <v>61.38</v>
      </c>
      <c r="CF221" s="688">
        <f t="shared" si="961"/>
        <v>61.38</v>
      </c>
      <c r="CG221" s="688">
        <f t="shared" si="961"/>
        <v>61.38</v>
      </c>
      <c r="CH221" s="21"/>
      <c r="CI221" s="688">
        <f>+$H$221*CG103/12</f>
        <v>61.38</v>
      </c>
      <c r="CJ221" s="688">
        <f t="shared" ref="CJ221:CT221" si="962">+$H$221*CI103/12</f>
        <v>61.38</v>
      </c>
      <c r="CK221" s="688">
        <f t="shared" si="962"/>
        <v>61.38</v>
      </c>
      <c r="CL221" s="688">
        <f t="shared" si="962"/>
        <v>61.38</v>
      </c>
      <c r="CM221" s="688">
        <f t="shared" si="962"/>
        <v>61.38</v>
      </c>
      <c r="CN221" s="688">
        <f t="shared" si="962"/>
        <v>61.38</v>
      </c>
      <c r="CO221" s="688">
        <f t="shared" si="962"/>
        <v>61.38</v>
      </c>
      <c r="CP221" s="688">
        <f t="shared" si="962"/>
        <v>61.38</v>
      </c>
      <c r="CQ221" s="688">
        <f t="shared" si="962"/>
        <v>61.38</v>
      </c>
      <c r="CR221" s="688">
        <f t="shared" si="962"/>
        <v>61.38</v>
      </c>
      <c r="CS221" s="688">
        <f t="shared" si="962"/>
        <v>61.38</v>
      </c>
      <c r="CT221" s="688">
        <f t="shared" si="962"/>
        <v>61.38</v>
      </c>
      <c r="CU221" s="21"/>
      <c r="CV221" s="688">
        <f>+$H$221*CT103/12</f>
        <v>61.38</v>
      </c>
      <c r="CW221" s="688">
        <f t="shared" ref="CW221:DG221" si="963">+$H$221*CV103/12</f>
        <v>61.38</v>
      </c>
      <c r="CX221" s="688">
        <f t="shared" si="963"/>
        <v>61.38</v>
      </c>
      <c r="CY221" s="688">
        <f t="shared" si="963"/>
        <v>61.38</v>
      </c>
      <c r="CZ221" s="688">
        <f t="shared" si="963"/>
        <v>61.38</v>
      </c>
      <c r="DA221" s="688">
        <f t="shared" si="963"/>
        <v>61.38</v>
      </c>
      <c r="DB221" s="688">
        <f t="shared" si="963"/>
        <v>61.38</v>
      </c>
      <c r="DC221" s="688">
        <f t="shared" si="963"/>
        <v>61.38</v>
      </c>
      <c r="DD221" s="688">
        <f t="shared" si="963"/>
        <v>61.38</v>
      </c>
      <c r="DE221" s="688">
        <f t="shared" si="963"/>
        <v>61.38</v>
      </c>
      <c r="DF221" s="688">
        <f t="shared" si="963"/>
        <v>61.38</v>
      </c>
      <c r="DG221" s="688">
        <f t="shared" si="963"/>
        <v>61.38</v>
      </c>
      <c r="DH221" s="21"/>
      <c r="DI221" s="688">
        <f>+$H$221*DG103/12</f>
        <v>61.38</v>
      </c>
      <c r="DJ221" s="688">
        <f t="shared" ref="DJ221:DT221" si="964">+$H$221*DI103/12</f>
        <v>61.38</v>
      </c>
      <c r="DK221" s="688">
        <f t="shared" si="964"/>
        <v>61.38</v>
      </c>
      <c r="DL221" s="688">
        <f t="shared" si="964"/>
        <v>61.38</v>
      </c>
      <c r="DM221" s="688">
        <f t="shared" si="964"/>
        <v>61.38</v>
      </c>
      <c r="DN221" s="688">
        <f t="shared" si="964"/>
        <v>61.38</v>
      </c>
      <c r="DO221" s="688">
        <f t="shared" si="964"/>
        <v>61.38</v>
      </c>
      <c r="DP221" s="688">
        <f t="shared" si="964"/>
        <v>61.38</v>
      </c>
      <c r="DQ221" s="688">
        <f t="shared" si="964"/>
        <v>61.38</v>
      </c>
      <c r="DR221" s="688">
        <f t="shared" si="964"/>
        <v>61.38</v>
      </c>
      <c r="DS221" s="688">
        <f t="shared" si="964"/>
        <v>61.38</v>
      </c>
      <c r="DT221" s="688">
        <f t="shared" si="964"/>
        <v>61.38</v>
      </c>
      <c r="DU221" s="21"/>
      <c r="DV221" s="688">
        <f>+$H$221*DT103/12</f>
        <v>61.38</v>
      </c>
      <c r="DW221" s="688">
        <f t="shared" ref="DW221:EG221" si="965">+$H$221*DV103/12</f>
        <v>61.38</v>
      </c>
      <c r="DX221" s="688">
        <f t="shared" si="965"/>
        <v>61.38</v>
      </c>
      <c r="DY221" s="688">
        <f t="shared" si="965"/>
        <v>61.38</v>
      </c>
      <c r="DZ221" s="688">
        <f t="shared" si="965"/>
        <v>61.38</v>
      </c>
      <c r="EA221" s="688">
        <f t="shared" si="965"/>
        <v>61.38</v>
      </c>
      <c r="EB221" s="688">
        <f t="shared" si="965"/>
        <v>61.38</v>
      </c>
      <c r="EC221" s="688">
        <f t="shared" si="965"/>
        <v>61.38</v>
      </c>
      <c r="ED221" s="688">
        <f t="shared" si="965"/>
        <v>61.38</v>
      </c>
      <c r="EE221" s="688">
        <f t="shared" si="965"/>
        <v>61.38</v>
      </c>
      <c r="EF221" s="688">
        <f t="shared" si="965"/>
        <v>61.38</v>
      </c>
      <c r="EG221" s="688">
        <f t="shared" si="965"/>
        <v>61.38</v>
      </c>
      <c r="EH221" s="21"/>
      <c r="EI221" s="21"/>
      <c r="EJ221" s="21"/>
      <c r="EK221" s="21"/>
      <c r="EL221" s="21"/>
      <c r="EM221" s="21"/>
    </row>
    <row r="222" spans="1:143" ht="13.5" customHeight="1">
      <c r="A222" s="21"/>
      <c r="B222" s="21"/>
      <c r="C222" s="21"/>
      <c r="D222" s="21"/>
      <c r="E222" s="21"/>
      <c r="F222" s="21" t="str">
        <f>+Assumption!F286</f>
        <v>Long Term Bank Loan - BNI #2 (New)</v>
      </c>
      <c r="G222" s="15"/>
      <c r="H222" s="66">
        <f>+Assumption!H286</f>
        <v>0</v>
      </c>
      <c r="I222" s="688">
        <f t="shared" ref="I222:T222" si="966">+$H$222*H104/12</f>
        <v>0</v>
      </c>
      <c r="J222" s="688">
        <f t="shared" si="966"/>
        <v>0</v>
      </c>
      <c r="K222" s="688">
        <f t="shared" si="966"/>
        <v>0</v>
      </c>
      <c r="L222" s="688">
        <f t="shared" si="966"/>
        <v>0</v>
      </c>
      <c r="M222" s="688">
        <f t="shared" si="966"/>
        <v>0</v>
      </c>
      <c r="N222" s="688">
        <f t="shared" si="966"/>
        <v>0</v>
      </c>
      <c r="O222" s="688">
        <f t="shared" si="966"/>
        <v>0</v>
      </c>
      <c r="P222" s="688">
        <f t="shared" si="966"/>
        <v>0</v>
      </c>
      <c r="Q222" s="688">
        <f t="shared" si="966"/>
        <v>0</v>
      </c>
      <c r="R222" s="688">
        <f t="shared" si="966"/>
        <v>0</v>
      </c>
      <c r="S222" s="688">
        <f t="shared" si="966"/>
        <v>0</v>
      </c>
      <c r="T222" s="688">
        <f t="shared" si="966"/>
        <v>0</v>
      </c>
      <c r="U222" s="15"/>
      <c r="V222" s="688">
        <f>+$H$222*T104/12</f>
        <v>0</v>
      </c>
      <c r="W222" s="688">
        <f t="shared" ref="W222:AG222" si="967">+$H$222*V104/12</f>
        <v>0</v>
      </c>
      <c r="X222" s="688">
        <f t="shared" si="967"/>
        <v>0</v>
      </c>
      <c r="Y222" s="688">
        <f t="shared" si="967"/>
        <v>0</v>
      </c>
      <c r="Z222" s="688">
        <f t="shared" si="967"/>
        <v>0</v>
      </c>
      <c r="AA222" s="688">
        <f t="shared" si="967"/>
        <v>0</v>
      </c>
      <c r="AB222" s="688">
        <f t="shared" si="967"/>
        <v>0</v>
      </c>
      <c r="AC222" s="688">
        <f t="shared" si="967"/>
        <v>0</v>
      </c>
      <c r="AD222" s="688">
        <f t="shared" si="967"/>
        <v>0</v>
      </c>
      <c r="AE222" s="688">
        <f t="shared" si="967"/>
        <v>0</v>
      </c>
      <c r="AF222" s="688">
        <f t="shared" si="967"/>
        <v>0</v>
      </c>
      <c r="AG222" s="688">
        <f t="shared" si="967"/>
        <v>0</v>
      </c>
      <c r="AH222" s="21"/>
      <c r="AI222" s="688">
        <f>+$H$222*AG104/12</f>
        <v>0</v>
      </c>
      <c r="AJ222" s="688">
        <f t="shared" ref="AJ222:AT222" si="968">+$H$222*AI104/12</f>
        <v>0</v>
      </c>
      <c r="AK222" s="688">
        <f t="shared" si="968"/>
        <v>0</v>
      </c>
      <c r="AL222" s="688">
        <f t="shared" si="968"/>
        <v>0</v>
      </c>
      <c r="AM222" s="688">
        <f t="shared" si="968"/>
        <v>0</v>
      </c>
      <c r="AN222" s="688">
        <f t="shared" si="968"/>
        <v>0</v>
      </c>
      <c r="AO222" s="688">
        <f t="shared" si="968"/>
        <v>0</v>
      </c>
      <c r="AP222" s="688">
        <f t="shared" si="968"/>
        <v>0</v>
      </c>
      <c r="AQ222" s="688">
        <f t="shared" si="968"/>
        <v>0</v>
      </c>
      <c r="AR222" s="688">
        <f t="shared" si="968"/>
        <v>0</v>
      </c>
      <c r="AS222" s="688">
        <f t="shared" si="968"/>
        <v>0</v>
      </c>
      <c r="AT222" s="688">
        <f t="shared" si="968"/>
        <v>0</v>
      </c>
      <c r="AU222" s="21"/>
      <c r="AV222" s="688">
        <f>+$H$222*AT104/12</f>
        <v>0</v>
      </c>
      <c r="AW222" s="688">
        <f t="shared" ref="AW222:BG222" si="969">+$H$222*AV104/12</f>
        <v>0</v>
      </c>
      <c r="AX222" s="688">
        <f t="shared" si="969"/>
        <v>0</v>
      </c>
      <c r="AY222" s="688">
        <f t="shared" si="969"/>
        <v>0</v>
      </c>
      <c r="AZ222" s="688">
        <f t="shared" si="969"/>
        <v>0</v>
      </c>
      <c r="BA222" s="688">
        <f t="shared" si="969"/>
        <v>0</v>
      </c>
      <c r="BB222" s="688">
        <f t="shared" si="969"/>
        <v>0</v>
      </c>
      <c r="BC222" s="688">
        <f t="shared" si="969"/>
        <v>0</v>
      </c>
      <c r="BD222" s="688">
        <f t="shared" si="969"/>
        <v>0</v>
      </c>
      <c r="BE222" s="688">
        <f t="shared" si="969"/>
        <v>0</v>
      </c>
      <c r="BF222" s="688">
        <f t="shared" si="969"/>
        <v>0</v>
      </c>
      <c r="BG222" s="688">
        <f t="shared" si="969"/>
        <v>0</v>
      </c>
      <c r="BH222" s="21"/>
      <c r="BI222" s="688">
        <f>+$H$222*BG104/12</f>
        <v>0</v>
      </c>
      <c r="BJ222" s="688">
        <f t="shared" ref="BJ222:BT222" si="970">+$H$222*BI104/12</f>
        <v>0</v>
      </c>
      <c r="BK222" s="688">
        <f t="shared" si="970"/>
        <v>0</v>
      </c>
      <c r="BL222" s="688">
        <f t="shared" si="970"/>
        <v>0</v>
      </c>
      <c r="BM222" s="688">
        <f t="shared" si="970"/>
        <v>0</v>
      </c>
      <c r="BN222" s="688">
        <f t="shared" si="970"/>
        <v>0</v>
      </c>
      <c r="BO222" s="688">
        <f t="shared" si="970"/>
        <v>0</v>
      </c>
      <c r="BP222" s="688">
        <f t="shared" si="970"/>
        <v>0</v>
      </c>
      <c r="BQ222" s="688">
        <f t="shared" si="970"/>
        <v>0</v>
      </c>
      <c r="BR222" s="688">
        <f t="shared" si="970"/>
        <v>0</v>
      </c>
      <c r="BS222" s="688">
        <f t="shared" si="970"/>
        <v>0</v>
      </c>
      <c r="BT222" s="688">
        <f t="shared" si="970"/>
        <v>0</v>
      </c>
      <c r="BU222" s="21"/>
      <c r="BV222" s="688">
        <f>+$H$222*BT104/12</f>
        <v>0</v>
      </c>
      <c r="BW222" s="688">
        <f t="shared" ref="BW222:CG222" si="971">+$H$222*BV104/12</f>
        <v>0</v>
      </c>
      <c r="BX222" s="688">
        <f t="shared" si="971"/>
        <v>0</v>
      </c>
      <c r="BY222" s="688">
        <f t="shared" si="971"/>
        <v>0</v>
      </c>
      <c r="BZ222" s="688">
        <f t="shared" si="971"/>
        <v>0</v>
      </c>
      <c r="CA222" s="688">
        <f t="shared" si="971"/>
        <v>0</v>
      </c>
      <c r="CB222" s="688">
        <f t="shared" si="971"/>
        <v>0</v>
      </c>
      <c r="CC222" s="688">
        <f t="shared" si="971"/>
        <v>0</v>
      </c>
      <c r="CD222" s="688">
        <f t="shared" si="971"/>
        <v>0</v>
      </c>
      <c r="CE222" s="688">
        <f t="shared" si="971"/>
        <v>0</v>
      </c>
      <c r="CF222" s="688">
        <f t="shared" si="971"/>
        <v>0</v>
      </c>
      <c r="CG222" s="688">
        <f t="shared" si="971"/>
        <v>0</v>
      </c>
      <c r="CH222" s="21"/>
      <c r="CI222" s="688">
        <f>+$H$222*CG104/12</f>
        <v>0</v>
      </c>
      <c r="CJ222" s="688">
        <f t="shared" ref="CJ222:CT222" si="972">+$H$222*CI104/12</f>
        <v>0</v>
      </c>
      <c r="CK222" s="688">
        <f t="shared" si="972"/>
        <v>0</v>
      </c>
      <c r="CL222" s="688">
        <f t="shared" si="972"/>
        <v>0</v>
      </c>
      <c r="CM222" s="688">
        <f t="shared" si="972"/>
        <v>0</v>
      </c>
      <c r="CN222" s="688">
        <f t="shared" si="972"/>
        <v>0</v>
      </c>
      <c r="CO222" s="688">
        <f t="shared" si="972"/>
        <v>0</v>
      </c>
      <c r="CP222" s="688">
        <f t="shared" si="972"/>
        <v>0</v>
      </c>
      <c r="CQ222" s="688">
        <f t="shared" si="972"/>
        <v>0</v>
      </c>
      <c r="CR222" s="688">
        <f t="shared" si="972"/>
        <v>0</v>
      </c>
      <c r="CS222" s="688">
        <f t="shared" si="972"/>
        <v>0</v>
      </c>
      <c r="CT222" s="688">
        <f t="shared" si="972"/>
        <v>0</v>
      </c>
      <c r="CU222" s="21"/>
      <c r="CV222" s="688">
        <f>+$H$222*CT104/12</f>
        <v>0</v>
      </c>
      <c r="CW222" s="688">
        <f t="shared" ref="CW222:DG222" si="973">+$H$222*CV104/12</f>
        <v>0</v>
      </c>
      <c r="CX222" s="688">
        <f t="shared" si="973"/>
        <v>0</v>
      </c>
      <c r="CY222" s="688">
        <f t="shared" si="973"/>
        <v>0</v>
      </c>
      <c r="CZ222" s="688">
        <f t="shared" si="973"/>
        <v>0</v>
      </c>
      <c r="DA222" s="688">
        <f t="shared" si="973"/>
        <v>0</v>
      </c>
      <c r="DB222" s="688">
        <f t="shared" si="973"/>
        <v>0</v>
      </c>
      <c r="DC222" s="688">
        <f t="shared" si="973"/>
        <v>0</v>
      </c>
      <c r="DD222" s="688">
        <f t="shared" si="973"/>
        <v>0</v>
      </c>
      <c r="DE222" s="688">
        <f t="shared" si="973"/>
        <v>0</v>
      </c>
      <c r="DF222" s="688">
        <f t="shared" si="973"/>
        <v>0</v>
      </c>
      <c r="DG222" s="688">
        <f t="shared" si="973"/>
        <v>0</v>
      </c>
      <c r="DH222" s="21"/>
      <c r="DI222" s="688">
        <f>+$H$222*DG104/12</f>
        <v>0</v>
      </c>
      <c r="DJ222" s="688">
        <f t="shared" ref="DJ222:DT222" si="974">+$H$222*DI104/12</f>
        <v>0</v>
      </c>
      <c r="DK222" s="688">
        <f t="shared" si="974"/>
        <v>0</v>
      </c>
      <c r="DL222" s="688">
        <f t="shared" si="974"/>
        <v>0</v>
      </c>
      <c r="DM222" s="688">
        <f t="shared" si="974"/>
        <v>0</v>
      </c>
      <c r="DN222" s="688">
        <f t="shared" si="974"/>
        <v>0</v>
      </c>
      <c r="DO222" s="688">
        <f t="shared" si="974"/>
        <v>0</v>
      </c>
      <c r="DP222" s="688">
        <f t="shared" si="974"/>
        <v>0</v>
      </c>
      <c r="DQ222" s="688">
        <f t="shared" si="974"/>
        <v>0</v>
      </c>
      <c r="DR222" s="688">
        <f t="shared" si="974"/>
        <v>0</v>
      </c>
      <c r="DS222" s="688">
        <f t="shared" si="974"/>
        <v>0</v>
      </c>
      <c r="DT222" s="688">
        <f t="shared" si="974"/>
        <v>0</v>
      </c>
      <c r="DU222" s="21"/>
      <c r="DV222" s="688">
        <f>+$H$222*DT104/12</f>
        <v>0</v>
      </c>
      <c r="DW222" s="688">
        <f t="shared" ref="DW222:EG222" si="975">+$H$222*DV104/12</f>
        <v>0</v>
      </c>
      <c r="DX222" s="688">
        <f t="shared" si="975"/>
        <v>0</v>
      </c>
      <c r="DY222" s="688">
        <f t="shared" si="975"/>
        <v>0</v>
      </c>
      <c r="DZ222" s="688">
        <f t="shared" si="975"/>
        <v>0</v>
      </c>
      <c r="EA222" s="688">
        <f t="shared" si="975"/>
        <v>0</v>
      </c>
      <c r="EB222" s="688">
        <f t="shared" si="975"/>
        <v>0</v>
      </c>
      <c r="EC222" s="688">
        <f t="shared" si="975"/>
        <v>0</v>
      </c>
      <c r="ED222" s="688">
        <f t="shared" si="975"/>
        <v>0</v>
      </c>
      <c r="EE222" s="688">
        <f t="shared" si="975"/>
        <v>0</v>
      </c>
      <c r="EF222" s="688">
        <f t="shared" si="975"/>
        <v>0</v>
      </c>
      <c r="EG222" s="688">
        <f t="shared" si="975"/>
        <v>0</v>
      </c>
      <c r="EH222" s="21"/>
      <c r="EI222" s="21"/>
      <c r="EJ222" s="21"/>
      <c r="EK222" s="21"/>
      <c r="EL222" s="21"/>
      <c r="EM222" s="21"/>
    </row>
    <row r="223" spans="1:143" ht="13.5" customHeight="1">
      <c r="A223" s="21"/>
      <c r="B223" s="21"/>
      <c r="C223" s="21"/>
      <c r="D223" s="21"/>
      <c r="E223" s="21"/>
      <c r="F223" s="21" t="str">
        <f>+Assumption!F287</f>
        <v>Long Term Bank Loan - BNI #3</v>
      </c>
      <c r="G223" s="15"/>
      <c r="H223" s="66">
        <f>+Assumption!H287</f>
        <v>0</v>
      </c>
      <c r="I223" s="688">
        <f t="shared" ref="I223:T223" si="976">+$H$223*H105/12</f>
        <v>0</v>
      </c>
      <c r="J223" s="688">
        <f t="shared" si="976"/>
        <v>0</v>
      </c>
      <c r="K223" s="688">
        <f t="shared" si="976"/>
        <v>0</v>
      </c>
      <c r="L223" s="688">
        <f t="shared" si="976"/>
        <v>0</v>
      </c>
      <c r="M223" s="688">
        <f t="shared" si="976"/>
        <v>0</v>
      </c>
      <c r="N223" s="688">
        <f t="shared" si="976"/>
        <v>0</v>
      </c>
      <c r="O223" s="688">
        <f t="shared" si="976"/>
        <v>0</v>
      </c>
      <c r="P223" s="688">
        <f t="shared" si="976"/>
        <v>0</v>
      </c>
      <c r="Q223" s="688">
        <f t="shared" si="976"/>
        <v>0</v>
      </c>
      <c r="R223" s="688">
        <f t="shared" si="976"/>
        <v>0</v>
      </c>
      <c r="S223" s="688">
        <f t="shared" si="976"/>
        <v>0</v>
      </c>
      <c r="T223" s="688">
        <f t="shared" si="976"/>
        <v>0</v>
      </c>
      <c r="U223" s="15"/>
      <c r="V223" s="688">
        <f>+$H$223*T105/12</f>
        <v>0</v>
      </c>
      <c r="W223" s="688">
        <f t="shared" ref="W223:AG223" si="977">+$H$223*V105/12</f>
        <v>0</v>
      </c>
      <c r="X223" s="688">
        <f t="shared" si="977"/>
        <v>0</v>
      </c>
      <c r="Y223" s="688">
        <f t="shared" si="977"/>
        <v>0</v>
      </c>
      <c r="Z223" s="688">
        <f t="shared" si="977"/>
        <v>0</v>
      </c>
      <c r="AA223" s="688">
        <f t="shared" si="977"/>
        <v>0</v>
      </c>
      <c r="AB223" s="688">
        <f t="shared" si="977"/>
        <v>0</v>
      </c>
      <c r="AC223" s="688">
        <f t="shared" si="977"/>
        <v>0</v>
      </c>
      <c r="AD223" s="688">
        <f t="shared" si="977"/>
        <v>0</v>
      </c>
      <c r="AE223" s="688">
        <f t="shared" si="977"/>
        <v>0</v>
      </c>
      <c r="AF223" s="688">
        <f t="shared" si="977"/>
        <v>0</v>
      </c>
      <c r="AG223" s="688">
        <f t="shared" si="977"/>
        <v>0</v>
      </c>
      <c r="AH223" s="21"/>
      <c r="AI223" s="688">
        <f>+$H$223*AG105/12</f>
        <v>0</v>
      </c>
      <c r="AJ223" s="688">
        <f t="shared" ref="AJ223:AT223" si="978">+$H$223*AI105/12</f>
        <v>0</v>
      </c>
      <c r="AK223" s="688">
        <f t="shared" si="978"/>
        <v>0</v>
      </c>
      <c r="AL223" s="688">
        <f t="shared" si="978"/>
        <v>0</v>
      </c>
      <c r="AM223" s="688">
        <f t="shared" si="978"/>
        <v>0</v>
      </c>
      <c r="AN223" s="688">
        <f t="shared" si="978"/>
        <v>0</v>
      </c>
      <c r="AO223" s="688">
        <f t="shared" si="978"/>
        <v>0</v>
      </c>
      <c r="AP223" s="688">
        <f t="shared" si="978"/>
        <v>0</v>
      </c>
      <c r="AQ223" s="688">
        <f t="shared" si="978"/>
        <v>0</v>
      </c>
      <c r="AR223" s="688">
        <f t="shared" si="978"/>
        <v>0</v>
      </c>
      <c r="AS223" s="688">
        <f t="shared" si="978"/>
        <v>0</v>
      </c>
      <c r="AT223" s="688">
        <f t="shared" si="978"/>
        <v>0</v>
      </c>
      <c r="AU223" s="21"/>
      <c r="AV223" s="688">
        <f>+$H$223*AT105/12</f>
        <v>0</v>
      </c>
      <c r="AW223" s="688">
        <f t="shared" ref="AW223:BG223" si="979">+$H$223*AV105/12</f>
        <v>0</v>
      </c>
      <c r="AX223" s="688">
        <f t="shared" si="979"/>
        <v>0</v>
      </c>
      <c r="AY223" s="688">
        <f t="shared" si="979"/>
        <v>0</v>
      </c>
      <c r="AZ223" s="688">
        <f t="shared" si="979"/>
        <v>0</v>
      </c>
      <c r="BA223" s="688">
        <f t="shared" si="979"/>
        <v>0</v>
      </c>
      <c r="BB223" s="688">
        <f t="shared" si="979"/>
        <v>0</v>
      </c>
      <c r="BC223" s="688">
        <f t="shared" si="979"/>
        <v>0</v>
      </c>
      <c r="BD223" s="688">
        <f t="shared" si="979"/>
        <v>0</v>
      </c>
      <c r="BE223" s="688">
        <f t="shared" si="979"/>
        <v>0</v>
      </c>
      <c r="BF223" s="688">
        <f t="shared" si="979"/>
        <v>0</v>
      </c>
      <c r="BG223" s="688">
        <f t="shared" si="979"/>
        <v>0</v>
      </c>
      <c r="BH223" s="21"/>
      <c r="BI223" s="688">
        <f>+$H$223*BG105/12</f>
        <v>0</v>
      </c>
      <c r="BJ223" s="688">
        <f t="shared" ref="BJ223:BT223" si="980">+$H$223*BI105/12</f>
        <v>0</v>
      </c>
      <c r="BK223" s="688">
        <f t="shared" si="980"/>
        <v>0</v>
      </c>
      <c r="BL223" s="688">
        <f t="shared" si="980"/>
        <v>0</v>
      </c>
      <c r="BM223" s="688">
        <f t="shared" si="980"/>
        <v>0</v>
      </c>
      <c r="BN223" s="688">
        <f t="shared" si="980"/>
        <v>0</v>
      </c>
      <c r="BO223" s="688">
        <f t="shared" si="980"/>
        <v>0</v>
      </c>
      <c r="BP223" s="688">
        <f t="shared" si="980"/>
        <v>0</v>
      </c>
      <c r="BQ223" s="688">
        <f t="shared" si="980"/>
        <v>0</v>
      </c>
      <c r="BR223" s="688">
        <f t="shared" si="980"/>
        <v>0</v>
      </c>
      <c r="BS223" s="688">
        <f t="shared" si="980"/>
        <v>0</v>
      </c>
      <c r="BT223" s="688">
        <f t="shared" si="980"/>
        <v>0</v>
      </c>
      <c r="BU223" s="21"/>
      <c r="BV223" s="688">
        <f>+$H$223*BT105/12</f>
        <v>0</v>
      </c>
      <c r="BW223" s="688">
        <f t="shared" ref="BW223:CG223" si="981">+$H$223*BV105/12</f>
        <v>0</v>
      </c>
      <c r="BX223" s="688">
        <f t="shared" si="981"/>
        <v>0</v>
      </c>
      <c r="BY223" s="688">
        <f t="shared" si="981"/>
        <v>0</v>
      </c>
      <c r="BZ223" s="688">
        <f t="shared" si="981"/>
        <v>0</v>
      </c>
      <c r="CA223" s="688">
        <f t="shared" si="981"/>
        <v>0</v>
      </c>
      <c r="CB223" s="688">
        <f t="shared" si="981"/>
        <v>0</v>
      </c>
      <c r="CC223" s="688">
        <f t="shared" si="981"/>
        <v>0</v>
      </c>
      <c r="CD223" s="688">
        <f t="shared" si="981"/>
        <v>0</v>
      </c>
      <c r="CE223" s="688">
        <f t="shared" si="981"/>
        <v>0</v>
      </c>
      <c r="CF223" s="688">
        <f t="shared" si="981"/>
        <v>0</v>
      </c>
      <c r="CG223" s="688">
        <f t="shared" si="981"/>
        <v>0</v>
      </c>
      <c r="CH223" s="21"/>
      <c r="CI223" s="688">
        <f>+$H$223*CG105/12</f>
        <v>0</v>
      </c>
      <c r="CJ223" s="688">
        <f t="shared" ref="CJ223:CT223" si="982">+$H$223*CI105/12</f>
        <v>0</v>
      </c>
      <c r="CK223" s="688">
        <f t="shared" si="982"/>
        <v>0</v>
      </c>
      <c r="CL223" s="688">
        <f t="shared" si="982"/>
        <v>0</v>
      </c>
      <c r="CM223" s="688">
        <f t="shared" si="982"/>
        <v>0</v>
      </c>
      <c r="CN223" s="688">
        <f t="shared" si="982"/>
        <v>0</v>
      </c>
      <c r="CO223" s="688">
        <f t="shared" si="982"/>
        <v>0</v>
      </c>
      <c r="CP223" s="688">
        <f t="shared" si="982"/>
        <v>0</v>
      </c>
      <c r="CQ223" s="688">
        <f t="shared" si="982"/>
        <v>0</v>
      </c>
      <c r="CR223" s="688">
        <f t="shared" si="982"/>
        <v>0</v>
      </c>
      <c r="CS223" s="688">
        <f t="shared" si="982"/>
        <v>0</v>
      </c>
      <c r="CT223" s="688">
        <f t="shared" si="982"/>
        <v>0</v>
      </c>
      <c r="CU223" s="21"/>
      <c r="CV223" s="688">
        <f>+$H$223*CT105/12</f>
        <v>0</v>
      </c>
      <c r="CW223" s="688">
        <f t="shared" ref="CW223:DG223" si="983">+$H$223*CV105/12</f>
        <v>0</v>
      </c>
      <c r="CX223" s="688">
        <f t="shared" si="983"/>
        <v>0</v>
      </c>
      <c r="CY223" s="688">
        <f t="shared" si="983"/>
        <v>0</v>
      </c>
      <c r="CZ223" s="688">
        <f t="shared" si="983"/>
        <v>0</v>
      </c>
      <c r="DA223" s="688">
        <f t="shared" si="983"/>
        <v>0</v>
      </c>
      <c r="DB223" s="688">
        <f t="shared" si="983"/>
        <v>0</v>
      </c>
      <c r="DC223" s="688">
        <f t="shared" si="983"/>
        <v>0</v>
      </c>
      <c r="DD223" s="688">
        <f t="shared" si="983"/>
        <v>0</v>
      </c>
      <c r="DE223" s="688">
        <f t="shared" si="983"/>
        <v>0</v>
      </c>
      <c r="DF223" s="688">
        <f t="shared" si="983"/>
        <v>0</v>
      </c>
      <c r="DG223" s="688">
        <f t="shared" si="983"/>
        <v>0</v>
      </c>
      <c r="DH223" s="21"/>
      <c r="DI223" s="688">
        <f>+$H$223*DG105/12</f>
        <v>0</v>
      </c>
      <c r="DJ223" s="688">
        <f t="shared" ref="DJ223:DT223" si="984">+$H$223*DI105/12</f>
        <v>0</v>
      </c>
      <c r="DK223" s="688">
        <f t="shared" si="984"/>
        <v>0</v>
      </c>
      <c r="DL223" s="688">
        <f t="shared" si="984"/>
        <v>0</v>
      </c>
      <c r="DM223" s="688">
        <f t="shared" si="984"/>
        <v>0</v>
      </c>
      <c r="DN223" s="688">
        <f t="shared" si="984"/>
        <v>0</v>
      </c>
      <c r="DO223" s="688">
        <f t="shared" si="984"/>
        <v>0</v>
      </c>
      <c r="DP223" s="688">
        <f t="shared" si="984"/>
        <v>0</v>
      </c>
      <c r="DQ223" s="688">
        <f t="shared" si="984"/>
        <v>0</v>
      </c>
      <c r="DR223" s="688">
        <f t="shared" si="984"/>
        <v>0</v>
      </c>
      <c r="DS223" s="688">
        <f t="shared" si="984"/>
        <v>0</v>
      </c>
      <c r="DT223" s="688">
        <f t="shared" si="984"/>
        <v>0</v>
      </c>
      <c r="DU223" s="21"/>
      <c r="DV223" s="688">
        <f>+$H$223*DT105/12</f>
        <v>0</v>
      </c>
      <c r="DW223" s="688">
        <f t="shared" ref="DW223:EG223" si="985">+$H$223*DV105/12</f>
        <v>0</v>
      </c>
      <c r="DX223" s="688">
        <f t="shared" si="985"/>
        <v>0</v>
      </c>
      <c r="DY223" s="688">
        <f t="shared" si="985"/>
        <v>0</v>
      </c>
      <c r="DZ223" s="688">
        <f t="shared" si="985"/>
        <v>0</v>
      </c>
      <c r="EA223" s="688">
        <f t="shared" si="985"/>
        <v>0</v>
      </c>
      <c r="EB223" s="688">
        <f t="shared" si="985"/>
        <v>0</v>
      </c>
      <c r="EC223" s="688">
        <f t="shared" si="985"/>
        <v>0</v>
      </c>
      <c r="ED223" s="688">
        <f t="shared" si="985"/>
        <v>0</v>
      </c>
      <c r="EE223" s="688">
        <f t="shared" si="985"/>
        <v>0</v>
      </c>
      <c r="EF223" s="688">
        <f t="shared" si="985"/>
        <v>0</v>
      </c>
      <c r="EG223" s="688">
        <f t="shared" si="985"/>
        <v>0</v>
      </c>
      <c r="EH223" s="21"/>
      <c r="EI223" s="21"/>
      <c r="EJ223" s="21"/>
      <c r="EK223" s="21"/>
      <c r="EL223" s="21"/>
      <c r="EM223" s="21"/>
    </row>
    <row r="224" spans="1:143" ht="13.5" customHeight="1">
      <c r="A224" s="21"/>
      <c r="B224" s="21"/>
      <c r="C224" s="21"/>
      <c r="D224" s="21"/>
      <c r="E224" s="21"/>
      <c r="F224" s="21" t="str">
        <f>+Assumption!F288</f>
        <v>Long Term Bank Loan - BNI #4</v>
      </c>
      <c r="G224" s="15"/>
      <c r="H224" s="66">
        <f>+Assumption!H288</f>
        <v>0</v>
      </c>
      <c r="I224" s="756">
        <f>+'Schedule Bank'!$F6</f>
        <v>0</v>
      </c>
      <c r="J224" s="756">
        <f>+'Schedule Bank'!$F7</f>
        <v>0</v>
      </c>
      <c r="K224" s="756">
        <f>+'Schedule Bank'!$F8</f>
        <v>0</v>
      </c>
      <c r="L224" s="756">
        <f>+'Schedule Bank'!$F9</f>
        <v>0</v>
      </c>
      <c r="M224" s="756">
        <f>+'Schedule Bank'!$F10</f>
        <v>0</v>
      </c>
      <c r="N224" s="756">
        <f>+'Schedule Bank'!$F11</f>
        <v>0</v>
      </c>
      <c r="O224" s="756">
        <f>+'Schedule Bank'!$F12</f>
        <v>0</v>
      </c>
      <c r="P224" s="756">
        <f>+'Schedule Bank'!$F13</f>
        <v>0</v>
      </c>
      <c r="Q224" s="756">
        <f>+'Schedule Bank'!$F14</f>
        <v>0</v>
      </c>
      <c r="R224" s="756">
        <f>+'Schedule Bank'!$F15</f>
        <v>0</v>
      </c>
      <c r="S224" s="756">
        <f>+'Schedule Bank'!$F16</f>
        <v>0</v>
      </c>
      <c r="T224" s="756">
        <f>+'Schedule Bank'!$F17</f>
        <v>0</v>
      </c>
      <c r="U224" s="757"/>
      <c r="V224" s="756">
        <f>+'Schedule Bank'!$F18</f>
        <v>0</v>
      </c>
      <c r="W224" s="756">
        <f>+'Schedule Bank'!$F19</f>
        <v>0</v>
      </c>
      <c r="X224" s="756">
        <f>+'Schedule Bank'!$F20</f>
        <v>0</v>
      </c>
      <c r="Y224" s="756">
        <f>+'Schedule Bank'!$F21</f>
        <v>0</v>
      </c>
      <c r="Z224" s="756">
        <f>+'Schedule Bank'!$F22</f>
        <v>0</v>
      </c>
      <c r="AA224" s="756">
        <f>+'Schedule Bank'!$F23</f>
        <v>0</v>
      </c>
      <c r="AB224" s="756">
        <f>+'Schedule Bank'!$F24</f>
        <v>0</v>
      </c>
      <c r="AC224" s="756">
        <f>+'Schedule Bank'!$F25</f>
        <v>0</v>
      </c>
      <c r="AD224" s="756">
        <f>+'Schedule Bank'!$F26</f>
        <v>0</v>
      </c>
      <c r="AE224" s="756">
        <f>+'Schedule Bank'!$F27</f>
        <v>0</v>
      </c>
      <c r="AF224" s="756">
        <f>+'Schedule Bank'!$F28</f>
        <v>0</v>
      </c>
      <c r="AG224" s="756">
        <f>+'Schedule Bank'!$F29</f>
        <v>0</v>
      </c>
      <c r="AH224" s="758"/>
      <c r="AI224" s="756">
        <f>+'Schedule Bank'!$F30</f>
        <v>0</v>
      </c>
      <c r="AJ224" s="756">
        <f>+'Schedule Bank'!$F31</f>
        <v>0</v>
      </c>
      <c r="AK224" s="756">
        <f>+'Schedule Bank'!$F32</f>
        <v>0</v>
      </c>
      <c r="AL224" s="756">
        <f>+'Schedule Bank'!$F33</f>
        <v>0</v>
      </c>
      <c r="AM224" s="756">
        <f>+'Schedule Bank'!$F34</f>
        <v>0</v>
      </c>
      <c r="AN224" s="756">
        <f>+'Schedule Bank'!$F35</f>
        <v>0</v>
      </c>
      <c r="AO224" s="756">
        <f>+'Schedule Bank'!$F36</f>
        <v>0</v>
      </c>
      <c r="AP224" s="756">
        <f>+'Schedule Bank'!$F37</f>
        <v>0</v>
      </c>
      <c r="AQ224" s="756">
        <f>+'Schedule Bank'!$F38</f>
        <v>0</v>
      </c>
      <c r="AR224" s="756">
        <f>+'Schedule Bank'!$F39</f>
        <v>0</v>
      </c>
      <c r="AS224" s="756">
        <f>+'Schedule Bank'!$F40</f>
        <v>0</v>
      </c>
      <c r="AT224" s="756">
        <f>+'Schedule Bank'!$F41</f>
        <v>0</v>
      </c>
      <c r="AU224" s="758"/>
      <c r="AV224" s="756">
        <f>+'Schedule Bank'!$F42</f>
        <v>0</v>
      </c>
      <c r="AW224" s="756">
        <f>+'Schedule Bank'!$F43</f>
        <v>0</v>
      </c>
      <c r="AX224" s="756">
        <f>+'Schedule Bank'!$F44</f>
        <v>0</v>
      </c>
      <c r="AY224" s="756">
        <f>+'Schedule Bank'!$F45</f>
        <v>0</v>
      </c>
      <c r="AZ224" s="756">
        <f>+'Schedule Bank'!$F46</f>
        <v>0</v>
      </c>
      <c r="BA224" s="756">
        <f>+'Schedule Bank'!$F47</f>
        <v>0</v>
      </c>
      <c r="BB224" s="756">
        <f>+'Schedule Bank'!$F48</f>
        <v>0</v>
      </c>
      <c r="BC224" s="756">
        <f>+'Schedule Bank'!$F49</f>
        <v>0</v>
      </c>
      <c r="BD224" s="756">
        <f>+'Schedule Bank'!$F50</f>
        <v>0</v>
      </c>
      <c r="BE224" s="756">
        <f>+'Schedule Bank'!$F51</f>
        <v>0</v>
      </c>
      <c r="BF224" s="756">
        <f>+'Schedule Bank'!$F52</f>
        <v>0</v>
      </c>
      <c r="BG224" s="756">
        <f>+'Schedule Bank'!$F53</f>
        <v>0</v>
      </c>
      <c r="BH224" s="758"/>
      <c r="BI224" s="756">
        <f>+'Schedule Bank'!$F54</f>
        <v>0</v>
      </c>
      <c r="BJ224" s="756">
        <f>+'Schedule Bank'!$F55</f>
        <v>0</v>
      </c>
      <c r="BK224" s="756">
        <f>+'Schedule Bank'!$F56</f>
        <v>0</v>
      </c>
      <c r="BL224" s="756">
        <f>+'Schedule Bank'!$F57</f>
        <v>0</v>
      </c>
      <c r="BM224" s="756">
        <f>+'Schedule Bank'!$F58</f>
        <v>0</v>
      </c>
      <c r="BN224" s="756">
        <f>+'Schedule Bank'!$F59</f>
        <v>0</v>
      </c>
      <c r="BO224" s="756">
        <f>+'Schedule Bank'!$F60</f>
        <v>0</v>
      </c>
      <c r="BP224" s="756">
        <f>+'Schedule Bank'!$F61</f>
        <v>0</v>
      </c>
      <c r="BQ224" s="756">
        <f>+'Schedule Bank'!$F62</f>
        <v>0</v>
      </c>
      <c r="BR224" s="756">
        <f>+'Schedule Bank'!$F63</f>
        <v>0</v>
      </c>
      <c r="BS224" s="756">
        <f>+'Schedule Bank'!$F64</f>
        <v>0</v>
      </c>
      <c r="BT224" s="756">
        <f>+'Schedule Bank'!$F65</f>
        <v>0</v>
      </c>
      <c r="BU224" s="21"/>
      <c r="BV224" s="688">
        <f>+$H$224*BT106/12</f>
        <v>0</v>
      </c>
      <c r="BW224" s="688">
        <f t="shared" ref="BW224:CG224" si="986">+$H$224*BV106/12</f>
        <v>0</v>
      </c>
      <c r="BX224" s="688">
        <f t="shared" si="986"/>
        <v>0</v>
      </c>
      <c r="BY224" s="688">
        <f t="shared" si="986"/>
        <v>0</v>
      </c>
      <c r="BZ224" s="688">
        <f t="shared" si="986"/>
        <v>0</v>
      </c>
      <c r="CA224" s="688">
        <f t="shared" si="986"/>
        <v>0</v>
      </c>
      <c r="CB224" s="688">
        <f t="shared" si="986"/>
        <v>0</v>
      </c>
      <c r="CC224" s="688">
        <f t="shared" si="986"/>
        <v>0</v>
      </c>
      <c r="CD224" s="688">
        <f t="shared" si="986"/>
        <v>0</v>
      </c>
      <c r="CE224" s="688">
        <f t="shared" si="986"/>
        <v>0</v>
      </c>
      <c r="CF224" s="688">
        <f t="shared" si="986"/>
        <v>0</v>
      </c>
      <c r="CG224" s="688">
        <f t="shared" si="986"/>
        <v>0</v>
      </c>
      <c r="CH224" s="21"/>
      <c r="CI224" s="688">
        <f>+$H$224*CG106/12</f>
        <v>0</v>
      </c>
      <c r="CJ224" s="688">
        <f t="shared" ref="CJ224:CT224" si="987">+$H$224*CI106/12</f>
        <v>0</v>
      </c>
      <c r="CK224" s="688">
        <f t="shared" si="987"/>
        <v>0</v>
      </c>
      <c r="CL224" s="688">
        <f t="shared" si="987"/>
        <v>0</v>
      </c>
      <c r="CM224" s="688">
        <f t="shared" si="987"/>
        <v>0</v>
      </c>
      <c r="CN224" s="688">
        <f t="shared" si="987"/>
        <v>0</v>
      </c>
      <c r="CO224" s="688">
        <f t="shared" si="987"/>
        <v>0</v>
      </c>
      <c r="CP224" s="688">
        <f t="shared" si="987"/>
        <v>0</v>
      </c>
      <c r="CQ224" s="688">
        <f t="shared" si="987"/>
        <v>0</v>
      </c>
      <c r="CR224" s="688">
        <f t="shared" si="987"/>
        <v>0</v>
      </c>
      <c r="CS224" s="688">
        <f t="shared" si="987"/>
        <v>0</v>
      </c>
      <c r="CT224" s="688">
        <f t="shared" si="987"/>
        <v>0</v>
      </c>
      <c r="CU224" s="21"/>
      <c r="CV224" s="688">
        <f>+$H$224*CT106/12</f>
        <v>0</v>
      </c>
      <c r="CW224" s="688">
        <f t="shared" ref="CW224:DG224" si="988">+$H$224*CV106/12</f>
        <v>0</v>
      </c>
      <c r="CX224" s="688">
        <f t="shared" si="988"/>
        <v>0</v>
      </c>
      <c r="CY224" s="688">
        <f t="shared" si="988"/>
        <v>0</v>
      </c>
      <c r="CZ224" s="688">
        <f t="shared" si="988"/>
        <v>0</v>
      </c>
      <c r="DA224" s="688">
        <f t="shared" si="988"/>
        <v>0</v>
      </c>
      <c r="DB224" s="688">
        <f t="shared" si="988"/>
        <v>0</v>
      </c>
      <c r="DC224" s="688">
        <f t="shared" si="988"/>
        <v>0</v>
      </c>
      <c r="DD224" s="688">
        <f t="shared" si="988"/>
        <v>0</v>
      </c>
      <c r="DE224" s="688">
        <f t="shared" si="988"/>
        <v>0</v>
      </c>
      <c r="DF224" s="688">
        <f t="shared" si="988"/>
        <v>0</v>
      </c>
      <c r="DG224" s="688">
        <f t="shared" si="988"/>
        <v>0</v>
      </c>
      <c r="DH224" s="21"/>
      <c r="DI224" s="688">
        <f>+$H$224*DG106/12</f>
        <v>0</v>
      </c>
      <c r="DJ224" s="688">
        <f t="shared" ref="DJ224:DT224" si="989">+$H$224*DI106/12</f>
        <v>0</v>
      </c>
      <c r="DK224" s="688">
        <f t="shared" si="989"/>
        <v>0</v>
      </c>
      <c r="DL224" s="688">
        <f t="shared" si="989"/>
        <v>0</v>
      </c>
      <c r="DM224" s="688">
        <f t="shared" si="989"/>
        <v>0</v>
      </c>
      <c r="DN224" s="688">
        <f t="shared" si="989"/>
        <v>0</v>
      </c>
      <c r="DO224" s="688">
        <f t="shared" si="989"/>
        <v>0</v>
      </c>
      <c r="DP224" s="688">
        <f t="shared" si="989"/>
        <v>0</v>
      </c>
      <c r="DQ224" s="688">
        <f t="shared" si="989"/>
        <v>0</v>
      </c>
      <c r="DR224" s="688">
        <f t="shared" si="989"/>
        <v>0</v>
      </c>
      <c r="DS224" s="688">
        <f t="shared" si="989"/>
        <v>0</v>
      </c>
      <c r="DT224" s="688">
        <f t="shared" si="989"/>
        <v>0</v>
      </c>
      <c r="DU224" s="21"/>
      <c r="DV224" s="688">
        <f>+$H$224*DT106/12</f>
        <v>0</v>
      </c>
      <c r="DW224" s="688">
        <f t="shared" ref="DW224:EG224" si="990">+$H$224*DV106/12</f>
        <v>0</v>
      </c>
      <c r="DX224" s="688">
        <f t="shared" si="990"/>
        <v>0</v>
      </c>
      <c r="DY224" s="688">
        <f t="shared" si="990"/>
        <v>0</v>
      </c>
      <c r="DZ224" s="688">
        <f t="shared" si="990"/>
        <v>0</v>
      </c>
      <c r="EA224" s="688">
        <f t="shared" si="990"/>
        <v>0</v>
      </c>
      <c r="EB224" s="688">
        <f t="shared" si="990"/>
        <v>0</v>
      </c>
      <c r="EC224" s="688">
        <f t="shared" si="990"/>
        <v>0</v>
      </c>
      <c r="ED224" s="688">
        <f t="shared" si="990"/>
        <v>0</v>
      </c>
      <c r="EE224" s="688">
        <f t="shared" si="990"/>
        <v>0</v>
      </c>
      <c r="EF224" s="688">
        <f t="shared" si="990"/>
        <v>0</v>
      </c>
      <c r="EG224" s="688">
        <f t="shared" si="990"/>
        <v>0</v>
      </c>
      <c r="EH224" s="21"/>
      <c r="EI224" s="21"/>
      <c r="EJ224" s="21"/>
      <c r="EK224" s="21"/>
      <c r="EL224" s="21"/>
      <c r="EM224" s="21"/>
    </row>
    <row r="225" spans="1:143" ht="13.5" customHeight="1">
      <c r="A225" s="21"/>
      <c r="B225" s="21"/>
      <c r="C225" s="21"/>
      <c r="D225" s="21"/>
      <c r="E225" s="21"/>
      <c r="F225" s="21" t="str">
        <f>+Assumption!F289</f>
        <v>Long Term Bank Loan - BNI Working Capital Loan Aflopend Existing</v>
      </c>
      <c r="G225" s="15"/>
      <c r="H225" s="66">
        <f>+Assumption!H289</f>
        <v>0</v>
      </c>
      <c r="I225" s="688">
        <f t="shared" ref="I225:T225" si="991">+$H$225*H107/12</f>
        <v>0</v>
      </c>
      <c r="J225" s="688">
        <f t="shared" si="991"/>
        <v>0</v>
      </c>
      <c r="K225" s="688">
        <f t="shared" si="991"/>
        <v>0</v>
      </c>
      <c r="L225" s="688">
        <f t="shared" si="991"/>
        <v>0</v>
      </c>
      <c r="M225" s="688">
        <f t="shared" si="991"/>
        <v>0</v>
      </c>
      <c r="N225" s="688">
        <f t="shared" si="991"/>
        <v>0</v>
      </c>
      <c r="O225" s="688">
        <f t="shared" si="991"/>
        <v>0</v>
      </c>
      <c r="P225" s="688">
        <f t="shared" si="991"/>
        <v>0</v>
      </c>
      <c r="Q225" s="688">
        <f t="shared" si="991"/>
        <v>0</v>
      </c>
      <c r="R225" s="688">
        <f t="shared" si="991"/>
        <v>0</v>
      </c>
      <c r="S225" s="688">
        <f t="shared" si="991"/>
        <v>0</v>
      </c>
      <c r="T225" s="688">
        <f t="shared" si="991"/>
        <v>0</v>
      </c>
      <c r="U225" s="15"/>
      <c r="V225" s="688">
        <f>+$H$225*T107/12</f>
        <v>0</v>
      </c>
      <c r="W225" s="688">
        <f t="shared" ref="W225:AG225" si="992">+$H$225*V107/12</f>
        <v>0</v>
      </c>
      <c r="X225" s="688">
        <f t="shared" si="992"/>
        <v>0</v>
      </c>
      <c r="Y225" s="688">
        <f t="shared" si="992"/>
        <v>0</v>
      </c>
      <c r="Z225" s="688">
        <f t="shared" si="992"/>
        <v>0</v>
      </c>
      <c r="AA225" s="688">
        <f t="shared" si="992"/>
        <v>0</v>
      </c>
      <c r="AB225" s="688">
        <f t="shared" si="992"/>
        <v>0</v>
      </c>
      <c r="AC225" s="688">
        <f t="shared" si="992"/>
        <v>0</v>
      </c>
      <c r="AD225" s="688">
        <f t="shared" si="992"/>
        <v>0</v>
      </c>
      <c r="AE225" s="688">
        <f t="shared" si="992"/>
        <v>0</v>
      </c>
      <c r="AF225" s="688">
        <f t="shared" si="992"/>
        <v>0</v>
      </c>
      <c r="AG225" s="688">
        <f t="shared" si="992"/>
        <v>0</v>
      </c>
      <c r="AH225" s="21"/>
      <c r="AI225" s="688">
        <f>+$H$225*AG107/12</f>
        <v>0</v>
      </c>
      <c r="AJ225" s="688">
        <f t="shared" ref="AJ225:AT225" si="993">+$H$225*AI107/12</f>
        <v>0</v>
      </c>
      <c r="AK225" s="688">
        <f t="shared" si="993"/>
        <v>0</v>
      </c>
      <c r="AL225" s="688">
        <f t="shared" si="993"/>
        <v>0</v>
      </c>
      <c r="AM225" s="688">
        <f t="shared" si="993"/>
        <v>0</v>
      </c>
      <c r="AN225" s="688">
        <f t="shared" si="993"/>
        <v>0</v>
      </c>
      <c r="AO225" s="688">
        <f t="shared" si="993"/>
        <v>0</v>
      </c>
      <c r="AP225" s="688">
        <f t="shared" si="993"/>
        <v>0</v>
      </c>
      <c r="AQ225" s="688">
        <f t="shared" si="993"/>
        <v>0</v>
      </c>
      <c r="AR225" s="688">
        <f t="shared" si="993"/>
        <v>0</v>
      </c>
      <c r="AS225" s="688">
        <f t="shared" si="993"/>
        <v>0</v>
      </c>
      <c r="AT225" s="688">
        <f t="shared" si="993"/>
        <v>0</v>
      </c>
      <c r="AU225" s="21"/>
      <c r="AV225" s="688">
        <f>+$H$225*AT107/12</f>
        <v>0</v>
      </c>
      <c r="AW225" s="688">
        <f t="shared" ref="AW225:BG225" si="994">+$H$225*AV107/12</f>
        <v>0</v>
      </c>
      <c r="AX225" s="688">
        <f t="shared" si="994"/>
        <v>0</v>
      </c>
      <c r="AY225" s="688">
        <f t="shared" si="994"/>
        <v>0</v>
      </c>
      <c r="AZ225" s="688">
        <f t="shared" si="994"/>
        <v>0</v>
      </c>
      <c r="BA225" s="688">
        <f t="shared" si="994"/>
        <v>0</v>
      </c>
      <c r="BB225" s="688">
        <f t="shared" si="994"/>
        <v>0</v>
      </c>
      <c r="BC225" s="688">
        <f t="shared" si="994"/>
        <v>0</v>
      </c>
      <c r="BD225" s="688">
        <f t="shared" si="994"/>
        <v>0</v>
      </c>
      <c r="BE225" s="688">
        <f t="shared" si="994"/>
        <v>0</v>
      </c>
      <c r="BF225" s="688">
        <f t="shared" si="994"/>
        <v>0</v>
      </c>
      <c r="BG225" s="688">
        <f t="shared" si="994"/>
        <v>0</v>
      </c>
      <c r="BH225" s="21"/>
      <c r="BI225" s="688">
        <f>+$H$225*BG107/12</f>
        <v>0</v>
      </c>
      <c r="BJ225" s="688">
        <f t="shared" ref="BJ225:BT225" si="995">+$H$225*BI107/12</f>
        <v>0</v>
      </c>
      <c r="BK225" s="688">
        <f t="shared" si="995"/>
        <v>0</v>
      </c>
      <c r="BL225" s="688">
        <f t="shared" si="995"/>
        <v>0</v>
      </c>
      <c r="BM225" s="688">
        <f t="shared" si="995"/>
        <v>0</v>
      </c>
      <c r="BN225" s="688">
        <f t="shared" si="995"/>
        <v>0</v>
      </c>
      <c r="BO225" s="688">
        <f t="shared" si="995"/>
        <v>0</v>
      </c>
      <c r="BP225" s="688">
        <f t="shared" si="995"/>
        <v>0</v>
      </c>
      <c r="BQ225" s="688">
        <f t="shared" si="995"/>
        <v>0</v>
      </c>
      <c r="BR225" s="688">
        <f t="shared" si="995"/>
        <v>0</v>
      </c>
      <c r="BS225" s="688">
        <f t="shared" si="995"/>
        <v>0</v>
      </c>
      <c r="BT225" s="688">
        <f t="shared" si="995"/>
        <v>0</v>
      </c>
      <c r="BU225" s="21"/>
      <c r="BV225" s="688">
        <f>+$H$225*BT107/12</f>
        <v>0</v>
      </c>
      <c r="BW225" s="688">
        <f t="shared" ref="BW225:CG225" si="996">+$H$225*BV107/12</f>
        <v>0</v>
      </c>
      <c r="BX225" s="688">
        <f t="shared" si="996"/>
        <v>0</v>
      </c>
      <c r="BY225" s="688">
        <f t="shared" si="996"/>
        <v>0</v>
      </c>
      <c r="BZ225" s="688">
        <f t="shared" si="996"/>
        <v>0</v>
      </c>
      <c r="CA225" s="688">
        <f t="shared" si="996"/>
        <v>0</v>
      </c>
      <c r="CB225" s="688">
        <f t="shared" si="996"/>
        <v>0</v>
      </c>
      <c r="CC225" s="688">
        <f t="shared" si="996"/>
        <v>0</v>
      </c>
      <c r="CD225" s="688">
        <f t="shared" si="996"/>
        <v>0</v>
      </c>
      <c r="CE225" s="688">
        <f t="shared" si="996"/>
        <v>0</v>
      </c>
      <c r="CF225" s="688">
        <f t="shared" si="996"/>
        <v>0</v>
      </c>
      <c r="CG225" s="688">
        <f t="shared" si="996"/>
        <v>0</v>
      </c>
      <c r="CH225" s="21"/>
      <c r="CI225" s="688">
        <f>+$H$225*CG107/12</f>
        <v>0</v>
      </c>
      <c r="CJ225" s="688">
        <f t="shared" ref="CJ225:CT225" si="997">+$H$225*CI107/12</f>
        <v>0</v>
      </c>
      <c r="CK225" s="688">
        <f t="shared" si="997"/>
        <v>0</v>
      </c>
      <c r="CL225" s="688">
        <f t="shared" si="997"/>
        <v>0</v>
      </c>
      <c r="CM225" s="688">
        <f t="shared" si="997"/>
        <v>0</v>
      </c>
      <c r="CN225" s="688">
        <f t="shared" si="997"/>
        <v>0</v>
      </c>
      <c r="CO225" s="688">
        <f t="shared" si="997"/>
        <v>0</v>
      </c>
      <c r="CP225" s="688">
        <f t="shared" si="997"/>
        <v>0</v>
      </c>
      <c r="CQ225" s="688">
        <f t="shared" si="997"/>
        <v>0</v>
      </c>
      <c r="CR225" s="688">
        <f t="shared" si="997"/>
        <v>0</v>
      </c>
      <c r="CS225" s="688">
        <f t="shared" si="997"/>
        <v>0</v>
      </c>
      <c r="CT225" s="688">
        <f t="shared" si="997"/>
        <v>0</v>
      </c>
      <c r="CU225" s="21"/>
      <c r="CV225" s="688">
        <f>+$H$225*CT107/12</f>
        <v>0</v>
      </c>
      <c r="CW225" s="688">
        <f t="shared" ref="CW225:DG225" si="998">+$H$225*CV107/12</f>
        <v>0</v>
      </c>
      <c r="CX225" s="688">
        <f t="shared" si="998"/>
        <v>0</v>
      </c>
      <c r="CY225" s="688">
        <f t="shared" si="998"/>
        <v>0</v>
      </c>
      <c r="CZ225" s="688">
        <f t="shared" si="998"/>
        <v>0</v>
      </c>
      <c r="DA225" s="688">
        <f t="shared" si="998"/>
        <v>0</v>
      </c>
      <c r="DB225" s="688">
        <f t="shared" si="998"/>
        <v>0</v>
      </c>
      <c r="DC225" s="688">
        <f t="shared" si="998"/>
        <v>0</v>
      </c>
      <c r="DD225" s="688">
        <f t="shared" si="998"/>
        <v>0</v>
      </c>
      <c r="DE225" s="688">
        <f t="shared" si="998"/>
        <v>0</v>
      </c>
      <c r="DF225" s="688">
        <f t="shared" si="998"/>
        <v>0</v>
      </c>
      <c r="DG225" s="688">
        <f t="shared" si="998"/>
        <v>0</v>
      </c>
      <c r="DH225" s="21"/>
      <c r="DI225" s="688">
        <f>+$H$225*DG107/12</f>
        <v>0</v>
      </c>
      <c r="DJ225" s="688">
        <f t="shared" ref="DJ225:DT225" si="999">+$H$225*DI107/12</f>
        <v>0</v>
      </c>
      <c r="DK225" s="688">
        <f t="shared" si="999"/>
        <v>0</v>
      </c>
      <c r="DL225" s="688">
        <f t="shared" si="999"/>
        <v>0</v>
      </c>
      <c r="DM225" s="688">
        <f t="shared" si="999"/>
        <v>0</v>
      </c>
      <c r="DN225" s="688">
        <f t="shared" si="999"/>
        <v>0</v>
      </c>
      <c r="DO225" s="688">
        <f t="shared" si="999"/>
        <v>0</v>
      </c>
      <c r="DP225" s="688">
        <f t="shared" si="999"/>
        <v>0</v>
      </c>
      <c r="DQ225" s="688">
        <f t="shared" si="999"/>
        <v>0</v>
      </c>
      <c r="DR225" s="688">
        <f t="shared" si="999"/>
        <v>0</v>
      </c>
      <c r="DS225" s="688">
        <f t="shared" si="999"/>
        <v>0</v>
      </c>
      <c r="DT225" s="688">
        <f t="shared" si="999"/>
        <v>0</v>
      </c>
      <c r="DU225" s="21"/>
      <c r="DV225" s="688">
        <f>+$H$225*DT107/12</f>
        <v>0</v>
      </c>
      <c r="DW225" s="688">
        <f t="shared" ref="DW225:EG225" si="1000">+$H$225*DV107/12</f>
        <v>0</v>
      </c>
      <c r="DX225" s="688">
        <f t="shared" si="1000"/>
        <v>0</v>
      </c>
      <c r="DY225" s="688">
        <f t="shared" si="1000"/>
        <v>0</v>
      </c>
      <c r="DZ225" s="688">
        <f t="shared" si="1000"/>
        <v>0</v>
      </c>
      <c r="EA225" s="688">
        <f t="shared" si="1000"/>
        <v>0</v>
      </c>
      <c r="EB225" s="688">
        <f t="shared" si="1000"/>
        <v>0</v>
      </c>
      <c r="EC225" s="688">
        <f t="shared" si="1000"/>
        <v>0</v>
      </c>
      <c r="ED225" s="688">
        <f t="shared" si="1000"/>
        <v>0</v>
      </c>
      <c r="EE225" s="688">
        <f t="shared" si="1000"/>
        <v>0</v>
      </c>
      <c r="EF225" s="688">
        <f t="shared" si="1000"/>
        <v>0</v>
      </c>
      <c r="EG225" s="688">
        <f t="shared" si="1000"/>
        <v>0</v>
      </c>
      <c r="EH225" s="21"/>
      <c r="EI225" s="21"/>
      <c r="EJ225" s="21"/>
      <c r="EK225" s="21"/>
      <c r="EL225" s="21"/>
      <c r="EM225" s="21"/>
    </row>
    <row r="226" spans="1:143" ht="13.5" customHeight="1">
      <c r="A226" s="21"/>
      <c r="B226" s="21"/>
      <c r="C226" s="21"/>
      <c r="D226" s="21"/>
      <c r="E226" s="21"/>
      <c r="F226" s="21" t="str">
        <f>+Assumption!F290</f>
        <v>Long Term Bank Loan - BNI Working Capital Loan Aflopend New</v>
      </c>
      <c r="G226" s="15"/>
      <c r="H226" s="66">
        <f>+Assumption!H290</f>
        <v>0</v>
      </c>
      <c r="I226" s="688">
        <f t="shared" ref="I226:T226" si="1001">+$H$226*H108/12</f>
        <v>0</v>
      </c>
      <c r="J226" s="688">
        <f t="shared" si="1001"/>
        <v>0</v>
      </c>
      <c r="K226" s="688">
        <f t="shared" si="1001"/>
        <v>0</v>
      </c>
      <c r="L226" s="688">
        <f t="shared" si="1001"/>
        <v>0</v>
      </c>
      <c r="M226" s="688">
        <f t="shared" si="1001"/>
        <v>0</v>
      </c>
      <c r="N226" s="688">
        <f t="shared" si="1001"/>
        <v>0</v>
      </c>
      <c r="O226" s="688">
        <f t="shared" si="1001"/>
        <v>0</v>
      </c>
      <c r="P226" s="688">
        <f t="shared" si="1001"/>
        <v>0</v>
      </c>
      <c r="Q226" s="688">
        <f t="shared" si="1001"/>
        <v>0</v>
      </c>
      <c r="R226" s="688">
        <f t="shared" si="1001"/>
        <v>0</v>
      </c>
      <c r="S226" s="688">
        <f t="shared" si="1001"/>
        <v>0</v>
      </c>
      <c r="T226" s="688">
        <f t="shared" si="1001"/>
        <v>0</v>
      </c>
      <c r="U226" s="15"/>
      <c r="V226" s="688">
        <f>+$H$226*T108/12</f>
        <v>0</v>
      </c>
      <c r="W226" s="688">
        <f t="shared" ref="W226:AG226" si="1002">+$H$226*V108/12</f>
        <v>0</v>
      </c>
      <c r="X226" s="688">
        <f t="shared" si="1002"/>
        <v>0</v>
      </c>
      <c r="Y226" s="688">
        <f t="shared" si="1002"/>
        <v>0</v>
      </c>
      <c r="Z226" s="688">
        <f t="shared" si="1002"/>
        <v>0</v>
      </c>
      <c r="AA226" s="688">
        <f t="shared" si="1002"/>
        <v>0</v>
      </c>
      <c r="AB226" s="688">
        <f t="shared" si="1002"/>
        <v>0</v>
      </c>
      <c r="AC226" s="688">
        <f t="shared" si="1002"/>
        <v>0</v>
      </c>
      <c r="AD226" s="688">
        <f t="shared" si="1002"/>
        <v>0</v>
      </c>
      <c r="AE226" s="688">
        <f t="shared" si="1002"/>
        <v>0</v>
      </c>
      <c r="AF226" s="688">
        <f t="shared" si="1002"/>
        <v>0</v>
      </c>
      <c r="AG226" s="688">
        <f t="shared" si="1002"/>
        <v>0</v>
      </c>
      <c r="AH226" s="21"/>
      <c r="AI226" s="688">
        <f>+$H$226*AG108/12</f>
        <v>0</v>
      </c>
      <c r="AJ226" s="688">
        <f t="shared" ref="AJ226:AT226" si="1003">+$H$226*AI108/12</f>
        <v>0</v>
      </c>
      <c r="AK226" s="688">
        <f t="shared" si="1003"/>
        <v>0</v>
      </c>
      <c r="AL226" s="688">
        <f t="shared" si="1003"/>
        <v>0</v>
      </c>
      <c r="AM226" s="688">
        <f t="shared" si="1003"/>
        <v>0</v>
      </c>
      <c r="AN226" s="688">
        <f t="shared" si="1003"/>
        <v>0</v>
      </c>
      <c r="AO226" s="688">
        <f t="shared" si="1003"/>
        <v>0</v>
      </c>
      <c r="AP226" s="688">
        <f t="shared" si="1003"/>
        <v>0</v>
      </c>
      <c r="AQ226" s="688">
        <f t="shared" si="1003"/>
        <v>0</v>
      </c>
      <c r="AR226" s="688">
        <f t="shared" si="1003"/>
        <v>0</v>
      </c>
      <c r="AS226" s="688">
        <f t="shared" si="1003"/>
        <v>0</v>
      </c>
      <c r="AT226" s="688">
        <f t="shared" si="1003"/>
        <v>0</v>
      </c>
      <c r="AU226" s="21"/>
      <c r="AV226" s="688">
        <f>+$H$226*AT108/12</f>
        <v>0</v>
      </c>
      <c r="AW226" s="688">
        <f t="shared" ref="AW226:BG226" si="1004">+$H$226*AV108/12</f>
        <v>0</v>
      </c>
      <c r="AX226" s="688">
        <f t="shared" si="1004"/>
        <v>0</v>
      </c>
      <c r="AY226" s="688">
        <f t="shared" si="1004"/>
        <v>0</v>
      </c>
      <c r="AZ226" s="688">
        <f t="shared" si="1004"/>
        <v>0</v>
      </c>
      <c r="BA226" s="688">
        <f t="shared" si="1004"/>
        <v>0</v>
      </c>
      <c r="BB226" s="688">
        <f t="shared" si="1004"/>
        <v>0</v>
      </c>
      <c r="BC226" s="688">
        <f t="shared" si="1004"/>
        <v>0</v>
      </c>
      <c r="BD226" s="688">
        <f t="shared" si="1004"/>
        <v>0</v>
      </c>
      <c r="BE226" s="688">
        <f t="shared" si="1004"/>
        <v>0</v>
      </c>
      <c r="BF226" s="688">
        <f t="shared" si="1004"/>
        <v>0</v>
      </c>
      <c r="BG226" s="688">
        <f t="shared" si="1004"/>
        <v>0</v>
      </c>
      <c r="BH226" s="21"/>
      <c r="BI226" s="688">
        <f>+$H$226*BG108/12</f>
        <v>0</v>
      </c>
      <c r="BJ226" s="688">
        <f t="shared" ref="BJ226:BT226" si="1005">+$H$226*BI108/12</f>
        <v>0</v>
      </c>
      <c r="BK226" s="688">
        <f t="shared" si="1005"/>
        <v>0</v>
      </c>
      <c r="BL226" s="688">
        <f t="shared" si="1005"/>
        <v>0</v>
      </c>
      <c r="BM226" s="688">
        <f t="shared" si="1005"/>
        <v>0</v>
      </c>
      <c r="BN226" s="688">
        <f t="shared" si="1005"/>
        <v>0</v>
      </c>
      <c r="BO226" s="688">
        <f t="shared" si="1005"/>
        <v>0</v>
      </c>
      <c r="BP226" s="688">
        <f t="shared" si="1005"/>
        <v>0</v>
      </c>
      <c r="BQ226" s="688">
        <f t="shared" si="1005"/>
        <v>0</v>
      </c>
      <c r="BR226" s="688">
        <f t="shared" si="1005"/>
        <v>0</v>
      </c>
      <c r="BS226" s="688">
        <f t="shared" si="1005"/>
        <v>0</v>
      </c>
      <c r="BT226" s="688">
        <f t="shared" si="1005"/>
        <v>0</v>
      </c>
      <c r="BU226" s="21"/>
      <c r="BV226" s="688">
        <f>+$H$226*BT108/12</f>
        <v>0</v>
      </c>
      <c r="BW226" s="688">
        <f t="shared" ref="BW226:CG226" si="1006">+$H$226*BV108/12</f>
        <v>0</v>
      </c>
      <c r="BX226" s="688">
        <f t="shared" si="1006"/>
        <v>0</v>
      </c>
      <c r="BY226" s="688">
        <f t="shared" si="1006"/>
        <v>0</v>
      </c>
      <c r="BZ226" s="688">
        <f t="shared" si="1006"/>
        <v>0</v>
      </c>
      <c r="CA226" s="688">
        <f t="shared" si="1006"/>
        <v>0</v>
      </c>
      <c r="CB226" s="688">
        <f t="shared" si="1006"/>
        <v>0</v>
      </c>
      <c r="CC226" s="688">
        <f t="shared" si="1006"/>
        <v>0</v>
      </c>
      <c r="CD226" s="688">
        <f t="shared" si="1006"/>
        <v>0</v>
      </c>
      <c r="CE226" s="688">
        <f t="shared" si="1006"/>
        <v>0</v>
      </c>
      <c r="CF226" s="688">
        <f t="shared" si="1006"/>
        <v>0</v>
      </c>
      <c r="CG226" s="688">
        <f t="shared" si="1006"/>
        <v>0</v>
      </c>
      <c r="CH226" s="21"/>
      <c r="CI226" s="688">
        <f>+$H$226*CG108/12</f>
        <v>0</v>
      </c>
      <c r="CJ226" s="688">
        <f t="shared" ref="CJ226:CT226" si="1007">+$H$226*CI108/12</f>
        <v>0</v>
      </c>
      <c r="CK226" s="688">
        <f t="shared" si="1007"/>
        <v>0</v>
      </c>
      <c r="CL226" s="688">
        <f t="shared" si="1007"/>
        <v>0</v>
      </c>
      <c r="CM226" s="688">
        <f t="shared" si="1007"/>
        <v>0</v>
      </c>
      <c r="CN226" s="688">
        <f t="shared" si="1007"/>
        <v>0</v>
      </c>
      <c r="CO226" s="688">
        <f t="shared" si="1007"/>
        <v>0</v>
      </c>
      <c r="CP226" s="688">
        <f t="shared" si="1007"/>
        <v>0</v>
      </c>
      <c r="CQ226" s="688">
        <f t="shared" si="1007"/>
        <v>0</v>
      </c>
      <c r="CR226" s="688">
        <f t="shared" si="1007"/>
        <v>0</v>
      </c>
      <c r="CS226" s="688">
        <f t="shared" si="1007"/>
        <v>0</v>
      </c>
      <c r="CT226" s="688">
        <f t="shared" si="1007"/>
        <v>0</v>
      </c>
      <c r="CU226" s="21"/>
      <c r="CV226" s="688">
        <f>+$H$226*CT108/12</f>
        <v>0</v>
      </c>
      <c r="CW226" s="688">
        <f t="shared" ref="CW226:DG226" si="1008">+$H$226*CV108/12</f>
        <v>0</v>
      </c>
      <c r="CX226" s="688">
        <f t="shared" si="1008"/>
        <v>0</v>
      </c>
      <c r="CY226" s="688">
        <f t="shared" si="1008"/>
        <v>0</v>
      </c>
      <c r="CZ226" s="688">
        <f t="shared" si="1008"/>
        <v>0</v>
      </c>
      <c r="DA226" s="688">
        <f t="shared" si="1008"/>
        <v>0</v>
      </c>
      <c r="DB226" s="688">
        <f t="shared" si="1008"/>
        <v>0</v>
      </c>
      <c r="DC226" s="688">
        <f t="shared" si="1008"/>
        <v>0</v>
      </c>
      <c r="DD226" s="688">
        <f t="shared" si="1008"/>
        <v>0</v>
      </c>
      <c r="DE226" s="688">
        <f t="shared" si="1008"/>
        <v>0</v>
      </c>
      <c r="DF226" s="688">
        <f t="shared" si="1008"/>
        <v>0</v>
      </c>
      <c r="DG226" s="688">
        <f t="shared" si="1008"/>
        <v>0</v>
      </c>
      <c r="DH226" s="21"/>
      <c r="DI226" s="688">
        <f>+$H$226*DG108/12</f>
        <v>0</v>
      </c>
      <c r="DJ226" s="688">
        <f t="shared" ref="DJ226:DT226" si="1009">+$H$226*DI108/12</f>
        <v>0</v>
      </c>
      <c r="DK226" s="688">
        <f t="shared" si="1009"/>
        <v>0</v>
      </c>
      <c r="DL226" s="688">
        <f t="shared" si="1009"/>
        <v>0</v>
      </c>
      <c r="DM226" s="688">
        <f t="shared" si="1009"/>
        <v>0</v>
      </c>
      <c r="DN226" s="688">
        <f t="shared" si="1009"/>
        <v>0</v>
      </c>
      <c r="DO226" s="688">
        <f t="shared" si="1009"/>
        <v>0</v>
      </c>
      <c r="DP226" s="688">
        <f t="shared" si="1009"/>
        <v>0</v>
      </c>
      <c r="DQ226" s="688">
        <f t="shared" si="1009"/>
        <v>0</v>
      </c>
      <c r="DR226" s="688">
        <f t="shared" si="1009"/>
        <v>0</v>
      </c>
      <c r="DS226" s="688">
        <f t="shared" si="1009"/>
        <v>0</v>
      </c>
      <c r="DT226" s="688">
        <f t="shared" si="1009"/>
        <v>0</v>
      </c>
      <c r="DU226" s="21"/>
      <c r="DV226" s="688">
        <f>+$H$226*DT108/12</f>
        <v>0</v>
      </c>
      <c r="DW226" s="688">
        <f t="shared" ref="DW226:EG226" si="1010">+$H$226*DV108/12</f>
        <v>0</v>
      </c>
      <c r="DX226" s="688">
        <f t="shared" si="1010"/>
        <v>0</v>
      </c>
      <c r="DY226" s="688">
        <f t="shared" si="1010"/>
        <v>0</v>
      </c>
      <c r="DZ226" s="688">
        <f t="shared" si="1010"/>
        <v>0</v>
      </c>
      <c r="EA226" s="688">
        <f t="shared" si="1010"/>
        <v>0</v>
      </c>
      <c r="EB226" s="688">
        <f t="shared" si="1010"/>
        <v>0</v>
      </c>
      <c r="EC226" s="688">
        <f t="shared" si="1010"/>
        <v>0</v>
      </c>
      <c r="ED226" s="688">
        <f t="shared" si="1010"/>
        <v>0</v>
      </c>
      <c r="EE226" s="688">
        <f t="shared" si="1010"/>
        <v>0</v>
      </c>
      <c r="EF226" s="688">
        <f t="shared" si="1010"/>
        <v>0</v>
      </c>
      <c r="EG226" s="688">
        <f t="shared" si="1010"/>
        <v>0</v>
      </c>
      <c r="EH226" s="21"/>
      <c r="EI226" s="21"/>
      <c r="EJ226" s="21"/>
      <c r="EK226" s="21"/>
      <c r="EL226" s="21"/>
      <c r="EM226" s="21"/>
    </row>
    <row r="227" spans="1:143" ht="13.5" customHeight="1">
      <c r="A227" s="21"/>
      <c r="B227" s="21"/>
      <c r="C227" s="21"/>
      <c r="D227" s="21"/>
      <c r="E227" s="21"/>
      <c r="F227" s="21" t="str">
        <f>+Assumption!F291</f>
        <v>Bank 1</v>
      </c>
      <c r="G227" s="15"/>
      <c r="H227" s="66">
        <f>+Assumption!H291</f>
        <v>0</v>
      </c>
      <c r="I227" s="688">
        <f t="shared" ref="I227:T227" si="1011">+$H$227*H109/12</f>
        <v>0</v>
      </c>
      <c r="J227" s="688">
        <f t="shared" si="1011"/>
        <v>0</v>
      </c>
      <c r="K227" s="688">
        <f t="shared" si="1011"/>
        <v>0</v>
      </c>
      <c r="L227" s="688">
        <f t="shared" si="1011"/>
        <v>0</v>
      </c>
      <c r="M227" s="688">
        <f t="shared" si="1011"/>
        <v>0</v>
      </c>
      <c r="N227" s="688">
        <f t="shared" si="1011"/>
        <v>0</v>
      </c>
      <c r="O227" s="688">
        <f t="shared" si="1011"/>
        <v>0</v>
      </c>
      <c r="P227" s="688">
        <f t="shared" si="1011"/>
        <v>0</v>
      </c>
      <c r="Q227" s="688">
        <f t="shared" si="1011"/>
        <v>0</v>
      </c>
      <c r="R227" s="688">
        <f t="shared" si="1011"/>
        <v>0</v>
      </c>
      <c r="S227" s="688">
        <f t="shared" si="1011"/>
        <v>0</v>
      </c>
      <c r="T227" s="688">
        <f t="shared" si="1011"/>
        <v>0</v>
      </c>
      <c r="U227" s="15"/>
      <c r="V227" s="688">
        <f>+$H$227*T109/12</f>
        <v>0</v>
      </c>
      <c r="W227" s="688">
        <f t="shared" ref="W227:AG227" si="1012">+$H$227*V109/12</f>
        <v>0</v>
      </c>
      <c r="X227" s="688">
        <f t="shared" si="1012"/>
        <v>0</v>
      </c>
      <c r="Y227" s="688">
        <f t="shared" si="1012"/>
        <v>0</v>
      </c>
      <c r="Z227" s="688">
        <f t="shared" si="1012"/>
        <v>0</v>
      </c>
      <c r="AA227" s="688">
        <f t="shared" si="1012"/>
        <v>0</v>
      </c>
      <c r="AB227" s="688">
        <f t="shared" si="1012"/>
        <v>0</v>
      </c>
      <c r="AC227" s="688">
        <f t="shared" si="1012"/>
        <v>0</v>
      </c>
      <c r="AD227" s="688">
        <f t="shared" si="1012"/>
        <v>0</v>
      </c>
      <c r="AE227" s="688">
        <f t="shared" si="1012"/>
        <v>0</v>
      </c>
      <c r="AF227" s="688">
        <f t="shared" si="1012"/>
        <v>0</v>
      </c>
      <c r="AG227" s="688">
        <f t="shared" si="1012"/>
        <v>0</v>
      </c>
      <c r="AH227" s="21"/>
      <c r="AI227" s="688">
        <f>+$H$227*AG109/12</f>
        <v>0</v>
      </c>
      <c r="AJ227" s="688">
        <f t="shared" ref="AJ227:AT227" si="1013">+$H$227*AI109/12</f>
        <v>0</v>
      </c>
      <c r="AK227" s="688">
        <f t="shared" si="1013"/>
        <v>0</v>
      </c>
      <c r="AL227" s="688">
        <f t="shared" si="1013"/>
        <v>0</v>
      </c>
      <c r="AM227" s="688">
        <f t="shared" si="1013"/>
        <v>0</v>
      </c>
      <c r="AN227" s="688">
        <f t="shared" si="1013"/>
        <v>0</v>
      </c>
      <c r="AO227" s="688">
        <f t="shared" si="1013"/>
        <v>0</v>
      </c>
      <c r="AP227" s="688">
        <f t="shared" si="1013"/>
        <v>0</v>
      </c>
      <c r="AQ227" s="688">
        <f t="shared" si="1013"/>
        <v>0</v>
      </c>
      <c r="AR227" s="688">
        <f t="shared" si="1013"/>
        <v>0</v>
      </c>
      <c r="AS227" s="688">
        <f t="shared" si="1013"/>
        <v>0</v>
      </c>
      <c r="AT227" s="688">
        <f t="shared" si="1013"/>
        <v>0</v>
      </c>
      <c r="AU227" s="21"/>
      <c r="AV227" s="688">
        <f>+$H$227*AT109/12</f>
        <v>0</v>
      </c>
      <c r="AW227" s="688">
        <f t="shared" ref="AW227:BG227" si="1014">+$H$227*AV109/12</f>
        <v>0</v>
      </c>
      <c r="AX227" s="688">
        <f t="shared" si="1014"/>
        <v>0</v>
      </c>
      <c r="AY227" s="688">
        <f t="shared" si="1014"/>
        <v>0</v>
      </c>
      <c r="AZ227" s="688">
        <f t="shared" si="1014"/>
        <v>0</v>
      </c>
      <c r="BA227" s="688">
        <f t="shared" si="1014"/>
        <v>0</v>
      </c>
      <c r="BB227" s="688">
        <f t="shared" si="1014"/>
        <v>0</v>
      </c>
      <c r="BC227" s="688">
        <f t="shared" si="1014"/>
        <v>0</v>
      </c>
      <c r="BD227" s="688">
        <f t="shared" si="1014"/>
        <v>0</v>
      </c>
      <c r="BE227" s="688">
        <f t="shared" si="1014"/>
        <v>0</v>
      </c>
      <c r="BF227" s="688">
        <f t="shared" si="1014"/>
        <v>0</v>
      </c>
      <c r="BG227" s="688">
        <f t="shared" si="1014"/>
        <v>0</v>
      </c>
      <c r="BH227" s="21"/>
      <c r="BI227" s="688">
        <f>+$H$227*BG109/12</f>
        <v>0</v>
      </c>
      <c r="BJ227" s="688">
        <f t="shared" ref="BJ227:BT227" si="1015">+$H$227*BI109/12</f>
        <v>0</v>
      </c>
      <c r="BK227" s="688">
        <f t="shared" si="1015"/>
        <v>0</v>
      </c>
      <c r="BL227" s="688">
        <f t="shared" si="1015"/>
        <v>0</v>
      </c>
      <c r="BM227" s="688">
        <f t="shared" si="1015"/>
        <v>0</v>
      </c>
      <c r="BN227" s="688">
        <f t="shared" si="1015"/>
        <v>0</v>
      </c>
      <c r="BO227" s="688">
        <f t="shared" si="1015"/>
        <v>0</v>
      </c>
      <c r="BP227" s="688">
        <f t="shared" si="1015"/>
        <v>0</v>
      </c>
      <c r="BQ227" s="688">
        <f t="shared" si="1015"/>
        <v>0</v>
      </c>
      <c r="BR227" s="688">
        <f t="shared" si="1015"/>
        <v>0</v>
      </c>
      <c r="BS227" s="688">
        <f t="shared" si="1015"/>
        <v>0</v>
      </c>
      <c r="BT227" s="688">
        <f t="shared" si="1015"/>
        <v>0</v>
      </c>
      <c r="BU227" s="21"/>
      <c r="BV227" s="688">
        <f>+$H$227*BT109/12</f>
        <v>0</v>
      </c>
      <c r="BW227" s="688">
        <f t="shared" ref="BW227:CG227" si="1016">+$H$227*BV109/12</f>
        <v>0</v>
      </c>
      <c r="BX227" s="688">
        <f t="shared" si="1016"/>
        <v>0</v>
      </c>
      <c r="BY227" s="688">
        <f t="shared" si="1016"/>
        <v>0</v>
      </c>
      <c r="BZ227" s="688">
        <f t="shared" si="1016"/>
        <v>0</v>
      </c>
      <c r="CA227" s="688">
        <f t="shared" si="1016"/>
        <v>0</v>
      </c>
      <c r="CB227" s="688">
        <f t="shared" si="1016"/>
        <v>0</v>
      </c>
      <c r="CC227" s="688">
        <f t="shared" si="1016"/>
        <v>0</v>
      </c>
      <c r="CD227" s="688">
        <f t="shared" si="1016"/>
        <v>0</v>
      </c>
      <c r="CE227" s="688">
        <f t="shared" si="1016"/>
        <v>0</v>
      </c>
      <c r="CF227" s="688">
        <f t="shared" si="1016"/>
        <v>0</v>
      </c>
      <c r="CG227" s="688">
        <f t="shared" si="1016"/>
        <v>0</v>
      </c>
      <c r="CH227" s="21"/>
      <c r="CI227" s="688">
        <f>+$H$227*CG109/12</f>
        <v>0</v>
      </c>
      <c r="CJ227" s="688">
        <f t="shared" ref="CJ227:CT227" si="1017">+$H$227*CI109/12</f>
        <v>0</v>
      </c>
      <c r="CK227" s="688">
        <f t="shared" si="1017"/>
        <v>0</v>
      </c>
      <c r="CL227" s="688">
        <f t="shared" si="1017"/>
        <v>0</v>
      </c>
      <c r="CM227" s="688">
        <f t="shared" si="1017"/>
        <v>0</v>
      </c>
      <c r="CN227" s="688">
        <f t="shared" si="1017"/>
        <v>0</v>
      </c>
      <c r="CO227" s="688">
        <f t="shared" si="1017"/>
        <v>0</v>
      </c>
      <c r="CP227" s="688">
        <f t="shared" si="1017"/>
        <v>0</v>
      </c>
      <c r="CQ227" s="688">
        <f t="shared" si="1017"/>
        <v>0</v>
      </c>
      <c r="CR227" s="688">
        <f t="shared" si="1017"/>
        <v>0</v>
      </c>
      <c r="CS227" s="688">
        <f t="shared" si="1017"/>
        <v>0</v>
      </c>
      <c r="CT227" s="688">
        <f t="shared" si="1017"/>
        <v>0</v>
      </c>
      <c r="CU227" s="21"/>
      <c r="CV227" s="688">
        <f>+$H$227*CT109/12</f>
        <v>0</v>
      </c>
      <c r="CW227" s="688">
        <f t="shared" ref="CW227:DG227" si="1018">+$H$227*CV109/12</f>
        <v>0</v>
      </c>
      <c r="CX227" s="688">
        <f t="shared" si="1018"/>
        <v>0</v>
      </c>
      <c r="CY227" s="688">
        <f t="shared" si="1018"/>
        <v>0</v>
      </c>
      <c r="CZ227" s="688">
        <f t="shared" si="1018"/>
        <v>0</v>
      </c>
      <c r="DA227" s="688">
        <f t="shared" si="1018"/>
        <v>0</v>
      </c>
      <c r="DB227" s="688">
        <f t="shared" si="1018"/>
        <v>0</v>
      </c>
      <c r="DC227" s="688">
        <f t="shared" si="1018"/>
        <v>0</v>
      </c>
      <c r="DD227" s="688">
        <f t="shared" si="1018"/>
        <v>0</v>
      </c>
      <c r="DE227" s="688">
        <f t="shared" si="1018"/>
        <v>0</v>
      </c>
      <c r="DF227" s="688">
        <f t="shared" si="1018"/>
        <v>0</v>
      </c>
      <c r="DG227" s="688">
        <f t="shared" si="1018"/>
        <v>0</v>
      </c>
      <c r="DH227" s="21"/>
      <c r="DI227" s="688">
        <f>+$H$227*DG109/12</f>
        <v>0</v>
      </c>
      <c r="DJ227" s="688">
        <f t="shared" ref="DJ227:DT227" si="1019">+$H$227*DI109/12</f>
        <v>0</v>
      </c>
      <c r="DK227" s="688">
        <f t="shared" si="1019"/>
        <v>0</v>
      </c>
      <c r="DL227" s="688">
        <f t="shared" si="1019"/>
        <v>0</v>
      </c>
      <c r="DM227" s="688">
        <f t="shared" si="1019"/>
        <v>0</v>
      </c>
      <c r="DN227" s="688">
        <f t="shared" si="1019"/>
        <v>0</v>
      </c>
      <c r="DO227" s="688">
        <f t="shared" si="1019"/>
        <v>0</v>
      </c>
      <c r="DP227" s="688">
        <f t="shared" si="1019"/>
        <v>0</v>
      </c>
      <c r="DQ227" s="688">
        <f t="shared" si="1019"/>
        <v>0</v>
      </c>
      <c r="DR227" s="688">
        <f t="shared" si="1019"/>
        <v>0</v>
      </c>
      <c r="DS227" s="688">
        <f t="shared" si="1019"/>
        <v>0</v>
      </c>
      <c r="DT227" s="688">
        <f t="shared" si="1019"/>
        <v>0</v>
      </c>
      <c r="DU227" s="21"/>
      <c r="DV227" s="688">
        <f>+$H$227*DT109/12</f>
        <v>0</v>
      </c>
      <c r="DW227" s="688">
        <f t="shared" ref="DW227:EG227" si="1020">+$H$227*DV109/12</f>
        <v>0</v>
      </c>
      <c r="DX227" s="688">
        <f t="shared" si="1020"/>
        <v>0</v>
      </c>
      <c r="DY227" s="688">
        <f t="shared" si="1020"/>
        <v>0</v>
      </c>
      <c r="DZ227" s="688">
        <f t="shared" si="1020"/>
        <v>0</v>
      </c>
      <c r="EA227" s="688">
        <f t="shared" si="1020"/>
        <v>0</v>
      </c>
      <c r="EB227" s="688">
        <f t="shared" si="1020"/>
        <v>0</v>
      </c>
      <c r="EC227" s="688">
        <f t="shared" si="1020"/>
        <v>0</v>
      </c>
      <c r="ED227" s="688">
        <f t="shared" si="1020"/>
        <v>0</v>
      </c>
      <c r="EE227" s="688">
        <f t="shared" si="1020"/>
        <v>0</v>
      </c>
      <c r="EF227" s="688">
        <f t="shared" si="1020"/>
        <v>0</v>
      </c>
      <c r="EG227" s="688">
        <f t="shared" si="1020"/>
        <v>0</v>
      </c>
      <c r="EH227" s="21"/>
      <c r="EI227" s="21"/>
      <c r="EJ227" s="21"/>
      <c r="EK227" s="21"/>
      <c r="EL227" s="21"/>
      <c r="EM227" s="21"/>
    </row>
    <row r="228" spans="1:143" ht="13.5" customHeight="1">
      <c r="A228" s="21"/>
      <c r="B228" s="21"/>
      <c r="C228" s="21"/>
      <c r="D228" s="21"/>
      <c r="E228" s="21"/>
      <c r="F228" s="21" t="str">
        <f>+Assumption!F292</f>
        <v>Bank 2</v>
      </c>
      <c r="G228" s="15"/>
      <c r="H228" s="66">
        <f>+Assumption!H292</f>
        <v>0</v>
      </c>
      <c r="I228" s="688">
        <f t="shared" ref="I228:T228" si="1021">+$H$228*H110/12</f>
        <v>0</v>
      </c>
      <c r="J228" s="688">
        <f t="shared" si="1021"/>
        <v>0</v>
      </c>
      <c r="K228" s="688">
        <f t="shared" si="1021"/>
        <v>0</v>
      </c>
      <c r="L228" s="688">
        <f t="shared" si="1021"/>
        <v>0</v>
      </c>
      <c r="M228" s="688">
        <f t="shared" si="1021"/>
        <v>0</v>
      </c>
      <c r="N228" s="688">
        <f t="shared" si="1021"/>
        <v>0</v>
      </c>
      <c r="O228" s="688">
        <f t="shared" si="1021"/>
        <v>0</v>
      </c>
      <c r="P228" s="688">
        <f t="shared" si="1021"/>
        <v>0</v>
      </c>
      <c r="Q228" s="688">
        <f t="shared" si="1021"/>
        <v>0</v>
      </c>
      <c r="R228" s="688">
        <f t="shared" si="1021"/>
        <v>0</v>
      </c>
      <c r="S228" s="688">
        <f t="shared" si="1021"/>
        <v>0</v>
      </c>
      <c r="T228" s="688">
        <f t="shared" si="1021"/>
        <v>0</v>
      </c>
      <c r="U228" s="15"/>
      <c r="V228" s="688">
        <f>+$H$228*T110/12</f>
        <v>0</v>
      </c>
      <c r="W228" s="688">
        <f t="shared" ref="W228:AG228" si="1022">+$H$228*V110/12</f>
        <v>0</v>
      </c>
      <c r="X228" s="688">
        <f t="shared" si="1022"/>
        <v>0</v>
      </c>
      <c r="Y228" s="688">
        <f t="shared" si="1022"/>
        <v>0</v>
      </c>
      <c r="Z228" s="688">
        <f t="shared" si="1022"/>
        <v>0</v>
      </c>
      <c r="AA228" s="688">
        <f t="shared" si="1022"/>
        <v>0</v>
      </c>
      <c r="AB228" s="688">
        <f t="shared" si="1022"/>
        <v>0</v>
      </c>
      <c r="AC228" s="688">
        <f t="shared" si="1022"/>
        <v>0</v>
      </c>
      <c r="AD228" s="688">
        <f t="shared" si="1022"/>
        <v>0</v>
      </c>
      <c r="AE228" s="688">
        <f t="shared" si="1022"/>
        <v>0</v>
      </c>
      <c r="AF228" s="688">
        <f t="shared" si="1022"/>
        <v>0</v>
      </c>
      <c r="AG228" s="688">
        <f t="shared" si="1022"/>
        <v>0</v>
      </c>
      <c r="AH228" s="21"/>
      <c r="AI228" s="688">
        <f>+$H$228*AG110/12</f>
        <v>0</v>
      </c>
      <c r="AJ228" s="688">
        <f t="shared" ref="AJ228:AT228" si="1023">+$H$228*AI110/12</f>
        <v>0</v>
      </c>
      <c r="AK228" s="688">
        <f t="shared" si="1023"/>
        <v>0</v>
      </c>
      <c r="AL228" s="688">
        <f t="shared" si="1023"/>
        <v>0</v>
      </c>
      <c r="AM228" s="688">
        <f t="shared" si="1023"/>
        <v>0</v>
      </c>
      <c r="AN228" s="688">
        <f t="shared" si="1023"/>
        <v>0</v>
      </c>
      <c r="AO228" s="688">
        <f t="shared" si="1023"/>
        <v>0</v>
      </c>
      <c r="AP228" s="688">
        <f t="shared" si="1023"/>
        <v>0</v>
      </c>
      <c r="AQ228" s="688">
        <f t="shared" si="1023"/>
        <v>0</v>
      </c>
      <c r="AR228" s="688">
        <f t="shared" si="1023"/>
        <v>0</v>
      </c>
      <c r="AS228" s="688">
        <f t="shared" si="1023"/>
        <v>0</v>
      </c>
      <c r="AT228" s="688">
        <f t="shared" si="1023"/>
        <v>0</v>
      </c>
      <c r="AU228" s="21"/>
      <c r="AV228" s="688">
        <f>+$H$228*AT110/12</f>
        <v>0</v>
      </c>
      <c r="AW228" s="688">
        <f t="shared" ref="AW228:BG228" si="1024">+$H$228*AV110/12</f>
        <v>0</v>
      </c>
      <c r="AX228" s="688">
        <f t="shared" si="1024"/>
        <v>0</v>
      </c>
      <c r="AY228" s="688">
        <f t="shared" si="1024"/>
        <v>0</v>
      </c>
      <c r="AZ228" s="688">
        <f t="shared" si="1024"/>
        <v>0</v>
      </c>
      <c r="BA228" s="688">
        <f t="shared" si="1024"/>
        <v>0</v>
      </c>
      <c r="BB228" s="688">
        <f t="shared" si="1024"/>
        <v>0</v>
      </c>
      <c r="BC228" s="688">
        <f t="shared" si="1024"/>
        <v>0</v>
      </c>
      <c r="BD228" s="688">
        <f t="shared" si="1024"/>
        <v>0</v>
      </c>
      <c r="BE228" s="688">
        <f t="shared" si="1024"/>
        <v>0</v>
      </c>
      <c r="BF228" s="688">
        <f t="shared" si="1024"/>
        <v>0</v>
      </c>
      <c r="BG228" s="688">
        <f t="shared" si="1024"/>
        <v>0</v>
      </c>
      <c r="BH228" s="21"/>
      <c r="BI228" s="688">
        <f>+$H$228*BG110/12</f>
        <v>0</v>
      </c>
      <c r="BJ228" s="688">
        <f t="shared" ref="BJ228:BT228" si="1025">+$H$228*BI110/12</f>
        <v>0</v>
      </c>
      <c r="BK228" s="688">
        <f t="shared" si="1025"/>
        <v>0</v>
      </c>
      <c r="BL228" s="688">
        <f t="shared" si="1025"/>
        <v>0</v>
      </c>
      <c r="BM228" s="688">
        <f t="shared" si="1025"/>
        <v>0</v>
      </c>
      <c r="BN228" s="688">
        <f t="shared" si="1025"/>
        <v>0</v>
      </c>
      <c r="BO228" s="688">
        <f t="shared" si="1025"/>
        <v>0</v>
      </c>
      <c r="BP228" s="688">
        <f t="shared" si="1025"/>
        <v>0</v>
      </c>
      <c r="BQ228" s="688">
        <f t="shared" si="1025"/>
        <v>0</v>
      </c>
      <c r="BR228" s="688">
        <f t="shared" si="1025"/>
        <v>0</v>
      </c>
      <c r="BS228" s="688">
        <f t="shared" si="1025"/>
        <v>0</v>
      </c>
      <c r="BT228" s="688">
        <f t="shared" si="1025"/>
        <v>0</v>
      </c>
      <c r="BU228" s="21"/>
      <c r="BV228" s="688">
        <f>+$H$228*BT110/12</f>
        <v>0</v>
      </c>
      <c r="BW228" s="688">
        <f t="shared" ref="BW228:CG228" si="1026">+$H$228*BV110/12</f>
        <v>0</v>
      </c>
      <c r="BX228" s="688">
        <f t="shared" si="1026"/>
        <v>0</v>
      </c>
      <c r="BY228" s="688">
        <f t="shared" si="1026"/>
        <v>0</v>
      </c>
      <c r="BZ228" s="688">
        <f t="shared" si="1026"/>
        <v>0</v>
      </c>
      <c r="CA228" s="688">
        <f t="shared" si="1026"/>
        <v>0</v>
      </c>
      <c r="CB228" s="688">
        <f t="shared" si="1026"/>
        <v>0</v>
      </c>
      <c r="CC228" s="688">
        <f t="shared" si="1026"/>
        <v>0</v>
      </c>
      <c r="CD228" s="688">
        <f t="shared" si="1026"/>
        <v>0</v>
      </c>
      <c r="CE228" s="688">
        <f t="shared" si="1026"/>
        <v>0</v>
      </c>
      <c r="CF228" s="688">
        <f t="shared" si="1026"/>
        <v>0</v>
      </c>
      <c r="CG228" s="688">
        <f t="shared" si="1026"/>
        <v>0</v>
      </c>
      <c r="CH228" s="21"/>
      <c r="CI228" s="688">
        <f>+$H$228*CG110/12</f>
        <v>0</v>
      </c>
      <c r="CJ228" s="688">
        <f t="shared" ref="CJ228:CT228" si="1027">+$H$228*CI110/12</f>
        <v>0</v>
      </c>
      <c r="CK228" s="688">
        <f t="shared" si="1027"/>
        <v>0</v>
      </c>
      <c r="CL228" s="688">
        <f t="shared" si="1027"/>
        <v>0</v>
      </c>
      <c r="CM228" s="688">
        <f t="shared" si="1027"/>
        <v>0</v>
      </c>
      <c r="CN228" s="688">
        <f t="shared" si="1027"/>
        <v>0</v>
      </c>
      <c r="CO228" s="688">
        <f t="shared" si="1027"/>
        <v>0</v>
      </c>
      <c r="CP228" s="688">
        <f t="shared" si="1027"/>
        <v>0</v>
      </c>
      <c r="CQ228" s="688">
        <f t="shared" si="1027"/>
        <v>0</v>
      </c>
      <c r="CR228" s="688">
        <f t="shared" si="1027"/>
        <v>0</v>
      </c>
      <c r="CS228" s="688">
        <f t="shared" si="1027"/>
        <v>0</v>
      </c>
      <c r="CT228" s="688">
        <f t="shared" si="1027"/>
        <v>0</v>
      </c>
      <c r="CU228" s="21"/>
      <c r="CV228" s="688">
        <f>+$H$228*CT110/12</f>
        <v>0</v>
      </c>
      <c r="CW228" s="688">
        <f t="shared" ref="CW228:DG228" si="1028">+$H$228*CV110/12</f>
        <v>0</v>
      </c>
      <c r="CX228" s="688">
        <f t="shared" si="1028"/>
        <v>0</v>
      </c>
      <c r="CY228" s="688">
        <f t="shared" si="1028"/>
        <v>0</v>
      </c>
      <c r="CZ228" s="688">
        <f t="shared" si="1028"/>
        <v>0</v>
      </c>
      <c r="DA228" s="688">
        <f t="shared" si="1028"/>
        <v>0</v>
      </c>
      <c r="DB228" s="688">
        <f t="shared" si="1028"/>
        <v>0</v>
      </c>
      <c r="DC228" s="688">
        <f t="shared" si="1028"/>
        <v>0</v>
      </c>
      <c r="DD228" s="688">
        <f t="shared" si="1028"/>
        <v>0</v>
      </c>
      <c r="DE228" s="688">
        <f t="shared" si="1028"/>
        <v>0</v>
      </c>
      <c r="DF228" s="688">
        <f t="shared" si="1028"/>
        <v>0</v>
      </c>
      <c r="DG228" s="688">
        <f t="shared" si="1028"/>
        <v>0</v>
      </c>
      <c r="DH228" s="21"/>
      <c r="DI228" s="688">
        <f>+$H$228*DG110/12</f>
        <v>0</v>
      </c>
      <c r="DJ228" s="688">
        <f t="shared" ref="DJ228:DT228" si="1029">+$H$228*DI110/12</f>
        <v>0</v>
      </c>
      <c r="DK228" s="688">
        <f t="shared" si="1029"/>
        <v>0</v>
      </c>
      <c r="DL228" s="688">
        <f t="shared" si="1029"/>
        <v>0</v>
      </c>
      <c r="DM228" s="688">
        <f t="shared" si="1029"/>
        <v>0</v>
      </c>
      <c r="DN228" s="688">
        <f t="shared" si="1029"/>
        <v>0</v>
      </c>
      <c r="DO228" s="688">
        <f t="shared" si="1029"/>
        <v>0</v>
      </c>
      <c r="DP228" s="688">
        <f t="shared" si="1029"/>
        <v>0</v>
      </c>
      <c r="DQ228" s="688">
        <f t="shared" si="1029"/>
        <v>0</v>
      </c>
      <c r="DR228" s="688">
        <f t="shared" si="1029"/>
        <v>0</v>
      </c>
      <c r="DS228" s="688">
        <f t="shared" si="1029"/>
        <v>0</v>
      </c>
      <c r="DT228" s="688">
        <f t="shared" si="1029"/>
        <v>0</v>
      </c>
      <c r="DU228" s="21"/>
      <c r="DV228" s="688">
        <f>+$H$228*DT110/12</f>
        <v>0</v>
      </c>
      <c r="DW228" s="688">
        <f t="shared" ref="DW228:EG228" si="1030">+$H$228*DV110/12</f>
        <v>0</v>
      </c>
      <c r="DX228" s="688">
        <f t="shared" si="1030"/>
        <v>0</v>
      </c>
      <c r="DY228" s="688">
        <f t="shared" si="1030"/>
        <v>0</v>
      </c>
      <c r="DZ228" s="688">
        <f t="shared" si="1030"/>
        <v>0</v>
      </c>
      <c r="EA228" s="688">
        <f t="shared" si="1030"/>
        <v>0</v>
      </c>
      <c r="EB228" s="688">
        <f t="shared" si="1030"/>
        <v>0</v>
      </c>
      <c r="EC228" s="688">
        <f t="shared" si="1030"/>
        <v>0</v>
      </c>
      <c r="ED228" s="688">
        <f t="shared" si="1030"/>
        <v>0</v>
      </c>
      <c r="EE228" s="688">
        <f t="shared" si="1030"/>
        <v>0</v>
      </c>
      <c r="EF228" s="688">
        <f t="shared" si="1030"/>
        <v>0</v>
      </c>
      <c r="EG228" s="688">
        <f t="shared" si="1030"/>
        <v>0</v>
      </c>
      <c r="EH228" s="21"/>
      <c r="EI228" s="21"/>
      <c r="EJ228" s="21"/>
      <c r="EK228" s="21"/>
      <c r="EL228" s="21"/>
      <c r="EM228" s="21"/>
    </row>
    <row r="229" spans="1:143" ht="13.5" customHeight="1">
      <c r="A229" s="21"/>
      <c r="B229" s="21"/>
      <c r="C229" s="21"/>
      <c r="D229" s="21"/>
      <c r="E229" s="21"/>
      <c r="F229" s="21" t="str">
        <f>+Assumption!F293</f>
        <v>Bank 3</v>
      </c>
      <c r="G229" s="15"/>
      <c r="H229" s="66">
        <f>+Assumption!H293</f>
        <v>0</v>
      </c>
      <c r="I229" s="688">
        <f t="shared" ref="I229:T229" si="1031">+$H$229*H111/12</f>
        <v>0</v>
      </c>
      <c r="J229" s="688">
        <f t="shared" si="1031"/>
        <v>0</v>
      </c>
      <c r="K229" s="688">
        <f t="shared" si="1031"/>
        <v>0</v>
      </c>
      <c r="L229" s="688">
        <f t="shared" si="1031"/>
        <v>0</v>
      </c>
      <c r="M229" s="688">
        <f t="shared" si="1031"/>
        <v>0</v>
      </c>
      <c r="N229" s="688">
        <f t="shared" si="1031"/>
        <v>0</v>
      </c>
      <c r="O229" s="688">
        <f t="shared" si="1031"/>
        <v>0</v>
      </c>
      <c r="P229" s="688">
        <f t="shared" si="1031"/>
        <v>0</v>
      </c>
      <c r="Q229" s="688">
        <f t="shared" si="1031"/>
        <v>0</v>
      </c>
      <c r="R229" s="688">
        <f t="shared" si="1031"/>
        <v>0</v>
      </c>
      <c r="S229" s="688">
        <f t="shared" si="1031"/>
        <v>0</v>
      </c>
      <c r="T229" s="688">
        <f t="shared" si="1031"/>
        <v>0</v>
      </c>
      <c r="U229" s="15"/>
      <c r="V229" s="688">
        <f>+$H$229*T111/12</f>
        <v>0</v>
      </c>
      <c r="W229" s="688">
        <f t="shared" ref="W229:AG229" si="1032">+$H$229*V111/12</f>
        <v>0</v>
      </c>
      <c r="X229" s="688">
        <f t="shared" si="1032"/>
        <v>0</v>
      </c>
      <c r="Y229" s="688">
        <f t="shared" si="1032"/>
        <v>0</v>
      </c>
      <c r="Z229" s="688">
        <f t="shared" si="1032"/>
        <v>0</v>
      </c>
      <c r="AA229" s="688">
        <f t="shared" si="1032"/>
        <v>0</v>
      </c>
      <c r="AB229" s="688">
        <f t="shared" si="1032"/>
        <v>0</v>
      </c>
      <c r="AC229" s="688">
        <f t="shared" si="1032"/>
        <v>0</v>
      </c>
      <c r="AD229" s="688">
        <f t="shared" si="1032"/>
        <v>0</v>
      </c>
      <c r="AE229" s="688">
        <f t="shared" si="1032"/>
        <v>0</v>
      </c>
      <c r="AF229" s="688">
        <f t="shared" si="1032"/>
        <v>0</v>
      </c>
      <c r="AG229" s="688">
        <f t="shared" si="1032"/>
        <v>0</v>
      </c>
      <c r="AH229" s="21"/>
      <c r="AI229" s="688">
        <f>+$H$229*AG111/12</f>
        <v>0</v>
      </c>
      <c r="AJ229" s="688">
        <f t="shared" ref="AJ229:AT229" si="1033">+$H$229*AI111/12</f>
        <v>0</v>
      </c>
      <c r="AK229" s="688">
        <f t="shared" si="1033"/>
        <v>0</v>
      </c>
      <c r="AL229" s="688">
        <f t="shared" si="1033"/>
        <v>0</v>
      </c>
      <c r="AM229" s="688">
        <f t="shared" si="1033"/>
        <v>0</v>
      </c>
      <c r="AN229" s="688">
        <f t="shared" si="1033"/>
        <v>0</v>
      </c>
      <c r="AO229" s="688">
        <f t="shared" si="1033"/>
        <v>0</v>
      </c>
      <c r="AP229" s="688">
        <f t="shared" si="1033"/>
        <v>0</v>
      </c>
      <c r="AQ229" s="688">
        <f t="shared" si="1033"/>
        <v>0</v>
      </c>
      <c r="AR229" s="688">
        <f t="shared" si="1033"/>
        <v>0</v>
      </c>
      <c r="AS229" s="688">
        <f t="shared" si="1033"/>
        <v>0</v>
      </c>
      <c r="AT229" s="688">
        <f t="shared" si="1033"/>
        <v>0</v>
      </c>
      <c r="AU229" s="21"/>
      <c r="AV229" s="688">
        <f>+$H$229*AT111/12</f>
        <v>0</v>
      </c>
      <c r="AW229" s="688">
        <f t="shared" ref="AW229:BG229" si="1034">+$H$229*AV111/12</f>
        <v>0</v>
      </c>
      <c r="AX229" s="688">
        <f t="shared" si="1034"/>
        <v>0</v>
      </c>
      <c r="AY229" s="688">
        <f t="shared" si="1034"/>
        <v>0</v>
      </c>
      <c r="AZ229" s="688">
        <f t="shared" si="1034"/>
        <v>0</v>
      </c>
      <c r="BA229" s="688">
        <f t="shared" si="1034"/>
        <v>0</v>
      </c>
      <c r="BB229" s="688">
        <f t="shared" si="1034"/>
        <v>0</v>
      </c>
      <c r="BC229" s="688">
        <f t="shared" si="1034"/>
        <v>0</v>
      </c>
      <c r="BD229" s="688">
        <f t="shared" si="1034"/>
        <v>0</v>
      </c>
      <c r="BE229" s="688">
        <f t="shared" si="1034"/>
        <v>0</v>
      </c>
      <c r="BF229" s="688">
        <f t="shared" si="1034"/>
        <v>0</v>
      </c>
      <c r="BG229" s="688">
        <f t="shared" si="1034"/>
        <v>0</v>
      </c>
      <c r="BH229" s="21"/>
      <c r="BI229" s="688">
        <f>+$H$229*BG111/12</f>
        <v>0</v>
      </c>
      <c r="BJ229" s="688">
        <f t="shared" ref="BJ229:BT229" si="1035">+$H$229*BI111/12</f>
        <v>0</v>
      </c>
      <c r="BK229" s="688">
        <f t="shared" si="1035"/>
        <v>0</v>
      </c>
      <c r="BL229" s="688">
        <f t="shared" si="1035"/>
        <v>0</v>
      </c>
      <c r="BM229" s="688">
        <f t="shared" si="1035"/>
        <v>0</v>
      </c>
      <c r="BN229" s="688">
        <f t="shared" si="1035"/>
        <v>0</v>
      </c>
      <c r="BO229" s="688">
        <f t="shared" si="1035"/>
        <v>0</v>
      </c>
      <c r="BP229" s="688">
        <f t="shared" si="1035"/>
        <v>0</v>
      </c>
      <c r="BQ229" s="688">
        <f t="shared" si="1035"/>
        <v>0</v>
      </c>
      <c r="BR229" s="688">
        <f t="shared" si="1035"/>
        <v>0</v>
      </c>
      <c r="BS229" s="688">
        <f t="shared" si="1035"/>
        <v>0</v>
      </c>
      <c r="BT229" s="688">
        <f t="shared" si="1035"/>
        <v>0</v>
      </c>
      <c r="BU229" s="21"/>
      <c r="BV229" s="688">
        <f>+$H$229*BT111/12</f>
        <v>0</v>
      </c>
      <c r="BW229" s="688">
        <f t="shared" ref="BW229:CG229" si="1036">+$H$229*BV111/12</f>
        <v>0</v>
      </c>
      <c r="BX229" s="688">
        <f t="shared" si="1036"/>
        <v>0</v>
      </c>
      <c r="BY229" s="688">
        <f t="shared" si="1036"/>
        <v>0</v>
      </c>
      <c r="BZ229" s="688">
        <f t="shared" si="1036"/>
        <v>0</v>
      </c>
      <c r="CA229" s="688">
        <f t="shared" si="1036"/>
        <v>0</v>
      </c>
      <c r="CB229" s="688">
        <f t="shared" si="1036"/>
        <v>0</v>
      </c>
      <c r="CC229" s="688">
        <f t="shared" si="1036"/>
        <v>0</v>
      </c>
      <c r="CD229" s="688">
        <f t="shared" si="1036"/>
        <v>0</v>
      </c>
      <c r="CE229" s="688">
        <f t="shared" si="1036"/>
        <v>0</v>
      </c>
      <c r="CF229" s="688">
        <f t="shared" si="1036"/>
        <v>0</v>
      </c>
      <c r="CG229" s="688">
        <f t="shared" si="1036"/>
        <v>0</v>
      </c>
      <c r="CH229" s="21"/>
      <c r="CI229" s="688">
        <f>+$H$229*CG111/12</f>
        <v>0</v>
      </c>
      <c r="CJ229" s="688">
        <f t="shared" ref="CJ229:CT229" si="1037">+$H$229*CI111/12</f>
        <v>0</v>
      </c>
      <c r="CK229" s="688">
        <f t="shared" si="1037"/>
        <v>0</v>
      </c>
      <c r="CL229" s="688">
        <f t="shared" si="1037"/>
        <v>0</v>
      </c>
      <c r="CM229" s="688">
        <f t="shared" si="1037"/>
        <v>0</v>
      </c>
      <c r="CN229" s="688">
        <f t="shared" si="1037"/>
        <v>0</v>
      </c>
      <c r="CO229" s="688">
        <f t="shared" si="1037"/>
        <v>0</v>
      </c>
      <c r="CP229" s="688">
        <f t="shared" si="1037"/>
        <v>0</v>
      </c>
      <c r="CQ229" s="688">
        <f t="shared" si="1037"/>
        <v>0</v>
      </c>
      <c r="CR229" s="688">
        <f t="shared" si="1037"/>
        <v>0</v>
      </c>
      <c r="CS229" s="688">
        <f t="shared" si="1037"/>
        <v>0</v>
      </c>
      <c r="CT229" s="688">
        <f t="shared" si="1037"/>
        <v>0</v>
      </c>
      <c r="CU229" s="21"/>
      <c r="CV229" s="688">
        <f>+$H$229*CT111/12</f>
        <v>0</v>
      </c>
      <c r="CW229" s="688">
        <f t="shared" ref="CW229:DG229" si="1038">+$H$229*CV111/12</f>
        <v>0</v>
      </c>
      <c r="CX229" s="688">
        <f t="shared" si="1038"/>
        <v>0</v>
      </c>
      <c r="CY229" s="688">
        <f t="shared" si="1038"/>
        <v>0</v>
      </c>
      <c r="CZ229" s="688">
        <f t="shared" si="1038"/>
        <v>0</v>
      </c>
      <c r="DA229" s="688">
        <f t="shared" si="1038"/>
        <v>0</v>
      </c>
      <c r="DB229" s="688">
        <f t="shared" si="1038"/>
        <v>0</v>
      </c>
      <c r="DC229" s="688">
        <f t="shared" si="1038"/>
        <v>0</v>
      </c>
      <c r="DD229" s="688">
        <f t="shared" si="1038"/>
        <v>0</v>
      </c>
      <c r="DE229" s="688">
        <f t="shared" si="1038"/>
        <v>0</v>
      </c>
      <c r="DF229" s="688">
        <f t="shared" si="1038"/>
        <v>0</v>
      </c>
      <c r="DG229" s="688">
        <f t="shared" si="1038"/>
        <v>0</v>
      </c>
      <c r="DH229" s="21"/>
      <c r="DI229" s="688">
        <f>+$H$229*DG111/12</f>
        <v>0</v>
      </c>
      <c r="DJ229" s="688">
        <f t="shared" ref="DJ229:DT229" si="1039">+$H$229*DI111/12</f>
        <v>0</v>
      </c>
      <c r="DK229" s="688">
        <f t="shared" si="1039"/>
        <v>0</v>
      </c>
      <c r="DL229" s="688">
        <f t="shared" si="1039"/>
        <v>0</v>
      </c>
      <c r="DM229" s="688">
        <f t="shared" si="1039"/>
        <v>0</v>
      </c>
      <c r="DN229" s="688">
        <f t="shared" si="1039"/>
        <v>0</v>
      </c>
      <c r="DO229" s="688">
        <f t="shared" si="1039"/>
        <v>0</v>
      </c>
      <c r="DP229" s="688">
        <f t="shared" si="1039"/>
        <v>0</v>
      </c>
      <c r="DQ229" s="688">
        <f t="shared" si="1039"/>
        <v>0</v>
      </c>
      <c r="DR229" s="688">
        <f t="shared" si="1039"/>
        <v>0</v>
      </c>
      <c r="DS229" s="688">
        <f t="shared" si="1039"/>
        <v>0</v>
      </c>
      <c r="DT229" s="688">
        <f t="shared" si="1039"/>
        <v>0</v>
      </c>
      <c r="DU229" s="21"/>
      <c r="DV229" s="688">
        <f>+$H$229*DT111/12</f>
        <v>0</v>
      </c>
      <c r="DW229" s="688">
        <f t="shared" ref="DW229:EG229" si="1040">+$H$229*DV111/12</f>
        <v>0</v>
      </c>
      <c r="DX229" s="688">
        <f t="shared" si="1040"/>
        <v>0</v>
      </c>
      <c r="DY229" s="688">
        <f t="shared" si="1040"/>
        <v>0</v>
      </c>
      <c r="DZ229" s="688">
        <f t="shared" si="1040"/>
        <v>0</v>
      </c>
      <c r="EA229" s="688">
        <f t="shared" si="1040"/>
        <v>0</v>
      </c>
      <c r="EB229" s="688">
        <f t="shared" si="1040"/>
        <v>0</v>
      </c>
      <c r="EC229" s="688">
        <f t="shared" si="1040"/>
        <v>0</v>
      </c>
      <c r="ED229" s="688">
        <f t="shared" si="1040"/>
        <v>0</v>
      </c>
      <c r="EE229" s="688">
        <f t="shared" si="1040"/>
        <v>0</v>
      </c>
      <c r="EF229" s="688">
        <f t="shared" si="1040"/>
        <v>0</v>
      </c>
      <c r="EG229" s="688">
        <f t="shared" si="1040"/>
        <v>0</v>
      </c>
      <c r="EH229" s="21"/>
      <c r="EI229" s="21"/>
      <c r="EJ229" s="21"/>
      <c r="EK229" s="21"/>
      <c r="EL229" s="21"/>
      <c r="EM229" s="21"/>
    </row>
    <row r="230" spans="1:143" ht="13.5" customHeight="1">
      <c r="A230" s="21"/>
      <c r="B230" s="21"/>
      <c r="C230" s="21"/>
      <c r="D230" s="21"/>
      <c r="E230" s="21"/>
      <c r="F230" s="21" t="str">
        <f>+Assumption!F294</f>
        <v>Bank 4</v>
      </c>
      <c r="G230" s="15"/>
      <c r="H230" s="66">
        <f>+Assumption!H294</f>
        <v>0</v>
      </c>
      <c r="I230" s="688">
        <f t="shared" ref="I230:T230" si="1041">+$H$230*H112/12</f>
        <v>0</v>
      </c>
      <c r="J230" s="688">
        <f t="shared" si="1041"/>
        <v>0</v>
      </c>
      <c r="K230" s="688">
        <f t="shared" si="1041"/>
        <v>0</v>
      </c>
      <c r="L230" s="688">
        <f t="shared" si="1041"/>
        <v>0</v>
      </c>
      <c r="M230" s="688">
        <f t="shared" si="1041"/>
        <v>0</v>
      </c>
      <c r="N230" s="688">
        <f t="shared" si="1041"/>
        <v>0</v>
      </c>
      <c r="O230" s="688">
        <f t="shared" si="1041"/>
        <v>0</v>
      </c>
      <c r="P230" s="688">
        <f t="shared" si="1041"/>
        <v>0</v>
      </c>
      <c r="Q230" s="688">
        <f t="shared" si="1041"/>
        <v>0</v>
      </c>
      <c r="R230" s="688">
        <f t="shared" si="1041"/>
        <v>0</v>
      </c>
      <c r="S230" s="688">
        <f t="shared" si="1041"/>
        <v>0</v>
      </c>
      <c r="T230" s="688">
        <f t="shared" si="1041"/>
        <v>0</v>
      </c>
      <c r="U230" s="15"/>
      <c r="V230" s="688">
        <f>+$H$230*T112/12</f>
        <v>0</v>
      </c>
      <c r="W230" s="688">
        <f t="shared" ref="W230:AG230" si="1042">+$H$230*V112/12</f>
        <v>0</v>
      </c>
      <c r="X230" s="688">
        <f t="shared" si="1042"/>
        <v>0</v>
      </c>
      <c r="Y230" s="688">
        <f t="shared" si="1042"/>
        <v>0</v>
      </c>
      <c r="Z230" s="688">
        <f t="shared" si="1042"/>
        <v>0</v>
      </c>
      <c r="AA230" s="688">
        <f t="shared" si="1042"/>
        <v>0</v>
      </c>
      <c r="AB230" s="688">
        <f t="shared" si="1042"/>
        <v>0</v>
      </c>
      <c r="AC230" s="688">
        <f t="shared" si="1042"/>
        <v>0</v>
      </c>
      <c r="AD230" s="688">
        <f t="shared" si="1042"/>
        <v>0</v>
      </c>
      <c r="AE230" s="688">
        <f t="shared" si="1042"/>
        <v>0</v>
      </c>
      <c r="AF230" s="688">
        <f t="shared" si="1042"/>
        <v>0</v>
      </c>
      <c r="AG230" s="688">
        <f t="shared" si="1042"/>
        <v>0</v>
      </c>
      <c r="AH230" s="21"/>
      <c r="AI230" s="688">
        <f>+$H$230*AG112/12</f>
        <v>0</v>
      </c>
      <c r="AJ230" s="688">
        <f t="shared" ref="AJ230:AT230" si="1043">+$H$230*AI112/12</f>
        <v>0</v>
      </c>
      <c r="AK230" s="688">
        <f t="shared" si="1043"/>
        <v>0</v>
      </c>
      <c r="AL230" s="688">
        <f t="shared" si="1043"/>
        <v>0</v>
      </c>
      <c r="AM230" s="688">
        <f t="shared" si="1043"/>
        <v>0</v>
      </c>
      <c r="AN230" s="688">
        <f t="shared" si="1043"/>
        <v>0</v>
      </c>
      <c r="AO230" s="688">
        <f t="shared" si="1043"/>
        <v>0</v>
      </c>
      <c r="AP230" s="688">
        <f t="shared" si="1043"/>
        <v>0</v>
      </c>
      <c r="AQ230" s="688">
        <f t="shared" si="1043"/>
        <v>0</v>
      </c>
      <c r="AR230" s="688">
        <f t="shared" si="1043"/>
        <v>0</v>
      </c>
      <c r="AS230" s="688">
        <f t="shared" si="1043"/>
        <v>0</v>
      </c>
      <c r="AT230" s="688">
        <f t="shared" si="1043"/>
        <v>0</v>
      </c>
      <c r="AU230" s="21"/>
      <c r="AV230" s="688">
        <f>+$H$230*AT112/12</f>
        <v>0</v>
      </c>
      <c r="AW230" s="688">
        <f t="shared" ref="AW230:BG230" si="1044">+$H$230*AV112/12</f>
        <v>0</v>
      </c>
      <c r="AX230" s="688">
        <f t="shared" si="1044"/>
        <v>0</v>
      </c>
      <c r="AY230" s="688">
        <f t="shared" si="1044"/>
        <v>0</v>
      </c>
      <c r="AZ230" s="688">
        <f t="shared" si="1044"/>
        <v>0</v>
      </c>
      <c r="BA230" s="688">
        <f t="shared" si="1044"/>
        <v>0</v>
      </c>
      <c r="BB230" s="688">
        <f t="shared" si="1044"/>
        <v>0</v>
      </c>
      <c r="BC230" s="688">
        <f t="shared" si="1044"/>
        <v>0</v>
      </c>
      <c r="BD230" s="688">
        <f t="shared" si="1044"/>
        <v>0</v>
      </c>
      <c r="BE230" s="688">
        <f t="shared" si="1044"/>
        <v>0</v>
      </c>
      <c r="BF230" s="688">
        <f t="shared" si="1044"/>
        <v>0</v>
      </c>
      <c r="BG230" s="688">
        <f t="shared" si="1044"/>
        <v>0</v>
      </c>
      <c r="BH230" s="21"/>
      <c r="BI230" s="688">
        <f>+$H$230*BG112/12</f>
        <v>0</v>
      </c>
      <c r="BJ230" s="688">
        <f t="shared" ref="BJ230:BT230" si="1045">+$H$230*BI112/12</f>
        <v>0</v>
      </c>
      <c r="BK230" s="688">
        <f t="shared" si="1045"/>
        <v>0</v>
      </c>
      <c r="BL230" s="688">
        <f t="shared" si="1045"/>
        <v>0</v>
      </c>
      <c r="BM230" s="688">
        <f t="shared" si="1045"/>
        <v>0</v>
      </c>
      <c r="BN230" s="688">
        <f t="shared" si="1045"/>
        <v>0</v>
      </c>
      <c r="BO230" s="688">
        <f t="shared" si="1045"/>
        <v>0</v>
      </c>
      <c r="BP230" s="688">
        <f t="shared" si="1045"/>
        <v>0</v>
      </c>
      <c r="BQ230" s="688">
        <f t="shared" si="1045"/>
        <v>0</v>
      </c>
      <c r="BR230" s="688">
        <f t="shared" si="1045"/>
        <v>0</v>
      </c>
      <c r="BS230" s="688">
        <f t="shared" si="1045"/>
        <v>0</v>
      </c>
      <c r="BT230" s="688">
        <f t="shared" si="1045"/>
        <v>0</v>
      </c>
      <c r="BU230" s="21"/>
      <c r="BV230" s="688">
        <f>+$H$230*BT112/12</f>
        <v>0</v>
      </c>
      <c r="BW230" s="688">
        <f t="shared" ref="BW230:CG230" si="1046">+$H$230*BV112/12</f>
        <v>0</v>
      </c>
      <c r="BX230" s="688">
        <f t="shared" si="1046"/>
        <v>0</v>
      </c>
      <c r="BY230" s="688">
        <f t="shared" si="1046"/>
        <v>0</v>
      </c>
      <c r="BZ230" s="688">
        <f t="shared" si="1046"/>
        <v>0</v>
      </c>
      <c r="CA230" s="688">
        <f t="shared" si="1046"/>
        <v>0</v>
      </c>
      <c r="CB230" s="688">
        <f t="shared" si="1046"/>
        <v>0</v>
      </c>
      <c r="CC230" s="688">
        <f t="shared" si="1046"/>
        <v>0</v>
      </c>
      <c r="CD230" s="688">
        <f t="shared" si="1046"/>
        <v>0</v>
      </c>
      <c r="CE230" s="688">
        <f t="shared" si="1046"/>
        <v>0</v>
      </c>
      <c r="CF230" s="688">
        <f t="shared" si="1046"/>
        <v>0</v>
      </c>
      <c r="CG230" s="688">
        <f t="shared" si="1046"/>
        <v>0</v>
      </c>
      <c r="CH230" s="21"/>
      <c r="CI230" s="688">
        <f>+$H$230*CG112/12</f>
        <v>0</v>
      </c>
      <c r="CJ230" s="688">
        <f t="shared" ref="CJ230:CT230" si="1047">+$H$230*CI112/12</f>
        <v>0</v>
      </c>
      <c r="CK230" s="688">
        <f t="shared" si="1047"/>
        <v>0</v>
      </c>
      <c r="CL230" s="688">
        <f t="shared" si="1047"/>
        <v>0</v>
      </c>
      <c r="CM230" s="688">
        <f t="shared" si="1047"/>
        <v>0</v>
      </c>
      <c r="CN230" s="688">
        <f t="shared" si="1047"/>
        <v>0</v>
      </c>
      <c r="CO230" s="688">
        <f t="shared" si="1047"/>
        <v>0</v>
      </c>
      <c r="CP230" s="688">
        <f t="shared" si="1047"/>
        <v>0</v>
      </c>
      <c r="CQ230" s="688">
        <f t="shared" si="1047"/>
        <v>0</v>
      </c>
      <c r="CR230" s="688">
        <f t="shared" si="1047"/>
        <v>0</v>
      </c>
      <c r="CS230" s="688">
        <f t="shared" si="1047"/>
        <v>0</v>
      </c>
      <c r="CT230" s="688">
        <f t="shared" si="1047"/>
        <v>0</v>
      </c>
      <c r="CU230" s="21"/>
      <c r="CV230" s="688">
        <f>+$H$230*CT112/12</f>
        <v>0</v>
      </c>
      <c r="CW230" s="688">
        <f t="shared" ref="CW230:DG230" si="1048">+$H$230*CV112/12</f>
        <v>0</v>
      </c>
      <c r="CX230" s="688">
        <f t="shared" si="1048"/>
        <v>0</v>
      </c>
      <c r="CY230" s="688">
        <f t="shared" si="1048"/>
        <v>0</v>
      </c>
      <c r="CZ230" s="688">
        <f t="shared" si="1048"/>
        <v>0</v>
      </c>
      <c r="DA230" s="688">
        <f t="shared" si="1048"/>
        <v>0</v>
      </c>
      <c r="DB230" s="688">
        <f t="shared" si="1048"/>
        <v>0</v>
      </c>
      <c r="DC230" s="688">
        <f t="shared" si="1048"/>
        <v>0</v>
      </c>
      <c r="DD230" s="688">
        <f t="shared" si="1048"/>
        <v>0</v>
      </c>
      <c r="DE230" s="688">
        <f t="shared" si="1048"/>
        <v>0</v>
      </c>
      <c r="DF230" s="688">
        <f t="shared" si="1048"/>
        <v>0</v>
      </c>
      <c r="DG230" s="688">
        <f t="shared" si="1048"/>
        <v>0</v>
      </c>
      <c r="DH230" s="21"/>
      <c r="DI230" s="688">
        <f>+$H$230*DG112/12</f>
        <v>0</v>
      </c>
      <c r="DJ230" s="688">
        <f t="shared" ref="DJ230:DT230" si="1049">+$H$230*DI112/12</f>
        <v>0</v>
      </c>
      <c r="DK230" s="688">
        <f t="shared" si="1049"/>
        <v>0</v>
      </c>
      <c r="DL230" s="688">
        <f t="shared" si="1049"/>
        <v>0</v>
      </c>
      <c r="DM230" s="688">
        <f t="shared" si="1049"/>
        <v>0</v>
      </c>
      <c r="DN230" s="688">
        <f t="shared" si="1049"/>
        <v>0</v>
      </c>
      <c r="DO230" s="688">
        <f t="shared" si="1049"/>
        <v>0</v>
      </c>
      <c r="DP230" s="688">
        <f t="shared" si="1049"/>
        <v>0</v>
      </c>
      <c r="DQ230" s="688">
        <f t="shared" si="1049"/>
        <v>0</v>
      </c>
      <c r="DR230" s="688">
        <f t="shared" si="1049"/>
        <v>0</v>
      </c>
      <c r="DS230" s="688">
        <f t="shared" si="1049"/>
        <v>0</v>
      </c>
      <c r="DT230" s="688">
        <f t="shared" si="1049"/>
        <v>0</v>
      </c>
      <c r="DU230" s="21"/>
      <c r="DV230" s="688">
        <f>+$H$230*DT112/12</f>
        <v>0</v>
      </c>
      <c r="DW230" s="688">
        <f t="shared" ref="DW230:EG230" si="1050">+$H$230*DV112/12</f>
        <v>0</v>
      </c>
      <c r="DX230" s="688">
        <f t="shared" si="1050"/>
        <v>0</v>
      </c>
      <c r="DY230" s="688">
        <f t="shared" si="1050"/>
        <v>0</v>
      </c>
      <c r="DZ230" s="688">
        <f t="shared" si="1050"/>
        <v>0</v>
      </c>
      <c r="EA230" s="688">
        <f t="shared" si="1050"/>
        <v>0</v>
      </c>
      <c r="EB230" s="688">
        <f t="shared" si="1050"/>
        <v>0</v>
      </c>
      <c r="EC230" s="688">
        <f t="shared" si="1050"/>
        <v>0</v>
      </c>
      <c r="ED230" s="688">
        <f t="shared" si="1050"/>
        <v>0</v>
      </c>
      <c r="EE230" s="688">
        <f t="shared" si="1050"/>
        <v>0</v>
      </c>
      <c r="EF230" s="688">
        <f t="shared" si="1050"/>
        <v>0</v>
      </c>
      <c r="EG230" s="688">
        <f t="shared" si="1050"/>
        <v>0</v>
      </c>
      <c r="EH230" s="21"/>
      <c r="EI230" s="21"/>
      <c r="EJ230" s="21"/>
      <c r="EK230" s="21"/>
      <c r="EL230" s="21"/>
      <c r="EM230" s="21"/>
    </row>
    <row r="231" spans="1:143" ht="13.5" customHeight="1">
      <c r="A231" s="21"/>
      <c r="B231" s="21"/>
      <c r="C231" s="21"/>
      <c r="D231" s="21"/>
      <c r="E231" s="21"/>
      <c r="F231" s="21" t="str">
        <f>+Assumption!F295</f>
        <v>Bank 5</v>
      </c>
      <c r="G231" s="15"/>
      <c r="H231" s="66">
        <f>+Assumption!H295</f>
        <v>0</v>
      </c>
      <c r="I231" s="688">
        <f t="shared" ref="I231:T231" si="1051">+$H$231*H113/12</f>
        <v>0</v>
      </c>
      <c r="J231" s="688">
        <f t="shared" si="1051"/>
        <v>0</v>
      </c>
      <c r="K231" s="688">
        <f t="shared" si="1051"/>
        <v>0</v>
      </c>
      <c r="L231" s="688">
        <f t="shared" si="1051"/>
        <v>0</v>
      </c>
      <c r="M231" s="688">
        <f t="shared" si="1051"/>
        <v>0</v>
      </c>
      <c r="N231" s="688">
        <f t="shared" si="1051"/>
        <v>0</v>
      </c>
      <c r="O231" s="688">
        <f t="shared" si="1051"/>
        <v>0</v>
      </c>
      <c r="P231" s="688">
        <f t="shared" si="1051"/>
        <v>0</v>
      </c>
      <c r="Q231" s="688">
        <f t="shared" si="1051"/>
        <v>0</v>
      </c>
      <c r="R231" s="688">
        <f t="shared" si="1051"/>
        <v>0</v>
      </c>
      <c r="S231" s="688">
        <f t="shared" si="1051"/>
        <v>0</v>
      </c>
      <c r="T231" s="688">
        <f t="shared" si="1051"/>
        <v>0</v>
      </c>
      <c r="U231" s="15"/>
      <c r="V231" s="688">
        <f>+$H$231*T113/12</f>
        <v>0</v>
      </c>
      <c r="W231" s="688">
        <f t="shared" ref="W231:AG231" si="1052">+$H$231*V113/12</f>
        <v>0</v>
      </c>
      <c r="X231" s="688">
        <f t="shared" si="1052"/>
        <v>0</v>
      </c>
      <c r="Y231" s="688">
        <f t="shared" si="1052"/>
        <v>0</v>
      </c>
      <c r="Z231" s="688">
        <f t="shared" si="1052"/>
        <v>0</v>
      </c>
      <c r="AA231" s="688">
        <f t="shared" si="1052"/>
        <v>0</v>
      </c>
      <c r="AB231" s="688">
        <f t="shared" si="1052"/>
        <v>0</v>
      </c>
      <c r="AC231" s="688">
        <f t="shared" si="1052"/>
        <v>0</v>
      </c>
      <c r="AD231" s="688">
        <f t="shared" si="1052"/>
        <v>0</v>
      </c>
      <c r="AE231" s="688">
        <f t="shared" si="1052"/>
        <v>0</v>
      </c>
      <c r="AF231" s="688">
        <f t="shared" si="1052"/>
        <v>0</v>
      </c>
      <c r="AG231" s="688">
        <f t="shared" si="1052"/>
        <v>0</v>
      </c>
      <c r="AH231" s="21"/>
      <c r="AI231" s="688">
        <f>+$H$231*AG113/12</f>
        <v>0</v>
      </c>
      <c r="AJ231" s="688">
        <f t="shared" ref="AJ231:AT231" si="1053">+$H$231*AI113/12</f>
        <v>0</v>
      </c>
      <c r="AK231" s="688">
        <f t="shared" si="1053"/>
        <v>0</v>
      </c>
      <c r="AL231" s="688">
        <f t="shared" si="1053"/>
        <v>0</v>
      </c>
      <c r="AM231" s="688">
        <f t="shared" si="1053"/>
        <v>0</v>
      </c>
      <c r="AN231" s="688">
        <f t="shared" si="1053"/>
        <v>0</v>
      </c>
      <c r="AO231" s="688">
        <f t="shared" si="1053"/>
        <v>0</v>
      </c>
      <c r="AP231" s="688">
        <f t="shared" si="1053"/>
        <v>0</v>
      </c>
      <c r="AQ231" s="688">
        <f t="shared" si="1053"/>
        <v>0</v>
      </c>
      <c r="AR231" s="688">
        <f t="shared" si="1053"/>
        <v>0</v>
      </c>
      <c r="AS231" s="688">
        <f t="shared" si="1053"/>
        <v>0</v>
      </c>
      <c r="AT231" s="688">
        <f t="shared" si="1053"/>
        <v>0</v>
      </c>
      <c r="AU231" s="21"/>
      <c r="AV231" s="688">
        <f>+$H$231*AT113/12</f>
        <v>0</v>
      </c>
      <c r="AW231" s="688">
        <f t="shared" ref="AW231:BG231" si="1054">+$H$231*AV113/12</f>
        <v>0</v>
      </c>
      <c r="AX231" s="688">
        <f t="shared" si="1054"/>
        <v>0</v>
      </c>
      <c r="AY231" s="688">
        <f t="shared" si="1054"/>
        <v>0</v>
      </c>
      <c r="AZ231" s="688">
        <f t="shared" si="1054"/>
        <v>0</v>
      </c>
      <c r="BA231" s="688">
        <f t="shared" si="1054"/>
        <v>0</v>
      </c>
      <c r="BB231" s="688">
        <f t="shared" si="1054"/>
        <v>0</v>
      </c>
      <c r="BC231" s="688">
        <f t="shared" si="1054"/>
        <v>0</v>
      </c>
      <c r="BD231" s="688">
        <f t="shared" si="1054"/>
        <v>0</v>
      </c>
      <c r="BE231" s="688">
        <f t="shared" si="1054"/>
        <v>0</v>
      </c>
      <c r="BF231" s="688">
        <f t="shared" si="1054"/>
        <v>0</v>
      </c>
      <c r="BG231" s="688">
        <f t="shared" si="1054"/>
        <v>0</v>
      </c>
      <c r="BH231" s="21"/>
      <c r="BI231" s="688">
        <f>+$H$231*BG113/12</f>
        <v>0</v>
      </c>
      <c r="BJ231" s="688">
        <f t="shared" ref="BJ231:BT231" si="1055">+$H$231*BI113/12</f>
        <v>0</v>
      </c>
      <c r="BK231" s="688">
        <f t="shared" si="1055"/>
        <v>0</v>
      </c>
      <c r="BL231" s="688">
        <f t="shared" si="1055"/>
        <v>0</v>
      </c>
      <c r="BM231" s="688">
        <f t="shared" si="1055"/>
        <v>0</v>
      </c>
      <c r="BN231" s="688">
        <f t="shared" si="1055"/>
        <v>0</v>
      </c>
      <c r="BO231" s="688">
        <f t="shared" si="1055"/>
        <v>0</v>
      </c>
      <c r="BP231" s="688">
        <f t="shared" si="1055"/>
        <v>0</v>
      </c>
      <c r="BQ231" s="688">
        <f t="shared" si="1055"/>
        <v>0</v>
      </c>
      <c r="BR231" s="688">
        <f t="shared" si="1055"/>
        <v>0</v>
      </c>
      <c r="BS231" s="688">
        <f t="shared" si="1055"/>
        <v>0</v>
      </c>
      <c r="BT231" s="688">
        <f t="shared" si="1055"/>
        <v>0</v>
      </c>
      <c r="BU231" s="21"/>
      <c r="BV231" s="688">
        <f>+$H$231*BT113/12</f>
        <v>0</v>
      </c>
      <c r="BW231" s="688">
        <f t="shared" ref="BW231:CG231" si="1056">+$H$231*BV113/12</f>
        <v>0</v>
      </c>
      <c r="BX231" s="688">
        <f t="shared" si="1056"/>
        <v>0</v>
      </c>
      <c r="BY231" s="688">
        <f t="shared" si="1056"/>
        <v>0</v>
      </c>
      <c r="BZ231" s="688">
        <f t="shared" si="1056"/>
        <v>0</v>
      </c>
      <c r="CA231" s="688">
        <f t="shared" si="1056"/>
        <v>0</v>
      </c>
      <c r="CB231" s="688">
        <f t="shared" si="1056"/>
        <v>0</v>
      </c>
      <c r="CC231" s="688">
        <f t="shared" si="1056"/>
        <v>0</v>
      </c>
      <c r="CD231" s="688">
        <f t="shared" si="1056"/>
        <v>0</v>
      </c>
      <c r="CE231" s="688">
        <f t="shared" si="1056"/>
        <v>0</v>
      </c>
      <c r="CF231" s="688">
        <f t="shared" si="1056"/>
        <v>0</v>
      </c>
      <c r="CG231" s="688">
        <f t="shared" si="1056"/>
        <v>0</v>
      </c>
      <c r="CH231" s="21"/>
      <c r="CI231" s="688">
        <f>+$H$231*CG113/12</f>
        <v>0</v>
      </c>
      <c r="CJ231" s="688">
        <f t="shared" ref="CJ231:CT231" si="1057">+$H$231*CI113/12</f>
        <v>0</v>
      </c>
      <c r="CK231" s="688">
        <f t="shared" si="1057"/>
        <v>0</v>
      </c>
      <c r="CL231" s="688">
        <f t="shared" si="1057"/>
        <v>0</v>
      </c>
      <c r="CM231" s="688">
        <f t="shared" si="1057"/>
        <v>0</v>
      </c>
      <c r="CN231" s="688">
        <f t="shared" si="1057"/>
        <v>0</v>
      </c>
      <c r="CO231" s="688">
        <f t="shared" si="1057"/>
        <v>0</v>
      </c>
      <c r="CP231" s="688">
        <f t="shared" si="1057"/>
        <v>0</v>
      </c>
      <c r="CQ231" s="688">
        <f t="shared" si="1057"/>
        <v>0</v>
      </c>
      <c r="CR231" s="688">
        <f t="shared" si="1057"/>
        <v>0</v>
      </c>
      <c r="CS231" s="688">
        <f t="shared" si="1057"/>
        <v>0</v>
      </c>
      <c r="CT231" s="688">
        <f t="shared" si="1057"/>
        <v>0</v>
      </c>
      <c r="CU231" s="21"/>
      <c r="CV231" s="688">
        <f>+$H$231*CT113/12</f>
        <v>0</v>
      </c>
      <c r="CW231" s="688">
        <f t="shared" ref="CW231:DG231" si="1058">+$H$231*CV113/12</f>
        <v>0</v>
      </c>
      <c r="CX231" s="688">
        <f t="shared" si="1058"/>
        <v>0</v>
      </c>
      <c r="CY231" s="688">
        <f t="shared" si="1058"/>
        <v>0</v>
      </c>
      <c r="CZ231" s="688">
        <f t="shared" si="1058"/>
        <v>0</v>
      </c>
      <c r="DA231" s="688">
        <f t="shared" si="1058"/>
        <v>0</v>
      </c>
      <c r="DB231" s="688">
        <f t="shared" si="1058"/>
        <v>0</v>
      </c>
      <c r="DC231" s="688">
        <f t="shared" si="1058"/>
        <v>0</v>
      </c>
      <c r="DD231" s="688">
        <f t="shared" si="1058"/>
        <v>0</v>
      </c>
      <c r="DE231" s="688">
        <f t="shared" si="1058"/>
        <v>0</v>
      </c>
      <c r="DF231" s="688">
        <f t="shared" si="1058"/>
        <v>0</v>
      </c>
      <c r="DG231" s="688">
        <f t="shared" si="1058"/>
        <v>0</v>
      </c>
      <c r="DH231" s="21"/>
      <c r="DI231" s="688">
        <f>+$H$231*DG113/12</f>
        <v>0</v>
      </c>
      <c r="DJ231" s="688">
        <f t="shared" ref="DJ231:DT231" si="1059">+$H$231*DI113/12</f>
        <v>0</v>
      </c>
      <c r="DK231" s="688">
        <f t="shared" si="1059"/>
        <v>0</v>
      </c>
      <c r="DL231" s="688">
        <f t="shared" si="1059"/>
        <v>0</v>
      </c>
      <c r="DM231" s="688">
        <f t="shared" si="1059"/>
        <v>0</v>
      </c>
      <c r="DN231" s="688">
        <f t="shared" si="1059"/>
        <v>0</v>
      </c>
      <c r="DO231" s="688">
        <f t="shared" si="1059"/>
        <v>0</v>
      </c>
      <c r="DP231" s="688">
        <f t="shared" si="1059"/>
        <v>0</v>
      </c>
      <c r="DQ231" s="688">
        <f t="shared" si="1059"/>
        <v>0</v>
      </c>
      <c r="DR231" s="688">
        <f t="shared" si="1059"/>
        <v>0</v>
      </c>
      <c r="DS231" s="688">
        <f t="shared" si="1059"/>
        <v>0</v>
      </c>
      <c r="DT231" s="688">
        <f t="shared" si="1059"/>
        <v>0</v>
      </c>
      <c r="DU231" s="21"/>
      <c r="DV231" s="688">
        <f>+$H$231*DT113/12</f>
        <v>0</v>
      </c>
      <c r="DW231" s="688">
        <f t="shared" ref="DW231:EG231" si="1060">+$H$231*DV113/12</f>
        <v>0</v>
      </c>
      <c r="DX231" s="688">
        <f t="shared" si="1060"/>
        <v>0</v>
      </c>
      <c r="DY231" s="688">
        <f t="shared" si="1060"/>
        <v>0</v>
      </c>
      <c r="DZ231" s="688">
        <f t="shared" si="1060"/>
        <v>0</v>
      </c>
      <c r="EA231" s="688">
        <f t="shared" si="1060"/>
        <v>0</v>
      </c>
      <c r="EB231" s="688">
        <f t="shared" si="1060"/>
        <v>0</v>
      </c>
      <c r="EC231" s="688">
        <f t="shared" si="1060"/>
        <v>0</v>
      </c>
      <c r="ED231" s="688">
        <f t="shared" si="1060"/>
        <v>0</v>
      </c>
      <c r="EE231" s="688">
        <f t="shared" si="1060"/>
        <v>0</v>
      </c>
      <c r="EF231" s="688">
        <f t="shared" si="1060"/>
        <v>0</v>
      </c>
      <c r="EG231" s="688">
        <f t="shared" si="1060"/>
        <v>0</v>
      </c>
      <c r="EH231" s="21"/>
      <c r="EI231" s="21"/>
      <c r="EJ231" s="21"/>
      <c r="EK231" s="21"/>
      <c r="EL231" s="21"/>
      <c r="EM231" s="21"/>
    </row>
    <row r="232" spans="1:143" ht="13.5" customHeight="1">
      <c r="A232" s="21"/>
      <c r="B232" s="21"/>
      <c r="C232" s="21"/>
      <c r="D232" s="21"/>
      <c r="E232" s="21"/>
      <c r="F232" s="21" t="str">
        <f>+Assumption!F296</f>
        <v>Bank 6</v>
      </c>
      <c r="G232" s="15"/>
      <c r="H232" s="66">
        <f>+Assumption!H296</f>
        <v>0</v>
      </c>
      <c r="I232" s="688">
        <f t="shared" ref="I232:T232" si="1061">+$H$232*H114/12</f>
        <v>0</v>
      </c>
      <c r="J232" s="688">
        <f t="shared" si="1061"/>
        <v>0</v>
      </c>
      <c r="K232" s="688">
        <f t="shared" si="1061"/>
        <v>0</v>
      </c>
      <c r="L232" s="688">
        <f t="shared" si="1061"/>
        <v>0</v>
      </c>
      <c r="M232" s="688">
        <f t="shared" si="1061"/>
        <v>0</v>
      </c>
      <c r="N232" s="688">
        <f t="shared" si="1061"/>
        <v>0</v>
      </c>
      <c r="O232" s="688">
        <f t="shared" si="1061"/>
        <v>0</v>
      </c>
      <c r="P232" s="688">
        <f t="shared" si="1061"/>
        <v>0</v>
      </c>
      <c r="Q232" s="688">
        <f t="shared" si="1061"/>
        <v>0</v>
      </c>
      <c r="R232" s="688">
        <f t="shared" si="1061"/>
        <v>0</v>
      </c>
      <c r="S232" s="688">
        <f t="shared" si="1061"/>
        <v>0</v>
      </c>
      <c r="T232" s="688">
        <f t="shared" si="1061"/>
        <v>0</v>
      </c>
      <c r="U232" s="15"/>
      <c r="V232" s="688">
        <f>+$H$232*T114/12</f>
        <v>0</v>
      </c>
      <c r="W232" s="688">
        <f t="shared" ref="W232:AG232" si="1062">+$H$232*V114/12</f>
        <v>0</v>
      </c>
      <c r="X232" s="688">
        <f t="shared" si="1062"/>
        <v>0</v>
      </c>
      <c r="Y232" s="688">
        <f t="shared" si="1062"/>
        <v>0</v>
      </c>
      <c r="Z232" s="688">
        <f t="shared" si="1062"/>
        <v>0</v>
      </c>
      <c r="AA232" s="688">
        <f t="shared" si="1062"/>
        <v>0</v>
      </c>
      <c r="AB232" s="688">
        <f t="shared" si="1062"/>
        <v>0</v>
      </c>
      <c r="AC232" s="688">
        <f t="shared" si="1062"/>
        <v>0</v>
      </c>
      <c r="AD232" s="688">
        <f t="shared" si="1062"/>
        <v>0</v>
      </c>
      <c r="AE232" s="688">
        <f t="shared" si="1062"/>
        <v>0</v>
      </c>
      <c r="AF232" s="688">
        <f t="shared" si="1062"/>
        <v>0</v>
      </c>
      <c r="AG232" s="688">
        <f t="shared" si="1062"/>
        <v>0</v>
      </c>
      <c r="AH232" s="21"/>
      <c r="AI232" s="688">
        <f>+$H$232*AG114/12</f>
        <v>0</v>
      </c>
      <c r="AJ232" s="688">
        <f t="shared" ref="AJ232:AT232" si="1063">+$H$232*AI114/12</f>
        <v>0</v>
      </c>
      <c r="AK232" s="688">
        <f t="shared" si="1063"/>
        <v>0</v>
      </c>
      <c r="AL232" s="688">
        <f t="shared" si="1063"/>
        <v>0</v>
      </c>
      <c r="AM232" s="688">
        <f t="shared" si="1063"/>
        <v>0</v>
      </c>
      <c r="AN232" s="688">
        <f t="shared" si="1063"/>
        <v>0</v>
      </c>
      <c r="AO232" s="688">
        <f t="shared" si="1063"/>
        <v>0</v>
      </c>
      <c r="AP232" s="688">
        <f t="shared" si="1063"/>
        <v>0</v>
      </c>
      <c r="AQ232" s="688">
        <f t="shared" si="1063"/>
        <v>0</v>
      </c>
      <c r="AR232" s="688">
        <f t="shared" si="1063"/>
        <v>0</v>
      </c>
      <c r="AS232" s="688">
        <f t="shared" si="1063"/>
        <v>0</v>
      </c>
      <c r="AT232" s="688">
        <f t="shared" si="1063"/>
        <v>0</v>
      </c>
      <c r="AU232" s="21"/>
      <c r="AV232" s="688">
        <f>+$H$232*AT114/12</f>
        <v>0</v>
      </c>
      <c r="AW232" s="688">
        <f t="shared" ref="AW232:BG232" si="1064">+$H$232*AV114/12</f>
        <v>0</v>
      </c>
      <c r="AX232" s="688">
        <f t="shared" si="1064"/>
        <v>0</v>
      </c>
      <c r="AY232" s="688">
        <f t="shared" si="1064"/>
        <v>0</v>
      </c>
      <c r="AZ232" s="688">
        <f t="shared" si="1064"/>
        <v>0</v>
      </c>
      <c r="BA232" s="688">
        <f t="shared" si="1064"/>
        <v>0</v>
      </c>
      <c r="BB232" s="688">
        <f t="shared" si="1064"/>
        <v>0</v>
      </c>
      <c r="BC232" s="688">
        <f t="shared" si="1064"/>
        <v>0</v>
      </c>
      <c r="BD232" s="688">
        <f t="shared" si="1064"/>
        <v>0</v>
      </c>
      <c r="BE232" s="688">
        <f t="shared" si="1064"/>
        <v>0</v>
      </c>
      <c r="BF232" s="688">
        <f t="shared" si="1064"/>
        <v>0</v>
      </c>
      <c r="BG232" s="688">
        <f t="shared" si="1064"/>
        <v>0</v>
      </c>
      <c r="BH232" s="21"/>
      <c r="BI232" s="688">
        <f>+$H$232*BG114/12</f>
        <v>0</v>
      </c>
      <c r="BJ232" s="688">
        <f t="shared" ref="BJ232:BT232" si="1065">+$H$232*BI114/12</f>
        <v>0</v>
      </c>
      <c r="BK232" s="688">
        <f t="shared" si="1065"/>
        <v>0</v>
      </c>
      <c r="BL232" s="688">
        <f t="shared" si="1065"/>
        <v>0</v>
      </c>
      <c r="BM232" s="688">
        <f t="shared" si="1065"/>
        <v>0</v>
      </c>
      <c r="BN232" s="688">
        <f t="shared" si="1065"/>
        <v>0</v>
      </c>
      <c r="BO232" s="688">
        <f t="shared" si="1065"/>
        <v>0</v>
      </c>
      <c r="BP232" s="688">
        <f t="shared" si="1065"/>
        <v>0</v>
      </c>
      <c r="BQ232" s="688">
        <f t="shared" si="1065"/>
        <v>0</v>
      </c>
      <c r="BR232" s="688">
        <f t="shared" si="1065"/>
        <v>0</v>
      </c>
      <c r="BS232" s="688">
        <f t="shared" si="1065"/>
        <v>0</v>
      </c>
      <c r="BT232" s="688">
        <f t="shared" si="1065"/>
        <v>0</v>
      </c>
      <c r="BU232" s="21"/>
      <c r="BV232" s="688">
        <f>+$H$232*BT114/12</f>
        <v>0</v>
      </c>
      <c r="BW232" s="688">
        <f t="shared" ref="BW232:CG232" si="1066">+$H$232*BV114/12</f>
        <v>0</v>
      </c>
      <c r="BX232" s="688">
        <f t="shared" si="1066"/>
        <v>0</v>
      </c>
      <c r="BY232" s="688">
        <f t="shared" si="1066"/>
        <v>0</v>
      </c>
      <c r="BZ232" s="688">
        <f t="shared" si="1066"/>
        <v>0</v>
      </c>
      <c r="CA232" s="688">
        <f t="shared" si="1066"/>
        <v>0</v>
      </c>
      <c r="CB232" s="688">
        <f t="shared" si="1066"/>
        <v>0</v>
      </c>
      <c r="CC232" s="688">
        <f t="shared" si="1066"/>
        <v>0</v>
      </c>
      <c r="CD232" s="688">
        <f t="shared" si="1066"/>
        <v>0</v>
      </c>
      <c r="CE232" s="688">
        <f t="shared" si="1066"/>
        <v>0</v>
      </c>
      <c r="CF232" s="688">
        <f t="shared" si="1066"/>
        <v>0</v>
      </c>
      <c r="CG232" s="688">
        <f t="shared" si="1066"/>
        <v>0</v>
      </c>
      <c r="CH232" s="21"/>
      <c r="CI232" s="688">
        <f>+$H$232*CG114/12</f>
        <v>0</v>
      </c>
      <c r="CJ232" s="688">
        <f t="shared" ref="CJ232:CT232" si="1067">+$H$232*CI114/12</f>
        <v>0</v>
      </c>
      <c r="CK232" s="688">
        <f t="shared" si="1067"/>
        <v>0</v>
      </c>
      <c r="CL232" s="688">
        <f t="shared" si="1067"/>
        <v>0</v>
      </c>
      <c r="CM232" s="688">
        <f t="shared" si="1067"/>
        <v>0</v>
      </c>
      <c r="CN232" s="688">
        <f t="shared" si="1067"/>
        <v>0</v>
      </c>
      <c r="CO232" s="688">
        <f t="shared" si="1067"/>
        <v>0</v>
      </c>
      <c r="CP232" s="688">
        <f t="shared" si="1067"/>
        <v>0</v>
      </c>
      <c r="CQ232" s="688">
        <f t="shared" si="1067"/>
        <v>0</v>
      </c>
      <c r="CR232" s="688">
        <f t="shared" si="1067"/>
        <v>0</v>
      </c>
      <c r="CS232" s="688">
        <f t="shared" si="1067"/>
        <v>0</v>
      </c>
      <c r="CT232" s="688">
        <f t="shared" si="1067"/>
        <v>0</v>
      </c>
      <c r="CU232" s="21"/>
      <c r="CV232" s="688">
        <f>+$H$232*CT114/12</f>
        <v>0</v>
      </c>
      <c r="CW232" s="688">
        <f t="shared" ref="CW232:DG232" si="1068">+$H$232*CV114/12</f>
        <v>0</v>
      </c>
      <c r="CX232" s="688">
        <f t="shared" si="1068"/>
        <v>0</v>
      </c>
      <c r="CY232" s="688">
        <f t="shared" si="1068"/>
        <v>0</v>
      </c>
      <c r="CZ232" s="688">
        <f t="shared" si="1068"/>
        <v>0</v>
      </c>
      <c r="DA232" s="688">
        <f t="shared" si="1068"/>
        <v>0</v>
      </c>
      <c r="DB232" s="688">
        <f t="shared" si="1068"/>
        <v>0</v>
      </c>
      <c r="DC232" s="688">
        <f t="shared" si="1068"/>
        <v>0</v>
      </c>
      <c r="DD232" s="688">
        <f t="shared" si="1068"/>
        <v>0</v>
      </c>
      <c r="DE232" s="688">
        <f t="shared" si="1068"/>
        <v>0</v>
      </c>
      <c r="DF232" s="688">
        <f t="shared" si="1068"/>
        <v>0</v>
      </c>
      <c r="DG232" s="688">
        <f t="shared" si="1068"/>
        <v>0</v>
      </c>
      <c r="DH232" s="21"/>
      <c r="DI232" s="688">
        <f>+$H$232*DG114/12</f>
        <v>0</v>
      </c>
      <c r="DJ232" s="688">
        <f t="shared" ref="DJ232:DT232" si="1069">+$H$232*DI114/12</f>
        <v>0</v>
      </c>
      <c r="DK232" s="688">
        <f t="shared" si="1069"/>
        <v>0</v>
      </c>
      <c r="DL232" s="688">
        <f t="shared" si="1069"/>
        <v>0</v>
      </c>
      <c r="DM232" s="688">
        <f t="shared" si="1069"/>
        <v>0</v>
      </c>
      <c r="DN232" s="688">
        <f t="shared" si="1069"/>
        <v>0</v>
      </c>
      <c r="DO232" s="688">
        <f t="shared" si="1069"/>
        <v>0</v>
      </c>
      <c r="DP232" s="688">
        <f t="shared" si="1069"/>
        <v>0</v>
      </c>
      <c r="DQ232" s="688">
        <f t="shared" si="1069"/>
        <v>0</v>
      </c>
      <c r="DR232" s="688">
        <f t="shared" si="1069"/>
        <v>0</v>
      </c>
      <c r="DS232" s="688">
        <f t="shared" si="1069"/>
        <v>0</v>
      </c>
      <c r="DT232" s="688">
        <f t="shared" si="1069"/>
        <v>0</v>
      </c>
      <c r="DU232" s="21"/>
      <c r="DV232" s="688">
        <f>+$H$232*DT114/12</f>
        <v>0</v>
      </c>
      <c r="DW232" s="688">
        <f t="shared" ref="DW232:EG232" si="1070">+$H$232*DV114/12</f>
        <v>0</v>
      </c>
      <c r="DX232" s="688">
        <f t="shared" si="1070"/>
        <v>0</v>
      </c>
      <c r="DY232" s="688">
        <f t="shared" si="1070"/>
        <v>0</v>
      </c>
      <c r="DZ232" s="688">
        <f t="shared" si="1070"/>
        <v>0</v>
      </c>
      <c r="EA232" s="688">
        <f t="shared" si="1070"/>
        <v>0</v>
      </c>
      <c r="EB232" s="688">
        <f t="shared" si="1070"/>
        <v>0</v>
      </c>
      <c r="EC232" s="688">
        <f t="shared" si="1070"/>
        <v>0</v>
      </c>
      <c r="ED232" s="688">
        <f t="shared" si="1070"/>
        <v>0</v>
      </c>
      <c r="EE232" s="688">
        <f t="shared" si="1070"/>
        <v>0</v>
      </c>
      <c r="EF232" s="688">
        <f t="shared" si="1070"/>
        <v>0</v>
      </c>
      <c r="EG232" s="688">
        <f t="shared" si="1070"/>
        <v>0</v>
      </c>
      <c r="EH232" s="21"/>
      <c r="EI232" s="21"/>
      <c r="EJ232" s="21"/>
      <c r="EK232" s="21"/>
      <c r="EL232" s="21"/>
      <c r="EM232" s="21"/>
    </row>
    <row r="233" spans="1:143" ht="13.5" customHeight="1">
      <c r="A233" s="21"/>
      <c r="B233" s="21"/>
      <c r="C233" s="21"/>
      <c r="D233" s="21"/>
      <c r="E233" s="21"/>
      <c r="F233" s="21" t="str">
        <f>+Assumption!F297</f>
        <v>Bank 7</v>
      </c>
      <c r="G233" s="15"/>
      <c r="H233" s="66">
        <f>+Assumption!H297</f>
        <v>0</v>
      </c>
      <c r="I233" s="688">
        <f t="shared" ref="I233:T233" si="1071">+$H$233*H115/12</f>
        <v>0</v>
      </c>
      <c r="J233" s="688">
        <f t="shared" si="1071"/>
        <v>0</v>
      </c>
      <c r="K233" s="688">
        <f t="shared" si="1071"/>
        <v>0</v>
      </c>
      <c r="L233" s="688">
        <f t="shared" si="1071"/>
        <v>0</v>
      </c>
      <c r="M233" s="688">
        <f t="shared" si="1071"/>
        <v>0</v>
      </c>
      <c r="N233" s="688">
        <f t="shared" si="1071"/>
        <v>0</v>
      </c>
      <c r="O233" s="688">
        <f t="shared" si="1071"/>
        <v>0</v>
      </c>
      <c r="P233" s="688">
        <f t="shared" si="1071"/>
        <v>0</v>
      </c>
      <c r="Q233" s="688">
        <f t="shared" si="1071"/>
        <v>0</v>
      </c>
      <c r="R233" s="688">
        <f t="shared" si="1071"/>
        <v>0</v>
      </c>
      <c r="S233" s="688">
        <f t="shared" si="1071"/>
        <v>0</v>
      </c>
      <c r="T233" s="688">
        <f t="shared" si="1071"/>
        <v>0</v>
      </c>
      <c r="U233" s="15"/>
      <c r="V233" s="688">
        <f>+$H$233*T115/12</f>
        <v>0</v>
      </c>
      <c r="W233" s="688">
        <f t="shared" ref="W233:AG233" si="1072">+$H$233*V115/12</f>
        <v>0</v>
      </c>
      <c r="X233" s="688">
        <f t="shared" si="1072"/>
        <v>0</v>
      </c>
      <c r="Y233" s="688">
        <f t="shared" si="1072"/>
        <v>0</v>
      </c>
      <c r="Z233" s="688">
        <f t="shared" si="1072"/>
        <v>0</v>
      </c>
      <c r="AA233" s="688">
        <f t="shared" si="1072"/>
        <v>0</v>
      </c>
      <c r="AB233" s="688">
        <f t="shared" si="1072"/>
        <v>0</v>
      </c>
      <c r="AC233" s="688">
        <f t="shared" si="1072"/>
        <v>0</v>
      </c>
      <c r="AD233" s="688">
        <f t="shared" si="1072"/>
        <v>0</v>
      </c>
      <c r="AE233" s="688">
        <f t="shared" si="1072"/>
        <v>0</v>
      </c>
      <c r="AF233" s="688">
        <f t="shared" si="1072"/>
        <v>0</v>
      </c>
      <c r="AG233" s="688">
        <f t="shared" si="1072"/>
        <v>0</v>
      </c>
      <c r="AH233" s="21"/>
      <c r="AI233" s="688">
        <f>+$H$233*AG115/12</f>
        <v>0</v>
      </c>
      <c r="AJ233" s="688">
        <f t="shared" ref="AJ233:AT233" si="1073">+$H$233*AI115/12</f>
        <v>0</v>
      </c>
      <c r="AK233" s="688">
        <f t="shared" si="1073"/>
        <v>0</v>
      </c>
      <c r="AL233" s="688">
        <f t="shared" si="1073"/>
        <v>0</v>
      </c>
      <c r="AM233" s="688">
        <f t="shared" si="1073"/>
        <v>0</v>
      </c>
      <c r="AN233" s="688">
        <f t="shared" si="1073"/>
        <v>0</v>
      </c>
      <c r="AO233" s="688">
        <f t="shared" si="1073"/>
        <v>0</v>
      </c>
      <c r="AP233" s="688">
        <f t="shared" si="1073"/>
        <v>0</v>
      </c>
      <c r="AQ233" s="688">
        <f t="shared" si="1073"/>
        <v>0</v>
      </c>
      <c r="AR233" s="688">
        <f t="shared" si="1073"/>
        <v>0</v>
      </c>
      <c r="AS233" s="688">
        <f t="shared" si="1073"/>
        <v>0</v>
      </c>
      <c r="AT233" s="688">
        <f t="shared" si="1073"/>
        <v>0</v>
      </c>
      <c r="AU233" s="21"/>
      <c r="AV233" s="688">
        <f>+$H$233*AT115/12</f>
        <v>0</v>
      </c>
      <c r="AW233" s="688">
        <f t="shared" ref="AW233:BG233" si="1074">+$H$233*AV115/12</f>
        <v>0</v>
      </c>
      <c r="AX233" s="688">
        <f t="shared" si="1074"/>
        <v>0</v>
      </c>
      <c r="AY233" s="688">
        <f t="shared" si="1074"/>
        <v>0</v>
      </c>
      <c r="AZ233" s="688">
        <f t="shared" si="1074"/>
        <v>0</v>
      </c>
      <c r="BA233" s="688">
        <f t="shared" si="1074"/>
        <v>0</v>
      </c>
      <c r="BB233" s="688">
        <f t="shared" si="1074"/>
        <v>0</v>
      </c>
      <c r="BC233" s="688">
        <f t="shared" si="1074"/>
        <v>0</v>
      </c>
      <c r="BD233" s="688">
        <f t="shared" si="1074"/>
        <v>0</v>
      </c>
      <c r="BE233" s="688">
        <f t="shared" si="1074"/>
        <v>0</v>
      </c>
      <c r="BF233" s="688">
        <f t="shared" si="1074"/>
        <v>0</v>
      </c>
      <c r="BG233" s="688">
        <f t="shared" si="1074"/>
        <v>0</v>
      </c>
      <c r="BH233" s="21"/>
      <c r="BI233" s="688">
        <f>+$H$233*BG115/12</f>
        <v>0</v>
      </c>
      <c r="BJ233" s="688">
        <f t="shared" ref="BJ233:BT233" si="1075">+$H$233*BI115/12</f>
        <v>0</v>
      </c>
      <c r="BK233" s="688">
        <f t="shared" si="1075"/>
        <v>0</v>
      </c>
      <c r="BL233" s="688">
        <f t="shared" si="1075"/>
        <v>0</v>
      </c>
      <c r="BM233" s="688">
        <f t="shared" si="1075"/>
        <v>0</v>
      </c>
      <c r="BN233" s="688">
        <f t="shared" si="1075"/>
        <v>0</v>
      </c>
      <c r="BO233" s="688">
        <f t="shared" si="1075"/>
        <v>0</v>
      </c>
      <c r="BP233" s="688">
        <f t="shared" si="1075"/>
        <v>0</v>
      </c>
      <c r="BQ233" s="688">
        <f t="shared" si="1075"/>
        <v>0</v>
      </c>
      <c r="BR233" s="688">
        <f t="shared" si="1075"/>
        <v>0</v>
      </c>
      <c r="BS233" s="688">
        <f t="shared" si="1075"/>
        <v>0</v>
      </c>
      <c r="BT233" s="688">
        <f t="shared" si="1075"/>
        <v>0</v>
      </c>
      <c r="BU233" s="21"/>
      <c r="BV233" s="688">
        <f>+$H$233*BT115/12</f>
        <v>0</v>
      </c>
      <c r="BW233" s="688">
        <f t="shared" ref="BW233:CG233" si="1076">+$H$233*BV115/12</f>
        <v>0</v>
      </c>
      <c r="BX233" s="688">
        <f t="shared" si="1076"/>
        <v>0</v>
      </c>
      <c r="BY233" s="688">
        <f t="shared" si="1076"/>
        <v>0</v>
      </c>
      <c r="BZ233" s="688">
        <f t="shared" si="1076"/>
        <v>0</v>
      </c>
      <c r="CA233" s="688">
        <f t="shared" si="1076"/>
        <v>0</v>
      </c>
      <c r="CB233" s="688">
        <f t="shared" si="1076"/>
        <v>0</v>
      </c>
      <c r="CC233" s="688">
        <f t="shared" si="1076"/>
        <v>0</v>
      </c>
      <c r="CD233" s="688">
        <f t="shared" si="1076"/>
        <v>0</v>
      </c>
      <c r="CE233" s="688">
        <f t="shared" si="1076"/>
        <v>0</v>
      </c>
      <c r="CF233" s="688">
        <f t="shared" si="1076"/>
        <v>0</v>
      </c>
      <c r="CG233" s="688">
        <f t="shared" si="1076"/>
        <v>0</v>
      </c>
      <c r="CH233" s="21"/>
      <c r="CI233" s="688">
        <f>+$H$233*CG115/12</f>
        <v>0</v>
      </c>
      <c r="CJ233" s="688">
        <f t="shared" ref="CJ233:CT233" si="1077">+$H$233*CI115/12</f>
        <v>0</v>
      </c>
      <c r="CK233" s="688">
        <f t="shared" si="1077"/>
        <v>0</v>
      </c>
      <c r="CL233" s="688">
        <f t="shared" si="1077"/>
        <v>0</v>
      </c>
      <c r="CM233" s="688">
        <f t="shared" si="1077"/>
        <v>0</v>
      </c>
      <c r="CN233" s="688">
        <f t="shared" si="1077"/>
        <v>0</v>
      </c>
      <c r="CO233" s="688">
        <f t="shared" si="1077"/>
        <v>0</v>
      </c>
      <c r="CP233" s="688">
        <f t="shared" si="1077"/>
        <v>0</v>
      </c>
      <c r="CQ233" s="688">
        <f t="shared" si="1077"/>
        <v>0</v>
      </c>
      <c r="CR233" s="688">
        <f t="shared" si="1077"/>
        <v>0</v>
      </c>
      <c r="CS233" s="688">
        <f t="shared" si="1077"/>
        <v>0</v>
      </c>
      <c r="CT233" s="688">
        <f t="shared" si="1077"/>
        <v>0</v>
      </c>
      <c r="CU233" s="21"/>
      <c r="CV233" s="688">
        <f>+$H$233*CT115/12</f>
        <v>0</v>
      </c>
      <c r="CW233" s="688">
        <f t="shared" ref="CW233:DG233" si="1078">+$H$233*CV115/12</f>
        <v>0</v>
      </c>
      <c r="CX233" s="688">
        <f t="shared" si="1078"/>
        <v>0</v>
      </c>
      <c r="CY233" s="688">
        <f t="shared" si="1078"/>
        <v>0</v>
      </c>
      <c r="CZ233" s="688">
        <f t="shared" si="1078"/>
        <v>0</v>
      </c>
      <c r="DA233" s="688">
        <f t="shared" si="1078"/>
        <v>0</v>
      </c>
      <c r="DB233" s="688">
        <f t="shared" si="1078"/>
        <v>0</v>
      </c>
      <c r="DC233" s="688">
        <f t="shared" si="1078"/>
        <v>0</v>
      </c>
      <c r="DD233" s="688">
        <f t="shared" si="1078"/>
        <v>0</v>
      </c>
      <c r="DE233" s="688">
        <f t="shared" si="1078"/>
        <v>0</v>
      </c>
      <c r="DF233" s="688">
        <f t="shared" si="1078"/>
        <v>0</v>
      </c>
      <c r="DG233" s="688">
        <f t="shared" si="1078"/>
        <v>0</v>
      </c>
      <c r="DH233" s="21"/>
      <c r="DI233" s="688">
        <f>+$H$233*DG115/12</f>
        <v>0</v>
      </c>
      <c r="DJ233" s="688">
        <f t="shared" ref="DJ233:DT233" si="1079">+$H$233*DI115/12</f>
        <v>0</v>
      </c>
      <c r="DK233" s="688">
        <f t="shared" si="1079"/>
        <v>0</v>
      </c>
      <c r="DL233" s="688">
        <f t="shared" si="1079"/>
        <v>0</v>
      </c>
      <c r="DM233" s="688">
        <f t="shared" si="1079"/>
        <v>0</v>
      </c>
      <c r="DN233" s="688">
        <f t="shared" si="1079"/>
        <v>0</v>
      </c>
      <c r="DO233" s="688">
        <f t="shared" si="1079"/>
        <v>0</v>
      </c>
      <c r="DP233" s="688">
        <f t="shared" si="1079"/>
        <v>0</v>
      </c>
      <c r="DQ233" s="688">
        <f t="shared" si="1079"/>
        <v>0</v>
      </c>
      <c r="DR233" s="688">
        <f t="shared" si="1079"/>
        <v>0</v>
      </c>
      <c r="DS233" s="688">
        <f t="shared" si="1079"/>
        <v>0</v>
      </c>
      <c r="DT233" s="688">
        <f t="shared" si="1079"/>
        <v>0</v>
      </c>
      <c r="DU233" s="21"/>
      <c r="DV233" s="688">
        <f>+$H$233*DT115/12</f>
        <v>0</v>
      </c>
      <c r="DW233" s="688">
        <f t="shared" ref="DW233:EG233" si="1080">+$H$233*DV115/12</f>
        <v>0</v>
      </c>
      <c r="DX233" s="688">
        <f t="shared" si="1080"/>
        <v>0</v>
      </c>
      <c r="DY233" s="688">
        <f t="shared" si="1080"/>
        <v>0</v>
      </c>
      <c r="DZ233" s="688">
        <f t="shared" si="1080"/>
        <v>0</v>
      </c>
      <c r="EA233" s="688">
        <f t="shared" si="1080"/>
        <v>0</v>
      </c>
      <c r="EB233" s="688">
        <f t="shared" si="1080"/>
        <v>0</v>
      </c>
      <c r="EC233" s="688">
        <f t="shared" si="1080"/>
        <v>0</v>
      </c>
      <c r="ED233" s="688">
        <f t="shared" si="1080"/>
        <v>0</v>
      </c>
      <c r="EE233" s="688">
        <f t="shared" si="1080"/>
        <v>0</v>
      </c>
      <c r="EF233" s="688">
        <f t="shared" si="1080"/>
        <v>0</v>
      </c>
      <c r="EG233" s="688">
        <f t="shared" si="1080"/>
        <v>0</v>
      </c>
      <c r="EH233" s="21"/>
      <c r="EI233" s="21"/>
      <c r="EJ233" s="21"/>
      <c r="EK233" s="21"/>
      <c r="EL233" s="21"/>
      <c r="EM233" s="21"/>
    </row>
    <row r="234" spans="1:143" ht="13.5" customHeight="1">
      <c r="A234" s="21"/>
      <c r="B234" s="21"/>
      <c r="C234" s="21"/>
      <c r="D234" s="21"/>
      <c r="E234" s="21"/>
      <c r="F234" s="21" t="str">
        <f>+Assumption!F298</f>
        <v>Bank 8</v>
      </c>
      <c r="G234" s="15"/>
      <c r="H234" s="66">
        <f>+Assumption!H298</f>
        <v>0</v>
      </c>
      <c r="I234" s="688">
        <f t="shared" ref="I234:T234" si="1081">+$H$234*H116/12</f>
        <v>0</v>
      </c>
      <c r="J234" s="688">
        <f t="shared" si="1081"/>
        <v>0</v>
      </c>
      <c r="K234" s="688">
        <f t="shared" si="1081"/>
        <v>0</v>
      </c>
      <c r="L234" s="688">
        <f t="shared" si="1081"/>
        <v>0</v>
      </c>
      <c r="M234" s="688">
        <f t="shared" si="1081"/>
        <v>0</v>
      </c>
      <c r="N234" s="688">
        <f t="shared" si="1081"/>
        <v>0</v>
      </c>
      <c r="O234" s="688">
        <f t="shared" si="1081"/>
        <v>0</v>
      </c>
      <c r="P234" s="688">
        <f t="shared" si="1081"/>
        <v>0</v>
      </c>
      <c r="Q234" s="688">
        <f t="shared" si="1081"/>
        <v>0</v>
      </c>
      <c r="R234" s="688">
        <f t="shared" si="1081"/>
        <v>0</v>
      </c>
      <c r="S234" s="688">
        <f t="shared" si="1081"/>
        <v>0</v>
      </c>
      <c r="T234" s="688">
        <f t="shared" si="1081"/>
        <v>0</v>
      </c>
      <c r="U234" s="15"/>
      <c r="V234" s="688">
        <f>+$H$234*T116/12</f>
        <v>0</v>
      </c>
      <c r="W234" s="688">
        <f t="shared" ref="W234:AG234" si="1082">+$H$234*V116/12</f>
        <v>0</v>
      </c>
      <c r="X234" s="688">
        <f t="shared" si="1082"/>
        <v>0</v>
      </c>
      <c r="Y234" s="688">
        <f t="shared" si="1082"/>
        <v>0</v>
      </c>
      <c r="Z234" s="688">
        <f t="shared" si="1082"/>
        <v>0</v>
      </c>
      <c r="AA234" s="688">
        <f t="shared" si="1082"/>
        <v>0</v>
      </c>
      <c r="AB234" s="688">
        <f t="shared" si="1082"/>
        <v>0</v>
      </c>
      <c r="AC234" s="688">
        <f t="shared" si="1082"/>
        <v>0</v>
      </c>
      <c r="AD234" s="688">
        <f t="shared" si="1082"/>
        <v>0</v>
      </c>
      <c r="AE234" s="688">
        <f t="shared" si="1082"/>
        <v>0</v>
      </c>
      <c r="AF234" s="688">
        <f t="shared" si="1082"/>
        <v>0</v>
      </c>
      <c r="AG234" s="688">
        <f t="shared" si="1082"/>
        <v>0</v>
      </c>
      <c r="AH234" s="21"/>
      <c r="AI234" s="688">
        <f>+$H$234*AG116/12</f>
        <v>0</v>
      </c>
      <c r="AJ234" s="688">
        <f t="shared" ref="AJ234:AT234" si="1083">+$H$234*AI116/12</f>
        <v>0</v>
      </c>
      <c r="AK234" s="688">
        <f t="shared" si="1083"/>
        <v>0</v>
      </c>
      <c r="AL234" s="688">
        <f t="shared" si="1083"/>
        <v>0</v>
      </c>
      <c r="AM234" s="688">
        <f t="shared" si="1083"/>
        <v>0</v>
      </c>
      <c r="AN234" s="688">
        <f t="shared" si="1083"/>
        <v>0</v>
      </c>
      <c r="AO234" s="688">
        <f t="shared" si="1083"/>
        <v>0</v>
      </c>
      <c r="AP234" s="688">
        <f t="shared" si="1083"/>
        <v>0</v>
      </c>
      <c r="AQ234" s="688">
        <f t="shared" si="1083"/>
        <v>0</v>
      </c>
      <c r="AR234" s="688">
        <f t="shared" si="1083"/>
        <v>0</v>
      </c>
      <c r="AS234" s="688">
        <f t="shared" si="1083"/>
        <v>0</v>
      </c>
      <c r="AT234" s="688">
        <f t="shared" si="1083"/>
        <v>0</v>
      </c>
      <c r="AU234" s="21"/>
      <c r="AV234" s="688">
        <f>+$H$234*AT116/12</f>
        <v>0</v>
      </c>
      <c r="AW234" s="688">
        <f t="shared" ref="AW234:BG234" si="1084">+$H$234*AV116/12</f>
        <v>0</v>
      </c>
      <c r="AX234" s="688">
        <f t="shared" si="1084"/>
        <v>0</v>
      </c>
      <c r="AY234" s="688">
        <f t="shared" si="1084"/>
        <v>0</v>
      </c>
      <c r="AZ234" s="688">
        <f t="shared" si="1084"/>
        <v>0</v>
      </c>
      <c r="BA234" s="688">
        <f t="shared" si="1084"/>
        <v>0</v>
      </c>
      <c r="BB234" s="688">
        <f t="shared" si="1084"/>
        <v>0</v>
      </c>
      <c r="BC234" s="688">
        <f t="shared" si="1084"/>
        <v>0</v>
      </c>
      <c r="BD234" s="688">
        <f t="shared" si="1084"/>
        <v>0</v>
      </c>
      <c r="BE234" s="688">
        <f t="shared" si="1084"/>
        <v>0</v>
      </c>
      <c r="BF234" s="688">
        <f t="shared" si="1084"/>
        <v>0</v>
      </c>
      <c r="BG234" s="688">
        <f t="shared" si="1084"/>
        <v>0</v>
      </c>
      <c r="BH234" s="21"/>
      <c r="BI234" s="688">
        <f>+$H$234*BG116/12</f>
        <v>0</v>
      </c>
      <c r="BJ234" s="688">
        <f t="shared" ref="BJ234:BT234" si="1085">+$H$234*BI116/12</f>
        <v>0</v>
      </c>
      <c r="BK234" s="688">
        <f t="shared" si="1085"/>
        <v>0</v>
      </c>
      <c r="BL234" s="688">
        <f t="shared" si="1085"/>
        <v>0</v>
      </c>
      <c r="BM234" s="688">
        <f t="shared" si="1085"/>
        <v>0</v>
      </c>
      <c r="BN234" s="688">
        <f t="shared" si="1085"/>
        <v>0</v>
      </c>
      <c r="BO234" s="688">
        <f t="shared" si="1085"/>
        <v>0</v>
      </c>
      <c r="BP234" s="688">
        <f t="shared" si="1085"/>
        <v>0</v>
      </c>
      <c r="BQ234" s="688">
        <f t="shared" si="1085"/>
        <v>0</v>
      </c>
      <c r="BR234" s="688">
        <f t="shared" si="1085"/>
        <v>0</v>
      </c>
      <c r="BS234" s="688">
        <f t="shared" si="1085"/>
        <v>0</v>
      </c>
      <c r="BT234" s="688">
        <f t="shared" si="1085"/>
        <v>0</v>
      </c>
      <c r="BU234" s="21"/>
      <c r="BV234" s="688">
        <f>+$H$234*BT116/12</f>
        <v>0</v>
      </c>
      <c r="BW234" s="688">
        <f t="shared" ref="BW234:CG234" si="1086">+$H$234*BV116/12</f>
        <v>0</v>
      </c>
      <c r="BX234" s="688">
        <f t="shared" si="1086"/>
        <v>0</v>
      </c>
      <c r="BY234" s="688">
        <f t="shared" si="1086"/>
        <v>0</v>
      </c>
      <c r="BZ234" s="688">
        <f t="shared" si="1086"/>
        <v>0</v>
      </c>
      <c r="CA234" s="688">
        <f t="shared" si="1086"/>
        <v>0</v>
      </c>
      <c r="CB234" s="688">
        <f t="shared" si="1086"/>
        <v>0</v>
      </c>
      <c r="CC234" s="688">
        <f t="shared" si="1086"/>
        <v>0</v>
      </c>
      <c r="CD234" s="688">
        <f t="shared" si="1086"/>
        <v>0</v>
      </c>
      <c r="CE234" s="688">
        <f t="shared" si="1086"/>
        <v>0</v>
      </c>
      <c r="CF234" s="688">
        <f t="shared" si="1086"/>
        <v>0</v>
      </c>
      <c r="CG234" s="688">
        <f t="shared" si="1086"/>
        <v>0</v>
      </c>
      <c r="CH234" s="21"/>
      <c r="CI234" s="688">
        <f>+$H$234*CG116/12</f>
        <v>0</v>
      </c>
      <c r="CJ234" s="688">
        <f t="shared" ref="CJ234:CT234" si="1087">+$H$234*CI116/12</f>
        <v>0</v>
      </c>
      <c r="CK234" s="688">
        <f t="shared" si="1087"/>
        <v>0</v>
      </c>
      <c r="CL234" s="688">
        <f t="shared" si="1087"/>
        <v>0</v>
      </c>
      <c r="CM234" s="688">
        <f t="shared" si="1087"/>
        <v>0</v>
      </c>
      <c r="CN234" s="688">
        <f t="shared" si="1087"/>
        <v>0</v>
      </c>
      <c r="CO234" s="688">
        <f t="shared" si="1087"/>
        <v>0</v>
      </c>
      <c r="CP234" s="688">
        <f t="shared" si="1087"/>
        <v>0</v>
      </c>
      <c r="CQ234" s="688">
        <f t="shared" si="1087"/>
        <v>0</v>
      </c>
      <c r="CR234" s="688">
        <f t="shared" si="1087"/>
        <v>0</v>
      </c>
      <c r="CS234" s="688">
        <f t="shared" si="1087"/>
        <v>0</v>
      </c>
      <c r="CT234" s="688">
        <f t="shared" si="1087"/>
        <v>0</v>
      </c>
      <c r="CU234" s="21"/>
      <c r="CV234" s="688">
        <f>+$H$234*CT116/12</f>
        <v>0</v>
      </c>
      <c r="CW234" s="688">
        <f t="shared" ref="CW234:DG234" si="1088">+$H$234*CV116/12</f>
        <v>0</v>
      </c>
      <c r="CX234" s="688">
        <f t="shared" si="1088"/>
        <v>0</v>
      </c>
      <c r="CY234" s="688">
        <f t="shared" si="1088"/>
        <v>0</v>
      </c>
      <c r="CZ234" s="688">
        <f t="shared" si="1088"/>
        <v>0</v>
      </c>
      <c r="DA234" s="688">
        <f t="shared" si="1088"/>
        <v>0</v>
      </c>
      <c r="DB234" s="688">
        <f t="shared" si="1088"/>
        <v>0</v>
      </c>
      <c r="DC234" s="688">
        <f t="shared" si="1088"/>
        <v>0</v>
      </c>
      <c r="DD234" s="688">
        <f t="shared" si="1088"/>
        <v>0</v>
      </c>
      <c r="DE234" s="688">
        <f t="shared" si="1088"/>
        <v>0</v>
      </c>
      <c r="DF234" s="688">
        <f t="shared" si="1088"/>
        <v>0</v>
      </c>
      <c r="DG234" s="688">
        <f t="shared" si="1088"/>
        <v>0</v>
      </c>
      <c r="DH234" s="21"/>
      <c r="DI234" s="688">
        <f>+$H$234*DG116/12</f>
        <v>0</v>
      </c>
      <c r="DJ234" s="688">
        <f t="shared" ref="DJ234:DT234" si="1089">+$H$234*DI116/12</f>
        <v>0</v>
      </c>
      <c r="DK234" s="688">
        <f t="shared" si="1089"/>
        <v>0</v>
      </c>
      <c r="DL234" s="688">
        <f t="shared" si="1089"/>
        <v>0</v>
      </c>
      <c r="DM234" s="688">
        <f t="shared" si="1089"/>
        <v>0</v>
      </c>
      <c r="DN234" s="688">
        <f t="shared" si="1089"/>
        <v>0</v>
      </c>
      <c r="DO234" s="688">
        <f t="shared" si="1089"/>
        <v>0</v>
      </c>
      <c r="DP234" s="688">
        <f t="shared" si="1089"/>
        <v>0</v>
      </c>
      <c r="DQ234" s="688">
        <f t="shared" si="1089"/>
        <v>0</v>
      </c>
      <c r="DR234" s="688">
        <f t="shared" si="1089"/>
        <v>0</v>
      </c>
      <c r="DS234" s="688">
        <f t="shared" si="1089"/>
        <v>0</v>
      </c>
      <c r="DT234" s="688">
        <f t="shared" si="1089"/>
        <v>0</v>
      </c>
      <c r="DU234" s="21"/>
      <c r="DV234" s="688">
        <f>+$H$234*DT116/12</f>
        <v>0</v>
      </c>
      <c r="DW234" s="688">
        <f t="shared" ref="DW234:EG234" si="1090">+$H$234*DV116/12</f>
        <v>0</v>
      </c>
      <c r="DX234" s="688">
        <f t="shared" si="1090"/>
        <v>0</v>
      </c>
      <c r="DY234" s="688">
        <f t="shared" si="1090"/>
        <v>0</v>
      </c>
      <c r="DZ234" s="688">
        <f t="shared" si="1090"/>
        <v>0</v>
      </c>
      <c r="EA234" s="688">
        <f t="shared" si="1090"/>
        <v>0</v>
      </c>
      <c r="EB234" s="688">
        <f t="shared" si="1090"/>
        <v>0</v>
      </c>
      <c r="EC234" s="688">
        <f t="shared" si="1090"/>
        <v>0</v>
      </c>
      <c r="ED234" s="688">
        <f t="shared" si="1090"/>
        <v>0</v>
      </c>
      <c r="EE234" s="688">
        <f t="shared" si="1090"/>
        <v>0</v>
      </c>
      <c r="EF234" s="688">
        <f t="shared" si="1090"/>
        <v>0</v>
      </c>
      <c r="EG234" s="688">
        <f t="shared" si="1090"/>
        <v>0</v>
      </c>
      <c r="EH234" s="21"/>
      <c r="EI234" s="21"/>
      <c r="EJ234" s="21"/>
      <c r="EK234" s="21"/>
      <c r="EL234" s="21"/>
      <c r="EM234" s="21"/>
    </row>
    <row r="235" spans="1:143" ht="13.5" customHeight="1">
      <c r="A235" s="21"/>
      <c r="B235" s="21"/>
      <c r="C235" s="21"/>
      <c r="D235" s="21"/>
      <c r="E235" s="21"/>
      <c r="F235" s="21" t="str">
        <f>+Assumption!F299</f>
        <v>Bank 9</v>
      </c>
      <c r="G235" s="15"/>
      <c r="H235" s="66">
        <f>+Assumption!H299</f>
        <v>0</v>
      </c>
      <c r="I235" s="688">
        <f t="shared" ref="I235:T235" si="1091">+$H$235*H117/12</f>
        <v>0</v>
      </c>
      <c r="J235" s="688">
        <f t="shared" si="1091"/>
        <v>0</v>
      </c>
      <c r="K235" s="688">
        <f t="shared" si="1091"/>
        <v>0</v>
      </c>
      <c r="L235" s="688">
        <f t="shared" si="1091"/>
        <v>0</v>
      </c>
      <c r="M235" s="688">
        <f t="shared" si="1091"/>
        <v>0</v>
      </c>
      <c r="N235" s="688">
        <f t="shared" si="1091"/>
        <v>0</v>
      </c>
      <c r="O235" s="688">
        <f t="shared" si="1091"/>
        <v>0</v>
      </c>
      <c r="P235" s="688">
        <f t="shared" si="1091"/>
        <v>0</v>
      </c>
      <c r="Q235" s="688">
        <f t="shared" si="1091"/>
        <v>0</v>
      </c>
      <c r="R235" s="688">
        <f t="shared" si="1091"/>
        <v>0</v>
      </c>
      <c r="S235" s="688">
        <f t="shared" si="1091"/>
        <v>0</v>
      </c>
      <c r="T235" s="688">
        <f t="shared" si="1091"/>
        <v>0</v>
      </c>
      <c r="U235" s="15"/>
      <c r="V235" s="688">
        <f>+$H$235*T117/12</f>
        <v>0</v>
      </c>
      <c r="W235" s="688">
        <f t="shared" ref="W235:AG235" si="1092">+$H$235*V117/12</f>
        <v>0</v>
      </c>
      <c r="X235" s="688">
        <f t="shared" si="1092"/>
        <v>0</v>
      </c>
      <c r="Y235" s="688">
        <f t="shared" si="1092"/>
        <v>0</v>
      </c>
      <c r="Z235" s="688">
        <f t="shared" si="1092"/>
        <v>0</v>
      </c>
      <c r="AA235" s="688">
        <f t="shared" si="1092"/>
        <v>0</v>
      </c>
      <c r="AB235" s="688">
        <f t="shared" si="1092"/>
        <v>0</v>
      </c>
      <c r="AC235" s="688">
        <f t="shared" si="1092"/>
        <v>0</v>
      </c>
      <c r="AD235" s="688">
        <f t="shared" si="1092"/>
        <v>0</v>
      </c>
      <c r="AE235" s="688">
        <f t="shared" si="1092"/>
        <v>0</v>
      </c>
      <c r="AF235" s="688">
        <f t="shared" si="1092"/>
        <v>0</v>
      </c>
      <c r="AG235" s="688">
        <f t="shared" si="1092"/>
        <v>0</v>
      </c>
      <c r="AH235" s="21"/>
      <c r="AI235" s="688">
        <f>+$H$235*AG117/12</f>
        <v>0</v>
      </c>
      <c r="AJ235" s="688">
        <f t="shared" ref="AJ235:AT235" si="1093">+$H$235*AI117/12</f>
        <v>0</v>
      </c>
      <c r="AK235" s="688">
        <f t="shared" si="1093"/>
        <v>0</v>
      </c>
      <c r="AL235" s="688">
        <f t="shared" si="1093"/>
        <v>0</v>
      </c>
      <c r="AM235" s="688">
        <f t="shared" si="1093"/>
        <v>0</v>
      </c>
      <c r="AN235" s="688">
        <f t="shared" si="1093"/>
        <v>0</v>
      </c>
      <c r="AO235" s="688">
        <f t="shared" si="1093"/>
        <v>0</v>
      </c>
      <c r="AP235" s="688">
        <f t="shared" si="1093"/>
        <v>0</v>
      </c>
      <c r="AQ235" s="688">
        <f t="shared" si="1093"/>
        <v>0</v>
      </c>
      <c r="AR235" s="688">
        <f t="shared" si="1093"/>
        <v>0</v>
      </c>
      <c r="AS235" s="688">
        <f t="shared" si="1093"/>
        <v>0</v>
      </c>
      <c r="AT235" s="688">
        <f t="shared" si="1093"/>
        <v>0</v>
      </c>
      <c r="AU235" s="21"/>
      <c r="AV235" s="688">
        <f>+$H$235*AT117/12</f>
        <v>0</v>
      </c>
      <c r="AW235" s="688">
        <f t="shared" ref="AW235:BG235" si="1094">+$H$235*AV117/12</f>
        <v>0</v>
      </c>
      <c r="AX235" s="688">
        <f t="shared" si="1094"/>
        <v>0</v>
      </c>
      <c r="AY235" s="688">
        <f t="shared" si="1094"/>
        <v>0</v>
      </c>
      <c r="AZ235" s="688">
        <f t="shared" si="1094"/>
        <v>0</v>
      </c>
      <c r="BA235" s="688">
        <f t="shared" si="1094"/>
        <v>0</v>
      </c>
      <c r="BB235" s="688">
        <f t="shared" si="1094"/>
        <v>0</v>
      </c>
      <c r="BC235" s="688">
        <f t="shared" si="1094"/>
        <v>0</v>
      </c>
      <c r="BD235" s="688">
        <f t="shared" si="1094"/>
        <v>0</v>
      </c>
      <c r="BE235" s="688">
        <f t="shared" si="1094"/>
        <v>0</v>
      </c>
      <c r="BF235" s="688">
        <f t="shared" si="1094"/>
        <v>0</v>
      </c>
      <c r="BG235" s="688">
        <f t="shared" si="1094"/>
        <v>0</v>
      </c>
      <c r="BH235" s="21"/>
      <c r="BI235" s="688">
        <f>+$H$235*BG117/12</f>
        <v>0</v>
      </c>
      <c r="BJ235" s="688">
        <f t="shared" ref="BJ235:BT235" si="1095">+$H$235*BI117/12</f>
        <v>0</v>
      </c>
      <c r="BK235" s="688">
        <f t="shared" si="1095"/>
        <v>0</v>
      </c>
      <c r="BL235" s="688">
        <f t="shared" si="1095"/>
        <v>0</v>
      </c>
      <c r="BM235" s="688">
        <f t="shared" si="1095"/>
        <v>0</v>
      </c>
      <c r="BN235" s="688">
        <f t="shared" si="1095"/>
        <v>0</v>
      </c>
      <c r="BO235" s="688">
        <f t="shared" si="1095"/>
        <v>0</v>
      </c>
      <c r="BP235" s="688">
        <f t="shared" si="1095"/>
        <v>0</v>
      </c>
      <c r="BQ235" s="688">
        <f t="shared" si="1095"/>
        <v>0</v>
      </c>
      <c r="BR235" s="688">
        <f t="shared" si="1095"/>
        <v>0</v>
      </c>
      <c r="BS235" s="688">
        <f t="shared" si="1095"/>
        <v>0</v>
      </c>
      <c r="BT235" s="688">
        <f t="shared" si="1095"/>
        <v>0</v>
      </c>
      <c r="BU235" s="21"/>
      <c r="BV235" s="688">
        <f>+$H$235*BT117/12</f>
        <v>0</v>
      </c>
      <c r="BW235" s="688">
        <f t="shared" ref="BW235:CG235" si="1096">+$H$235*BV117/12</f>
        <v>0</v>
      </c>
      <c r="BX235" s="688">
        <f t="shared" si="1096"/>
        <v>0</v>
      </c>
      <c r="BY235" s="688">
        <f t="shared" si="1096"/>
        <v>0</v>
      </c>
      <c r="BZ235" s="688">
        <f t="shared" si="1096"/>
        <v>0</v>
      </c>
      <c r="CA235" s="688">
        <f t="shared" si="1096"/>
        <v>0</v>
      </c>
      <c r="CB235" s="688">
        <f t="shared" si="1096"/>
        <v>0</v>
      </c>
      <c r="CC235" s="688">
        <f t="shared" si="1096"/>
        <v>0</v>
      </c>
      <c r="CD235" s="688">
        <f t="shared" si="1096"/>
        <v>0</v>
      </c>
      <c r="CE235" s="688">
        <f t="shared" si="1096"/>
        <v>0</v>
      </c>
      <c r="CF235" s="688">
        <f t="shared" si="1096"/>
        <v>0</v>
      </c>
      <c r="CG235" s="688">
        <f t="shared" si="1096"/>
        <v>0</v>
      </c>
      <c r="CH235" s="21"/>
      <c r="CI235" s="688">
        <f>+$H$235*CG117/12</f>
        <v>0</v>
      </c>
      <c r="CJ235" s="688">
        <f t="shared" ref="CJ235:CT235" si="1097">+$H$235*CI117/12</f>
        <v>0</v>
      </c>
      <c r="CK235" s="688">
        <f t="shared" si="1097"/>
        <v>0</v>
      </c>
      <c r="CL235" s="688">
        <f t="shared" si="1097"/>
        <v>0</v>
      </c>
      <c r="CM235" s="688">
        <f t="shared" si="1097"/>
        <v>0</v>
      </c>
      <c r="CN235" s="688">
        <f t="shared" si="1097"/>
        <v>0</v>
      </c>
      <c r="CO235" s="688">
        <f t="shared" si="1097"/>
        <v>0</v>
      </c>
      <c r="CP235" s="688">
        <f t="shared" si="1097"/>
        <v>0</v>
      </c>
      <c r="CQ235" s="688">
        <f t="shared" si="1097"/>
        <v>0</v>
      </c>
      <c r="CR235" s="688">
        <f t="shared" si="1097"/>
        <v>0</v>
      </c>
      <c r="CS235" s="688">
        <f t="shared" si="1097"/>
        <v>0</v>
      </c>
      <c r="CT235" s="688">
        <f t="shared" si="1097"/>
        <v>0</v>
      </c>
      <c r="CU235" s="21"/>
      <c r="CV235" s="688">
        <f>+$H$235*CT117/12</f>
        <v>0</v>
      </c>
      <c r="CW235" s="688">
        <f t="shared" ref="CW235:DG235" si="1098">+$H$235*CV117/12</f>
        <v>0</v>
      </c>
      <c r="CX235" s="688">
        <f t="shared" si="1098"/>
        <v>0</v>
      </c>
      <c r="CY235" s="688">
        <f t="shared" si="1098"/>
        <v>0</v>
      </c>
      <c r="CZ235" s="688">
        <f t="shared" si="1098"/>
        <v>0</v>
      </c>
      <c r="DA235" s="688">
        <f t="shared" si="1098"/>
        <v>0</v>
      </c>
      <c r="DB235" s="688">
        <f t="shared" si="1098"/>
        <v>0</v>
      </c>
      <c r="DC235" s="688">
        <f t="shared" si="1098"/>
        <v>0</v>
      </c>
      <c r="DD235" s="688">
        <f t="shared" si="1098"/>
        <v>0</v>
      </c>
      <c r="DE235" s="688">
        <f t="shared" si="1098"/>
        <v>0</v>
      </c>
      <c r="DF235" s="688">
        <f t="shared" si="1098"/>
        <v>0</v>
      </c>
      <c r="DG235" s="688">
        <f t="shared" si="1098"/>
        <v>0</v>
      </c>
      <c r="DH235" s="21"/>
      <c r="DI235" s="688">
        <f>+$H$235*DG117/12</f>
        <v>0</v>
      </c>
      <c r="DJ235" s="688">
        <f t="shared" ref="DJ235:DT235" si="1099">+$H$235*DI117/12</f>
        <v>0</v>
      </c>
      <c r="DK235" s="688">
        <f t="shared" si="1099"/>
        <v>0</v>
      </c>
      <c r="DL235" s="688">
        <f t="shared" si="1099"/>
        <v>0</v>
      </c>
      <c r="DM235" s="688">
        <f t="shared" si="1099"/>
        <v>0</v>
      </c>
      <c r="DN235" s="688">
        <f t="shared" si="1099"/>
        <v>0</v>
      </c>
      <c r="DO235" s="688">
        <f t="shared" si="1099"/>
        <v>0</v>
      </c>
      <c r="DP235" s="688">
        <f t="shared" si="1099"/>
        <v>0</v>
      </c>
      <c r="DQ235" s="688">
        <f t="shared" si="1099"/>
        <v>0</v>
      </c>
      <c r="DR235" s="688">
        <f t="shared" si="1099"/>
        <v>0</v>
      </c>
      <c r="DS235" s="688">
        <f t="shared" si="1099"/>
        <v>0</v>
      </c>
      <c r="DT235" s="688">
        <f t="shared" si="1099"/>
        <v>0</v>
      </c>
      <c r="DU235" s="21"/>
      <c r="DV235" s="688">
        <f>+$H$235*DT117/12</f>
        <v>0</v>
      </c>
      <c r="DW235" s="688">
        <f t="shared" ref="DW235:EG235" si="1100">+$H$235*DV117/12</f>
        <v>0</v>
      </c>
      <c r="DX235" s="688">
        <f t="shared" si="1100"/>
        <v>0</v>
      </c>
      <c r="DY235" s="688">
        <f t="shared" si="1100"/>
        <v>0</v>
      </c>
      <c r="DZ235" s="688">
        <f t="shared" si="1100"/>
        <v>0</v>
      </c>
      <c r="EA235" s="688">
        <f t="shared" si="1100"/>
        <v>0</v>
      </c>
      <c r="EB235" s="688">
        <f t="shared" si="1100"/>
        <v>0</v>
      </c>
      <c r="EC235" s="688">
        <f t="shared" si="1100"/>
        <v>0</v>
      </c>
      <c r="ED235" s="688">
        <f t="shared" si="1100"/>
        <v>0</v>
      </c>
      <c r="EE235" s="688">
        <f t="shared" si="1100"/>
        <v>0</v>
      </c>
      <c r="EF235" s="688">
        <f t="shared" si="1100"/>
        <v>0</v>
      </c>
      <c r="EG235" s="688">
        <f t="shared" si="1100"/>
        <v>0</v>
      </c>
      <c r="EH235" s="21"/>
      <c r="EI235" s="21"/>
      <c r="EJ235" s="21"/>
      <c r="EK235" s="21"/>
      <c r="EL235" s="21"/>
      <c r="EM235" s="21"/>
    </row>
    <row r="236" spans="1:143" ht="13.5" customHeight="1">
      <c r="A236" s="21"/>
      <c r="B236" s="21"/>
      <c r="C236" s="21"/>
      <c r="D236" s="21"/>
      <c r="E236" s="21"/>
      <c r="F236" s="21" t="str">
        <f>+Assumption!F300</f>
        <v>Bank 10</v>
      </c>
      <c r="G236" s="15"/>
      <c r="H236" s="66">
        <f>+Assumption!H300</f>
        <v>0.12</v>
      </c>
      <c r="I236" s="688">
        <f t="shared" ref="I236:T236" si="1101">+$H$236*H118/12</f>
        <v>69.059999999999988</v>
      </c>
      <c r="J236" s="688">
        <f t="shared" si="1101"/>
        <v>69.059999999999988</v>
      </c>
      <c r="K236" s="688">
        <f t="shared" si="1101"/>
        <v>69.059999999999988</v>
      </c>
      <c r="L236" s="688">
        <f t="shared" si="1101"/>
        <v>69.059999999999988</v>
      </c>
      <c r="M236" s="688">
        <f t="shared" si="1101"/>
        <v>69.059999999999988</v>
      </c>
      <c r="N236" s="688">
        <f t="shared" si="1101"/>
        <v>69.059999999999988</v>
      </c>
      <c r="O236" s="688">
        <f t="shared" si="1101"/>
        <v>69.059999999999988</v>
      </c>
      <c r="P236" s="688">
        <f t="shared" si="1101"/>
        <v>69.059999999999988</v>
      </c>
      <c r="Q236" s="688">
        <f t="shared" si="1101"/>
        <v>69.059999999999988</v>
      </c>
      <c r="R236" s="688">
        <f t="shared" si="1101"/>
        <v>69.059999999999988</v>
      </c>
      <c r="S236" s="688">
        <f t="shared" si="1101"/>
        <v>69.059999999999988</v>
      </c>
      <c r="T236" s="688">
        <f t="shared" si="1101"/>
        <v>69.059999999999988</v>
      </c>
      <c r="U236" s="15"/>
      <c r="V236" s="688">
        <f>+$H$236*T118/12</f>
        <v>69.16</v>
      </c>
      <c r="W236" s="688">
        <f t="shared" ref="W236:AG236" si="1102">+$H$236*V118/12</f>
        <v>69.16</v>
      </c>
      <c r="X236" s="688">
        <f t="shared" si="1102"/>
        <v>69.16</v>
      </c>
      <c r="Y236" s="688">
        <f t="shared" si="1102"/>
        <v>69.16</v>
      </c>
      <c r="Z236" s="688">
        <f t="shared" si="1102"/>
        <v>69.16</v>
      </c>
      <c r="AA236" s="688">
        <f t="shared" si="1102"/>
        <v>69.16</v>
      </c>
      <c r="AB236" s="688">
        <f t="shared" si="1102"/>
        <v>69.16</v>
      </c>
      <c r="AC236" s="688">
        <f t="shared" si="1102"/>
        <v>69.16</v>
      </c>
      <c r="AD236" s="688">
        <f t="shared" si="1102"/>
        <v>69.16</v>
      </c>
      <c r="AE236" s="688">
        <f t="shared" si="1102"/>
        <v>69.16</v>
      </c>
      <c r="AF236" s="688">
        <f t="shared" si="1102"/>
        <v>69.16</v>
      </c>
      <c r="AG236" s="688">
        <f t="shared" si="1102"/>
        <v>69.16</v>
      </c>
      <c r="AH236" s="21"/>
      <c r="AI236" s="688">
        <f>+$H$236*AG118/12</f>
        <v>69.16</v>
      </c>
      <c r="AJ236" s="688">
        <f t="shared" ref="AJ236:AT236" si="1103">+$H$236*AI118/12</f>
        <v>69.16</v>
      </c>
      <c r="AK236" s="688">
        <f t="shared" si="1103"/>
        <v>69.16</v>
      </c>
      <c r="AL236" s="688">
        <f t="shared" si="1103"/>
        <v>69.16</v>
      </c>
      <c r="AM236" s="688">
        <f t="shared" si="1103"/>
        <v>69.16</v>
      </c>
      <c r="AN236" s="688">
        <f t="shared" si="1103"/>
        <v>69.16</v>
      </c>
      <c r="AO236" s="688">
        <f t="shared" si="1103"/>
        <v>69.16</v>
      </c>
      <c r="AP236" s="688">
        <f t="shared" si="1103"/>
        <v>69.16</v>
      </c>
      <c r="AQ236" s="688">
        <f t="shared" si="1103"/>
        <v>69.16</v>
      </c>
      <c r="AR236" s="688">
        <f t="shared" si="1103"/>
        <v>69.16</v>
      </c>
      <c r="AS236" s="688">
        <f t="shared" si="1103"/>
        <v>69.16</v>
      </c>
      <c r="AT236" s="688">
        <f t="shared" si="1103"/>
        <v>69.16</v>
      </c>
      <c r="AU236" s="21"/>
      <c r="AV236" s="688">
        <f>+$H$236*AT118/12</f>
        <v>69.16</v>
      </c>
      <c r="AW236" s="688">
        <f t="shared" ref="AW236:BG236" si="1104">+$H$236*AV118/12</f>
        <v>69.16</v>
      </c>
      <c r="AX236" s="688">
        <f t="shared" si="1104"/>
        <v>69.16</v>
      </c>
      <c r="AY236" s="688">
        <f t="shared" si="1104"/>
        <v>69.16</v>
      </c>
      <c r="AZ236" s="688">
        <f t="shared" si="1104"/>
        <v>69.16</v>
      </c>
      <c r="BA236" s="688">
        <f t="shared" si="1104"/>
        <v>69.16</v>
      </c>
      <c r="BB236" s="688">
        <f t="shared" si="1104"/>
        <v>69.16</v>
      </c>
      <c r="BC236" s="688">
        <f t="shared" si="1104"/>
        <v>69.16</v>
      </c>
      <c r="BD236" s="688">
        <f t="shared" si="1104"/>
        <v>69.16</v>
      </c>
      <c r="BE236" s="688">
        <f t="shared" si="1104"/>
        <v>69.16</v>
      </c>
      <c r="BF236" s="688">
        <f t="shared" si="1104"/>
        <v>69.16</v>
      </c>
      <c r="BG236" s="688">
        <f t="shared" si="1104"/>
        <v>69.16</v>
      </c>
      <c r="BH236" s="21"/>
      <c r="BI236" s="688">
        <f>+$H$236*BG118/12</f>
        <v>69.16</v>
      </c>
      <c r="BJ236" s="688">
        <f t="shared" ref="BJ236:BT236" si="1105">+$H$236*BI118/12</f>
        <v>69.16</v>
      </c>
      <c r="BK236" s="688">
        <f t="shared" si="1105"/>
        <v>69.16</v>
      </c>
      <c r="BL236" s="688">
        <f t="shared" si="1105"/>
        <v>69.16</v>
      </c>
      <c r="BM236" s="688">
        <f t="shared" si="1105"/>
        <v>69.16</v>
      </c>
      <c r="BN236" s="688">
        <f t="shared" si="1105"/>
        <v>69.16</v>
      </c>
      <c r="BO236" s="688">
        <f t="shared" si="1105"/>
        <v>69.16</v>
      </c>
      <c r="BP236" s="688">
        <f t="shared" si="1105"/>
        <v>69.16</v>
      </c>
      <c r="BQ236" s="688">
        <f t="shared" si="1105"/>
        <v>69.16</v>
      </c>
      <c r="BR236" s="688">
        <f t="shared" si="1105"/>
        <v>69.16</v>
      </c>
      <c r="BS236" s="688">
        <f t="shared" si="1105"/>
        <v>69.16</v>
      </c>
      <c r="BT236" s="688">
        <f t="shared" si="1105"/>
        <v>69.16</v>
      </c>
      <c r="BU236" s="21"/>
      <c r="BV236" s="688">
        <f>+$H$236*BT118/12</f>
        <v>69.16</v>
      </c>
      <c r="BW236" s="688">
        <f t="shared" ref="BW236:CG236" si="1106">+$H$236*BV118/12</f>
        <v>69.16</v>
      </c>
      <c r="BX236" s="688">
        <f t="shared" si="1106"/>
        <v>69.16</v>
      </c>
      <c r="BY236" s="688">
        <f t="shared" si="1106"/>
        <v>69.16</v>
      </c>
      <c r="BZ236" s="688">
        <f t="shared" si="1106"/>
        <v>69.16</v>
      </c>
      <c r="CA236" s="688">
        <f t="shared" si="1106"/>
        <v>69.16</v>
      </c>
      <c r="CB236" s="688">
        <f t="shared" si="1106"/>
        <v>69.16</v>
      </c>
      <c r="CC236" s="688">
        <f t="shared" si="1106"/>
        <v>69.16</v>
      </c>
      <c r="CD236" s="688">
        <f t="shared" si="1106"/>
        <v>69.16</v>
      </c>
      <c r="CE236" s="688">
        <f t="shared" si="1106"/>
        <v>69.16</v>
      </c>
      <c r="CF236" s="688">
        <f t="shared" si="1106"/>
        <v>69.16</v>
      </c>
      <c r="CG236" s="688">
        <f t="shared" si="1106"/>
        <v>69.16</v>
      </c>
      <c r="CH236" s="21"/>
      <c r="CI236" s="688">
        <f>+$H$236*CG118/12</f>
        <v>69.16</v>
      </c>
      <c r="CJ236" s="688">
        <f t="shared" ref="CJ236:CT236" si="1107">+$H$236*CI118/12</f>
        <v>69.16</v>
      </c>
      <c r="CK236" s="688">
        <f t="shared" si="1107"/>
        <v>69.16</v>
      </c>
      <c r="CL236" s="688">
        <f t="shared" si="1107"/>
        <v>69.16</v>
      </c>
      <c r="CM236" s="688">
        <f t="shared" si="1107"/>
        <v>69.16</v>
      </c>
      <c r="CN236" s="688">
        <f t="shared" si="1107"/>
        <v>69.16</v>
      </c>
      <c r="CO236" s="688">
        <f t="shared" si="1107"/>
        <v>69.16</v>
      </c>
      <c r="CP236" s="688">
        <f t="shared" si="1107"/>
        <v>69.16</v>
      </c>
      <c r="CQ236" s="688">
        <f t="shared" si="1107"/>
        <v>69.16</v>
      </c>
      <c r="CR236" s="688">
        <f t="shared" si="1107"/>
        <v>69.16</v>
      </c>
      <c r="CS236" s="688">
        <f t="shared" si="1107"/>
        <v>69.16</v>
      </c>
      <c r="CT236" s="688">
        <f t="shared" si="1107"/>
        <v>69.16</v>
      </c>
      <c r="CU236" s="21"/>
      <c r="CV236" s="688">
        <f>+$H$236*CT118/12</f>
        <v>69.16</v>
      </c>
      <c r="CW236" s="688">
        <f t="shared" ref="CW236:DG236" si="1108">+$H$236*CV118/12</f>
        <v>69.16</v>
      </c>
      <c r="CX236" s="688">
        <f t="shared" si="1108"/>
        <v>69.16</v>
      </c>
      <c r="CY236" s="688">
        <f t="shared" si="1108"/>
        <v>69.16</v>
      </c>
      <c r="CZ236" s="688">
        <f t="shared" si="1108"/>
        <v>69.16</v>
      </c>
      <c r="DA236" s="688">
        <f t="shared" si="1108"/>
        <v>69.16</v>
      </c>
      <c r="DB236" s="688">
        <f t="shared" si="1108"/>
        <v>69.16</v>
      </c>
      <c r="DC236" s="688">
        <f t="shared" si="1108"/>
        <v>69.16</v>
      </c>
      <c r="DD236" s="688">
        <f t="shared" si="1108"/>
        <v>69.16</v>
      </c>
      <c r="DE236" s="688">
        <f t="shared" si="1108"/>
        <v>69.16</v>
      </c>
      <c r="DF236" s="688">
        <f t="shared" si="1108"/>
        <v>69.16</v>
      </c>
      <c r="DG236" s="688">
        <f t="shared" si="1108"/>
        <v>69.16</v>
      </c>
      <c r="DH236" s="21"/>
      <c r="DI236" s="688">
        <f>+$H$236*DG118/12</f>
        <v>69.16</v>
      </c>
      <c r="DJ236" s="688">
        <f t="shared" ref="DJ236:DT236" si="1109">+$H$236*DI118/12</f>
        <v>69.16</v>
      </c>
      <c r="DK236" s="688">
        <f t="shared" si="1109"/>
        <v>69.16</v>
      </c>
      <c r="DL236" s="688">
        <f t="shared" si="1109"/>
        <v>69.16</v>
      </c>
      <c r="DM236" s="688">
        <f t="shared" si="1109"/>
        <v>69.16</v>
      </c>
      <c r="DN236" s="688">
        <f t="shared" si="1109"/>
        <v>69.16</v>
      </c>
      <c r="DO236" s="688">
        <f t="shared" si="1109"/>
        <v>69.16</v>
      </c>
      <c r="DP236" s="688">
        <f t="shared" si="1109"/>
        <v>69.16</v>
      </c>
      <c r="DQ236" s="688">
        <f t="shared" si="1109"/>
        <v>69.16</v>
      </c>
      <c r="DR236" s="688">
        <f t="shared" si="1109"/>
        <v>69.16</v>
      </c>
      <c r="DS236" s="688">
        <f t="shared" si="1109"/>
        <v>69.16</v>
      </c>
      <c r="DT236" s="688">
        <f t="shared" si="1109"/>
        <v>69.16</v>
      </c>
      <c r="DU236" s="21"/>
      <c r="DV236" s="688">
        <f>+$H$236*DT118/12</f>
        <v>69.16</v>
      </c>
      <c r="DW236" s="688">
        <f t="shared" ref="DW236:EG236" si="1110">+$H$236*DV118/12</f>
        <v>69.16</v>
      </c>
      <c r="DX236" s="688">
        <f t="shared" si="1110"/>
        <v>69.16</v>
      </c>
      <c r="DY236" s="688">
        <f t="shared" si="1110"/>
        <v>69.16</v>
      </c>
      <c r="DZ236" s="688">
        <f t="shared" si="1110"/>
        <v>69.16</v>
      </c>
      <c r="EA236" s="688">
        <f t="shared" si="1110"/>
        <v>69.16</v>
      </c>
      <c r="EB236" s="688">
        <f t="shared" si="1110"/>
        <v>69.16</v>
      </c>
      <c r="EC236" s="688">
        <f t="shared" si="1110"/>
        <v>69.16</v>
      </c>
      <c r="ED236" s="688">
        <f t="shared" si="1110"/>
        <v>69.16</v>
      </c>
      <c r="EE236" s="688">
        <f t="shared" si="1110"/>
        <v>69.16</v>
      </c>
      <c r="EF236" s="688">
        <f t="shared" si="1110"/>
        <v>69.16</v>
      </c>
      <c r="EG236" s="688">
        <f t="shared" si="1110"/>
        <v>69.16</v>
      </c>
      <c r="EH236" s="21"/>
      <c r="EI236" s="21"/>
      <c r="EJ236" s="21"/>
      <c r="EK236" s="21"/>
      <c r="EL236" s="21"/>
      <c r="EM236" s="21"/>
    </row>
    <row r="237" spans="1:143" ht="13.5" customHeight="1">
      <c r="A237" s="21"/>
      <c r="B237" s="21"/>
      <c r="C237" s="21"/>
      <c r="D237" s="21"/>
      <c r="E237" s="21"/>
      <c r="F237" s="21" t="str">
        <f>+Assumption!F305</f>
        <v>Leasing 1</v>
      </c>
      <c r="G237" s="15"/>
      <c r="H237" s="66">
        <f>+Assumption!H305</f>
        <v>0</v>
      </c>
      <c r="I237" s="688">
        <f t="shared" ref="I237:T237" si="1111">+$H$237*H86/12</f>
        <v>0</v>
      </c>
      <c r="J237" s="688">
        <f t="shared" si="1111"/>
        <v>0</v>
      </c>
      <c r="K237" s="688">
        <f t="shared" si="1111"/>
        <v>0</v>
      </c>
      <c r="L237" s="688">
        <f t="shared" si="1111"/>
        <v>0</v>
      </c>
      <c r="M237" s="688">
        <f t="shared" si="1111"/>
        <v>0</v>
      </c>
      <c r="N237" s="688">
        <f t="shared" si="1111"/>
        <v>0</v>
      </c>
      <c r="O237" s="688">
        <f t="shared" si="1111"/>
        <v>0</v>
      </c>
      <c r="P237" s="688">
        <f t="shared" si="1111"/>
        <v>0</v>
      </c>
      <c r="Q237" s="688">
        <f t="shared" si="1111"/>
        <v>0</v>
      </c>
      <c r="R237" s="688">
        <f t="shared" si="1111"/>
        <v>0</v>
      </c>
      <c r="S237" s="688">
        <f t="shared" si="1111"/>
        <v>0</v>
      </c>
      <c r="T237" s="688">
        <f t="shared" si="1111"/>
        <v>0</v>
      </c>
      <c r="U237" s="15"/>
      <c r="V237" s="688">
        <f>+$H$237*T86/12</f>
        <v>0</v>
      </c>
      <c r="W237" s="688">
        <f t="shared" ref="W237:AG237" si="1112">+$H$237*V86/12</f>
        <v>0</v>
      </c>
      <c r="X237" s="688">
        <f t="shared" si="1112"/>
        <v>0</v>
      </c>
      <c r="Y237" s="688">
        <f t="shared" si="1112"/>
        <v>0</v>
      </c>
      <c r="Z237" s="688">
        <f t="shared" si="1112"/>
        <v>0</v>
      </c>
      <c r="AA237" s="688">
        <f t="shared" si="1112"/>
        <v>0</v>
      </c>
      <c r="AB237" s="688">
        <f t="shared" si="1112"/>
        <v>0</v>
      </c>
      <c r="AC237" s="688">
        <f t="shared" si="1112"/>
        <v>0</v>
      </c>
      <c r="AD237" s="688">
        <f t="shared" si="1112"/>
        <v>0</v>
      </c>
      <c r="AE237" s="688">
        <f t="shared" si="1112"/>
        <v>0</v>
      </c>
      <c r="AF237" s="688">
        <f t="shared" si="1112"/>
        <v>0</v>
      </c>
      <c r="AG237" s="688">
        <f t="shared" si="1112"/>
        <v>0</v>
      </c>
      <c r="AH237" s="21"/>
      <c r="AI237" s="688">
        <f>+$H$237*AG86/12</f>
        <v>0</v>
      </c>
      <c r="AJ237" s="688">
        <f t="shared" ref="AJ237:AT237" si="1113">+$H$237*AI86/12</f>
        <v>0</v>
      </c>
      <c r="AK237" s="688">
        <f t="shared" si="1113"/>
        <v>0</v>
      </c>
      <c r="AL237" s="688">
        <f t="shared" si="1113"/>
        <v>0</v>
      </c>
      <c r="AM237" s="688">
        <f t="shared" si="1113"/>
        <v>0</v>
      </c>
      <c r="AN237" s="688">
        <f t="shared" si="1113"/>
        <v>0</v>
      </c>
      <c r="AO237" s="688">
        <f t="shared" si="1113"/>
        <v>0</v>
      </c>
      <c r="AP237" s="688">
        <f t="shared" si="1113"/>
        <v>0</v>
      </c>
      <c r="AQ237" s="688">
        <f t="shared" si="1113"/>
        <v>0</v>
      </c>
      <c r="AR237" s="688">
        <f t="shared" si="1113"/>
        <v>0</v>
      </c>
      <c r="AS237" s="688">
        <f t="shared" si="1113"/>
        <v>0</v>
      </c>
      <c r="AT237" s="688">
        <f t="shared" si="1113"/>
        <v>0</v>
      </c>
      <c r="AU237" s="21"/>
      <c r="AV237" s="688">
        <f>+$H$237*AT86/12</f>
        <v>0</v>
      </c>
      <c r="AW237" s="688">
        <f t="shared" ref="AW237:BG237" si="1114">+$H$237*AV86/12</f>
        <v>0</v>
      </c>
      <c r="AX237" s="688">
        <f t="shared" si="1114"/>
        <v>0</v>
      </c>
      <c r="AY237" s="688">
        <f t="shared" si="1114"/>
        <v>0</v>
      </c>
      <c r="AZ237" s="688">
        <f t="shared" si="1114"/>
        <v>0</v>
      </c>
      <c r="BA237" s="688">
        <f t="shared" si="1114"/>
        <v>0</v>
      </c>
      <c r="BB237" s="688">
        <f t="shared" si="1114"/>
        <v>0</v>
      </c>
      <c r="BC237" s="688">
        <f t="shared" si="1114"/>
        <v>0</v>
      </c>
      <c r="BD237" s="688">
        <f t="shared" si="1114"/>
        <v>0</v>
      </c>
      <c r="BE237" s="688">
        <f t="shared" si="1114"/>
        <v>0</v>
      </c>
      <c r="BF237" s="688">
        <f t="shared" si="1114"/>
        <v>0</v>
      </c>
      <c r="BG237" s="688">
        <f t="shared" si="1114"/>
        <v>0</v>
      </c>
      <c r="BH237" s="21"/>
      <c r="BI237" s="688">
        <f>+$H$237*BG86/12</f>
        <v>0</v>
      </c>
      <c r="BJ237" s="688">
        <f t="shared" ref="BJ237:BT237" si="1115">+$H$237*BI86/12</f>
        <v>0</v>
      </c>
      <c r="BK237" s="688">
        <f t="shared" si="1115"/>
        <v>0</v>
      </c>
      <c r="BL237" s="688">
        <f t="shared" si="1115"/>
        <v>0</v>
      </c>
      <c r="BM237" s="688">
        <f t="shared" si="1115"/>
        <v>0</v>
      </c>
      <c r="BN237" s="688">
        <f t="shared" si="1115"/>
        <v>0</v>
      </c>
      <c r="BO237" s="688">
        <f t="shared" si="1115"/>
        <v>0</v>
      </c>
      <c r="BP237" s="688">
        <f t="shared" si="1115"/>
        <v>0</v>
      </c>
      <c r="BQ237" s="688">
        <f t="shared" si="1115"/>
        <v>0</v>
      </c>
      <c r="BR237" s="688">
        <f t="shared" si="1115"/>
        <v>0</v>
      </c>
      <c r="BS237" s="688">
        <f t="shared" si="1115"/>
        <v>0</v>
      </c>
      <c r="BT237" s="688">
        <f t="shared" si="1115"/>
        <v>0</v>
      </c>
      <c r="BU237" s="21"/>
      <c r="BV237" s="688">
        <f>+$H$237*BT86/12</f>
        <v>0</v>
      </c>
      <c r="BW237" s="688">
        <f t="shared" ref="BW237:CG237" si="1116">+$H$237*BV86/12</f>
        <v>0</v>
      </c>
      <c r="BX237" s="688">
        <f t="shared" si="1116"/>
        <v>0</v>
      </c>
      <c r="BY237" s="688">
        <f t="shared" si="1116"/>
        <v>0</v>
      </c>
      <c r="BZ237" s="688">
        <f t="shared" si="1116"/>
        <v>0</v>
      </c>
      <c r="CA237" s="688">
        <f t="shared" si="1116"/>
        <v>0</v>
      </c>
      <c r="CB237" s="688">
        <f t="shared" si="1116"/>
        <v>0</v>
      </c>
      <c r="CC237" s="688">
        <f t="shared" si="1116"/>
        <v>0</v>
      </c>
      <c r="CD237" s="688">
        <f t="shared" si="1116"/>
        <v>0</v>
      </c>
      <c r="CE237" s="688">
        <f t="shared" si="1116"/>
        <v>0</v>
      </c>
      <c r="CF237" s="688">
        <f t="shared" si="1116"/>
        <v>0</v>
      </c>
      <c r="CG237" s="688">
        <f t="shared" si="1116"/>
        <v>0</v>
      </c>
      <c r="CH237" s="21"/>
      <c r="CI237" s="688">
        <f>+$H$237*CG86/12</f>
        <v>0</v>
      </c>
      <c r="CJ237" s="688">
        <f t="shared" ref="CJ237:CT237" si="1117">+$H$237*CI86/12</f>
        <v>0</v>
      </c>
      <c r="CK237" s="688">
        <f t="shared" si="1117"/>
        <v>0</v>
      </c>
      <c r="CL237" s="688">
        <f t="shared" si="1117"/>
        <v>0</v>
      </c>
      <c r="CM237" s="688">
        <f t="shared" si="1117"/>
        <v>0</v>
      </c>
      <c r="CN237" s="688">
        <f t="shared" si="1117"/>
        <v>0</v>
      </c>
      <c r="CO237" s="688">
        <f t="shared" si="1117"/>
        <v>0</v>
      </c>
      <c r="CP237" s="688">
        <f t="shared" si="1117"/>
        <v>0</v>
      </c>
      <c r="CQ237" s="688">
        <f t="shared" si="1117"/>
        <v>0</v>
      </c>
      <c r="CR237" s="688">
        <f t="shared" si="1117"/>
        <v>0</v>
      </c>
      <c r="CS237" s="688">
        <f t="shared" si="1117"/>
        <v>0</v>
      </c>
      <c r="CT237" s="688">
        <f t="shared" si="1117"/>
        <v>0</v>
      </c>
      <c r="CU237" s="21"/>
      <c r="CV237" s="688">
        <f>+$H$237*CT86/12</f>
        <v>0</v>
      </c>
      <c r="CW237" s="688">
        <f t="shared" ref="CW237:DG237" si="1118">+$H$237*CV86/12</f>
        <v>0</v>
      </c>
      <c r="CX237" s="688">
        <f t="shared" si="1118"/>
        <v>0</v>
      </c>
      <c r="CY237" s="688">
        <f t="shared" si="1118"/>
        <v>0</v>
      </c>
      <c r="CZ237" s="688">
        <f t="shared" si="1118"/>
        <v>0</v>
      </c>
      <c r="DA237" s="688">
        <f t="shared" si="1118"/>
        <v>0</v>
      </c>
      <c r="DB237" s="688">
        <f t="shared" si="1118"/>
        <v>0</v>
      </c>
      <c r="DC237" s="688">
        <f t="shared" si="1118"/>
        <v>0</v>
      </c>
      <c r="DD237" s="688">
        <f t="shared" si="1118"/>
        <v>0</v>
      </c>
      <c r="DE237" s="688">
        <f t="shared" si="1118"/>
        <v>0</v>
      </c>
      <c r="DF237" s="688">
        <f t="shared" si="1118"/>
        <v>0</v>
      </c>
      <c r="DG237" s="688">
        <f t="shared" si="1118"/>
        <v>0</v>
      </c>
      <c r="DH237" s="21"/>
      <c r="DI237" s="688">
        <f>+$H$237*DG86/12</f>
        <v>0</v>
      </c>
      <c r="DJ237" s="688">
        <f t="shared" ref="DJ237:DT237" si="1119">+$H$237*DI86/12</f>
        <v>0</v>
      </c>
      <c r="DK237" s="688">
        <f t="shared" si="1119"/>
        <v>0</v>
      </c>
      <c r="DL237" s="688">
        <f t="shared" si="1119"/>
        <v>0</v>
      </c>
      <c r="DM237" s="688">
        <f t="shared" si="1119"/>
        <v>0</v>
      </c>
      <c r="DN237" s="688">
        <f t="shared" si="1119"/>
        <v>0</v>
      </c>
      <c r="DO237" s="688">
        <f t="shared" si="1119"/>
        <v>0</v>
      </c>
      <c r="DP237" s="688">
        <f t="shared" si="1119"/>
        <v>0</v>
      </c>
      <c r="DQ237" s="688">
        <f t="shared" si="1119"/>
        <v>0</v>
      </c>
      <c r="DR237" s="688">
        <f t="shared" si="1119"/>
        <v>0</v>
      </c>
      <c r="DS237" s="688">
        <f t="shared" si="1119"/>
        <v>0</v>
      </c>
      <c r="DT237" s="688">
        <f t="shared" si="1119"/>
        <v>0</v>
      </c>
      <c r="DU237" s="21"/>
      <c r="DV237" s="688">
        <f>+$H$237*DT86/12</f>
        <v>0</v>
      </c>
      <c r="DW237" s="688">
        <f t="shared" ref="DW237:EG237" si="1120">+$H$237*DV86/12</f>
        <v>0</v>
      </c>
      <c r="DX237" s="688">
        <f t="shared" si="1120"/>
        <v>0</v>
      </c>
      <c r="DY237" s="688">
        <f t="shared" si="1120"/>
        <v>0</v>
      </c>
      <c r="DZ237" s="688">
        <f t="shared" si="1120"/>
        <v>0</v>
      </c>
      <c r="EA237" s="688">
        <f t="shared" si="1120"/>
        <v>0</v>
      </c>
      <c r="EB237" s="688">
        <f t="shared" si="1120"/>
        <v>0</v>
      </c>
      <c r="EC237" s="688">
        <f t="shared" si="1120"/>
        <v>0</v>
      </c>
      <c r="ED237" s="688">
        <f t="shared" si="1120"/>
        <v>0</v>
      </c>
      <c r="EE237" s="688">
        <f t="shared" si="1120"/>
        <v>0</v>
      </c>
      <c r="EF237" s="688">
        <f t="shared" si="1120"/>
        <v>0</v>
      </c>
      <c r="EG237" s="688">
        <f t="shared" si="1120"/>
        <v>0</v>
      </c>
      <c r="EH237" s="21"/>
      <c r="EI237" s="21"/>
      <c r="EJ237" s="21"/>
      <c r="EK237" s="21"/>
      <c r="EL237" s="21"/>
      <c r="EM237" s="21"/>
    </row>
    <row r="238" spans="1:143" ht="13.5" customHeight="1">
      <c r="A238" s="21"/>
      <c r="B238" s="21"/>
      <c r="C238" s="21"/>
      <c r="D238" s="21"/>
      <c r="E238" s="21"/>
      <c r="F238" s="21" t="str">
        <f>+Assumption!F306</f>
        <v>Leasing 2</v>
      </c>
      <c r="G238" s="15"/>
      <c r="H238" s="66">
        <f>+Assumption!H306</f>
        <v>0</v>
      </c>
      <c r="I238" s="688">
        <f t="shared" ref="I238:T238" si="1121">+$H$238*H87/12</f>
        <v>0</v>
      </c>
      <c r="J238" s="688">
        <f t="shared" si="1121"/>
        <v>0</v>
      </c>
      <c r="K238" s="688">
        <f t="shared" si="1121"/>
        <v>0</v>
      </c>
      <c r="L238" s="688">
        <f t="shared" si="1121"/>
        <v>0</v>
      </c>
      <c r="M238" s="688">
        <f t="shared" si="1121"/>
        <v>0</v>
      </c>
      <c r="N238" s="688">
        <f t="shared" si="1121"/>
        <v>0</v>
      </c>
      <c r="O238" s="688">
        <f t="shared" si="1121"/>
        <v>0</v>
      </c>
      <c r="P238" s="688">
        <f t="shared" si="1121"/>
        <v>0</v>
      </c>
      <c r="Q238" s="688">
        <f t="shared" si="1121"/>
        <v>0</v>
      </c>
      <c r="R238" s="688">
        <f t="shared" si="1121"/>
        <v>0</v>
      </c>
      <c r="S238" s="688">
        <f t="shared" si="1121"/>
        <v>0</v>
      </c>
      <c r="T238" s="688">
        <f t="shared" si="1121"/>
        <v>0</v>
      </c>
      <c r="U238" s="15"/>
      <c r="V238" s="688">
        <f>+$H$238*T87/12</f>
        <v>0</v>
      </c>
      <c r="W238" s="688">
        <f t="shared" ref="W238:AG238" si="1122">+$H$238*V87/12</f>
        <v>0</v>
      </c>
      <c r="X238" s="688">
        <f t="shared" si="1122"/>
        <v>0</v>
      </c>
      <c r="Y238" s="688">
        <f t="shared" si="1122"/>
        <v>0</v>
      </c>
      <c r="Z238" s="688">
        <f t="shared" si="1122"/>
        <v>0</v>
      </c>
      <c r="AA238" s="688">
        <f t="shared" si="1122"/>
        <v>0</v>
      </c>
      <c r="AB238" s="688">
        <f t="shared" si="1122"/>
        <v>0</v>
      </c>
      <c r="AC238" s="688">
        <f t="shared" si="1122"/>
        <v>0</v>
      </c>
      <c r="AD238" s="688">
        <f t="shared" si="1122"/>
        <v>0</v>
      </c>
      <c r="AE238" s="688">
        <f t="shared" si="1122"/>
        <v>0</v>
      </c>
      <c r="AF238" s="688">
        <f t="shared" si="1122"/>
        <v>0</v>
      </c>
      <c r="AG238" s="688">
        <f t="shared" si="1122"/>
        <v>0</v>
      </c>
      <c r="AH238" s="21"/>
      <c r="AI238" s="688">
        <f>+$H$238*AG87/12</f>
        <v>0</v>
      </c>
      <c r="AJ238" s="688">
        <f t="shared" ref="AJ238:AT238" si="1123">+$H$238*AI87/12</f>
        <v>0</v>
      </c>
      <c r="AK238" s="688">
        <f t="shared" si="1123"/>
        <v>0</v>
      </c>
      <c r="AL238" s="688">
        <f t="shared" si="1123"/>
        <v>0</v>
      </c>
      <c r="AM238" s="688">
        <f t="shared" si="1123"/>
        <v>0</v>
      </c>
      <c r="AN238" s="688">
        <f t="shared" si="1123"/>
        <v>0</v>
      </c>
      <c r="AO238" s="688">
        <f t="shared" si="1123"/>
        <v>0</v>
      </c>
      <c r="AP238" s="688">
        <f t="shared" si="1123"/>
        <v>0</v>
      </c>
      <c r="AQ238" s="688">
        <f t="shared" si="1123"/>
        <v>0</v>
      </c>
      <c r="AR238" s="688">
        <f t="shared" si="1123"/>
        <v>0</v>
      </c>
      <c r="AS238" s="688">
        <f t="shared" si="1123"/>
        <v>0</v>
      </c>
      <c r="AT238" s="688">
        <f t="shared" si="1123"/>
        <v>0</v>
      </c>
      <c r="AU238" s="21"/>
      <c r="AV238" s="688">
        <f>+$H$238*AT87/12</f>
        <v>0</v>
      </c>
      <c r="AW238" s="688">
        <f t="shared" ref="AW238:BG238" si="1124">+$H$238*AV87/12</f>
        <v>0</v>
      </c>
      <c r="AX238" s="688">
        <f t="shared" si="1124"/>
        <v>0</v>
      </c>
      <c r="AY238" s="688">
        <f t="shared" si="1124"/>
        <v>0</v>
      </c>
      <c r="AZ238" s="688">
        <f t="shared" si="1124"/>
        <v>0</v>
      </c>
      <c r="BA238" s="688">
        <f t="shared" si="1124"/>
        <v>0</v>
      </c>
      <c r="BB238" s="688">
        <f t="shared" si="1124"/>
        <v>0</v>
      </c>
      <c r="BC238" s="688">
        <f t="shared" si="1124"/>
        <v>0</v>
      </c>
      <c r="BD238" s="688">
        <f t="shared" si="1124"/>
        <v>0</v>
      </c>
      <c r="BE238" s="688">
        <f t="shared" si="1124"/>
        <v>0</v>
      </c>
      <c r="BF238" s="688">
        <f t="shared" si="1124"/>
        <v>0</v>
      </c>
      <c r="BG238" s="688">
        <f t="shared" si="1124"/>
        <v>0</v>
      </c>
      <c r="BH238" s="21"/>
      <c r="BI238" s="688">
        <f>+$H$238*BG87/12</f>
        <v>0</v>
      </c>
      <c r="BJ238" s="688">
        <f t="shared" ref="BJ238:BT238" si="1125">+$H$238*BI87/12</f>
        <v>0</v>
      </c>
      <c r="BK238" s="688">
        <f t="shared" si="1125"/>
        <v>0</v>
      </c>
      <c r="BL238" s="688">
        <f t="shared" si="1125"/>
        <v>0</v>
      </c>
      <c r="BM238" s="688">
        <f t="shared" si="1125"/>
        <v>0</v>
      </c>
      <c r="BN238" s="688">
        <f t="shared" si="1125"/>
        <v>0</v>
      </c>
      <c r="BO238" s="688">
        <f t="shared" si="1125"/>
        <v>0</v>
      </c>
      <c r="BP238" s="688">
        <f t="shared" si="1125"/>
        <v>0</v>
      </c>
      <c r="BQ238" s="688">
        <f t="shared" si="1125"/>
        <v>0</v>
      </c>
      <c r="BR238" s="688">
        <f t="shared" si="1125"/>
        <v>0</v>
      </c>
      <c r="BS238" s="688">
        <f t="shared" si="1125"/>
        <v>0</v>
      </c>
      <c r="BT238" s="688">
        <f t="shared" si="1125"/>
        <v>0</v>
      </c>
      <c r="BU238" s="21"/>
      <c r="BV238" s="688">
        <f>+$H$238*BT87/12</f>
        <v>0</v>
      </c>
      <c r="BW238" s="688">
        <f t="shared" ref="BW238:CG238" si="1126">+$H$238*BV87/12</f>
        <v>0</v>
      </c>
      <c r="BX238" s="688">
        <f t="shared" si="1126"/>
        <v>0</v>
      </c>
      <c r="BY238" s="688">
        <f t="shared" si="1126"/>
        <v>0</v>
      </c>
      <c r="BZ238" s="688">
        <f t="shared" si="1126"/>
        <v>0</v>
      </c>
      <c r="CA238" s="688">
        <f t="shared" si="1126"/>
        <v>0</v>
      </c>
      <c r="CB238" s="688">
        <f t="shared" si="1126"/>
        <v>0</v>
      </c>
      <c r="CC238" s="688">
        <f t="shared" si="1126"/>
        <v>0</v>
      </c>
      <c r="CD238" s="688">
        <f t="shared" si="1126"/>
        <v>0</v>
      </c>
      <c r="CE238" s="688">
        <f t="shared" si="1126"/>
        <v>0</v>
      </c>
      <c r="CF238" s="688">
        <f t="shared" si="1126"/>
        <v>0</v>
      </c>
      <c r="CG238" s="688">
        <f t="shared" si="1126"/>
        <v>0</v>
      </c>
      <c r="CH238" s="21"/>
      <c r="CI238" s="688">
        <f>+$H$238*CG87/12</f>
        <v>0</v>
      </c>
      <c r="CJ238" s="688">
        <f t="shared" ref="CJ238:CT238" si="1127">+$H$238*CI87/12</f>
        <v>0</v>
      </c>
      <c r="CK238" s="688">
        <f t="shared" si="1127"/>
        <v>0</v>
      </c>
      <c r="CL238" s="688">
        <f t="shared" si="1127"/>
        <v>0</v>
      </c>
      <c r="CM238" s="688">
        <f t="shared" si="1127"/>
        <v>0</v>
      </c>
      <c r="CN238" s="688">
        <f t="shared" si="1127"/>
        <v>0</v>
      </c>
      <c r="CO238" s="688">
        <f t="shared" si="1127"/>
        <v>0</v>
      </c>
      <c r="CP238" s="688">
        <f t="shared" si="1127"/>
        <v>0</v>
      </c>
      <c r="CQ238" s="688">
        <f t="shared" si="1127"/>
        <v>0</v>
      </c>
      <c r="CR238" s="688">
        <f t="shared" si="1127"/>
        <v>0</v>
      </c>
      <c r="CS238" s="688">
        <f t="shared" si="1127"/>
        <v>0</v>
      </c>
      <c r="CT238" s="688">
        <f t="shared" si="1127"/>
        <v>0</v>
      </c>
      <c r="CU238" s="21"/>
      <c r="CV238" s="688">
        <f>+$H$238*CT87/12</f>
        <v>0</v>
      </c>
      <c r="CW238" s="688">
        <f t="shared" ref="CW238:DG238" si="1128">+$H$238*CV87/12</f>
        <v>0</v>
      </c>
      <c r="CX238" s="688">
        <f t="shared" si="1128"/>
        <v>0</v>
      </c>
      <c r="CY238" s="688">
        <f t="shared" si="1128"/>
        <v>0</v>
      </c>
      <c r="CZ238" s="688">
        <f t="shared" si="1128"/>
        <v>0</v>
      </c>
      <c r="DA238" s="688">
        <f t="shared" si="1128"/>
        <v>0</v>
      </c>
      <c r="DB238" s="688">
        <f t="shared" si="1128"/>
        <v>0</v>
      </c>
      <c r="DC238" s="688">
        <f t="shared" si="1128"/>
        <v>0</v>
      </c>
      <c r="DD238" s="688">
        <f t="shared" si="1128"/>
        <v>0</v>
      </c>
      <c r="DE238" s="688">
        <f t="shared" si="1128"/>
        <v>0</v>
      </c>
      <c r="DF238" s="688">
        <f t="shared" si="1128"/>
        <v>0</v>
      </c>
      <c r="DG238" s="688">
        <f t="shared" si="1128"/>
        <v>0</v>
      </c>
      <c r="DH238" s="21"/>
      <c r="DI238" s="688">
        <f>+$H$238*DG87/12</f>
        <v>0</v>
      </c>
      <c r="DJ238" s="688">
        <f t="shared" ref="DJ238:DT238" si="1129">+$H$238*DI87/12</f>
        <v>0</v>
      </c>
      <c r="DK238" s="688">
        <f t="shared" si="1129"/>
        <v>0</v>
      </c>
      <c r="DL238" s="688">
        <f t="shared" si="1129"/>
        <v>0</v>
      </c>
      <c r="DM238" s="688">
        <f t="shared" si="1129"/>
        <v>0</v>
      </c>
      <c r="DN238" s="688">
        <f t="shared" si="1129"/>
        <v>0</v>
      </c>
      <c r="DO238" s="688">
        <f t="shared" si="1129"/>
        <v>0</v>
      </c>
      <c r="DP238" s="688">
        <f t="shared" si="1129"/>
        <v>0</v>
      </c>
      <c r="DQ238" s="688">
        <f t="shared" si="1129"/>
        <v>0</v>
      </c>
      <c r="DR238" s="688">
        <f t="shared" si="1129"/>
        <v>0</v>
      </c>
      <c r="DS238" s="688">
        <f t="shared" si="1129"/>
        <v>0</v>
      </c>
      <c r="DT238" s="688">
        <f t="shared" si="1129"/>
        <v>0</v>
      </c>
      <c r="DU238" s="21"/>
      <c r="DV238" s="688">
        <f>+$H$238*DT87/12</f>
        <v>0</v>
      </c>
      <c r="DW238" s="688">
        <f t="shared" ref="DW238:EG238" si="1130">+$H$238*DV87/12</f>
        <v>0</v>
      </c>
      <c r="DX238" s="688">
        <f t="shared" si="1130"/>
        <v>0</v>
      </c>
      <c r="DY238" s="688">
        <f t="shared" si="1130"/>
        <v>0</v>
      </c>
      <c r="DZ238" s="688">
        <f t="shared" si="1130"/>
        <v>0</v>
      </c>
      <c r="EA238" s="688">
        <f t="shared" si="1130"/>
        <v>0</v>
      </c>
      <c r="EB238" s="688">
        <f t="shared" si="1130"/>
        <v>0</v>
      </c>
      <c r="EC238" s="688">
        <f t="shared" si="1130"/>
        <v>0</v>
      </c>
      <c r="ED238" s="688">
        <f t="shared" si="1130"/>
        <v>0</v>
      </c>
      <c r="EE238" s="688">
        <f t="shared" si="1130"/>
        <v>0</v>
      </c>
      <c r="EF238" s="688">
        <f t="shared" si="1130"/>
        <v>0</v>
      </c>
      <c r="EG238" s="688">
        <f t="shared" si="1130"/>
        <v>0</v>
      </c>
      <c r="EH238" s="21"/>
      <c r="EI238" s="21"/>
      <c r="EJ238" s="21"/>
      <c r="EK238" s="21"/>
      <c r="EL238" s="21"/>
      <c r="EM238" s="21"/>
    </row>
    <row r="239" spans="1:143" ht="13.5" customHeight="1">
      <c r="A239" s="21"/>
      <c r="B239" s="21"/>
      <c r="C239" s="21"/>
      <c r="D239" s="21"/>
      <c r="E239" s="21"/>
      <c r="F239" s="21" t="str">
        <f>+Assumption!F307</f>
        <v>Leasing 3</v>
      </c>
      <c r="G239" s="15"/>
      <c r="H239" s="66">
        <f>+Assumption!H307</f>
        <v>0</v>
      </c>
      <c r="I239" s="688">
        <f t="shared" ref="I239:T239" si="1131">+$H$239*H88/12</f>
        <v>0</v>
      </c>
      <c r="J239" s="688">
        <f t="shared" si="1131"/>
        <v>0</v>
      </c>
      <c r="K239" s="688">
        <f t="shared" si="1131"/>
        <v>0</v>
      </c>
      <c r="L239" s="688">
        <f t="shared" si="1131"/>
        <v>0</v>
      </c>
      <c r="M239" s="688">
        <f t="shared" si="1131"/>
        <v>0</v>
      </c>
      <c r="N239" s="688">
        <f t="shared" si="1131"/>
        <v>0</v>
      </c>
      <c r="O239" s="688">
        <f t="shared" si="1131"/>
        <v>0</v>
      </c>
      <c r="P239" s="688">
        <f t="shared" si="1131"/>
        <v>0</v>
      </c>
      <c r="Q239" s="688">
        <f t="shared" si="1131"/>
        <v>0</v>
      </c>
      <c r="R239" s="688">
        <f t="shared" si="1131"/>
        <v>0</v>
      </c>
      <c r="S239" s="688">
        <f t="shared" si="1131"/>
        <v>0</v>
      </c>
      <c r="T239" s="688">
        <f t="shared" si="1131"/>
        <v>0</v>
      </c>
      <c r="U239" s="15"/>
      <c r="V239" s="688">
        <f>+$H$239*T88/12</f>
        <v>0</v>
      </c>
      <c r="W239" s="688">
        <f t="shared" ref="W239:AG239" si="1132">+$H$239*V88/12</f>
        <v>0</v>
      </c>
      <c r="X239" s="688">
        <f t="shared" si="1132"/>
        <v>0</v>
      </c>
      <c r="Y239" s="688">
        <f t="shared" si="1132"/>
        <v>0</v>
      </c>
      <c r="Z239" s="688">
        <f t="shared" si="1132"/>
        <v>0</v>
      </c>
      <c r="AA239" s="688">
        <f t="shared" si="1132"/>
        <v>0</v>
      </c>
      <c r="AB239" s="688">
        <f t="shared" si="1132"/>
        <v>0</v>
      </c>
      <c r="AC239" s="688">
        <f t="shared" si="1132"/>
        <v>0</v>
      </c>
      <c r="AD239" s="688">
        <f t="shared" si="1132"/>
        <v>0</v>
      </c>
      <c r="AE239" s="688">
        <f t="shared" si="1132"/>
        <v>0</v>
      </c>
      <c r="AF239" s="688">
        <f t="shared" si="1132"/>
        <v>0</v>
      </c>
      <c r="AG239" s="688">
        <f t="shared" si="1132"/>
        <v>0</v>
      </c>
      <c r="AH239" s="21"/>
      <c r="AI239" s="688">
        <f>+$H$239*AG88/12</f>
        <v>0</v>
      </c>
      <c r="AJ239" s="688">
        <f t="shared" ref="AJ239:AT239" si="1133">+$H$239*AI88/12</f>
        <v>0</v>
      </c>
      <c r="AK239" s="688">
        <f t="shared" si="1133"/>
        <v>0</v>
      </c>
      <c r="AL239" s="688">
        <f t="shared" si="1133"/>
        <v>0</v>
      </c>
      <c r="AM239" s="688">
        <f t="shared" si="1133"/>
        <v>0</v>
      </c>
      <c r="AN239" s="688">
        <f t="shared" si="1133"/>
        <v>0</v>
      </c>
      <c r="AO239" s="688">
        <f t="shared" si="1133"/>
        <v>0</v>
      </c>
      <c r="AP239" s="688">
        <f t="shared" si="1133"/>
        <v>0</v>
      </c>
      <c r="AQ239" s="688">
        <f t="shared" si="1133"/>
        <v>0</v>
      </c>
      <c r="AR239" s="688">
        <f t="shared" si="1133"/>
        <v>0</v>
      </c>
      <c r="AS239" s="688">
        <f t="shared" si="1133"/>
        <v>0</v>
      </c>
      <c r="AT239" s="688">
        <f t="shared" si="1133"/>
        <v>0</v>
      </c>
      <c r="AU239" s="21"/>
      <c r="AV239" s="688">
        <f>+$H$239*AT88/12</f>
        <v>0</v>
      </c>
      <c r="AW239" s="688">
        <f t="shared" ref="AW239:BG239" si="1134">+$H$239*AV88/12</f>
        <v>0</v>
      </c>
      <c r="AX239" s="688">
        <f t="shared" si="1134"/>
        <v>0</v>
      </c>
      <c r="AY239" s="688">
        <f t="shared" si="1134"/>
        <v>0</v>
      </c>
      <c r="AZ239" s="688">
        <f t="shared" si="1134"/>
        <v>0</v>
      </c>
      <c r="BA239" s="688">
        <f t="shared" si="1134"/>
        <v>0</v>
      </c>
      <c r="BB239" s="688">
        <f t="shared" si="1134"/>
        <v>0</v>
      </c>
      <c r="BC239" s="688">
        <f t="shared" si="1134"/>
        <v>0</v>
      </c>
      <c r="BD239" s="688">
        <f t="shared" si="1134"/>
        <v>0</v>
      </c>
      <c r="BE239" s="688">
        <f t="shared" si="1134"/>
        <v>0</v>
      </c>
      <c r="BF239" s="688">
        <f t="shared" si="1134"/>
        <v>0</v>
      </c>
      <c r="BG239" s="688">
        <f t="shared" si="1134"/>
        <v>0</v>
      </c>
      <c r="BH239" s="21"/>
      <c r="BI239" s="688">
        <f>+$H$239*BG88/12</f>
        <v>0</v>
      </c>
      <c r="BJ239" s="688">
        <f t="shared" ref="BJ239:BT239" si="1135">+$H$239*BI88/12</f>
        <v>0</v>
      </c>
      <c r="BK239" s="688">
        <f t="shared" si="1135"/>
        <v>0</v>
      </c>
      <c r="BL239" s="688">
        <f t="shared" si="1135"/>
        <v>0</v>
      </c>
      <c r="BM239" s="688">
        <f t="shared" si="1135"/>
        <v>0</v>
      </c>
      <c r="BN239" s="688">
        <f t="shared" si="1135"/>
        <v>0</v>
      </c>
      <c r="BO239" s="688">
        <f t="shared" si="1135"/>
        <v>0</v>
      </c>
      <c r="BP239" s="688">
        <f t="shared" si="1135"/>
        <v>0</v>
      </c>
      <c r="BQ239" s="688">
        <f t="shared" si="1135"/>
        <v>0</v>
      </c>
      <c r="BR239" s="688">
        <f t="shared" si="1135"/>
        <v>0</v>
      </c>
      <c r="BS239" s="688">
        <f t="shared" si="1135"/>
        <v>0</v>
      </c>
      <c r="BT239" s="688">
        <f t="shared" si="1135"/>
        <v>0</v>
      </c>
      <c r="BU239" s="21"/>
      <c r="BV239" s="688">
        <f>+$H$239*BT88/12</f>
        <v>0</v>
      </c>
      <c r="BW239" s="688">
        <f t="shared" ref="BW239:CG239" si="1136">+$H$239*BV88/12</f>
        <v>0</v>
      </c>
      <c r="BX239" s="688">
        <f t="shared" si="1136"/>
        <v>0</v>
      </c>
      <c r="BY239" s="688">
        <f t="shared" si="1136"/>
        <v>0</v>
      </c>
      <c r="BZ239" s="688">
        <f t="shared" si="1136"/>
        <v>0</v>
      </c>
      <c r="CA239" s="688">
        <f t="shared" si="1136"/>
        <v>0</v>
      </c>
      <c r="CB239" s="688">
        <f t="shared" si="1136"/>
        <v>0</v>
      </c>
      <c r="CC239" s="688">
        <f t="shared" si="1136"/>
        <v>0</v>
      </c>
      <c r="CD239" s="688">
        <f t="shared" si="1136"/>
        <v>0</v>
      </c>
      <c r="CE239" s="688">
        <f t="shared" si="1136"/>
        <v>0</v>
      </c>
      <c r="CF239" s="688">
        <f t="shared" si="1136"/>
        <v>0</v>
      </c>
      <c r="CG239" s="688">
        <f t="shared" si="1136"/>
        <v>0</v>
      </c>
      <c r="CH239" s="21"/>
      <c r="CI239" s="688">
        <f>+$H$239*CG88/12</f>
        <v>0</v>
      </c>
      <c r="CJ239" s="688">
        <f t="shared" ref="CJ239:CT239" si="1137">+$H$239*CI88/12</f>
        <v>0</v>
      </c>
      <c r="CK239" s="688">
        <f t="shared" si="1137"/>
        <v>0</v>
      </c>
      <c r="CL239" s="688">
        <f t="shared" si="1137"/>
        <v>0</v>
      </c>
      <c r="CM239" s="688">
        <f t="shared" si="1137"/>
        <v>0</v>
      </c>
      <c r="CN239" s="688">
        <f t="shared" si="1137"/>
        <v>0</v>
      </c>
      <c r="CO239" s="688">
        <f t="shared" si="1137"/>
        <v>0</v>
      </c>
      <c r="CP239" s="688">
        <f t="shared" si="1137"/>
        <v>0</v>
      </c>
      <c r="CQ239" s="688">
        <f t="shared" si="1137"/>
        <v>0</v>
      </c>
      <c r="CR239" s="688">
        <f t="shared" si="1137"/>
        <v>0</v>
      </c>
      <c r="CS239" s="688">
        <f t="shared" si="1137"/>
        <v>0</v>
      </c>
      <c r="CT239" s="688">
        <f t="shared" si="1137"/>
        <v>0</v>
      </c>
      <c r="CU239" s="21"/>
      <c r="CV239" s="688">
        <f>+$H$239*CT88/12</f>
        <v>0</v>
      </c>
      <c r="CW239" s="688">
        <f t="shared" ref="CW239:DG239" si="1138">+$H$239*CV88/12</f>
        <v>0</v>
      </c>
      <c r="CX239" s="688">
        <f t="shared" si="1138"/>
        <v>0</v>
      </c>
      <c r="CY239" s="688">
        <f t="shared" si="1138"/>
        <v>0</v>
      </c>
      <c r="CZ239" s="688">
        <f t="shared" si="1138"/>
        <v>0</v>
      </c>
      <c r="DA239" s="688">
        <f t="shared" si="1138"/>
        <v>0</v>
      </c>
      <c r="DB239" s="688">
        <f t="shared" si="1138"/>
        <v>0</v>
      </c>
      <c r="DC239" s="688">
        <f t="shared" si="1138"/>
        <v>0</v>
      </c>
      <c r="DD239" s="688">
        <f t="shared" si="1138"/>
        <v>0</v>
      </c>
      <c r="DE239" s="688">
        <f t="shared" si="1138"/>
        <v>0</v>
      </c>
      <c r="DF239" s="688">
        <f t="shared" si="1138"/>
        <v>0</v>
      </c>
      <c r="DG239" s="688">
        <f t="shared" si="1138"/>
        <v>0</v>
      </c>
      <c r="DH239" s="21"/>
      <c r="DI239" s="688">
        <f>+$H$239*DG88/12</f>
        <v>0</v>
      </c>
      <c r="DJ239" s="688">
        <f t="shared" ref="DJ239:DT239" si="1139">+$H$239*DI88/12</f>
        <v>0</v>
      </c>
      <c r="DK239" s="688">
        <f t="shared" si="1139"/>
        <v>0</v>
      </c>
      <c r="DL239" s="688">
        <f t="shared" si="1139"/>
        <v>0</v>
      </c>
      <c r="DM239" s="688">
        <f t="shared" si="1139"/>
        <v>0</v>
      </c>
      <c r="DN239" s="688">
        <f t="shared" si="1139"/>
        <v>0</v>
      </c>
      <c r="DO239" s="688">
        <f t="shared" si="1139"/>
        <v>0</v>
      </c>
      <c r="DP239" s="688">
        <f t="shared" si="1139"/>
        <v>0</v>
      </c>
      <c r="DQ239" s="688">
        <f t="shared" si="1139"/>
        <v>0</v>
      </c>
      <c r="DR239" s="688">
        <f t="shared" si="1139"/>
        <v>0</v>
      </c>
      <c r="DS239" s="688">
        <f t="shared" si="1139"/>
        <v>0</v>
      </c>
      <c r="DT239" s="688">
        <f t="shared" si="1139"/>
        <v>0</v>
      </c>
      <c r="DU239" s="21"/>
      <c r="DV239" s="688">
        <f>+$H$239*DT88/12</f>
        <v>0</v>
      </c>
      <c r="DW239" s="688">
        <f t="shared" ref="DW239:EG239" si="1140">+$H$239*DV88/12</f>
        <v>0</v>
      </c>
      <c r="DX239" s="688">
        <f t="shared" si="1140"/>
        <v>0</v>
      </c>
      <c r="DY239" s="688">
        <f t="shared" si="1140"/>
        <v>0</v>
      </c>
      <c r="DZ239" s="688">
        <f t="shared" si="1140"/>
        <v>0</v>
      </c>
      <c r="EA239" s="688">
        <f t="shared" si="1140"/>
        <v>0</v>
      </c>
      <c r="EB239" s="688">
        <f t="shared" si="1140"/>
        <v>0</v>
      </c>
      <c r="EC239" s="688">
        <f t="shared" si="1140"/>
        <v>0</v>
      </c>
      <c r="ED239" s="688">
        <f t="shared" si="1140"/>
        <v>0</v>
      </c>
      <c r="EE239" s="688">
        <f t="shared" si="1140"/>
        <v>0</v>
      </c>
      <c r="EF239" s="688">
        <f t="shared" si="1140"/>
        <v>0</v>
      </c>
      <c r="EG239" s="688">
        <f t="shared" si="1140"/>
        <v>0</v>
      </c>
      <c r="EH239" s="21"/>
      <c r="EI239" s="21"/>
      <c r="EJ239" s="21"/>
      <c r="EK239" s="21"/>
      <c r="EL239" s="21"/>
      <c r="EM239" s="21"/>
    </row>
    <row r="240" spans="1:143" ht="13.5" customHeight="1">
      <c r="A240" s="21"/>
      <c r="B240" s="21"/>
      <c r="C240" s="21"/>
      <c r="D240" s="21"/>
      <c r="E240" s="21"/>
      <c r="F240" s="21" t="str">
        <f>+Assumption!F308</f>
        <v>Leasing 4</v>
      </c>
      <c r="G240" s="15"/>
      <c r="H240" s="66">
        <f>+Assumption!H308</f>
        <v>0</v>
      </c>
      <c r="I240" s="688">
        <f t="shared" ref="I240:T240" si="1141">+$H$240*H89/12</f>
        <v>0</v>
      </c>
      <c r="J240" s="688">
        <f t="shared" si="1141"/>
        <v>0</v>
      </c>
      <c r="K240" s="688">
        <f t="shared" si="1141"/>
        <v>0</v>
      </c>
      <c r="L240" s="688">
        <f t="shared" si="1141"/>
        <v>0</v>
      </c>
      <c r="M240" s="688">
        <f t="shared" si="1141"/>
        <v>0</v>
      </c>
      <c r="N240" s="688">
        <f t="shared" si="1141"/>
        <v>0</v>
      </c>
      <c r="O240" s="688">
        <f t="shared" si="1141"/>
        <v>0</v>
      </c>
      <c r="P240" s="688">
        <f t="shared" si="1141"/>
        <v>0</v>
      </c>
      <c r="Q240" s="688">
        <f t="shared" si="1141"/>
        <v>0</v>
      </c>
      <c r="R240" s="688">
        <f t="shared" si="1141"/>
        <v>0</v>
      </c>
      <c r="S240" s="688">
        <f t="shared" si="1141"/>
        <v>0</v>
      </c>
      <c r="T240" s="688">
        <f t="shared" si="1141"/>
        <v>0</v>
      </c>
      <c r="U240" s="15"/>
      <c r="V240" s="688">
        <f>+$H$240*T89/12</f>
        <v>0</v>
      </c>
      <c r="W240" s="688">
        <f t="shared" ref="W240:AG240" si="1142">+$H$240*V89/12</f>
        <v>0</v>
      </c>
      <c r="X240" s="688">
        <f t="shared" si="1142"/>
        <v>0</v>
      </c>
      <c r="Y240" s="688">
        <f t="shared" si="1142"/>
        <v>0</v>
      </c>
      <c r="Z240" s="688">
        <f t="shared" si="1142"/>
        <v>0</v>
      </c>
      <c r="AA240" s="688">
        <f t="shared" si="1142"/>
        <v>0</v>
      </c>
      <c r="AB240" s="688">
        <f t="shared" si="1142"/>
        <v>0</v>
      </c>
      <c r="AC240" s="688">
        <f t="shared" si="1142"/>
        <v>0</v>
      </c>
      <c r="AD240" s="688">
        <f t="shared" si="1142"/>
        <v>0</v>
      </c>
      <c r="AE240" s="688">
        <f t="shared" si="1142"/>
        <v>0</v>
      </c>
      <c r="AF240" s="688">
        <f t="shared" si="1142"/>
        <v>0</v>
      </c>
      <c r="AG240" s="688">
        <f t="shared" si="1142"/>
        <v>0</v>
      </c>
      <c r="AH240" s="21"/>
      <c r="AI240" s="688">
        <f>+$H$240*AG89/12</f>
        <v>0</v>
      </c>
      <c r="AJ240" s="688">
        <f t="shared" ref="AJ240:AT240" si="1143">+$H$240*AI89/12</f>
        <v>0</v>
      </c>
      <c r="AK240" s="688">
        <f t="shared" si="1143"/>
        <v>0</v>
      </c>
      <c r="AL240" s="688">
        <f t="shared" si="1143"/>
        <v>0</v>
      </c>
      <c r="AM240" s="688">
        <f t="shared" si="1143"/>
        <v>0</v>
      </c>
      <c r="AN240" s="688">
        <f t="shared" si="1143"/>
        <v>0</v>
      </c>
      <c r="AO240" s="688">
        <f t="shared" si="1143"/>
        <v>0</v>
      </c>
      <c r="AP240" s="688">
        <f t="shared" si="1143"/>
        <v>0</v>
      </c>
      <c r="AQ240" s="688">
        <f t="shared" si="1143"/>
        <v>0</v>
      </c>
      <c r="AR240" s="688">
        <f t="shared" si="1143"/>
        <v>0</v>
      </c>
      <c r="AS240" s="688">
        <f t="shared" si="1143"/>
        <v>0</v>
      </c>
      <c r="AT240" s="688">
        <f t="shared" si="1143"/>
        <v>0</v>
      </c>
      <c r="AU240" s="21"/>
      <c r="AV240" s="688">
        <f>+$H$240*AT89/12</f>
        <v>0</v>
      </c>
      <c r="AW240" s="688">
        <f t="shared" ref="AW240:BG240" si="1144">+$H$240*AV89/12</f>
        <v>0</v>
      </c>
      <c r="AX240" s="688">
        <f t="shared" si="1144"/>
        <v>0</v>
      </c>
      <c r="AY240" s="688">
        <f t="shared" si="1144"/>
        <v>0</v>
      </c>
      <c r="AZ240" s="688">
        <f t="shared" si="1144"/>
        <v>0</v>
      </c>
      <c r="BA240" s="688">
        <f t="shared" si="1144"/>
        <v>0</v>
      </c>
      <c r="BB240" s="688">
        <f t="shared" si="1144"/>
        <v>0</v>
      </c>
      <c r="BC240" s="688">
        <f t="shared" si="1144"/>
        <v>0</v>
      </c>
      <c r="BD240" s="688">
        <f t="shared" si="1144"/>
        <v>0</v>
      </c>
      <c r="BE240" s="688">
        <f t="shared" si="1144"/>
        <v>0</v>
      </c>
      <c r="BF240" s="688">
        <f t="shared" si="1144"/>
        <v>0</v>
      </c>
      <c r="BG240" s="688">
        <f t="shared" si="1144"/>
        <v>0</v>
      </c>
      <c r="BH240" s="21"/>
      <c r="BI240" s="688">
        <f>+$H$240*BG89/12</f>
        <v>0</v>
      </c>
      <c r="BJ240" s="688">
        <f t="shared" ref="BJ240:BT240" si="1145">+$H$240*BI89/12</f>
        <v>0</v>
      </c>
      <c r="BK240" s="688">
        <f t="shared" si="1145"/>
        <v>0</v>
      </c>
      <c r="BL240" s="688">
        <f t="shared" si="1145"/>
        <v>0</v>
      </c>
      <c r="BM240" s="688">
        <f t="shared" si="1145"/>
        <v>0</v>
      </c>
      <c r="BN240" s="688">
        <f t="shared" si="1145"/>
        <v>0</v>
      </c>
      <c r="BO240" s="688">
        <f t="shared" si="1145"/>
        <v>0</v>
      </c>
      <c r="BP240" s="688">
        <f t="shared" si="1145"/>
        <v>0</v>
      </c>
      <c r="BQ240" s="688">
        <f t="shared" si="1145"/>
        <v>0</v>
      </c>
      <c r="BR240" s="688">
        <f t="shared" si="1145"/>
        <v>0</v>
      </c>
      <c r="BS240" s="688">
        <f t="shared" si="1145"/>
        <v>0</v>
      </c>
      <c r="BT240" s="688">
        <f t="shared" si="1145"/>
        <v>0</v>
      </c>
      <c r="BU240" s="21"/>
      <c r="BV240" s="688">
        <f>+$H$240*BT89/12</f>
        <v>0</v>
      </c>
      <c r="BW240" s="688">
        <f t="shared" ref="BW240:CG240" si="1146">+$H$240*BV89/12</f>
        <v>0</v>
      </c>
      <c r="BX240" s="688">
        <f t="shared" si="1146"/>
        <v>0</v>
      </c>
      <c r="BY240" s="688">
        <f t="shared" si="1146"/>
        <v>0</v>
      </c>
      <c r="BZ240" s="688">
        <f t="shared" si="1146"/>
        <v>0</v>
      </c>
      <c r="CA240" s="688">
        <f t="shared" si="1146"/>
        <v>0</v>
      </c>
      <c r="CB240" s="688">
        <f t="shared" si="1146"/>
        <v>0</v>
      </c>
      <c r="CC240" s="688">
        <f t="shared" si="1146"/>
        <v>0</v>
      </c>
      <c r="CD240" s="688">
        <f t="shared" si="1146"/>
        <v>0</v>
      </c>
      <c r="CE240" s="688">
        <f t="shared" si="1146"/>
        <v>0</v>
      </c>
      <c r="CF240" s="688">
        <f t="shared" si="1146"/>
        <v>0</v>
      </c>
      <c r="CG240" s="688">
        <f t="shared" si="1146"/>
        <v>0</v>
      </c>
      <c r="CH240" s="21"/>
      <c r="CI240" s="688">
        <f>+$H$240*CG89/12</f>
        <v>0</v>
      </c>
      <c r="CJ240" s="688">
        <f t="shared" ref="CJ240:CT240" si="1147">+$H$240*CI89/12</f>
        <v>0</v>
      </c>
      <c r="CK240" s="688">
        <f t="shared" si="1147"/>
        <v>0</v>
      </c>
      <c r="CL240" s="688">
        <f t="shared" si="1147"/>
        <v>0</v>
      </c>
      <c r="CM240" s="688">
        <f t="shared" si="1147"/>
        <v>0</v>
      </c>
      <c r="CN240" s="688">
        <f t="shared" si="1147"/>
        <v>0</v>
      </c>
      <c r="CO240" s="688">
        <f t="shared" si="1147"/>
        <v>0</v>
      </c>
      <c r="CP240" s="688">
        <f t="shared" si="1147"/>
        <v>0</v>
      </c>
      <c r="CQ240" s="688">
        <f t="shared" si="1147"/>
        <v>0</v>
      </c>
      <c r="CR240" s="688">
        <f t="shared" si="1147"/>
        <v>0</v>
      </c>
      <c r="CS240" s="688">
        <f t="shared" si="1147"/>
        <v>0</v>
      </c>
      <c r="CT240" s="688">
        <f t="shared" si="1147"/>
        <v>0</v>
      </c>
      <c r="CU240" s="21"/>
      <c r="CV240" s="688">
        <f>+$H$240*CT89/12</f>
        <v>0</v>
      </c>
      <c r="CW240" s="688">
        <f t="shared" ref="CW240:DG240" si="1148">+$H$240*CV89/12</f>
        <v>0</v>
      </c>
      <c r="CX240" s="688">
        <f t="shared" si="1148"/>
        <v>0</v>
      </c>
      <c r="CY240" s="688">
        <f t="shared" si="1148"/>
        <v>0</v>
      </c>
      <c r="CZ240" s="688">
        <f t="shared" si="1148"/>
        <v>0</v>
      </c>
      <c r="DA240" s="688">
        <f t="shared" si="1148"/>
        <v>0</v>
      </c>
      <c r="DB240" s="688">
        <f t="shared" si="1148"/>
        <v>0</v>
      </c>
      <c r="DC240" s="688">
        <f t="shared" si="1148"/>
        <v>0</v>
      </c>
      <c r="DD240" s="688">
        <f t="shared" si="1148"/>
        <v>0</v>
      </c>
      <c r="DE240" s="688">
        <f t="shared" si="1148"/>
        <v>0</v>
      </c>
      <c r="DF240" s="688">
        <f t="shared" si="1148"/>
        <v>0</v>
      </c>
      <c r="DG240" s="688">
        <f t="shared" si="1148"/>
        <v>0</v>
      </c>
      <c r="DH240" s="21"/>
      <c r="DI240" s="688">
        <f>+$H$240*DG89/12</f>
        <v>0</v>
      </c>
      <c r="DJ240" s="688">
        <f t="shared" ref="DJ240:DT240" si="1149">+$H$240*DI89/12</f>
        <v>0</v>
      </c>
      <c r="DK240" s="688">
        <f t="shared" si="1149"/>
        <v>0</v>
      </c>
      <c r="DL240" s="688">
        <f t="shared" si="1149"/>
        <v>0</v>
      </c>
      <c r="DM240" s="688">
        <f t="shared" si="1149"/>
        <v>0</v>
      </c>
      <c r="DN240" s="688">
        <f t="shared" si="1149"/>
        <v>0</v>
      </c>
      <c r="DO240" s="688">
        <f t="shared" si="1149"/>
        <v>0</v>
      </c>
      <c r="DP240" s="688">
        <f t="shared" si="1149"/>
        <v>0</v>
      </c>
      <c r="DQ240" s="688">
        <f t="shared" si="1149"/>
        <v>0</v>
      </c>
      <c r="DR240" s="688">
        <f t="shared" si="1149"/>
        <v>0</v>
      </c>
      <c r="DS240" s="688">
        <f t="shared" si="1149"/>
        <v>0</v>
      </c>
      <c r="DT240" s="688">
        <f t="shared" si="1149"/>
        <v>0</v>
      </c>
      <c r="DU240" s="21"/>
      <c r="DV240" s="688">
        <f>+$H$240*DT89/12</f>
        <v>0</v>
      </c>
      <c r="DW240" s="688">
        <f t="shared" ref="DW240:EG240" si="1150">+$H$240*DV89/12</f>
        <v>0</v>
      </c>
      <c r="DX240" s="688">
        <f t="shared" si="1150"/>
        <v>0</v>
      </c>
      <c r="DY240" s="688">
        <f t="shared" si="1150"/>
        <v>0</v>
      </c>
      <c r="DZ240" s="688">
        <f t="shared" si="1150"/>
        <v>0</v>
      </c>
      <c r="EA240" s="688">
        <f t="shared" si="1150"/>
        <v>0</v>
      </c>
      <c r="EB240" s="688">
        <f t="shared" si="1150"/>
        <v>0</v>
      </c>
      <c r="EC240" s="688">
        <f t="shared" si="1150"/>
        <v>0</v>
      </c>
      <c r="ED240" s="688">
        <f t="shared" si="1150"/>
        <v>0</v>
      </c>
      <c r="EE240" s="688">
        <f t="shared" si="1150"/>
        <v>0</v>
      </c>
      <c r="EF240" s="688">
        <f t="shared" si="1150"/>
        <v>0</v>
      </c>
      <c r="EG240" s="688">
        <f t="shared" si="1150"/>
        <v>0</v>
      </c>
      <c r="EH240" s="21"/>
      <c r="EI240" s="21"/>
      <c r="EJ240" s="21"/>
      <c r="EK240" s="21"/>
      <c r="EL240" s="21"/>
      <c r="EM240" s="21"/>
    </row>
    <row r="241" spans="1:143" ht="13.5" customHeight="1">
      <c r="A241" s="21"/>
      <c r="B241" s="21"/>
      <c r="C241" s="21"/>
      <c r="D241" s="21"/>
      <c r="E241" s="21"/>
      <c r="F241" s="21" t="str">
        <f>+Assumption!F309</f>
        <v>Leasing 5</v>
      </c>
      <c r="G241" s="15"/>
      <c r="H241" s="66">
        <f>+Assumption!H309</f>
        <v>0</v>
      </c>
      <c r="I241" s="688">
        <f t="shared" ref="I241:T241" si="1151">+$H$241*H90/12</f>
        <v>0</v>
      </c>
      <c r="J241" s="688">
        <f t="shared" si="1151"/>
        <v>0</v>
      </c>
      <c r="K241" s="688">
        <f t="shared" si="1151"/>
        <v>0</v>
      </c>
      <c r="L241" s="688">
        <f t="shared" si="1151"/>
        <v>0</v>
      </c>
      <c r="M241" s="688">
        <f t="shared" si="1151"/>
        <v>0</v>
      </c>
      <c r="N241" s="688">
        <f t="shared" si="1151"/>
        <v>0</v>
      </c>
      <c r="O241" s="688">
        <f t="shared" si="1151"/>
        <v>0</v>
      </c>
      <c r="P241" s="688">
        <f t="shared" si="1151"/>
        <v>0</v>
      </c>
      <c r="Q241" s="688">
        <f t="shared" si="1151"/>
        <v>0</v>
      </c>
      <c r="R241" s="688">
        <f t="shared" si="1151"/>
        <v>0</v>
      </c>
      <c r="S241" s="688">
        <f t="shared" si="1151"/>
        <v>0</v>
      </c>
      <c r="T241" s="688">
        <f t="shared" si="1151"/>
        <v>0</v>
      </c>
      <c r="U241" s="15"/>
      <c r="V241" s="688">
        <f>+$H$241*T90/12</f>
        <v>0</v>
      </c>
      <c r="W241" s="688">
        <f t="shared" ref="W241:AG241" si="1152">+$H$241*V90/12</f>
        <v>0</v>
      </c>
      <c r="X241" s="688">
        <f t="shared" si="1152"/>
        <v>0</v>
      </c>
      <c r="Y241" s="688">
        <f t="shared" si="1152"/>
        <v>0</v>
      </c>
      <c r="Z241" s="688">
        <f t="shared" si="1152"/>
        <v>0</v>
      </c>
      <c r="AA241" s="688">
        <f t="shared" si="1152"/>
        <v>0</v>
      </c>
      <c r="AB241" s="688">
        <f t="shared" si="1152"/>
        <v>0</v>
      </c>
      <c r="AC241" s="688">
        <f t="shared" si="1152"/>
        <v>0</v>
      </c>
      <c r="AD241" s="688">
        <f t="shared" si="1152"/>
        <v>0</v>
      </c>
      <c r="AE241" s="688">
        <f t="shared" si="1152"/>
        <v>0</v>
      </c>
      <c r="AF241" s="688">
        <f t="shared" si="1152"/>
        <v>0</v>
      </c>
      <c r="AG241" s="688">
        <f t="shared" si="1152"/>
        <v>0</v>
      </c>
      <c r="AH241" s="21"/>
      <c r="AI241" s="688">
        <f>+$H$241*AG90/12</f>
        <v>0</v>
      </c>
      <c r="AJ241" s="688">
        <f t="shared" ref="AJ241:AT241" si="1153">+$H$241*AI90/12</f>
        <v>0</v>
      </c>
      <c r="AK241" s="688">
        <f t="shared" si="1153"/>
        <v>0</v>
      </c>
      <c r="AL241" s="688">
        <f t="shared" si="1153"/>
        <v>0</v>
      </c>
      <c r="AM241" s="688">
        <f t="shared" si="1153"/>
        <v>0</v>
      </c>
      <c r="AN241" s="688">
        <f t="shared" si="1153"/>
        <v>0</v>
      </c>
      <c r="AO241" s="688">
        <f t="shared" si="1153"/>
        <v>0</v>
      </c>
      <c r="AP241" s="688">
        <f t="shared" si="1153"/>
        <v>0</v>
      </c>
      <c r="AQ241" s="688">
        <f t="shared" si="1153"/>
        <v>0</v>
      </c>
      <c r="AR241" s="688">
        <f t="shared" si="1153"/>
        <v>0</v>
      </c>
      <c r="AS241" s="688">
        <f t="shared" si="1153"/>
        <v>0</v>
      </c>
      <c r="AT241" s="688">
        <f t="shared" si="1153"/>
        <v>0</v>
      </c>
      <c r="AU241" s="21"/>
      <c r="AV241" s="688">
        <f>+$H$241*AT90/12</f>
        <v>0</v>
      </c>
      <c r="AW241" s="688">
        <f t="shared" ref="AW241:BG241" si="1154">+$H$241*AV90/12</f>
        <v>0</v>
      </c>
      <c r="AX241" s="688">
        <f t="shared" si="1154"/>
        <v>0</v>
      </c>
      <c r="AY241" s="688">
        <f t="shared" si="1154"/>
        <v>0</v>
      </c>
      <c r="AZ241" s="688">
        <f t="shared" si="1154"/>
        <v>0</v>
      </c>
      <c r="BA241" s="688">
        <f t="shared" si="1154"/>
        <v>0</v>
      </c>
      <c r="BB241" s="688">
        <f t="shared" si="1154"/>
        <v>0</v>
      </c>
      <c r="BC241" s="688">
        <f t="shared" si="1154"/>
        <v>0</v>
      </c>
      <c r="BD241" s="688">
        <f t="shared" si="1154"/>
        <v>0</v>
      </c>
      <c r="BE241" s="688">
        <f t="shared" si="1154"/>
        <v>0</v>
      </c>
      <c r="BF241" s="688">
        <f t="shared" si="1154"/>
        <v>0</v>
      </c>
      <c r="BG241" s="688">
        <f t="shared" si="1154"/>
        <v>0</v>
      </c>
      <c r="BH241" s="21"/>
      <c r="BI241" s="688">
        <f>+$H$241*BG90/12</f>
        <v>0</v>
      </c>
      <c r="BJ241" s="688">
        <f t="shared" ref="BJ241:BT241" si="1155">+$H$241*BI90/12</f>
        <v>0</v>
      </c>
      <c r="BK241" s="688">
        <f t="shared" si="1155"/>
        <v>0</v>
      </c>
      <c r="BL241" s="688">
        <f t="shared" si="1155"/>
        <v>0</v>
      </c>
      <c r="BM241" s="688">
        <f t="shared" si="1155"/>
        <v>0</v>
      </c>
      <c r="BN241" s="688">
        <f t="shared" si="1155"/>
        <v>0</v>
      </c>
      <c r="BO241" s="688">
        <f t="shared" si="1155"/>
        <v>0</v>
      </c>
      <c r="BP241" s="688">
        <f t="shared" si="1155"/>
        <v>0</v>
      </c>
      <c r="BQ241" s="688">
        <f t="shared" si="1155"/>
        <v>0</v>
      </c>
      <c r="BR241" s="688">
        <f t="shared" si="1155"/>
        <v>0</v>
      </c>
      <c r="BS241" s="688">
        <f t="shared" si="1155"/>
        <v>0</v>
      </c>
      <c r="BT241" s="688">
        <f t="shared" si="1155"/>
        <v>0</v>
      </c>
      <c r="BU241" s="21"/>
      <c r="BV241" s="688">
        <f>+$H$241*BT90/12</f>
        <v>0</v>
      </c>
      <c r="BW241" s="688">
        <f t="shared" ref="BW241:CG241" si="1156">+$H$241*BV90/12</f>
        <v>0</v>
      </c>
      <c r="BX241" s="688">
        <f t="shared" si="1156"/>
        <v>0</v>
      </c>
      <c r="BY241" s="688">
        <f t="shared" si="1156"/>
        <v>0</v>
      </c>
      <c r="BZ241" s="688">
        <f t="shared" si="1156"/>
        <v>0</v>
      </c>
      <c r="CA241" s="688">
        <f t="shared" si="1156"/>
        <v>0</v>
      </c>
      <c r="CB241" s="688">
        <f t="shared" si="1156"/>
        <v>0</v>
      </c>
      <c r="CC241" s="688">
        <f t="shared" si="1156"/>
        <v>0</v>
      </c>
      <c r="CD241" s="688">
        <f t="shared" si="1156"/>
        <v>0</v>
      </c>
      <c r="CE241" s="688">
        <f t="shared" si="1156"/>
        <v>0</v>
      </c>
      <c r="CF241" s="688">
        <f t="shared" si="1156"/>
        <v>0</v>
      </c>
      <c r="CG241" s="688">
        <f t="shared" si="1156"/>
        <v>0</v>
      </c>
      <c r="CH241" s="21"/>
      <c r="CI241" s="688">
        <f>+$H$241*CG90/12</f>
        <v>0</v>
      </c>
      <c r="CJ241" s="688">
        <f t="shared" ref="CJ241:CT241" si="1157">+$H$241*CI90/12</f>
        <v>0</v>
      </c>
      <c r="CK241" s="688">
        <f t="shared" si="1157"/>
        <v>0</v>
      </c>
      <c r="CL241" s="688">
        <f t="shared" si="1157"/>
        <v>0</v>
      </c>
      <c r="CM241" s="688">
        <f t="shared" si="1157"/>
        <v>0</v>
      </c>
      <c r="CN241" s="688">
        <f t="shared" si="1157"/>
        <v>0</v>
      </c>
      <c r="CO241" s="688">
        <f t="shared" si="1157"/>
        <v>0</v>
      </c>
      <c r="CP241" s="688">
        <f t="shared" si="1157"/>
        <v>0</v>
      </c>
      <c r="CQ241" s="688">
        <f t="shared" si="1157"/>
        <v>0</v>
      </c>
      <c r="CR241" s="688">
        <f t="shared" si="1157"/>
        <v>0</v>
      </c>
      <c r="CS241" s="688">
        <f t="shared" si="1157"/>
        <v>0</v>
      </c>
      <c r="CT241" s="688">
        <f t="shared" si="1157"/>
        <v>0</v>
      </c>
      <c r="CU241" s="21"/>
      <c r="CV241" s="688">
        <f>+$H$241*CT90/12</f>
        <v>0</v>
      </c>
      <c r="CW241" s="688">
        <f t="shared" ref="CW241:DG241" si="1158">+$H$241*CV90/12</f>
        <v>0</v>
      </c>
      <c r="CX241" s="688">
        <f t="shared" si="1158"/>
        <v>0</v>
      </c>
      <c r="CY241" s="688">
        <f t="shared" si="1158"/>
        <v>0</v>
      </c>
      <c r="CZ241" s="688">
        <f t="shared" si="1158"/>
        <v>0</v>
      </c>
      <c r="DA241" s="688">
        <f t="shared" si="1158"/>
        <v>0</v>
      </c>
      <c r="DB241" s="688">
        <f t="shared" si="1158"/>
        <v>0</v>
      </c>
      <c r="DC241" s="688">
        <f t="shared" si="1158"/>
        <v>0</v>
      </c>
      <c r="DD241" s="688">
        <f t="shared" si="1158"/>
        <v>0</v>
      </c>
      <c r="DE241" s="688">
        <f t="shared" si="1158"/>
        <v>0</v>
      </c>
      <c r="DF241" s="688">
        <f t="shared" si="1158"/>
        <v>0</v>
      </c>
      <c r="DG241" s="688">
        <f t="shared" si="1158"/>
        <v>0</v>
      </c>
      <c r="DH241" s="21"/>
      <c r="DI241" s="688">
        <f>+$H$241*DG90/12</f>
        <v>0</v>
      </c>
      <c r="DJ241" s="688">
        <f t="shared" ref="DJ241:DT241" si="1159">+$H$241*DI90/12</f>
        <v>0</v>
      </c>
      <c r="DK241" s="688">
        <f t="shared" si="1159"/>
        <v>0</v>
      </c>
      <c r="DL241" s="688">
        <f t="shared" si="1159"/>
        <v>0</v>
      </c>
      <c r="DM241" s="688">
        <f t="shared" si="1159"/>
        <v>0</v>
      </c>
      <c r="DN241" s="688">
        <f t="shared" si="1159"/>
        <v>0</v>
      </c>
      <c r="DO241" s="688">
        <f t="shared" si="1159"/>
        <v>0</v>
      </c>
      <c r="DP241" s="688">
        <f t="shared" si="1159"/>
        <v>0</v>
      </c>
      <c r="DQ241" s="688">
        <f t="shared" si="1159"/>
        <v>0</v>
      </c>
      <c r="DR241" s="688">
        <f t="shared" si="1159"/>
        <v>0</v>
      </c>
      <c r="DS241" s="688">
        <f t="shared" si="1159"/>
        <v>0</v>
      </c>
      <c r="DT241" s="688">
        <f t="shared" si="1159"/>
        <v>0</v>
      </c>
      <c r="DU241" s="21"/>
      <c r="DV241" s="688">
        <f>+$H$241*DT90/12</f>
        <v>0</v>
      </c>
      <c r="DW241" s="688">
        <f t="shared" ref="DW241:EG241" si="1160">+$H$241*DV90/12</f>
        <v>0</v>
      </c>
      <c r="DX241" s="688">
        <f t="shared" si="1160"/>
        <v>0</v>
      </c>
      <c r="DY241" s="688">
        <f t="shared" si="1160"/>
        <v>0</v>
      </c>
      <c r="DZ241" s="688">
        <f t="shared" si="1160"/>
        <v>0</v>
      </c>
      <c r="EA241" s="688">
        <f t="shared" si="1160"/>
        <v>0</v>
      </c>
      <c r="EB241" s="688">
        <f t="shared" si="1160"/>
        <v>0</v>
      </c>
      <c r="EC241" s="688">
        <f t="shared" si="1160"/>
        <v>0</v>
      </c>
      <c r="ED241" s="688">
        <f t="shared" si="1160"/>
        <v>0</v>
      </c>
      <c r="EE241" s="688">
        <f t="shared" si="1160"/>
        <v>0</v>
      </c>
      <c r="EF241" s="688">
        <f t="shared" si="1160"/>
        <v>0</v>
      </c>
      <c r="EG241" s="688">
        <f t="shared" si="1160"/>
        <v>0</v>
      </c>
      <c r="EH241" s="21"/>
      <c r="EI241" s="21"/>
      <c r="EJ241" s="21"/>
      <c r="EK241" s="21"/>
      <c r="EL241" s="21"/>
      <c r="EM241" s="21"/>
    </row>
    <row r="242" spans="1:143" ht="13.5" customHeight="1">
      <c r="A242" s="21"/>
      <c r="B242" s="21"/>
      <c r="C242" s="21"/>
      <c r="D242" s="21"/>
      <c r="E242" s="21"/>
      <c r="F242" s="21" t="str">
        <f>+Assumption!F310</f>
        <v>Leasing 6</v>
      </c>
      <c r="G242" s="15"/>
      <c r="H242" s="66">
        <f>+Assumption!H310</f>
        <v>0</v>
      </c>
      <c r="I242" s="688">
        <f t="shared" ref="I242:T242" si="1161">+$H$242*H91/12</f>
        <v>0</v>
      </c>
      <c r="J242" s="688">
        <f t="shared" si="1161"/>
        <v>0</v>
      </c>
      <c r="K242" s="688">
        <f t="shared" si="1161"/>
        <v>0</v>
      </c>
      <c r="L242" s="688">
        <f t="shared" si="1161"/>
        <v>0</v>
      </c>
      <c r="M242" s="688">
        <f t="shared" si="1161"/>
        <v>0</v>
      </c>
      <c r="N242" s="688">
        <f t="shared" si="1161"/>
        <v>0</v>
      </c>
      <c r="O242" s="688">
        <f t="shared" si="1161"/>
        <v>0</v>
      </c>
      <c r="P242" s="688">
        <f t="shared" si="1161"/>
        <v>0</v>
      </c>
      <c r="Q242" s="688">
        <f t="shared" si="1161"/>
        <v>0</v>
      </c>
      <c r="R242" s="688">
        <f t="shared" si="1161"/>
        <v>0</v>
      </c>
      <c r="S242" s="688">
        <f t="shared" si="1161"/>
        <v>0</v>
      </c>
      <c r="T242" s="688">
        <f t="shared" si="1161"/>
        <v>0</v>
      </c>
      <c r="U242" s="15"/>
      <c r="V242" s="688">
        <f>+$H$242*T91/12</f>
        <v>0</v>
      </c>
      <c r="W242" s="688">
        <f t="shared" ref="W242:AG242" si="1162">+$H$242*V91/12</f>
        <v>0</v>
      </c>
      <c r="X242" s="688">
        <f t="shared" si="1162"/>
        <v>0</v>
      </c>
      <c r="Y242" s="688">
        <f t="shared" si="1162"/>
        <v>0</v>
      </c>
      <c r="Z242" s="688">
        <f t="shared" si="1162"/>
        <v>0</v>
      </c>
      <c r="AA242" s="688">
        <f t="shared" si="1162"/>
        <v>0</v>
      </c>
      <c r="AB242" s="688">
        <f t="shared" si="1162"/>
        <v>0</v>
      </c>
      <c r="AC242" s="688">
        <f t="shared" si="1162"/>
        <v>0</v>
      </c>
      <c r="AD242" s="688">
        <f t="shared" si="1162"/>
        <v>0</v>
      </c>
      <c r="AE242" s="688">
        <f t="shared" si="1162"/>
        <v>0</v>
      </c>
      <c r="AF242" s="688">
        <f t="shared" si="1162"/>
        <v>0</v>
      </c>
      <c r="AG242" s="688">
        <f t="shared" si="1162"/>
        <v>0</v>
      </c>
      <c r="AH242" s="21"/>
      <c r="AI242" s="688">
        <f>+$H$242*AG91/12</f>
        <v>0</v>
      </c>
      <c r="AJ242" s="688">
        <f t="shared" ref="AJ242:AT242" si="1163">+$H$242*AI91/12</f>
        <v>0</v>
      </c>
      <c r="AK242" s="688">
        <f t="shared" si="1163"/>
        <v>0</v>
      </c>
      <c r="AL242" s="688">
        <f t="shared" si="1163"/>
        <v>0</v>
      </c>
      <c r="AM242" s="688">
        <f t="shared" si="1163"/>
        <v>0</v>
      </c>
      <c r="AN242" s="688">
        <f t="shared" si="1163"/>
        <v>0</v>
      </c>
      <c r="AO242" s="688">
        <f t="shared" si="1163"/>
        <v>0</v>
      </c>
      <c r="AP242" s="688">
        <f t="shared" si="1163"/>
        <v>0</v>
      </c>
      <c r="AQ242" s="688">
        <f t="shared" si="1163"/>
        <v>0</v>
      </c>
      <c r="AR242" s="688">
        <f t="shared" si="1163"/>
        <v>0</v>
      </c>
      <c r="AS242" s="688">
        <f t="shared" si="1163"/>
        <v>0</v>
      </c>
      <c r="AT242" s="688">
        <f t="shared" si="1163"/>
        <v>0</v>
      </c>
      <c r="AU242" s="21"/>
      <c r="AV242" s="688">
        <f>+$H$242*AT91/12</f>
        <v>0</v>
      </c>
      <c r="AW242" s="688">
        <f t="shared" ref="AW242:BG242" si="1164">+$H$242*AV91/12</f>
        <v>0</v>
      </c>
      <c r="AX242" s="688">
        <f t="shared" si="1164"/>
        <v>0</v>
      </c>
      <c r="AY242" s="688">
        <f t="shared" si="1164"/>
        <v>0</v>
      </c>
      <c r="AZ242" s="688">
        <f t="shared" si="1164"/>
        <v>0</v>
      </c>
      <c r="BA242" s="688">
        <f t="shared" si="1164"/>
        <v>0</v>
      </c>
      <c r="BB242" s="688">
        <f t="shared" si="1164"/>
        <v>0</v>
      </c>
      <c r="BC242" s="688">
        <f t="shared" si="1164"/>
        <v>0</v>
      </c>
      <c r="BD242" s="688">
        <f t="shared" si="1164"/>
        <v>0</v>
      </c>
      <c r="BE242" s="688">
        <f t="shared" si="1164"/>
        <v>0</v>
      </c>
      <c r="BF242" s="688">
        <f t="shared" si="1164"/>
        <v>0</v>
      </c>
      <c r="BG242" s="688">
        <f t="shared" si="1164"/>
        <v>0</v>
      </c>
      <c r="BH242" s="21"/>
      <c r="BI242" s="688">
        <f>+$H$242*BG91/12</f>
        <v>0</v>
      </c>
      <c r="BJ242" s="688">
        <f t="shared" ref="BJ242:BT242" si="1165">+$H$242*BI91/12</f>
        <v>0</v>
      </c>
      <c r="BK242" s="688">
        <f t="shared" si="1165"/>
        <v>0</v>
      </c>
      <c r="BL242" s="688">
        <f t="shared" si="1165"/>
        <v>0</v>
      </c>
      <c r="BM242" s="688">
        <f t="shared" si="1165"/>
        <v>0</v>
      </c>
      <c r="BN242" s="688">
        <f t="shared" si="1165"/>
        <v>0</v>
      </c>
      <c r="BO242" s="688">
        <f t="shared" si="1165"/>
        <v>0</v>
      </c>
      <c r="BP242" s="688">
        <f t="shared" si="1165"/>
        <v>0</v>
      </c>
      <c r="BQ242" s="688">
        <f t="shared" si="1165"/>
        <v>0</v>
      </c>
      <c r="BR242" s="688">
        <f t="shared" si="1165"/>
        <v>0</v>
      </c>
      <c r="BS242" s="688">
        <f t="shared" si="1165"/>
        <v>0</v>
      </c>
      <c r="BT242" s="688">
        <f t="shared" si="1165"/>
        <v>0</v>
      </c>
      <c r="BU242" s="21"/>
      <c r="BV242" s="688">
        <f>+$H$242*BT91/12</f>
        <v>0</v>
      </c>
      <c r="BW242" s="688">
        <f t="shared" ref="BW242:CG242" si="1166">+$H$242*BV91/12</f>
        <v>0</v>
      </c>
      <c r="BX242" s="688">
        <f t="shared" si="1166"/>
        <v>0</v>
      </c>
      <c r="BY242" s="688">
        <f t="shared" si="1166"/>
        <v>0</v>
      </c>
      <c r="BZ242" s="688">
        <f t="shared" si="1166"/>
        <v>0</v>
      </c>
      <c r="CA242" s="688">
        <f t="shared" si="1166"/>
        <v>0</v>
      </c>
      <c r="CB242" s="688">
        <f t="shared" si="1166"/>
        <v>0</v>
      </c>
      <c r="CC242" s="688">
        <f t="shared" si="1166"/>
        <v>0</v>
      </c>
      <c r="CD242" s="688">
        <f t="shared" si="1166"/>
        <v>0</v>
      </c>
      <c r="CE242" s="688">
        <f t="shared" si="1166"/>
        <v>0</v>
      </c>
      <c r="CF242" s="688">
        <f t="shared" si="1166"/>
        <v>0</v>
      </c>
      <c r="CG242" s="688">
        <f t="shared" si="1166"/>
        <v>0</v>
      </c>
      <c r="CH242" s="21"/>
      <c r="CI242" s="688">
        <f>+$H$242*CG91/12</f>
        <v>0</v>
      </c>
      <c r="CJ242" s="688">
        <f t="shared" ref="CJ242:CT242" si="1167">+$H$242*CI91/12</f>
        <v>0</v>
      </c>
      <c r="CK242" s="688">
        <f t="shared" si="1167"/>
        <v>0</v>
      </c>
      <c r="CL242" s="688">
        <f t="shared" si="1167"/>
        <v>0</v>
      </c>
      <c r="CM242" s="688">
        <f t="shared" si="1167"/>
        <v>0</v>
      </c>
      <c r="CN242" s="688">
        <f t="shared" si="1167"/>
        <v>0</v>
      </c>
      <c r="CO242" s="688">
        <f t="shared" si="1167"/>
        <v>0</v>
      </c>
      <c r="CP242" s="688">
        <f t="shared" si="1167"/>
        <v>0</v>
      </c>
      <c r="CQ242" s="688">
        <f t="shared" si="1167"/>
        <v>0</v>
      </c>
      <c r="CR242" s="688">
        <f t="shared" si="1167"/>
        <v>0</v>
      </c>
      <c r="CS242" s="688">
        <f t="shared" si="1167"/>
        <v>0</v>
      </c>
      <c r="CT242" s="688">
        <f t="shared" si="1167"/>
        <v>0</v>
      </c>
      <c r="CU242" s="21"/>
      <c r="CV242" s="688">
        <f>+$H$242*CT91/12</f>
        <v>0</v>
      </c>
      <c r="CW242" s="688">
        <f t="shared" ref="CW242:DG242" si="1168">+$H$242*CV91/12</f>
        <v>0</v>
      </c>
      <c r="CX242" s="688">
        <f t="shared" si="1168"/>
        <v>0</v>
      </c>
      <c r="CY242" s="688">
        <f t="shared" si="1168"/>
        <v>0</v>
      </c>
      <c r="CZ242" s="688">
        <f t="shared" si="1168"/>
        <v>0</v>
      </c>
      <c r="DA242" s="688">
        <f t="shared" si="1168"/>
        <v>0</v>
      </c>
      <c r="DB242" s="688">
        <f t="shared" si="1168"/>
        <v>0</v>
      </c>
      <c r="DC242" s="688">
        <f t="shared" si="1168"/>
        <v>0</v>
      </c>
      <c r="DD242" s="688">
        <f t="shared" si="1168"/>
        <v>0</v>
      </c>
      <c r="DE242" s="688">
        <f t="shared" si="1168"/>
        <v>0</v>
      </c>
      <c r="DF242" s="688">
        <f t="shared" si="1168"/>
        <v>0</v>
      </c>
      <c r="DG242" s="688">
        <f t="shared" si="1168"/>
        <v>0</v>
      </c>
      <c r="DH242" s="21"/>
      <c r="DI242" s="688">
        <f>+$H$242*DG91/12</f>
        <v>0</v>
      </c>
      <c r="DJ242" s="688">
        <f t="shared" ref="DJ242:DT242" si="1169">+$H$242*DI91/12</f>
        <v>0</v>
      </c>
      <c r="DK242" s="688">
        <f t="shared" si="1169"/>
        <v>0</v>
      </c>
      <c r="DL242" s="688">
        <f t="shared" si="1169"/>
        <v>0</v>
      </c>
      <c r="DM242" s="688">
        <f t="shared" si="1169"/>
        <v>0</v>
      </c>
      <c r="DN242" s="688">
        <f t="shared" si="1169"/>
        <v>0</v>
      </c>
      <c r="DO242" s="688">
        <f t="shared" si="1169"/>
        <v>0</v>
      </c>
      <c r="DP242" s="688">
        <f t="shared" si="1169"/>
        <v>0</v>
      </c>
      <c r="DQ242" s="688">
        <f t="shared" si="1169"/>
        <v>0</v>
      </c>
      <c r="DR242" s="688">
        <f t="shared" si="1169"/>
        <v>0</v>
      </c>
      <c r="DS242" s="688">
        <f t="shared" si="1169"/>
        <v>0</v>
      </c>
      <c r="DT242" s="688">
        <f t="shared" si="1169"/>
        <v>0</v>
      </c>
      <c r="DU242" s="21"/>
      <c r="DV242" s="688">
        <f>+$H$242*DT91/12</f>
        <v>0</v>
      </c>
      <c r="DW242" s="688">
        <f t="shared" ref="DW242:EG242" si="1170">+$H$242*DV91/12</f>
        <v>0</v>
      </c>
      <c r="DX242" s="688">
        <f t="shared" si="1170"/>
        <v>0</v>
      </c>
      <c r="DY242" s="688">
        <f t="shared" si="1170"/>
        <v>0</v>
      </c>
      <c r="DZ242" s="688">
        <f t="shared" si="1170"/>
        <v>0</v>
      </c>
      <c r="EA242" s="688">
        <f t="shared" si="1170"/>
        <v>0</v>
      </c>
      <c r="EB242" s="688">
        <f t="shared" si="1170"/>
        <v>0</v>
      </c>
      <c r="EC242" s="688">
        <f t="shared" si="1170"/>
        <v>0</v>
      </c>
      <c r="ED242" s="688">
        <f t="shared" si="1170"/>
        <v>0</v>
      </c>
      <c r="EE242" s="688">
        <f t="shared" si="1170"/>
        <v>0</v>
      </c>
      <c r="EF242" s="688">
        <f t="shared" si="1170"/>
        <v>0</v>
      </c>
      <c r="EG242" s="688">
        <f t="shared" si="1170"/>
        <v>0</v>
      </c>
      <c r="EH242" s="21"/>
      <c r="EI242" s="21"/>
      <c r="EJ242" s="21"/>
      <c r="EK242" s="21"/>
      <c r="EL242" s="21"/>
      <c r="EM242" s="21"/>
    </row>
    <row r="243" spans="1:143" ht="13.5" customHeight="1">
      <c r="A243" s="21"/>
      <c r="B243" s="21"/>
      <c r="C243" s="21"/>
      <c r="D243" s="21"/>
      <c r="E243" s="21"/>
      <c r="F243" s="21" t="str">
        <f>+Assumption!F311</f>
        <v>Leasing 7</v>
      </c>
      <c r="G243" s="15"/>
      <c r="H243" s="66">
        <f>+Assumption!H311</f>
        <v>0</v>
      </c>
      <c r="I243" s="688">
        <f t="shared" ref="I243:T243" si="1171">+$H$243*H92/12</f>
        <v>0</v>
      </c>
      <c r="J243" s="688">
        <f t="shared" si="1171"/>
        <v>0</v>
      </c>
      <c r="K243" s="688">
        <f t="shared" si="1171"/>
        <v>0</v>
      </c>
      <c r="L243" s="688">
        <f t="shared" si="1171"/>
        <v>0</v>
      </c>
      <c r="M243" s="688">
        <f t="shared" si="1171"/>
        <v>0</v>
      </c>
      <c r="N243" s="688">
        <f t="shared" si="1171"/>
        <v>0</v>
      </c>
      <c r="O243" s="688">
        <f t="shared" si="1171"/>
        <v>0</v>
      </c>
      <c r="P243" s="688">
        <f t="shared" si="1171"/>
        <v>0</v>
      </c>
      <c r="Q243" s="688">
        <f t="shared" si="1171"/>
        <v>0</v>
      </c>
      <c r="R243" s="688">
        <f t="shared" si="1171"/>
        <v>0</v>
      </c>
      <c r="S243" s="688">
        <f t="shared" si="1171"/>
        <v>0</v>
      </c>
      <c r="T243" s="688">
        <f t="shared" si="1171"/>
        <v>0</v>
      </c>
      <c r="U243" s="15"/>
      <c r="V243" s="688">
        <f>+$H$243*T92/12</f>
        <v>0</v>
      </c>
      <c r="W243" s="688">
        <f t="shared" ref="W243:AG243" si="1172">+$H$243*V92/12</f>
        <v>0</v>
      </c>
      <c r="X243" s="688">
        <f t="shared" si="1172"/>
        <v>0</v>
      </c>
      <c r="Y243" s="688">
        <f t="shared" si="1172"/>
        <v>0</v>
      </c>
      <c r="Z243" s="688">
        <f t="shared" si="1172"/>
        <v>0</v>
      </c>
      <c r="AA243" s="688">
        <f t="shared" si="1172"/>
        <v>0</v>
      </c>
      <c r="AB243" s="688">
        <f t="shared" si="1172"/>
        <v>0</v>
      </c>
      <c r="AC243" s="688">
        <f t="shared" si="1172"/>
        <v>0</v>
      </c>
      <c r="AD243" s="688">
        <f t="shared" si="1172"/>
        <v>0</v>
      </c>
      <c r="AE243" s="688">
        <f t="shared" si="1172"/>
        <v>0</v>
      </c>
      <c r="AF243" s="688">
        <f t="shared" si="1172"/>
        <v>0</v>
      </c>
      <c r="AG243" s="688">
        <f t="shared" si="1172"/>
        <v>0</v>
      </c>
      <c r="AH243" s="21"/>
      <c r="AI243" s="688">
        <f>+$H$243*AG92/12</f>
        <v>0</v>
      </c>
      <c r="AJ243" s="688">
        <f t="shared" ref="AJ243:AT243" si="1173">+$H$243*AI92/12</f>
        <v>0</v>
      </c>
      <c r="AK243" s="688">
        <f t="shared" si="1173"/>
        <v>0</v>
      </c>
      <c r="AL243" s="688">
        <f t="shared" si="1173"/>
        <v>0</v>
      </c>
      <c r="AM243" s="688">
        <f t="shared" si="1173"/>
        <v>0</v>
      </c>
      <c r="AN243" s="688">
        <f t="shared" si="1173"/>
        <v>0</v>
      </c>
      <c r="AO243" s="688">
        <f t="shared" si="1173"/>
        <v>0</v>
      </c>
      <c r="AP243" s="688">
        <f t="shared" si="1173"/>
        <v>0</v>
      </c>
      <c r="AQ243" s="688">
        <f t="shared" si="1173"/>
        <v>0</v>
      </c>
      <c r="AR243" s="688">
        <f t="shared" si="1173"/>
        <v>0</v>
      </c>
      <c r="AS243" s="688">
        <f t="shared" si="1173"/>
        <v>0</v>
      </c>
      <c r="AT243" s="688">
        <f t="shared" si="1173"/>
        <v>0</v>
      </c>
      <c r="AU243" s="21"/>
      <c r="AV243" s="688">
        <f>+$H$243*AT92/12</f>
        <v>0</v>
      </c>
      <c r="AW243" s="688">
        <f t="shared" ref="AW243:BG243" si="1174">+$H$243*AV92/12</f>
        <v>0</v>
      </c>
      <c r="AX243" s="688">
        <f t="shared" si="1174"/>
        <v>0</v>
      </c>
      <c r="AY243" s="688">
        <f t="shared" si="1174"/>
        <v>0</v>
      </c>
      <c r="AZ243" s="688">
        <f t="shared" si="1174"/>
        <v>0</v>
      </c>
      <c r="BA243" s="688">
        <f t="shared" si="1174"/>
        <v>0</v>
      </c>
      <c r="BB243" s="688">
        <f t="shared" si="1174"/>
        <v>0</v>
      </c>
      <c r="BC243" s="688">
        <f t="shared" si="1174"/>
        <v>0</v>
      </c>
      <c r="BD243" s="688">
        <f t="shared" si="1174"/>
        <v>0</v>
      </c>
      <c r="BE243" s="688">
        <f t="shared" si="1174"/>
        <v>0</v>
      </c>
      <c r="BF243" s="688">
        <f t="shared" si="1174"/>
        <v>0</v>
      </c>
      <c r="BG243" s="688">
        <f t="shared" si="1174"/>
        <v>0</v>
      </c>
      <c r="BH243" s="21"/>
      <c r="BI243" s="688">
        <f>+$H$243*BG92/12</f>
        <v>0</v>
      </c>
      <c r="BJ243" s="688">
        <f t="shared" ref="BJ243:BT243" si="1175">+$H$243*BI92/12</f>
        <v>0</v>
      </c>
      <c r="BK243" s="688">
        <f t="shared" si="1175"/>
        <v>0</v>
      </c>
      <c r="BL243" s="688">
        <f t="shared" si="1175"/>
        <v>0</v>
      </c>
      <c r="BM243" s="688">
        <f t="shared" si="1175"/>
        <v>0</v>
      </c>
      <c r="BN243" s="688">
        <f t="shared" si="1175"/>
        <v>0</v>
      </c>
      <c r="BO243" s="688">
        <f t="shared" si="1175"/>
        <v>0</v>
      </c>
      <c r="BP243" s="688">
        <f t="shared" si="1175"/>
        <v>0</v>
      </c>
      <c r="BQ243" s="688">
        <f t="shared" si="1175"/>
        <v>0</v>
      </c>
      <c r="BR243" s="688">
        <f t="shared" si="1175"/>
        <v>0</v>
      </c>
      <c r="BS243" s="688">
        <f t="shared" si="1175"/>
        <v>0</v>
      </c>
      <c r="BT243" s="688">
        <f t="shared" si="1175"/>
        <v>0</v>
      </c>
      <c r="BU243" s="21"/>
      <c r="BV243" s="688">
        <f>+$H$243*BT92/12</f>
        <v>0</v>
      </c>
      <c r="BW243" s="688">
        <f t="shared" ref="BW243:CG243" si="1176">+$H$243*BV92/12</f>
        <v>0</v>
      </c>
      <c r="BX243" s="688">
        <f t="shared" si="1176"/>
        <v>0</v>
      </c>
      <c r="BY243" s="688">
        <f t="shared" si="1176"/>
        <v>0</v>
      </c>
      <c r="BZ243" s="688">
        <f t="shared" si="1176"/>
        <v>0</v>
      </c>
      <c r="CA243" s="688">
        <f t="shared" si="1176"/>
        <v>0</v>
      </c>
      <c r="CB243" s="688">
        <f t="shared" si="1176"/>
        <v>0</v>
      </c>
      <c r="CC243" s="688">
        <f t="shared" si="1176"/>
        <v>0</v>
      </c>
      <c r="CD243" s="688">
        <f t="shared" si="1176"/>
        <v>0</v>
      </c>
      <c r="CE243" s="688">
        <f t="shared" si="1176"/>
        <v>0</v>
      </c>
      <c r="CF243" s="688">
        <f t="shared" si="1176"/>
        <v>0</v>
      </c>
      <c r="CG243" s="688">
        <f t="shared" si="1176"/>
        <v>0</v>
      </c>
      <c r="CH243" s="21"/>
      <c r="CI243" s="688">
        <f>+$H$243*CG92/12</f>
        <v>0</v>
      </c>
      <c r="CJ243" s="688">
        <f t="shared" ref="CJ243:CT243" si="1177">+$H$243*CI92/12</f>
        <v>0</v>
      </c>
      <c r="CK243" s="688">
        <f t="shared" si="1177"/>
        <v>0</v>
      </c>
      <c r="CL243" s="688">
        <f t="shared" si="1177"/>
        <v>0</v>
      </c>
      <c r="CM243" s="688">
        <f t="shared" si="1177"/>
        <v>0</v>
      </c>
      <c r="CN243" s="688">
        <f t="shared" si="1177"/>
        <v>0</v>
      </c>
      <c r="CO243" s="688">
        <f t="shared" si="1177"/>
        <v>0</v>
      </c>
      <c r="CP243" s="688">
        <f t="shared" si="1177"/>
        <v>0</v>
      </c>
      <c r="CQ243" s="688">
        <f t="shared" si="1177"/>
        <v>0</v>
      </c>
      <c r="CR243" s="688">
        <f t="shared" si="1177"/>
        <v>0</v>
      </c>
      <c r="CS243" s="688">
        <f t="shared" si="1177"/>
        <v>0</v>
      </c>
      <c r="CT243" s="688">
        <f t="shared" si="1177"/>
        <v>0</v>
      </c>
      <c r="CU243" s="21"/>
      <c r="CV243" s="688">
        <f>+$H$243*CT92/12</f>
        <v>0</v>
      </c>
      <c r="CW243" s="688">
        <f t="shared" ref="CW243:DG243" si="1178">+$H$243*CV92/12</f>
        <v>0</v>
      </c>
      <c r="CX243" s="688">
        <f t="shared" si="1178"/>
        <v>0</v>
      </c>
      <c r="CY243" s="688">
        <f t="shared" si="1178"/>
        <v>0</v>
      </c>
      <c r="CZ243" s="688">
        <f t="shared" si="1178"/>
        <v>0</v>
      </c>
      <c r="DA243" s="688">
        <f t="shared" si="1178"/>
        <v>0</v>
      </c>
      <c r="DB243" s="688">
        <f t="shared" si="1178"/>
        <v>0</v>
      </c>
      <c r="DC243" s="688">
        <f t="shared" si="1178"/>
        <v>0</v>
      </c>
      <c r="DD243" s="688">
        <f t="shared" si="1178"/>
        <v>0</v>
      </c>
      <c r="DE243" s="688">
        <f t="shared" si="1178"/>
        <v>0</v>
      </c>
      <c r="DF243" s="688">
        <f t="shared" si="1178"/>
        <v>0</v>
      </c>
      <c r="DG243" s="688">
        <f t="shared" si="1178"/>
        <v>0</v>
      </c>
      <c r="DH243" s="21"/>
      <c r="DI243" s="688">
        <f>+$H$243*DG92/12</f>
        <v>0</v>
      </c>
      <c r="DJ243" s="688">
        <f t="shared" ref="DJ243:DT243" si="1179">+$H$243*DI92/12</f>
        <v>0</v>
      </c>
      <c r="DK243" s="688">
        <f t="shared" si="1179"/>
        <v>0</v>
      </c>
      <c r="DL243" s="688">
        <f t="shared" si="1179"/>
        <v>0</v>
      </c>
      <c r="DM243" s="688">
        <f t="shared" si="1179"/>
        <v>0</v>
      </c>
      <c r="DN243" s="688">
        <f t="shared" si="1179"/>
        <v>0</v>
      </c>
      <c r="DO243" s="688">
        <f t="shared" si="1179"/>
        <v>0</v>
      </c>
      <c r="DP243" s="688">
        <f t="shared" si="1179"/>
        <v>0</v>
      </c>
      <c r="DQ243" s="688">
        <f t="shared" si="1179"/>
        <v>0</v>
      </c>
      <c r="DR243" s="688">
        <f t="shared" si="1179"/>
        <v>0</v>
      </c>
      <c r="DS243" s="688">
        <f t="shared" si="1179"/>
        <v>0</v>
      </c>
      <c r="DT243" s="688">
        <f t="shared" si="1179"/>
        <v>0</v>
      </c>
      <c r="DU243" s="21"/>
      <c r="DV243" s="688">
        <f>+$H$243*DT92/12</f>
        <v>0</v>
      </c>
      <c r="DW243" s="688">
        <f t="shared" ref="DW243:EG243" si="1180">+$H$243*DV92/12</f>
        <v>0</v>
      </c>
      <c r="DX243" s="688">
        <f t="shared" si="1180"/>
        <v>0</v>
      </c>
      <c r="DY243" s="688">
        <f t="shared" si="1180"/>
        <v>0</v>
      </c>
      <c r="DZ243" s="688">
        <f t="shared" si="1180"/>
        <v>0</v>
      </c>
      <c r="EA243" s="688">
        <f t="shared" si="1180"/>
        <v>0</v>
      </c>
      <c r="EB243" s="688">
        <f t="shared" si="1180"/>
        <v>0</v>
      </c>
      <c r="EC243" s="688">
        <f t="shared" si="1180"/>
        <v>0</v>
      </c>
      <c r="ED243" s="688">
        <f t="shared" si="1180"/>
        <v>0</v>
      </c>
      <c r="EE243" s="688">
        <f t="shared" si="1180"/>
        <v>0</v>
      </c>
      <c r="EF243" s="688">
        <f t="shared" si="1180"/>
        <v>0</v>
      </c>
      <c r="EG243" s="688">
        <f t="shared" si="1180"/>
        <v>0</v>
      </c>
      <c r="EH243" s="21"/>
      <c r="EI243" s="21"/>
      <c r="EJ243" s="21"/>
      <c r="EK243" s="21"/>
      <c r="EL243" s="21"/>
      <c r="EM243" s="21"/>
    </row>
    <row r="244" spans="1:143" ht="13.5" customHeight="1">
      <c r="A244" s="21"/>
      <c r="B244" s="21"/>
      <c r="C244" s="21"/>
      <c r="D244" s="21"/>
      <c r="E244" s="21"/>
      <c r="F244" s="21" t="str">
        <f>+Assumption!F312</f>
        <v>Leasing 8</v>
      </c>
      <c r="G244" s="15"/>
      <c r="H244" s="66">
        <f>+Assumption!H312</f>
        <v>0</v>
      </c>
      <c r="I244" s="688">
        <f t="shared" ref="I244:T244" si="1181">+$H$244*H93/12</f>
        <v>0</v>
      </c>
      <c r="J244" s="688">
        <f t="shared" si="1181"/>
        <v>0</v>
      </c>
      <c r="K244" s="688">
        <f t="shared" si="1181"/>
        <v>0</v>
      </c>
      <c r="L244" s="688">
        <f t="shared" si="1181"/>
        <v>0</v>
      </c>
      <c r="M244" s="688">
        <f t="shared" si="1181"/>
        <v>0</v>
      </c>
      <c r="N244" s="688">
        <f t="shared" si="1181"/>
        <v>0</v>
      </c>
      <c r="O244" s="688">
        <f t="shared" si="1181"/>
        <v>0</v>
      </c>
      <c r="P244" s="688">
        <f t="shared" si="1181"/>
        <v>0</v>
      </c>
      <c r="Q244" s="688">
        <f t="shared" si="1181"/>
        <v>0</v>
      </c>
      <c r="R244" s="688">
        <f t="shared" si="1181"/>
        <v>0</v>
      </c>
      <c r="S244" s="688">
        <f t="shared" si="1181"/>
        <v>0</v>
      </c>
      <c r="T244" s="688">
        <f t="shared" si="1181"/>
        <v>0</v>
      </c>
      <c r="U244" s="15"/>
      <c r="V244" s="688">
        <f>+$H$244*T93/12</f>
        <v>0</v>
      </c>
      <c r="W244" s="688">
        <f t="shared" ref="W244:AG244" si="1182">+$H$244*V93/12</f>
        <v>0</v>
      </c>
      <c r="X244" s="688">
        <f t="shared" si="1182"/>
        <v>0</v>
      </c>
      <c r="Y244" s="688">
        <f t="shared" si="1182"/>
        <v>0</v>
      </c>
      <c r="Z244" s="688">
        <f t="shared" si="1182"/>
        <v>0</v>
      </c>
      <c r="AA244" s="688">
        <f t="shared" si="1182"/>
        <v>0</v>
      </c>
      <c r="AB244" s="688">
        <f t="shared" si="1182"/>
        <v>0</v>
      </c>
      <c r="AC244" s="688">
        <f t="shared" si="1182"/>
        <v>0</v>
      </c>
      <c r="AD244" s="688">
        <f t="shared" si="1182"/>
        <v>0</v>
      </c>
      <c r="AE244" s="688">
        <f t="shared" si="1182"/>
        <v>0</v>
      </c>
      <c r="AF244" s="688">
        <f t="shared" si="1182"/>
        <v>0</v>
      </c>
      <c r="AG244" s="688">
        <f t="shared" si="1182"/>
        <v>0</v>
      </c>
      <c r="AH244" s="21"/>
      <c r="AI244" s="688">
        <f>+$H$244*AG93/12</f>
        <v>0</v>
      </c>
      <c r="AJ244" s="688">
        <f t="shared" ref="AJ244:AT244" si="1183">+$H$244*AI93/12</f>
        <v>0</v>
      </c>
      <c r="AK244" s="688">
        <f t="shared" si="1183"/>
        <v>0</v>
      </c>
      <c r="AL244" s="688">
        <f t="shared" si="1183"/>
        <v>0</v>
      </c>
      <c r="AM244" s="688">
        <f t="shared" si="1183"/>
        <v>0</v>
      </c>
      <c r="AN244" s="688">
        <f t="shared" si="1183"/>
        <v>0</v>
      </c>
      <c r="AO244" s="688">
        <f t="shared" si="1183"/>
        <v>0</v>
      </c>
      <c r="AP244" s="688">
        <f t="shared" si="1183"/>
        <v>0</v>
      </c>
      <c r="AQ244" s="688">
        <f t="shared" si="1183"/>
        <v>0</v>
      </c>
      <c r="AR244" s="688">
        <f t="shared" si="1183"/>
        <v>0</v>
      </c>
      <c r="AS244" s="688">
        <f t="shared" si="1183"/>
        <v>0</v>
      </c>
      <c r="AT244" s="688">
        <f t="shared" si="1183"/>
        <v>0</v>
      </c>
      <c r="AU244" s="21"/>
      <c r="AV244" s="688">
        <f>+$H$244*AT93/12</f>
        <v>0</v>
      </c>
      <c r="AW244" s="688">
        <f t="shared" ref="AW244:BG244" si="1184">+$H$244*AV93/12</f>
        <v>0</v>
      </c>
      <c r="AX244" s="688">
        <f t="shared" si="1184"/>
        <v>0</v>
      </c>
      <c r="AY244" s="688">
        <f t="shared" si="1184"/>
        <v>0</v>
      </c>
      <c r="AZ244" s="688">
        <f t="shared" si="1184"/>
        <v>0</v>
      </c>
      <c r="BA244" s="688">
        <f t="shared" si="1184"/>
        <v>0</v>
      </c>
      <c r="BB244" s="688">
        <f t="shared" si="1184"/>
        <v>0</v>
      </c>
      <c r="BC244" s="688">
        <f t="shared" si="1184"/>
        <v>0</v>
      </c>
      <c r="BD244" s="688">
        <f t="shared" si="1184"/>
        <v>0</v>
      </c>
      <c r="BE244" s="688">
        <f t="shared" si="1184"/>
        <v>0</v>
      </c>
      <c r="BF244" s="688">
        <f t="shared" si="1184"/>
        <v>0</v>
      </c>
      <c r="BG244" s="688">
        <f t="shared" si="1184"/>
        <v>0</v>
      </c>
      <c r="BH244" s="21"/>
      <c r="BI244" s="688">
        <f>+$H$244*BG93/12</f>
        <v>0</v>
      </c>
      <c r="BJ244" s="688">
        <f t="shared" ref="BJ244:BT244" si="1185">+$H$244*BI93/12</f>
        <v>0</v>
      </c>
      <c r="BK244" s="688">
        <f t="shared" si="1185"/>
        <v>0</v>
      </c>
      <c r="BL244" s="688">
        <f t="shared" si="1185"/>
        <v>0</v>
      </c>
      <c r="BM244" s="688">
        <f t="shared" si="1185"/>
        <v>0</v>
      </c>
      <c r="BN244" s="688">
        <f t="shared" si="1185"/>
        <v>0</v>
      </c>
      <c r="BO244" s="688">
        <f t="shared" si="1185"/>
        <v>0</v>
      </c>
      <c r="BP244" s="688">
        <f t="shared" si="1185"/>
        <v>0</v>
      </c>
      <c r="BQ244" s="688">
        <f t="shared" si="1185"/>
        <v>0</v>
      </c>
      <c r="BR244" s="688">
        <f t="shared" si="1185"/>
        <v>0</v>
      </c>
      <c r="BS244" s="688">
        <f t="shared" si="1185"/>
        <v>0</v>
      </c>
      <c r="BT244" s="688">
        <f t="shared" si="1185"/>
        <v>0</v>
      </c>
      <c r="BU244" s="21"/>
      <c r="BV244" s="688">
        <f>+$H$244*BT93/12</f>
        <v>0</v>
      </c>
      <c r="BW244" s="688">
        <f t="shared" ref="BW244:CG244" si="1186">+$H$244*BV93/12</f>
        <v>0</v>
      </c>
      <c r="BX244" s="688">
        <f t="shared" si="1186"/>
        <v>0</v>
      </c>
      <c r="BY244" s="688">
        <f t="shared" si="1186"/>
        <v>0</v>
      </c>
      <c r="BZ244" s="688">
        <f t="shared" si="1186"/>
        <v>0</v>
      </c>
      <c r="CA244" s="688">
        <f t="shared" si="1186"/>
        <v>0</v>
      </c>
      <c r="CB244" s="688">
        <f t="shared" si="1186"/>
        <v>0</v>
      </c>
      <c r="CC244" s="688">
        <f t="shared" si="1186"/>
        <v>0</v>
      </c>
      <c r="CD244" s="688">
        <f t="shared" si="1186"/>
        <v>0</v>
      </c>
      <c r="CE244" s="688">
        <f t="shared" si="1186"/>
        <v>0</v>
      </c>
      <c r="CF244" s="688">
        <f t="shared" si="1186"/>
        <v>0</v>
      </c>
      <c r="CG244" s="688">
        <f t="shared" si="1186"/>
        <v>0</v>
      </c>
      <c r="CH244" s="21"/>
      <c r="CI244" s="688">
        <f>+$H$244*CG93/12</f>
        <v>0</v>
      </c>
      <c r="CJ244" s="688">
        <f t="shared" ref="CJ244:CT244" si="1187">+$H$244*CI93/12</f>
        <v>0</v>
      </c>
      <c r="CK244" s="688">
        <f t="shared" si="1187"/>
        <v>0</v>
      </c>
      <c r="CL244" s="688">
        <f t="shared" si="1187"/>
        <v>0</v>
      </c>
      <c r="CM244" s="688">
        <f t="shared" si="1187"/>
        <v>0</v>
      </c>
      <c r="CN244" s="688">
        <f t="shared" si="1187"/>
        <v>0</v>
      </c>
      <c r="CO244" s="688">
        <f t="shared" si="1187"/>
        <v>0</v>
      </c>
      <c r="CP244" s="688">
        <f t="shared" si="1187"/>
        <v>0</v>
      </c>
      <c r="CQ244" s="688">
        <f t="shared" si="1187"/>
        <v>0</v>
      </c>
      <c r="CR244" s="688">
        <f t="shared" si="1187"/>
        <v>0</v>
      </c>
      <c r="CS244" s="688">
        <f t="shared" si="1187"/>
        <v>0</v>
      </c>
      <c r="CT244" s="688">
        <f t="shared" si="1187"/>
        <v>0</v>
      </c>
      <c r="CU244" s="21"/>
      <c r="CV244" s="688">
        <f>+$H$244*CT93/12</f>
        <v>0</v>
      </c>
      <c r="CW244" s="688">
        <f t="shared" ref="CW244:DG244" si="1188">+$H$244*CV93/12</f>
        <v>0</v>
      </c>
      <c r="CX244" s="688">
        <f t="shared" si="1188"/>
        <v>0</v>
      </c>
      <c r="CY244" s="688">
        <f t="shared" si="1188"/>
        <v>0</v>
      </c>
      <c r="CZ244" s="688">
        <f t="shared" si="1188"/>
        <v>0</v>
      </c>
      <c r="DA244" s="688">
        <f t="shared" si="1188"/>
        <v>0</v>
      </c>
      <c r="DB244" s="688">
        <f t="shared" si="1188"/>
        <v>0</v>
      </c>
      <c r="DC244" s="688">
        <f t="shared" si="1188"/>
        <v>0</v>
      </c>
      <c r="DD244" s="688">
        <f t="shared" si="1188"/>
        <v>0</v>
      </c>
      <c r="DE244" s="688">
        <f t="shared" si="1188"/>
        <v>0</v>
      </c>
      <c r="DF244" s="688">
        <f t="shared" si="1188"/>
        <v>0</v>
      </c>
      <c r="DG244" s="688">
        <f t="shared" si="1188"/>
        <v>0</v>
      </c>
      <c r="DH244" s="21"/>
      <c r="DI244" s="688">
        <f>+$H$244*DG93/12</f>
        <v>0</v>
      </c>
      <c r="DJ244" s="688">
        <f t="shared" ref="DJ244:DT244" si="1189">+$H$244*DI93/12</f>
        <v>0</v>
      </c>
      <c r="DK244" s="688">
        <f t="shared" si="1189"/>
        <v>0</v>
      </c>
      <c r="DL244" s="688">
        <f t="shared" si="1189"/>
        <v>0</v>
      </c>
      <c r="DM244" s="688">
        <f t="shared" si="1189"/>
        <v>0</v>
      </c>
      <c r="DN244" s="688">
        <f t="shared" si="1189"/>
        <v>0</v>
      </c>
      <c r="DO244" s="688">
        <f t="shared" si="1189"/>
        <v>0</v>
      </c>
      <c r="DP244" s="688">
        <f t="shared" si="1189"/>
        <v>0</v>
      </c>
      <c r="DQ244" s="688">
        <f t="shared" si="1189"/>
        <v>0</v>
      </c>
      <c r="DR244" s="688">
        <f t="shared" si="1189"/>
        <v>0</v>
      </c>
      <c r="DS244" s="688">
        <f t="shared" si="1189"/>
        <v>0</v>
      </c>
      <c r="DT244" s="688">
        <f t="shared" si="1189"/>
        <v>0</v>
      </c>
      <c r="DU244" s="21"/>
      <c r="DV244" s="688">
        <f>+$H$244*DT93/12</f>
        <v>0</v>
      </c>
      <c r="DW244" s="688">
        <f t="shared" ref="DW244:EG244" si="1190">+$H$244*DV93/12</f>
        <v>0</v>
      </c>
      <c r="DX244" s="688">
        <f t="shared" si="1190"/>
        <v>0</v>
      </c>
      <c r="DY244" s="688">
        <f t="shared" si="1190"/>
        <v>0</v>
      </c>
      <c r="DZ244" s="688">
        <f t="shared" si="1190"/>
        <v>0</v>
      </c>
      <c r="EA244" s="688">
        <f t="shared" si="1190"/>
        <v>0</v>
      </c>
      <c r="EB244" s="688">
        <f t="shared" si="1190"/>
        <v>0</v>
      </c>
      <c r="EC244" s="688">
        <f t="shared" si="1190"/>
        <v>0</v>
      </c>
      <c r="ED244" s="688">
        <f t="shared" si="1190"/>
        <v>0</v>
      </c>
      <c r="EE244" s="688">
        <f t="shared" si="1190"/>
        <v>0</v>
      </c>
      <c r="EF244" s="688">
        <f t="shared" si="1190"/>
        <v>0</v>
      </c>
      <c r="EG244" s="688">
        <f t="shared" si="1190"/>
        <v>0</v>
      </c>
      <c r="EH244" s="21"/>
      <c r="EI244" s="21"/>
      <c r="EJ244" s="21"/>
      <c r="EK244" s="21"/>
      <c r="EL244" s="21"/>
      <c r="EM244" s="21"/>
    </row>
    <row r="245" spans="1:143" ht="13.5" customHeight="1">
      <c r="A245" s="21"/>
      <c r="B245" s="21"/>
      <c r="C245" s="21"/>
      <c r="D245" s="21"/>
      <c r="E245" s="21"/>
      <c r="F245" s="21" t="str">
        <f>+Assumption!F313</f>
        <v>Leasing 9</v>
      </c>
      <c r="G245" s="15"/>
      <c r="H245" s="66">
        <f>+Assumption!H313</f>
        <v>0</v>
      </c>
      <c r="I245" s="688">
        <f t="shared" ref="I245:T245" si="1191">+$H$245*H94/12</f>
        <v>0</v>
      </c>
      <c r="J245" s="688">
        <f t="shared" si="1191"/>
        <v>0</v>
      </c>
      <c r="K245" s="688">
        <f t="shared" si="1191"/>
        <v>0</v>
      </c>
      <c r="L245" s="688">
        <f t="shared" si="1191"/>
        <v>0</v>
      </c>
      <c r="M245" s="688">
        <f t="shared" si="1191"/>
        <v>0</v>
      </c>
      <c r="N245" s="688">
        <f t="shared" si="1191"/>
        <v>0</v>
      </c>
      <c r="O245" s="688">
        <f t="shared" si="1191"/>
        <v>0</v>
      </c>
      <c r="P245" s="688">
        <f t="shared" si="1191"/>
        <v>0</v>
      </c>
      <c r="Q245" s="688">
        <f t="shared" si="1191"/>
        <v>0</v>
      </c>
      <c r="R245" s="688">
        <f t="shared" si="1191"/>
        <v>0</v>
      </c>
      <c r="S245" s="688">
        <f t="shared" si="1191"/>
        <v>0</v>
      </c>
      <c r="T245" s="688">
        <f t="shared" si="1191"/>
        <v>0</v>
      </c>
      <c r="U245" s="15"/>
      <c r="V245" s="688">
        <f>+$H$245*T94/12</f>
        <v>0</v>
      </c>
      <c r="W245" s="688">
        <f t="shared" ref="W245:AG245" si="1192">+$H$245*V94/12</f>
        <v>0</v>
      </c>
      <c r="X245" s="688">
        <f t="shared" si="1192"/>
        <v>0</v>
      </c>
      <c r="Y245" s="688">
        <f t="shared" si="1192"/>
        <v>0</v>
      </c>
      <c r="Z245" s="688">
        <f t="shared" si="1192"/>
        <v>0</v>
      </c>
      <c r="AA245" s="688">
        <f t="shared" si="1192"/>
        <v>0</v>
      </c>
      <c r="AB245" s="688">
        <f t="shared" si="1192"/>
        <v>0</v>
      </c>
      <c r="AC245" s="688">
        <f t="shared" si="1192"/>
        <v>0</v>
      </c>
      <c r="AD245" s="688">
        <f t="shared" si="1192"/>
        <v>0</v>
      </c>
      <c r="AE245" s="688">
        <f t="shared" si="1192"/>
        <v>0</v>
      </c>
      <c r="AF245" s="688">
        <f t="shared" si="1192"/>
        <v>0</v>
      </c>
      <c r="AG245" s="688">
        <f t="shared" si="1192"/>
        <v>0</v>
      </c>
      <c r="AH245" s="21"/>
      <c r="AI245" s="688">
        <f>+$H$245*AG94/12</f>
        <v>0</v>
      </c>
      <c r="AJ245" s="688">
        <f t="shared" ref="AJ245:AT245" si="1193">+$H$245*AI94/12</f>
        <v>0</v>
      </c>
      <c r="AK245" s="688">
        <f t="shared" si="1193"/>
        <v>0</v>
      </c>
      <c r="AL245" s="688">
        <f t="shared" si="1193"/>
        <v>0</v>
      </c>
      <c r="AM245" s="688">
        <f t="shared" si="1193"/>
        <v>0</v>
      </c>
      <c r="AN245" s="688">
        <f t="shared" si="1193"/>
        <v>0</v>
      </c>
      <c r="AO245" s="688">
        <f t="shared" si="1193"/>
        <v>0</v>
      </c>
      <c r="AP245" s="688">
        <f t="shared" si="1193"/>
        <v>0</v>
      </c>
      <c r="AQ245" s="688">
        <f t="shared" si="1193"/>
        <v>0</v>
      </c>
      <c r="AR245" s="688">
        <f t="shared" si="1193"/>
        <v>0</v>
      </c>
      <c r="AS245" s="688">
        <f t="shared" si="1193"/>
        <v>0</v>
      </c>
      <c r="AT245" s="688">
        <f t="shared" si="1193"/>
        <v>0</v>
      </c>
      <c r="AU245" s="21"/>
      <c r="AV245" s="688">
        <f>+$H$245*AT94/12</f>
        <v>0</v>
      </c>
      <c r="AW245" s="688">
        <f t="shared" ref="AW245:BG245" si="1194">+$H$245*AV94/12</f>
        <v>0</v>
      </c>
      <c r="AX245" s="688">
        <f t="shared" si="1194"/>
        <v>0</v>
      </c>
      <c r="AY245" s="688">
        <f t="shared" si="1194"/>
        <v>0</v>
      </c>
      <c r="AZ245" s="688">
        <f t="shared" si="1194"/>
        <v>0</v>
      </c>
      <c r="BA245" s="688">
        <f t="shared" si="1194"/>
        <v>0</v>
      </c>
      <c r="BB245" s="688">
        <f t="shared" si="1194"/>
        <v>0</v>
      </c>
      <c r="BC245" s="688">
        <f t="shared" si="1194"/>
        <v>0</v>
      </c>
      <c r="BD245" s="688">
        <f t="shared" si="1194"/>
        <v>0</v>
      </c>
      <c r="BE245" s="688">
        <f t="shared" si="1194"/>
        <v>0</v>
      </c>
      <c r="BF245" s="688">
        <f t="shared" si="1194"/>
        <v>0</v>
      </c>
      <c r="BG245" s="688">
        <f t="shared" si="1194"/>
        <v>0</v>
      </c>
      <c r="BH245" s="21"/>
      <c r="BI245" s="688">
        <f>+$H$245*BG94/12</f>
        <v>0</v>
      </c>
      <c r="BJ245" s="688">
        <f t="shared" ref="BJ245:BT245" si="1195">+$H$245*BI94/12</f>
        <v>0</v>
      </c>
      <c r="BK245" s="688">
        <f t="shared" si="1195"/>
        <v>0</v>
      </c>
      <c r="BL245" s="688">
        <f t="shared" si="1195"/>
        <v>0</v>
      </c>
      <c r="BM245" s="688">
        <f t="shared" si="1195"/>
        <v>0</v>
      </c>
      <c r="BN245" s="688">
        <f t="shared" si="1195"/>
        <v>0</v>
      </c>
      <c r="BO245" s="688">
        <f t="shared" si="1195"/>
        <v>0</v>
      </c>
      <c r="BP245" s="688">
        <f t="shared" si="1195"/>
        <v>0</v>
      </c>
      <c r="BQ245" s="688">
        <f t="shared" si="1195"/>
        <v>0</v>
      </c>
      <c r="BR245" s="688">
        <f t="shared" si="1195"/>
        <v>0</v>
      </c>
      <c r="BS245" s="688">
        <f t="shared" si="1195"/>
        <v>0</v>
      </c>
      <c r="BT245" s="688">
        <f t="shared" si="1195"/>
        <v>0</v>
      </c>
      <c r="BU245" s="21"/>
      <c r="BV245" s="688">
        <f>+$H$245*BT94/12</f>
        <v>0</v>
      </c>
      <c r="BW245" s="688">
        <f t="shared" ref="BW245:CG245" si="1196">+$H$245*BV94/12</f>
        <v>0</v>
      </c>
      <c r="BX245" s="688">
        <f t="shared" si="1196"/>
        <v>0</v>
      </c>
      <c r="BY245" s="688">
        <f t="shared" si="1196"/>
        <v>0</v>
      </c>
      <c r="BZ245" s="688">
        <f t="shared" si="1196"/>
        <v>0</v>
      </c>
      <c r="CA245" s="688">
        <f t="shared" si="1196"/>
        <v>0</v>
      </c>
      <c r="CB245" s="688">
        <f t="shared" si="1196"/>
        <v>0</v>
      </c>
      <c r="CC245" s="688">
        <f t="shared" si="1196"/>
        <v>0</v>
      </c>
      <c r="CD245" s="688">
        <f t="shared" si="1196"/>
        <v>0</v>
      </c>
      <c r="CE245" s="688">
        <f t="shared" si="1196"/>
        <v>0</v>
      </c>
      <c r="CF245" s="688">
        <f t="shared" si="1196"/>
        <v>0</v>
      </c>
      <c r="CG245" s="688">
        <f t="shared" si="1196"/>
        <v>0</v>
      </c>
      <c r="CH245" s="21"/>
      <c r="CI245" s="688">
        <f>+$H$245*CG94/12</f>
        <v>0</v>
      </c>
      <c r="CJ245" s="688">
        <f t="shared" ref="CJ245:CT245" si="1197">+$H$245*CI94/12</f>
        <v>0</v>
      </c>
      <c r="CK245" s="688">
        <f t="shared" si="1197"/>
        <v>0</v>
      </c>
      <c r="CL245" s="688">
        <f t="shared" si="1197"/>
        <v>0</v>
      </c>
      <c r="CM245" s="688">
        <f t="shared" si="1197"/>
        <v>0</v>
      </c>
      <c r="CN245" s="688">
        <f t="shared" si="1197"/>
        <v>0</v>
      </c>
      <c r="CO245" s="688">
        <f t="shared" si="1197"/>
        <v>0</v>
      </c>
      <c r="CP245" s="688">
        <f t="shared" si="1197"/>
        <v>0</v>
      </c>
      <c r="CQ245" s="688">
        <f t="shared" si="1197"/>
        <v>0</v>
      </c>
      <c r="CR245" s="688">
        <f t="shared" si="1197"/>
        <v>0</v>
      </c>
      <c r="CS245" s="688">
        <f t="shared" si="1197"/>
        <v>0</v>
      </c>
      <c r="CT245" s="688">
        <f t="shared" si="1197"/>
        <v>0</v>
      </c>
      <c r="CU245" s="21"/>
      <c r="CV245" s="688">
        <f>+$H$245*CT94/12</f>
        <v>0</v>
      </c>
      <c r="CW245" s="688">
        <f t="shared" ref="CW245:DG245" si="1198">+$H$245*CV94/12</f>
        <v>0</v>
      </c>
      <c r="CX245" s="688">
        <f t="shared" si="1198"/>
        <v>0</v>
      </c>
      <c r="CY245" s="688">
        <f t="shared" si="1198"/>
        <v>0</v>
      </c>
      <c r="CZ245" s="688">
        <f t="shared" si="1198"/>
        <v>0</v>
      </c>
      <c r="DA245" s="688">
        <f t="shared" si="1198"/>
        <v>0</v>
      </c>
      <c r="DB245" s="688">
        <f t="shared" si="1198"/>
        <v>0</v>
      </c>
      <c r="DC245" s="688">
        <f t="shared" si="1198"/>
        <v>0</v>
      </c>
      <c r="DD245" s="688">
        <f t="shared" si="1198"/>
        <v>0</v>
      </c>
      <c r="DE245" s="688">
        <f t="shared" si="1198"/>
        <v>0</v>
      </c>
      <c r="DF245" s="688">
        <f t="shared" si="1198"/>
        <v>0</v>
      </c>
      <c r="DG245" s="688">
        <f t="shared" si="1198"/>
        <v>0</v>
      </c>
      <c r="DH245" s="21"/>
      <c r="DI245" s="688">
        <f>+$H$245*DG94/12</f>
        <v>0</v>
      </c>
      <c r="DJ245" s="688">
        <f t="shared" ref="DJ245:DT245" si="1199">+$H$245*DI94/12</f>
        <v>0</v>
      </c>
      <c r="DK245" s="688">
        <f t="shared" si="1199"/>
        <v>0</v>
      </c>
      <c r="DL245" s="688">
        <f t="shared" si="1199"/>
        <v>0</v>
      </c>
      <c r="DM245" s="688">
        <f t="shared" si="1199"/>
        <v>0</v>
      </c>
      <c r="DN245" s="688">
        <f t="shared" si="1199"/>
        <v>0</v>
      </c>
      <c r="DO245" s="688">
        <f t="shared" si="1199"/>
        <v>0</v>
      </c>
      <c r="DP245" s="688">
        <f t="shared" si="1199"/>
        <v>0</v>
      </c>
      <c r="DQ245" s="688">
        <f t="shared" si="1199"/>
        <v>0</v>
      </c>
      <c r="DR245" s="688">
        <f t="shared" si="1199"/>
        <v>0</v>
      </c>
      <c r="DS245" s="688">
        <f t="shared" si="1199"/>
        <v>0</v>
      </c>
      <c r="DT245" s="688">
        <f t="shared" si="1199"/>
        <v>0</v>
      </c>
      <c r="DU245" s="21"/>
      <c r="DV245" s="688">
        <f>+$H$245*DT94/12</f>
        <v>0</v>
      </c>
      <c r="DW245" s="688">
        <f t="shared" ref="DW245:EG245" si="1200">+$H$245*DV94/12</f>
        <v>0</v>
      </c>
      <c r="DX245" s="688">
        <f t="shared" si="1200"/>
        <v>0</v>
      </c>
      <c r="DY245" s="688">
        <f t="shared" si="1200"/>
        <v>0</v>
      </c>
      <c r="DZ245" s="688">
        <f t="shared" si="1200"/>
        <v>0</v>
      </c>
      <c r="EA245" s="688">
        <f t="shared" si="1200"/>
        <v>0</v>
      </c>
      <c r="EB245" s="688">
        <f t="shared" si="1200"/>
        <v>0</v>
      </c>
      <c r="EC245" s="688">
        <f t="shared" si="1200"/>
        <v>0</v>
      </c>
      <c r="ED245" s="688">
        <f t="shared" si="1200"/>
        <v>0</v>
      </c>
      <c r="EE245" s="688">
        <f t="shared" si="1200"/>
        <v>0</v>
      </c>
      <c r="EF245" s="688">
        <f t="shared" si="1200"/>
        <v>0</v>
      </c>
      <c r="EG245" s="688">
        <f t="shared" si="1200"/>
        <v>0</v>
      </c>
      <c r="EH245" s="21"/>
      <c r="EI245" s="21"/>
      <c r="EJ245" s="21"/>
      <c r="EK245" s="21"/>
      <c r="EL245" s="21"/>
      <c r="EM245" s="21"/>
    </row>
    <row r="246" spans="1:143" ht="13.5" customHeight="1">
      <c r="A246" s="21"/>
      <c r="B246" s="21"/>
      <c r="C246" s="21"/>
      <c r="D246" s="21"/>
      <c r="E246" s="21"/>
      <c r="F246" s="21" t="str">
        <f>+Assumption!F314</f>
        <v>Leasing 10</v>
      </c>
      <c r="G246" s="15"/>
      <c r="H246" s="66">
        <f>+Assumption!H314</f>
        <v>0.15</v>
      </c>
      <c r="I246" s="688">
        <f t="shared" ref="I246:T246" si="1201">+$H$246*H95/12</f>
        <v>88.824999999999989</v>
      </c>
      <c r="J246" s="688">
        <f t="shared" si="1201"/>
        <v>88.824999999999989</v>
      </c>
      <c r="K246" s="688">
        <f t="shared" si="1201"/>
        <v>88.824999999999989</v>
      </c>
      <c r="L246" s="688">
        <f t="shared" si="1201"/>
        <v>88.824999999999989</v>
      </c>
      <c r="M246" s="688">
        <f t="shared" si="1201"/>
        <v>88.824999999999989</v>
      </c>
      <c r="N246" s="688">
        <f t="shared" si="1201"/>
        <v>88.824999999999989</v>
      </c>
      <c r="O246" s="688">
        <f t="shared" si="1201"/>
        <v>88.824999999999989</v>
      </c>
      <c r="P246" s="688">
        <f t="shared" si="1201"/>
        <v>88.824999999999989</v>
      </c>
      <c r="Q246" s="688">
        <f t="shared" si="1201"/>
        <v>88.824999999999989</v>
      </c>
      <c r="R246" s="688">
        <f t="shared" si="1201"/>
        <v>88.824999999999989</v>
      </c>
      <c r="S246" s="688">
        <f t="shared" si="1201"/>
        <v>88.824999999999989</v>
      </c>
      <c r="T246" s="688">
        <f t="shared" si="1201"/>
        <v>88.824999999999989</v>
      </c>
      <c r="U246" s="15"/>
      <c r="V246" s="688">
        <f>+$H$246*T95/12</f>
        <v>88.199999999999989</v>
      </c>
      <c r="W246" s="688">
        <f t="shared" ref="W246:AG246" si="1202">+$H$246*V95/12</f>
        <v>88.199999999999989</v>
      </c>
      <c r="X246" s="688">
        <f t="shared" si="1202"/>
        <v>88.199999999999989</v>
      </c>
      <c r="Y246" s="688">
        <f t="shared" si="1202"/>
        <v>88.199999999999989</v>
      </c>
      <c r="Z246" s="688">
        <f t="shared" si="1202"/>
        <v>88.199999999999989</v>
      </c>
      <c r="AA246" s="688">
        <f t="shared" si="1202"/>
        <v>88.199999999999989</v>
      </c>
      <c r="AB246" s="688">
        <f t="shared" si="1202"/>
        <v>88.199999999999989</v>
      </c>
      <c r="AC246" s="688">
        <f t="shared" si="1202"/>
        <v>88.199999999999989</v>
      </c>
      <c r="AD246" s="688">
        <f t="shared" si="1202"/>
        <v>88.199999999999989</v>
      </c>
      <c r="AE246" s="688">
        <f t="shared" si="1202"/>
        <v>88.199999999999989</v>
      </c>
      <c r="AF246" s="688">
        <f t="shared" si="1202"/>
        <v>88.199999999999989</v>
      </c>
      <c r="AG246" s="688">
        <f t="shared" si="1202"/>
        <v>88.199999999999989</v>
      </c>
      <c r="AH246" s="21"/>
      <c r="AI246" s="688">
        <f>+$H$246*AG95/12</f>
        <v>88.199999999999989</v>
      </c>
      <c r="AJ246" s="688">
        <f t="shared" ref="AJ246:AT246" si="1203">+$H$246*AI95/12</f>
        <v>88.199999999999989</v>
      </c>
      <c r="AK246" s="688">
        <f t="shared" si="1203"/>
        <v>88.199999999999989</v>
      </c>
      <c r="AL246" s="688">
        <f t="shared" si="1203"/>
        <v>88.199999999999989</v>
      </c>
      <c r="AM246" s="688">
        <f t="shared" si="1203"/>
        <v>88.199999999999989</v>
      </c>
      <c r="AN246" s="688">
        <f t="shared" si="1203"/>
        <v>88.199999999999989</v>
      </c>
      <c r="AO246" s="688">
        <f t="shared" si="1203"/>
        <v>88.199999999999989</v>
      </c>
      <c r="AP246" s="688">
        <f t="shared" si="1203"/>
        <v>88.199999999999989</v>
      </c>
      <c r="AQ246" s="688">
        <f t="shared" si="1203"/>
        <v>88.199999999999989</v>
      </c>
      <c r="AR246" s="688">
        <f t="shared" si="1203"/>
        <v>88.199999999999989</v>
      </c>
      <c r="AS246" s="688">
        <f t="shared" si="1203"/>
        <v>88.199999999999989</v>
      </c>
      <c r="AT246" s="688">
        <f t="shared" si="1203"/>
        <v>88.199999999999989</v>
      </c>
      <c r="AU246" s="21"/>
      <c r="AV246" s="688">
        <f>+$H$246*AT95/12</f>
        <v>88.199999999999989</v>
      </c>
      <c r="AW246" s="688">
        <f t="shared" ref="AW246:BG246" si="1204">+$H$246*AV95/12</f>
        <v>88.199999999999989</v>
      </c>
      <c r="AX246" s="688">
        <f t="shared" si="1204"/>
        <v>88.199999999999989</v>
      </c>
      <c r="AY246" s="688">
        <f t="shared" si="1204"/>
        <v>88.199999999999989</v>
      </c>
      <c r="AZ246" s="688">
        <f t="shared" si="1204"/>
        <v>88.199999999999989</v>
      </c>
      <c r="BA246" s="688">
        <f t="shared" si="1204"/>
        <v>88.199999999999989</v>
      </c>
      <c r="BB246" s="688">
        <f t="shared" si="1204"/>
        <v>88.199999999999989</v>
      </c>
      <c r="BC246" s="688">
        <f t="shared" si="1204"/>
        <v>88.199999999999989</v>
      </c>
      <c r="BD246" s="688">
        <f t="shared" si="1204"/>
        <v>88.199999999999989</v>
      </c>
      <c r="BE246" s="688">
        <f t="shared" si="1204"/>
        <v>88.199999999999989</v>
      </c>
      <c r="BF246" s="688">
        <f t="shared" si="1204"/>
        <v>88.199999999999989</v>
      </c>
      <c r="BG246" s="688">
        <f t="shared" si="1204"/>
        <v>88.199999999999989</v>
      </c>
      <c r="BH246" s="21"/>
      <c r="BI246" s="688">
        <f>+$H$246*BG95/12</f>
        <v>88.199999999999989</v>
      </c>
      <c r="BJ246" s="688">
        <f t="shared" ref="BJ246:BT246" si="1205">+$H$246*BI95/12</f>
        <v>88.199999999999989</v>
      </c>
      <c r="BK246" s="688">
        <f t="shared" si="1205"/>
        <v>88.199999999999989</v>
      </c>
      <c r="BL246" s="688">
        <f t="shared" si="1205"/>
        <v>88.199999999999989</v>
      </c>
      <c r="BM246" s="688">
        <f t="shared" si="1205"/>
        <v>88.199999999999989</v>
      </c>
      <c r="BN246" s="688">
        <f t="shared" si="1205"/>
        <v>88.199999999999989</v>
      </c>
      <c r="BO246" s="688">
        <f t="shared" si="1205"/>
        <v>88.199999999999989</v>
      </c>
      <c r="BP246" s="688">
        <f t="shared" si="1205"/>
        <v>88.199999999999989</v>
      </c>
      <c r="BQ246" s="688">
        <f t="shared" si="1205"/>
        <v>88.199999999999989</v>
      </c>
      <c r="BR246" s="688">
        <f t="shared" si="1205"/>
        <v>88.199999999999989</v>
      </c>
      <c r="BS246" s="688">
        <f t="shared" si="1205"/>
        <v>88.199999999999989</v>
      </c>
      <c r="BT246" s="688">
        <f t="shared" si="1205"/>
        <v>88.199999999999989</v>
      </c>
      <c r="BU246" s="21"/>
      <c r="BV246" s="688">
        <f>+$H$246*BT95/12</f>
        <v>88.199999999999989</v>
      </c>
      <c r="BW246" s="688">
        <f t="shared" ref="BW246:CG246" si="1206">+$H$246*BV95/12</f>
        <v>88.199999999999989</v>
      </c>
      <c r="BX246" s="688">
        <f t="shared" si="1206"/>
        <v>88.199999999999989</v>
      </c>
      <c r="BY246" s="688">
        <f t="shared" si="1206"/>
        <v>88.199999999999989</v>
      </c>
      <c r="BZ246" s="688">
        <f t="shared" si="1206"/>
        <v>88.199999999999989</v>
      </c>
      <c r="CA246" s="688">
        <f t="shared" si="1206"/>
        <v>88.199999999999989</v>
      </c>
      <c r="CB246" s="688">
        <f t="shared" si="1206"/>
        <v>88.199999999999989</v>
      </c>
      <c r="CC246" s="688">
        <f t="shared" si="1206"/>
        <v>88.199999999999989</v>
      </c>
      <c r="CD246" s="688">
        <f t="shared" si="1206"/>
        <v>88.199999999999989</v>
      </c>
      <c r="CE246" s="688">
        <f t="shared" si="1206"/>
        <v>88.199999999999989</v>
      </c>
      <c r="CF246" s="688">
        <f t="shared" si="1206"/>
        <v>88.199999999999989</v>
      </c>
      <c r="CG246" s="688">
        <f t="shared" si="1206"/>
        <v>88.199999999999989</v>
      </c>
      <c r="CH246" s="21"/>
      <c r="CI246" s="688">
        <f>+$H$246*CG95/12</f>
        <v>88.199999999999989</v>
      </c>
      <c r="CJ246" s="688">
        <f t="shared" ref="CJ246:CT246" si="1207">+$H$246*CI95/12</f>
        <v>88.199999999999989</v>
      </c>
      <c r="CK246" s="688">
        <f t="shared" si="1207"/>
        <v>88.199999999999989</v>
      </c>
      <c r="CL246" s="688">
        <f t="shared" si="1207"/>
        <v>88.199999999999989</v>
      </c>
      <c r="CM246" s="688">
        <f t="shared" si="1207"/>
        <v>88.199999999999989</v>
      </c>
      <c r="CN246" s="688">
        <f t="shared" si="1207"/>
        <v>88.199999999999989</v>
      </c>
      <c r="CO246" s="688">
        <f t="shared" si="1207"/>
        <v>88.199999999999989</v>
      </c>
      <c r="CP246" s="688">
        <f t="shared" si="1207"/>
        <v>88.199999999999989</v>
      </c>
      <c r="CQ246" s="688">
        <f t="shared" si="1207"/>
        <v>88.199999999999989</v>
      </c>
      <c r="CR246" s="688">
        <f t="shared" si="1207"/>
        <v>88.199999999999989</v>
      </c>
      <c r="CS246" s="688">
        <f t="shared" si="1207"/>
        <v>88.199999999999989</v>
      </c>
      <c r="CT246" s="688">
        <f t="shared" si="1207"/>
        <v>88.199999999999989</v>
      </c>
      <c r="CU246" s="21"/>
      <c r="CV246" s="688">
        <f>+$H$246*CT95/12</f>
        <v>88.199999999999989</v>
      </c>
      <c r="CW246" s="688">
        <f t="shared" ref="CW246:DG246" si="1208">+$H$246*CV95/12</f>
        <v>88.199999999999989</v>
      </c>
      <c r="CX246" s="688">
        <f t="shared" si="1208"/>
        <v>88.199999999999989</v>
      </c>
      <c r="CY246" s="688">
        <f t="shared" si="1208"/>
        <v>88.199999999999989</v>
      </c>
      <c r="CZ246" s="688">
        <f t="shared" si="1208"/>
        <v>88.199999999999989</v>
      </c>
      <c r="DA246" s="688">
        <f t="shared" si="1208"/>
        <v>88.199999999999989</v>
      </c>
      <c r="DB246" s="688">
        <f t="shared" si="1208"/>
        <v>88.199999999999989</v>
      </c>
      <c r="DC246" s="688">
        <f t="shared" si="1208"/>
        <v>88.199999999999989</v>
      </c>
      <c r="DD246" s="688">
        <f t="shared" si="1208"/>
        <v>88.199999999999989</v>
      </c>
      <c r="DE246" s="688">
        <f t="shared" si="1208"/>
        <v>88.199999999999989</v>
      </c>
      <c r="DF246" s="688">
        <f t="shared" si="1208"/>
        <v>88.199999999999989</v>
      </c>
      <c r="DG246" s="688">
        <f t="shared" si="1208"/>
        <v>88.199999999999989</v>
      </c>
      <c r="DH246" s="21"/>
      <c r="DI246" s="688">
        <f>+$H$246*DG95/12</f>
        <v>88.199999999999989</v>
      </c>
      <c r="DJ246" s="688">
        <f t="shared" ref="DJ246:DT246" si="1209">+$H$246*DI95/12</f>
        <v>88.199999999999989</v>
      </c>
      <c r="DK246" s="688">
        <f t="shared" si="1209"/>
        <v>88.199999999999989</v>
      </c>
      <c r="DL246" s="688">
        <f t="shared" si="1209"/>
        <v>88.199999999999989</v>
      </c>
      <c r="DM246" s="688">
        <f t="shared" si="1209"/>
        <v>88.199999999999989</v>
      </c>
      <c r="DN246" s="688">
        <f t="shared" si="1209"/>
        <v>88.199999999999989</v>
      </c>
      <c r="DO246" s="688">
        <f t="shared" si="1209"/>
        <v>88.199999999999989</v>
      </c>
      <c r="DP246" s="688">
        <f t="shared" si="1209"/>
        <v>88.199999999999989</v>
      </c>
      <c r="DQ246" s="688">
        <f t="shared" si="1209"/>
        <v>88.199999999999989</v>
      </c>
      <c r="DR246" s="688">
        <f t="shared" si="1209"/>
        <v>88.199999999999989</v>
      </c>
      <c r="DS246" s="688">
        <f t="shared" si="1209"/>
        <v>88.199999999999989</v>
      </c>
      <c r="DT246" s="688">
        <f t="shared" si="1209"/>
        <v>88.199999999999989</v>
      </c>
      <c r="DU246" s="21"/>
      <c r="DV246" s="688">
        <f>+$H$246*DT95/12</f>
        <v>88.199999999999989</v>
      </c>
      <c r="DW246" s="688">
        <f t="shared" ref="DW246:EG246" si="1210">+$H$246*DV95/12</f>
        <v>88.199999999999989</v>
      </c>
      <c r="DX246" s="688">
        <f t="shared" si="1210"/>
        <v>88.199999999999989</v>
      </c>
      <c r="DY246" s="688">
        <f t="shared" si="1210"/>
        <v>88.199999999999989</v>
      </c>
      <c r="DZ246" s="688">
        <f t="shared" si="1210"/>
        <v>88.199999999999989</v>
      </c>
      <c r="EA246" s="688">
        <f t="shared" si="1210"/>
        <v>88.199999999999989</v>
      </c>
      <c r="EB246" s="688">
        <f t="shared" si="1210"/>
        <v>88.199999999999989</v>
      </c>
      <c r="EC246" s="688">
        <f t="shared" si="1210"/>
        <v>88.199999999999989</v>
      </c>
      <c r="ED246" s="688">
        <f t="shared" si="1210"/>
        <v>88.199999999999989</v>
      </c>
      <c r="EE246" s="688">
        <f t="shared" si="1210"/>
        <v>88.199999999999989</v>
      </c>
      <c r="EF246" s="688">
        <f t="shared" si="1210"/>
        <v>88.199999999999989</v>
      </c>
      <c r="EG246" s="688">
        <f t="shared" si="1210"/>
        <v>88.199999999999989</v>
      </c>
      <c r="EH246" s="21"/>
      <c r="EI246" s="21"/>
      <c r="EJ246" s="21"/>
      <c r="EK246" s="21"/>
      <c r="EL246" s="21"/>
      <c r="EM246" s="21"/>
    </row>
    <row r="247" spans="1:143" ht="13.5" customHeight="1">
      <c r="A247" s="21"/>
      <c r="B247" s="21"/>
      <c r="C247" s="21"/>
      <c r="D247" s="21"/>
      <c r="E247" s="21"/>
      <c r="F247" s="21" t="str">
        <f>+Assumption!F319</f>
        <v>Bonds/MTN/Securities 1</v>
      </c>
      <c r="G247" s="15"/>
      <c r="H247" s="66">
        <f>+Assumption!H319</f>
        <v>0</v>
      </c>
      <c r="I247" s="688">
        <f t="shared" ref="I247:T247" si="1211">+$H$247*H120/12</f>
        <v>0</v>
      </c>
      <c r="J247" s="688">
        <f t="shared" si="1211"/>
        <v>0</v>
      </c>
      <c r="K247" s="688">
        <f t="shared" si="1211"/>
        <v>0</v>
      </c>
      <c r="L247" s="688">
        <f t="shared" si="1211"/>
        <v>0</v>
      </c>
      <c r="M247" s="688">
        <f t="shared" si="1211"/>
        <v>0</v>
      </c>
      <c r="N247" s="688">
        <f t="shared" si="1211"/>
        <v>0</v>
      </c>
      <c r="O247" s="688">
        <f t="shared" si="1211"/>
        <v>0</v>
      </c>
      <c r="P247" s="688">
        <f t="shared" si="1211"/>
        <v>0</v>
      </c>
      <c r="Q247" s="688">
        <f t="shared" si="1211"/>
        <v>0</v>
      </c>
      <c r="R247" s="688">
        <f t="shared" si="1211"/>
        <v>0</v>
      </c>
      <c r="S247" s="688">
        <f t="shared" si="1211"/>
        <v>0</v>
      </c>
      <c r="T247" s="688">
        <f t="shared" si="1211"/>
        <v>0</v>
      </c>
      <c r="U247" s="15"/>
      <c r="V247" s="688">
        <f>+$H$247*T120/12</f>
        <v>0</v>
      </c>
      <c r="W247" s="688">
        <f t="shared" ref="W247:AG247" si="1212">+$H$247*V120/12</f>
        <v>0</v>
      </c>
      <c r="X247" s="688">
        <f t="shared" si="1212"/>
        <v>0</v>
      </c>
      <c r="Y247" s="688">
        <f t="shared" si="1212"/>
        <v>0</v>
      </c>
      <c r="Z247" s="688">
        <f t="shared" si="1212"/>
        <v>0</v>
      </c>
      <c r="AA247" s="688">
        <f t="shared" si="1212"/>
        <v>0</v>
      </c>
      <c r="AB247" s="688">
        <f t="shared" si="1212"/>
        <v>0</v>
      </c>
      <c r="AC247" s="688">
        <f t="shared" si="1212"/>
        <v>0</v>
      </c>
      <c r="AD247" s="688">
        <f t="shared" si="1212"/>
        <v>0</v>
      </c>
      <c r="AE247" s="688">
        <f t="shared" si="1212"/>
        <v>0</v>
      </c>
      <c r="AF247" s="688">
        <f t="shared" si="1212"/>
        <v>0</v>
      </c>
      <c r="AG247" s="688">
        <f t="shared" si="1212"/>
        <v>0</v>
      </c>
      <c r="AH247" s="21"/>
      <c r="AI247" s="688">
        <f>+$H$247*AG120/12</f>
        <v>0</v>
      </c>
      <c r="AJ247" s="688">
        <f t="shared" ref="AJ247:AT247" si="1213">+$H$247*AI120/12</f>
        <v>0</v>
      </c>
      <c r="AK247" s="688">
        <f t="shared" si="1213"/>
        <v>0</v>
      </c>
      <c r="AL247" s="688">
        <f t="shared" si="1213"/>
        <v>0</v>
      </c>
      <c r="AM247" s="688">
        <f t="shared" si="1213"/>
        <v>0</v>
      </c>
      <c r="AN247" s="688">
        <f t="shared" si="1213"/>
        <v>0</v>
      </c>
      <c r="AO247" s="688">
        <f t="shared" si="1213"/>
        <v>0</v>
      </c>
      <c r="AP247" s="688">
        <f t="shared" si="1213"/>
        <v>0</v>
      </c>
      <c r="AQ247" s="688">
        <f t="shared" si="1213"/>
        <v>0</v>
      </c>
      <c r="AR247" s="688">
        <f t="shared" si="1213"/>
        <v>0</v>
      </c>
      <c r="AS247" s="688">
        <f t="shared" si="1213"/>
        <v>0</v>
      </c>
      <c r="AT247" s="688">
        <f t="shared" si="1213"/>
        <v>0</v>
      </c>
      <c r="AU247" s="21"/>
      <c r="AV247" s="688">
        <f>+$H$247*AT120/12</f>
        <v>0</v>
      </c>
      <c r="AW247" s="688">
        <f t="shared" ref="AW247:BG247" si="1214">+$H$247*AV120/12</f>
        <v>0</v>
      </c>
      <c r="AX247" s="688">
        <f t="shared" si="1214"/>
        <v>0</v>
      </c>
      <c r="AY247" s="688">
        <f t="shared" si="1214"/>
        <v>0</v>
      </c>
      <c r="AZ247" s="688">
        <f t="shared" si="1214"/>
        <v>0</v>
      </c>
      <c r="BA247" s="688">
        <f t="shared" si="1214"/>
        <v>0</v>
      </c>
      <c r="BB247" s="688">
        <f t="shared" si="1214"/>
        <v>0</v>
      </c>
      <c r="BC247" s="688">
        <f t="shared" si="1214"/>
        <v>0</v>
      </c>
      <c r="BD247" s="688">
        <f t="shared" si="1214"/>
        <v>0</v>
      </c>
      <c r="BE247" s="688">
        <f t="shared" si="1214"/>
        <v>0</v>
      </c>
      <c r="BF247" s="688">
        <f t="shared" si="1214"/>
        <v>0</v>
      </c>
      <c r="BG247" s="688">
        <f t="shared" si="1214"/>
        <v>0</v>
      </c>
      <c r="BH247" s="21"/>
      <c r="BI247" s="688">
        <f>+$H$247*BG120/12</f>
        <v>0</v>
      </c>
      <c r="BJ247" s="688">
        <f t="shared" ref="BJ247:BT247" si="1215">+$H$247*BI120/12</f>
        <v>0</v>
      </c>
      <c r="BK247" s="688">
        <f t="shared" si="1215"/>
        <v>0</v>
      </c>
      <c r="BL247" s="688">
        <f t="shared" si="1215"/>
        <v>0</v>
      </c>
      <c r="BM247" s="688">
        <f t="shared" si="1215"/>
        <v>0</v>
      </c>
      <c r="BN247" s="688">
        <f t="shared" si="1215"/>
        <v>0</v>
      </c>
      <c r="BO247" s="688">
        <f t="shared" si="1215"/>
        <v>0</v>
      </c>
      <c r="BP247" s="688">
        <f t="shared" si="1215"/>
        <v>0</v>
      </c>
      <c r="BQ247" s="688">
        <f t="shared" si="1215"/>
        <v>0</v>
      </c>
      <c r="BR247" s="688">
        <f t="shared" si="1215"/>
        <v>0</v>
      </c>
      <c r="BS247" s="688">
        <f t="shared" si="1215"/>
        <v>0</v>
      </c>
      <c r="BT247" s="688">
        <f t="shared" si="1215"/>
        <v>0</v>
      </c>
      <c r="BU247" s="21"/>
      <c r="BV247" s="688">
        <f>+$H$247*BT120/12</f>
        <v>0</v>
      </c>
      <c r="BW247" s="688">
        <f t="shared" ref="BW247:CG247" si="1216">+$H$247*BV120/12</f>
        <v>0</v>
      </c>
      <c r="BX247" s="688">
        <f t="shared" si="1216"/>
        <v>0</v>
      </c>
      <c r="BY247" s="688">
        <f t="shared" si="1216"/>
        <v>0</v>
      </c>
      <c r="BZ247" s="688">
        <f t="shared" si="1216"/>
        <v>0</v>
      </c>
      <c r="CA247" s="688">
        <f t="shared" si="1216"/>
        <v>0</v>
      </c>
      <c r="CB247" s="688">
        <f t="shared" si="1216"/>
        <v>0</v>
      </c>
      <c r="CC247" s="688">
        <f t="shared" si="1216"/>
        <v>0</v>
      </c>
      <c r="CD247" s="688">
        <f t="shared" si="1216"/>
        <v>0</v>
      </c>
      <c r="CE247" s="688">
        <f t="shared" si="1216"/>
        <v>0</v>
      </c>
      <c r="CF247" s="688">
        <f t="shared" si="1216"/>
        <v>0</v>
      </c>
      <c r="CG247" s="688">
        <f t="shared" si="1216"/>
        <v>0</v>
      </c>
      <c r="CH247" s="21"/>
      <c r="CI247" s="688">
        <f>+$H$247*CG120/12</f>
        <v>0</v>
      </c>
      <c r="CJ247" s="688">
        <f t="shared" ref="CJ247:CT247" si="1217">+$H$247*CI120/12</f>
        <v>0</v>
      </c>
      <c r="CK247" s="688">
        <f t="shared" si="1217"/>
        <v>0</v>
      </c>
      <c r="CL247" s="688">
        <f t="shared" si="1217"/>
        <v>0</v>
      </c>
      <c r="CM247" s="688">
        <f t="shared" si="1217"/>
        <v>0</v>
      </c>
      <c r="CN247" s="688">
        <f t="shared" si="1217"/>
        <v>0</v>
      </c>
      <c r="CO247" s="688">
        <f t="shared" si="1217"/>
        <v>0</v>
      </c>
      <c r="CP247" s="688">
        <f t="shared" si="1217"/>
        <v>0</v>
      </c>
      <c r="CQ247" s="688">
        <f t="shared" si="1217"/>
        <v>0</v>
      </c>
      <c r="CR247" s="688">
        <f t="shared" si="1217"/>
        <v>0</v>
      </c>
      <c r="CS247" s="688">
        <f t="shared" si="1217"/>
        <v>0</v>
      </c>
      <c r="CT247" s="688">
        <f t="shared" si="1217"/>
        <v>0</v>
      </c>
      <c r="CU247" s="21"/>
      <c r="CV247" s="688">
        <f>+$H$247*CT120/12</f>
        <v>0</v>
      </c>
      <c r="CW247" s="688">
        <f t="shared" ref="CW247:DG247" si="1218">+$H$247*CV120/12</f>
        <v>0</v>
      </c>
      <c r="CX247" s="688">
        <f t="shared" si="1218"/>
        <v>0</v>
      </c>
      <c r="CY247" s="688">
        <f t="shared" si="1218"/>
        <v>0</v>
      </c>
      <c r="CZ247" s="688">
        <f t="shared" si="1218"/>
        <v>0</v>
      </c>
      <c r="DA247" s="688">
        <f t="shared" si="1218"/>
        <v>0</v>
      </c>
      <c r="DB247" s="688">
        <f t="shared" si="1218"/>
        <v>0</v>
      </c>
      <c r="DC247" s="688">
        <f t="shared" si="1218"/>
        <v>0</v>
      </c>
      <c r="DD247" s="688">
        <f t="shared" si="1218"/>
        <v>0</v>
      </c>
      <c r="DE247" s="688">
        <f t="shared" si="1218"/>
        <v>0</v>
      </c>
      <c r="DF247" s="688">
        <f t="shared" si="1218"/>
        <v>0</v>
      </c>
      <c r="DG247" s="688">
        <f t="shared" si="1218"/>
        <v>0</v>
      </c>
      <c r="DH247" s="21"/>
      <c r="DI247" s="688">
        <f>+$H$247*DG120/12</f>
        <v>0</v>
      </c>
      <c r="DJ247" s="688">
        <f t="shared" ref="DJ247:DT247" si="1219">+$H$247*DI120/12</f>
        <v>0</v>
      </c>
      <c r="DK247" s="688">
        <f t="shared" si="1219"/>
        <v>0</v>
      </c>
      <c r="DL247" s="688">
        <f t="shared" si="1219"/>
        <v>0</v>
      </c>
      <c r="DM247" s="688">
        <f t="shared" si="1219"/>
        <v>0</v>
      </c>
      <c r="DN247" s="688">
        <f t="shared" si="1219"/>
        <v>0</v>
      </c>
      <c r="DO247" s="688">
        <f t="shared" si="1219"/>
        <v>0</v>
      </c>
      <c r="DP247" s="688">
        <f t="shared" si="1219"/>
        <v>0</v>
      </c>
      <c r="DQ247" s="688">
        <f t="shared" si="1219"/>
        <v>0</v>
      </c>
      <c r="DR247" s="688">
        <f t="shared" si="1219"/>
        <v>0</v>
      </c>
      <c r="DS247" s="688">
        <f t="shared" si="1219"/>
        <v>0</v>
      </c>
      <c r="DT247" s="688">
        <f t="shared" si="1219"/>
        <v>0</v>
      </c>
      <c r="DU247" s="21"/>
      <c r="DV247" s="688">
        <f>+$H$247*DT120/12</f>
        <v>0</v>
      </c>
      <c r="DW247" s="688">
        <f t="shared" ref="DW247:EG247" si="1220">+$H$247*DV120/12</f>
        <v>0</v>
      </c>
      <c r="DX247" s="688">
        <f t="shared" si="1220"/>
        <v>0</v>
      </c>
      <c r="DY247" s="688">
        <f t="shared" si="1220"/>
        <v>0</v>
      </c>
      <c r="DZ247" s="688">
        <f t="shared" si="1220"/>
        <v>0</v>
      </c>
      <c r="EA247" s="688">
        <f t="shared" si="1220"/>
        <v>0</v>
      </c>
      <c r="EB247" s="688">
        <f t="shared" si="1220"/>
        <v>0</v>
      </c>
      <c r="EC247" s="688">
        <f t="shared" si="1220"/>
        <v>0</v>
      </c>
      <c r="ED247" s="688">
        <f t="shared" si="1220"/>
        <v>0</v>
      </c>
      <c r="EE247" s="688">
        <f t="shared" si="1220"/>
        <v>0</v>
      </c>
      <c r="EF247" s="688">
        <f t="shared" si="1220"/>
        <v>0</v>
      </c>
      <c r="EG247" s="688">
        <f t="shared" si="1220"/>
        <v>0</v>
      </c>
      <c r="EH247" s="21"/>
      <c r="EI247" s="21"/>
      <c r="EJ247" s="21"/>
      <c r="EK247" s="21"/>
      <c r="EL247" s="21"/>
      <c r="EM247" s="21"/>
    </row>
    <row r="248" spans="1:143" ht="13.5" customHeight="1">
      <c r="A248" s="21"/>
      <c r="B248" s="21"/>
      <c r="C248" s="21"/>
      <c r="D248" s="21"/>
      <c r="E248" s="21"/>
      <c r="F248" s="21" t="str">
        <f>+Assumption!F320</f>
        <v>Bonds/MTN/Securities 2</v>
      </c>
      <c r="G248" s="15"/>
      <c r="H248" s="66">
        <f>+Assumption!H320</f>
        <v>0</v>
      </c>
      <c r="I248" s="688">
        <f t="shared" ref="I248:T248" si="1221">+$H$248*H121/12</f>
        <v>0</v>
      </c>
      <c r="J248" s="688">
        <f t="shared" si="1221"/>
        <v>0</v>
      </c>
      <c r="K248" s="688">
        <f t="shared" si="1221"/>
        <v>0</v>
      </c>
      <c r="L248" s="688">
        <f t="shared" si="1221"/>
        <v>0</v>
      </c>
      <c r="M248" s="688">
        <f t="shared" si="1221"/>
        <v>0</v>
      </c>
      <c r="N248" s="688">
        <f t="shared" si="1221"/>
        <v>0</v>
      </c>
      <c r="O248" s="688">
        <f t="shared" si="1221"/>
        <v>0</v>
      </c>
      <c r="P248" s="688">
        <f t="shared" si="1221"/>
        <v>0</v>
      </c>
      <c r="Q248" s="688">
        <f t="shared" si="1221"/>
        <v>0</v>
      </c>
      <c r="R248" s="688">
        <f t="shared" si="1221"/>
        <v>0</v>
      </c>
      <c r="S248" s="688">
        <f t="shared" si="1221"/>
        <v>0</v>
      </c>
      <c r="T248" s="688">
        <f t="shared" si="1221"/>
        <v>0</v>
      </c>
      <c r="U248" s="15"/>
      <c r="V248" s="688">
        <f>+$H$248*T121/12</f>
        <v>0</v>
      </c>
      <c r="W248" s="688">
        <f t="shared" ref="W248:AG248" si="1222">+$H$248*V121/12</f>
        <v>0</v>
      </c>
      <c r="X248" s="688">
        <f t="shared" si="1222"/>
        <v>0</v>
      </c>
      <c r="Y248" s="688">
        <f t="shared" si="1222"/>
        <v>0</v>
      </c>
      <c r="Z248" s="688">
        <f t="shared" si="1222"/>
        <v>0</v>
      </c>
      <c r="AA248" s="688">
        <f t="shared" si="1222"/>
        <v>0</v>
      </c>
      <c r="AB248" s="688">
        <f t="shared" si="1222"/>
        <v>0</v>
      </c>
      <c r="AC248" s="688">
        <f t="shared" si="1222"/>
        <v>0</v>
      </c>
      <c r="AD248" s="688">
        <f t="shared" si="1222"/>
        <v>0</v>
      </c>
      <c r="AE248" s="688">
        <f t="shared" si="1222"/>
        <v>0</v>
      </c>
      <c r="AF248" s="688">
        <f t="shared" si="1222"/>
        <v>0</v>
      </c>
      <c r="AG248" s="688">
        <f t="shared" si="1222"/>
        <v>0</v>
      </c>
      <c r="AH248" s="21"/>
      <c r="AI248" s="688">
        <f>+$H$248*AG121/12</f>
        <v>0</v>
      </c>
      <c r="AJ248" s="688">
        <f t="shared" ref="AJ248:AT248" si="1223">+$H$248*AI121/12</f>
        <v>0</v>
      </c>
      <c r="AK248" s="688">
        <f t="shared" si="1223"/>
        <v>0</v>
      </c>
      <c r="AL248" s="688">
        <f t="shared" si="1223"/>
        <v>0</v>
      </c>
      <c r="AM248" s="688">
        <f t="shared" si="1223"/>
        <v>0</v>
      </c>
      <c r="AN248" s="688">
        <f t="shared" si="1223"/>
        <v>0</v>
      </c>
      <c r="AO248" s="688">
        <f t="shared" si="1223"/>
        <v>0</v>
      </c>
      <c r="AP248" s="688">
        <f t="shared" si="1223"/>
        <v>0</v>
      </c>
      <c r="AQ248" s="688">
        <f t="shared" si="1223"/>
        <v>0</v>
      </c>
      <c r="AR248" s="688">
        <f t="shared" si="1223"/>
        <v>0</v>
      </c>
      <c r="AS248" s="688">
        <f t="shared" si="1223"/>
        <v>0</v>
      </c>
      <c r="AT248" s="688">
        <f t="shared" si="1223"/>
        <v>0</v>
      </c>
      <c r="AU248" s="21"/>
      <c r="AV248" s="688">
        <f>+$H$248*AT121/12</f>
        <v>0</v>
      </c>
      <c r="AW248" s="688">
        <f t="shared" ref="AW248:BG248" si="1224">+$H$248*AV121/12</f>
        <v>0</v>
      </c>
      <c r="AX248" s="688">
        <f t="shared" si="1224"/>
        <v>0</v>
      </c>
      <c r="AY248" s="688">
        <f t="shared" si="1224"/>
        <v>0</v>
      </c>
      <c r="AZ248" s="688">
        <f t="shared" si="1224"/>
        <v>0</v>
      </c>
      <c r="BA248" s="688">
        <f t="shared" si="1224"/>
        <v>0</v>
      </c>
      <c r="BB248" s="688">
        <f t="shared" si="1224"/>
        <v>0</v>
      </c>
      <c r="BC248" s="688">
        <f t="shared" si="1224"/>
        <v>0</v>
      </c>
      <c r="BD248" s="688">
        <f t="shared" si="1224"/>
        <v>0</v>
      </c>
      <c r="BE248" s="688">
        <f t="shared" si="1224"/>
        <v>0</v>
      </c>
      <c r="BF248" s="688">
        <f t="shared" si="1224"/>
        <v>0</v>
      </c>
      <c r="BG248" s="688">
        <f t="shared" si="1224"/>
        <v>0</v>
      </c>
      <c r="BH248" s="21"/>
      <c r="BI248" s="688">
        <f>+$H$248*BG121/12</f>
        <v>0</v>
      </c>
      <c r="BJ248" s="688">
        <f t="shared" ref="BJ248:BT248" si="1225">+$H$248*BI121/12</f>
        <v>0</v>
      </c>
      <c r="BK248" s="688">
        <f t="shared" si="1225"/>
        <v>0</v>
      </c>
      <c r="BL248" s="688">
        <f t="shared" si="1225"/>
        <v>0</v>
      </c>
      <c r="BM248" s="688">
        <f t="shared" si="1225"/>
        <v>0</v>
      </c>
      <c r="BN248" s="688">
        <f t="shared" si="1225"/>
        <v>0</v>
      </c>
      <c r="BO248" s="688">
        <f t="shared" si="1225"/>
        <v>0</v>
      </c>
      <c r="BP248" s="688">
        <f t="shared" si="1225"/>
        <v>0</v>
      </c>
      <c r="BQ248" s="688">
        <f t="shared" si="1225"/>
        <v>0</v>
      </c>
      <c r="BR248" s="688">
        <f t="shared" si="1225"/>
        <v>0</v>
      </c>
      <c r="BS248" s="688">
        <f t="shared" si="1225"/>
        <v>0</v>
      </c>
      <c r="BT248" s="688">
        <f t="shared" si="1225"/>
        <v>0</v>
      </c>
      <c r="BU248" s="21"/>
      <c r="BV248" s="688">
        <f>+$H$248*BT121/12</f>
        <v>0</v>
      </c>
      <c r="BW248" s="688">
        <f t="shared" ref="BW248:CG248" si="1226">+$H$248*BV121/12</f>
        <v>0</v>
      </c>
      <c r="BX248" s="688">
        <f t="shared" si="1226"/>
        <v>0</v>
      </c>
      <c r="BY248" s="688">
        <f t="shared" si="1226"/>
        <v>0</v>
      </c>
      <c r="BZ248" s="688">
        <f t="shared" si="1226"/>
        <v>0</v>
      </c>
      <c r="CA248" s="688">
        <f t="shared" si="1226"/>
        <v>0</v>
      </c>
      <c r="CB248" s="688">
        <f t="shared" si="1226"/>
        <v>0</v>
      </c>
      <c r="CC248" s="688">
        <f t="shared" si="1226"/>
        <v>0</v>
      </c>
      <c r="CD248" s="688">
        <f t="shared" si="1226"/>
        <v>0</v>
      </c>
      <c r="CE248" s="688">
        <f t="shared" si="1226"/>
        <v>0</v>
      </c>
      <c r="CF248" s="688">
        <f t="shared" si="1226"/>
        <v>0</v>
      </c>
      <c r="CG248" s="688">
        <f t="shared" si="1226"/>
        <v>0</v>
      </c>
      <c r="CH248" s="21"/>
      <c r="CI248" s="688">
        <f>+$H$248*CG121/12</f>
        <v>0</v>
      </c>
      <c r="CJ248" s="688">
        <f t="shared" ref="CJ248:CT248" si="1227">+$H$248*CI121/12</f>
        <v>0</v>
      </c>
      <c r="CK248" s="688">
        <f t="shared" si="1227"/>
        <v>0</v>
      </c>
      <c r="CL248" s="688">
        <f t="shared" si="1227"/>
        <v>0</v>
      </c>
      <c r="CM248" s="688">
        <f t="shared" si="1227"/>
        <v>0</v>
      </c>
      <c r="CN248" s="688">
        <f t="shared" si="1227"/>
        <v>0</v>
      </c>
      <c r="CO248" s="688">
        <f t="shared" si="1227"/>
        <v>0</v>
      </c>
      <c r="CP248" s="688">
        <f t="shared" si="1227"/>
        <v>0</v>
      </c>
      <c r="CQ248" s="688">
        <f t="shared" si="1227"/>
        <v>0</v>
      </c>
      <c r="CR248" s="688">
        <f t="shared" si="1227"/>
        <v>0</v>
      </c>
      <c r="CS248" s="688">
        <f t="shared" si="1227"/>
        <v>0</v>
      </c>
      <c r="CT248" s="688">
        <f t="shared" si="1227"/>
        <v>0</v>
      </c>
      <c r="CU248" s="21"/>
      <c r="CV248" s="688">
        <f>+$H$248*CT121/12</f>
        <v>0</v>
      </c>
      <c r="CW248" s="688">
        <f t="shared" ref="CW248:DG248" si="1228">+$H$248*CV121/12</f>
        <v>0</v>
      </c>
      <c r="CX248" s="688">
        <f t="shared" si="1228"/>
        <v>0</v>
      </c>
      <c r="CY248" s="688">
        <f t="shared" si="1228"/>
        <v>0</v>
      </c>
      <c r="CZ248" s="688">
        <f t="shared" si="1228"/>
        <v>0</v>
      </c>
      <c r="DA248" s="688">
        <f t="shared" si="1228"/>
        <v>0</v>
      </c>
      <c r="DB248" s="688">
        <f t="shared" si="1228"/>
        <v>0</v>
      </c>
      <c r="DC248" s="688">
        <f t="shared" si="1228"/>
        <v>0</v>
      </c>
      <c r="DD248" s="688">
        <f t="shared" si="1228"/>
        <v>0</v>
      </c>
      <c r="DE248" s="688">
        <f t="shared" si="1228"/>
        <v>0</v>
      </c>
      <c r="DF248" s="688">
        <f t="shared" si="1228"/>
        <v>0</v>
      </c>
      <c r="DG248" s="688">
        <f t="shared" si="1228"/>
        <v>0</v>
      </c>
      <c r="DH248" s="21"/>
      <c r="DI248" s="688">
        <f>+$H$248*DG121/12</f>
        <v>0</v>
      </c>
      <c r="DJ248" s="688">
        <f t="shared" ref="DJ248:DT248" si="1229">+$H$248*DI121/12</f>
        <v>0</v>
      </c>
      <c r="DK248" s="688">
        <f t="shared" si="1229"/>
        <v>0</v>
      </c>
      <c r="DL248" s="688">
        <f t="shared" si="1229"/>
        <v>0</v>
      </c>
      <c r="DM248" s="688">
        <f t="shared" si="1229"/>
        <v>0</v>
      </c>
      <c r="DN248" s="688">
        <f t="shared" si="1229"/>
        <v>0</v>
      </c>
      <c r="DO248" s="688">
        <f t="shared" si="1229"/>
        <v>0</v>
      </c>
      <c r="DP248" s="688">
        <f t="shared" si="1229"/>
        <v>0</v>
      </c>
      <c r="DQ248" s="688">
        <f t="shared" si="1229"/>
        <v>0</v>
      </c>
      <c r="DR248" s="688">
        <f t="shared" si="1229"/>
        <v>0</v>
      </c>
      <c r="DS248" s="688">
        <f t="shared" si="1229"/>
        <v>0</v>
      </c>
      <c r="DT248" s="688">
        <f t="shared" si="1229"/>
        <v>0</v>
      </c>
      <c r="DU248" s="21"/>
      <c r="DV248" s="688">
        <f>+$H$248*DT121/12</f>
        <v>0</v>
      </c>
      <c r="DW248" s="688">
        <f t="shared" ref="DW248:EG248" si="1230">+$H$248*DV121/12</f>
        <v>0</v>
      </c>
      <c r="DX248" s="688">
        <f t="shared" si="1230"/>
        <v>0</v>
      </c>
      <c r="DY248" s="688">
        <f t="shared" si="1230"/>
        <v>0</v>
      </c>
      <c r="DZ248" s="688">
        <f t="shared" si="1230"/>
        <v>0</v>
      </c>
      <c r="EA248" s="688">
        <f t="shared" si="1230"/>
        <v>0</v>
      </c>
      <c r="EB248" s="688">
        <f t="shared" si="1230"/>
        <v>0</v>
      </c>
      <c r="EC248" s="688">
        <f t="shared" si="1230"/>
        <v>0</v>
      </c>
      <c r="ED248" s="688">
        <f t="shared" si="1230"/>
        <v>0</v>
      </c>
      <c r="EE248" s="688">
        <f t="shared" si="1230"/>
        <v>0</v>
      </c>
      <c r="EF248" s="688">
        <f t="shared" si="1230"/>
        <v>0</v>
      </c>
      <c r="EG248" s="688">
        <f t="shared" si="1230"/>
        <v>0</v>
      </c>
      <c r="EH248" s="21"/>
      <c r="EI248" s="21"/>
      <c r="EJ248" s="21"/>
      <c r="EK248" s="21"/>
      <c r="EL248" s="21"/>
      <c r="EM248" s="21"/>
    </row>
    <row r="249" spans="1:143" ht="13.5" customHeight="1">
      <c r="A249" s="21"/>
      <c r="B249" s="21"/>
      <c r="C249" s="21"/>
      <c r="D249" s="21"/>
      <c r="E249" s="21"/>
      <c r="F249" s="21" t="str">
        <f>+Assumption!F321</f>
        <v>Bonds/MTN/Securities 3</v>
      </c>
      <c r="G249" s="15"/>
      <c r="H249" s="66">
        <f>+Assumption!H321</f>
        <v>0</v>
      </c>
      <c r="I249" s="688">
        <f t="shared" ref="I249:T249" si="1231">+$H$249*H122/12</f>
        <v>0</v>
      </c>
      <c r="J249" s="688">
        <f t="shared" si="1231"/>
        <v>0</v>
      </c>
      <c r="K249" s="688">
        <f t="shared" si="1231"/>
        <v>0</v>
      </c>
      <c r="L249" s="688">
        <f t="shared" si="1231"/>
        <v>0</v>
      </c>
      <c r="M249" s="688">
        <f t="shared" si="1231"/>
        <v>0</v>
      </c>
      <c r="N249" s="688">
        <f t="shared" si="1231"/>
        <v>0</v>
      </c>
      <c r="O249" s="688">
        <f t="shared" si="1231"/>
        <v>0</v>
      </c>
      <c r="P249" s="688">
        <f t="shared" si="1231"/>
        <v>0</v>
      </c>
      <c r="Q249" s="688">
        <f t="shared" si="1231"/>
        <v>0</v>
      </c>
      <c r="R249" s="688">
        <f t="shared" si="1231"/>
        <v>0</v>
      </c>
      <c r="S249" s="688">
        <f t="shared" si="1231"/>
        <v>0</v>
      </c>
      <c r="T249" s="688">
        <f t="shared" si="1231"/>
        <v>0</v>
      </c>
      <c r="U249" s="15"/>
      <c r="V249" s="688">
        <f>+$H$249*T122/12</f>
        <v>0</v>
      </c>
      <c r="W249" s="688">
        <f t="shared" ref="W249:AG249" si="1232">+$H$249*V122/12</f>
        <v>0</v>
      </c>
      <c r="X249" s="688">
        <f t="shared" si="1232"/>
        <v>0</v>
      </c>
      <c r="Y249" s="688">
        <f t="shared" si="1232"/>
        <v>0</v>
      </c>
      <c r="Z249" s="688">
        <f t="shared" si="1232"/>
        <v>0</v>
      </c>
      <c r="AA249" s="688">
        <f t="shared" si="1232"/>
        <v>0</v>
      </c>
      <c r="AB249" s="688">
        <f t="shared" si="1232"/>
        <v>0</v>
      </c>
      <c r="AC249" s="688">
        <f t="shared" si="1232"/>
        <v>0</v>
      </c>
      <c r="AD249" s="688">
        <f t="shared" si="1232"/>
        <v>0</v>
      </c>
      <c r="AE249" s="688">
        <f t="shared" si="1232"/>
        <v>0</v>
      </c>
      <c r="AF249" s="688">
        <f t="shared" si="1232"/>
        <v>0</v>
      </c>
      <c r="AG249" s="688">
        <f t="shared" si="1232"/>
        <v>0</v>
      </c>
      <c r="AH249" s="21"/>
      <c r="AI249" s="688">
        <f>+$H$249*AG122/12</f>
        <v>0</v>
      </c>
      <c r="AJ249" s="688">
        <f t="shared" ref="AJ249:AT249" si="1233">+$H$249*AI122/12</f>
        <v>0</v>
      </c>
      <c r="AK249" s="688">
        <f t="shared" si="1233"/>
        <v>0</v>
      </c>
      <c r="AL249" s="688">
        <f t="shared" si="1233"/>
        <v>0</v>
      </c>
      <c r="AM249" s="688">
        <f t="shared" si="1233"/>
        <v>0</v>
      </c>
      <c r="AN249" s="688">
        <f t="shared" si="1233"/>
        <v>0</v>
      </c>
      <c r="AO249" s="688">
        <f t="shared" si="1233"/>
        <v>0</v>
      </c>
      <c r="AP249" s="688">
        <f t="shared" si="1233"/>
        <v>0</v>
      </c>
      <c r="AQ249" s="688">
        <f t="shared" si="1233"/>
        <v>0</v>
      </c>
      <c r="AR249" s="688">
        <f t="shared" si="1233"/>
        <v>0</v>
      </c>
      <c r="AS249" s="688">
        <f t="shared" si="1233"/>
        <v>0</v>
      </c>
      <c r="AT249" s="688">
        <f t="shared" si="1233"/>
        <v>0</v>
      </c>
      <c r="AU249" s="21"/>
      <c r="AV249" s="688">
        <f>+$H$249*AT122/12</f>
        <v>0</v>
      </c>
      <c r="AW249" s="688">
        <f t="shared" ref="AW249:BG249" si="1234">+$H$249*AV122/12</f>
        <v>0</v>
      </c>
      <c r="AX249" s="688">
        <f t="shared" si="1234"/>
        <v>0</v>
      </c>
      <c r="AY249" s="688">
        <f t="shared" si="1234"/>
        <v>0</v>
      </c>
      <c r="AZ249" s="688">
        <f t="shared" si="1234"/>
        <v>0</v>
      </c>
      <c r="BA249" s="688">
        <f t="shared" si="1234"/>
        <v>0</v>
      </c>
      <c r="BB249" s="688">
        <f t="shared" si="1234"/>
        <v>0</v>
      </c>
      <c r="BC249" s="688">
        <f t="shared" si="1234"/>
        <v>0</v>
      </c>
      <c r="BD249" s="688">
        <f t="shared" si="1234"/>
        <v>0</v>
      </c>
      <c r="BE249" s="688">
        <f t="shared" si="1234"/>
        <v>0</v>
      </c>
      <c r="BF249" s="688">
        <f t="shared" si="1234"/>
        <v>0</v>
      </c>
      <c r="BG249" s="688">
        <f t="shared" si="1234"/>
        <v>0</v>
      </c>
      <c r="BH249" s="21"/>
      <c r="BI249" s="688">
        <f>+$H$249*BG122/12</f>
        <v>0</v>
      </c>
      <c r="BJ249" s="688">
        <f t="shared" ref="BJ249:BT249" si="1235">+$H$249*BI122/12</f>
        <v>0</v>
      </c>
      <c r="BK249" s="688">
        <f t="shared" si="1235"/>
        <v>0</v>
      </c>
      <c r="BL249" s="688">
        <f t="shared" si="1235"/>
        <v>0</v>
      </c>
      <c r="BM249" s="688">
        <f t="shared" si="1235"/>
        <v>0</v>
      </c>
      <c r="BN249" s="688">
        <f t="shared" si="1235"/>
        <v>0</v>
      </c>
      <c r="BO249" s="688">
        <f t="shared" si="1235"/>
        <v>0</v>
      </c>
      <c r="BP249" s="688">
        <f t="shared" si="1235"/>
        <v>0</v>
      </c>
      <c r="BQ249" s="688">
        <f t="shared" si="1235"/>
        <v>0</v>
      </c>
      <c r="BR249" s="688">
        <f t="shared" si="1235"/>
        <v>0</v>
      </c>
      <c r="BS249" s="688">
        <f t="shared" si="1235"/>
        <v>0</v>
      </c>
      <c r="BT249" s="688">
        <f t="shared" si="1235"/>
        <v>0</v>
      </c>
      <c r="BU249" s="21"/>
      <c r="BV249" s="688">
        <f>+$H$249*BT122/12</f>
        <v>0</v>
      </c>
      <c r="BW249" s="688">
        <f t="shared" ref="BW249:CG249" si="1236">+$H$249*BV122/12</f>
        <v>0</v>
      </c>
      <c r="BX249" s="688">
        <f t="shared" si="1236"/>
        <v>0</v>
      </c>
      <c r="BY249" s="688">
        <f t="shared" si="1236"/>
        <v>0</v>
      </c>
      <c r="BZ249" s="688">
        <f t="shared" si="1236"/>
        <v>0</v>
      </c>
      <c r="CA249" s="688">
        <f t="shared" si="1236"/>
        <v>0</v>
      </c>
      <c r="CB249" s="688">
        <f t="shared" si="1236"/>
        <v>0</v>
      </c>
      <c r="CC249" s="688">
        <f t="shared" si="1236"/>
        <v>0</v>
      </c>
      <c r="CD249" s="688">
        <f t="shared" si="1236"/>
        <v>0</v>
      </c>
      <c r="CE249" s="688">
        <f t="shared" si="1236"/>
        <v>0</v>
      </c>
      <c r="CF249" s="688">
        <f t="shared" si="1236"/>
        <v>0</v>
      </c>
      <c r="CG249" s="688">
        <f t="shared" si="1236"/>
        <v>0</v>
      </c>
      <c r="CH249" s="21"/>
      <c r="CI249" s="688">
        <f>+$H$249*CG122/12</f>
        <v>0</v>
      </c>
      <c r="CJ249" s="688">
        <f t="shared" ref="CJ249:CT249" si="1237">+$H$249*CI122/12</f>
        <v>0</v>
      </c>
      <c r="CK249" s="688">
        <f t="shared" si="1237"/>
        <v>0</v>
      </c>
      <c r="CL249" s="688">
        <f t="shared" si="1237"/>
        <v>0</v>
      </c>
      <c r="CM249" s="688">
        <f t="shared" si="1237"/>
        <v>0</v>
      </c>
      <c r="CN249" s="688">
        <f t="shared" si="1237"/>
        <v>0</v>
      </c>
      <c r="CO249" s="688">
        <f t="shared" si="1237"/>
        <v>0</v>
      </c>
      <c r="CP249" s="688">
        <f t="shared" si="1237"/>
        <v>0</v>
      </c>
      <c r="CQ249" s="688">
        <f t="shared" si="1237"/>
        <v>0</v>
      </c>
      <c r="CR249" s="688">
        <f t="shared" si="1237"/>
        <v>0</v>
      </c>
      <c r="CS249" s="688">
        <f t="shared" si="1237"/>
        <v>0</v>
      </c>
      <c r="CT249" s="688">
        <f t="shared" si="1237"/>
        <v>0</v>
      </c>
      <c r="CU249" s="21"/>
      <c r="CV249" s="688">
        <f>+$H$249*CT122/12</f>
        <v>0</v>
      </c>
      <c r="CW249" s="688">
        <f t="shared" ref="CW249:DG249" si="1238">+$H$249*CV122/12</f>
        <v>0</v>
      </c>
      <c r="CX249" s="688">
        <f t="shared" si="1238"/>
        <v>0</v>
      </c>
      <c r="CY249" s="688">
        <f t="shared" si="1238"/>
        <v>0</v>
      </c>
      <c r="CZ249" s="688">
        <f t="shared" si="1238"/>
        <v>0</v>
      </c>
      <c r="DA249" s="688">
        <f t="shared" si="1238"/>
        <v>0</v>
      </c>
      <c r="DB249" s="688">
        <f t="shared" si="1238"/>
        <v>0</v>
      </c>
      <c r="DC249" s="688">
        <f t="shared" si="1238"/>
        <v>0</v>
      </c>
      <c r="DD249" s="688">
        <f t="shared" si="1238"/>
        <v>0</v>
      </c>
      <c r="DE249" s="688">
        <f t="shared" si="1238"/>
        <v>0</v>
      </c>
      <c r="DF249" s="688">
        <f t="shared" si="1238"/>
        <v>0</v>
      </c>
      <c r="DG249" s="688">
        <f t="shared" si="1238"/>
        <v>0</v>
      </c>
      <c r="DH249" s="21"/>
      <c r="DI249" s="688">
        <f>+$H$249*DG122/12</f>
        <v>0</v>
      </c>
      <c r="DJ249" s="688">
        <f t="shared" ref="DJ249:DT249" si="1239">+$H$249*DI122/12</f>
        <v>0</v>
      </c>
      <c r="DK249" s="688">
        <f t="shared" si="1239"/>
        <v>0</v>
      </c>
      <c r="DL249" s="688">
        <f t="shared" si="1239"/>
        <v>0</v>
      </c>
      <c r="DM249" s="688">
        <f t="shared" si="1239"/>
        <v>0</v>
      </c>
      <c r="DN249" s="688">
        <f t="shared" si="1239"/>
        <v>0</v>
      </c>
      <c r="DO249" s="688">
        <f t="shared" si="1239"/>
        <v>0</v>
      </c>
      <c r="DP249" s="688">
        <f t="shared" si="1239"/>
        <v>0</v>
      </c>
      <c r="DQ249" s="688">
        <f t="shared" si="1239"/>
        <v>0</v>
      </c>
      <c r="DR249" s="688">
        <f t="shared" si="1239"/>
        <v>0</v>
      </c>
      <c r="DS249" s="688">
        <f t="shared" si="1239"/>
        <v>0</v>
      </c>
      <c r="DT249" s="688">
        <f t="shared" si="1239"/>
        <v>0</v>
      </c>
      <c r="DU249" s="21"/>
      <c r="DV249" s="688">
        <f>+$H$249*DT122/12</f>
        <v>0</v>
      </c>
      <c r="DW249" s="688">
        <f t="shared" ref="DW249:EG249" si="1240">+$H$249*DV122/12</f>
        <v>0</v>
      </c>
      <c r="DX249" s="688">
        <f t="shared" si="1240"/>
        <v>0</v>
      </c>
      <c r="DY249" s="688">
        <f t="shared" si="1240"/>
        <v>0</v>
      </c>
      <c r="DZ249" s="688">
        <f t="shared" si="1240"/>
        <v>0</v>
      </c>
      <c r="EA249" s="688">
        <f t="shared" si="1240"/>
        <v>0</v>
      </c>
      <c r="EB249" s="688">
        <f t="shared" si="1240"/>
        <v>0</v>
      </c>
      <c r="EC249" s="688">
        <f t="shared" si="1240"/>
        <v>0</v>
      </c>
      <c r="ED249" s="688">
        <f t="shared" si="1240"/>
        <v>0</v>
      </c>
      <c r="EE249" s="688">
        <f t="shared" si="1240"/>
        <v>0</v>
      </c>
      <c r="EF249" s="688">
        <f t="shared" si="1240"/>
        <v>0</v>
      </c>
      <c r="EG249" s="688">
        <f t="shared" si="1240"/>
        <v>0</v>
      </c>
      <c r="EH249" s="21"/>
      <c r="EI249" s="21"/>
      <c r="EJ249" s="21"/>
      <c r="EK249" s="21"/>
      <c r="EL249" s="21"/>
      <c r="EM249" s="21"/>
    </row>
    <row r="250" spans="1:143" ht="13.5" customHeight="1">
      <c r="A250" s="21"/>
      <c r="B250" s="21"/>
      <c r="C250" s="21"/>
      <c r="D250" s="21"/>
      <c r="E250" s="21"/>
      <c r="F250" s="21" t="str">
        <f>+Assumption!F322</f>
        <v>Bonds/MTN/Securities 4</v>
      </c>
      <c r="G250" s="15"/>
      <c r="H250" s="66">
        <f>+Assumption!H322</f>
        <v>0</v>
      </c>
      <c r="I250" s="688">
        <f t="shared" ref="I250:T250" si="1241">+$H$250*H123/12</f>
        <v>0</v>
      </c>
      <c r="J250" s="688">
        <f t="shared" si="1241"/>
        <v>0</v>
      </c>
      <c r="K250" s="688">
        <f t="shared" si="1241"/>
        <v>0</v>
      </c>
      <c r="L250" s="688">
        <f t="shared" si="1241"/>
        <v>0</v>
      </c>
      <c r="M250" s="688">
        <f t="shared" si="1241"/>
        <v>0</v>
      </c>
      <c r="N250" s="688">
        <f t="shared" si="1241"/>
        <v>0</v>
      </c>
      <c r="O250" s="688">
        <f t="shared" si="1241"/>
        <v>0</v>
      </c>
      <c r="P250" s="688">
        <f t="shared" si="1241"/>
        <v>0</v>
      </c>
      <c r="Q250" s="688">
        <f t="shared" si="1241"/>
        <v>0</v>
      </c>
      <c r="R250" s="688">
        <f t="shared" si="1241"/>
        <v>0</v>
      </c>
      <c r="S250" s="688">
        <f t="shared" si="1241"/>
        <v>0</v>
      </c>
      <c r="T250" s="688">
        <f t="shared" si="1241"/>
        <v>0</v>
      </c>
      <c r="U250" s="15"/>
      <c r="V250" s="688">
        <f>+$H$250*T123/12</f>
        <v>0</v>
      </c>
      <c r="W250" s="688">
        <f t="shared" ref="W250:AG250" si="1242">+$H$250*V123/12</f>
        <v>0</v>
      </c>
      <c r="X250" s="688">
        <f t="shared" si="1242"/>
        <v>0</v>
      </c>
      <c r="Y250" s="688">
        <f t="shared" si="1242"/>
        <v>0</v>
      </c>
      <c r="Z250" s="688">
        <f t="shared" si="1242"/>
        <v>0</v>
      </c>
      <c r="AA250" s="688">
        <f t="shared" si="1242"/>
        <v>0</v>
      </c>
      <c r="AB250" s="688">
        <f t="shared" si="1242"/>
        <v>0</v>
      </c>
      <c r="AC250" s="688">
        <f t="shared" si="1242"/>
        <v>0</v>
      </c>
      <c r="AD250" s="688">
        <f t="shared" si="1242"/>
        <v>0</v>
      </c>
      <c r="AE250" s="688">
        <f t="shared" si="1242"/>
        <v>0</v>
      </c>
      <c r="AF250" s="688">
        <f t="shared" si="1242"/>
        <v>0</v>
      </c>
      <c r="AG250" s="688">
        <f t="shared" si="1242"/>
        <v>0</v>
      </c>
      <c r="AH250" s="21"/>
      <c r="AI250" s="688">
        <f>+$H$250*AG123/12</f>
        <v>0</v>
      </c>
      <c r="AJ250" s="688">
        <f t="shared" ref="AJ250:AT250" si="1243">+$H$250*AI123/12</f>
        <v>0</v>
      </c>
      <c r="AK250" s="688">
        <f t="shared" si="1243"/>
        <v>0</v>
      </c>
      <c r="AL250" s="688">
        <f t="shared" si="1243"/>
        <v>0</v>
      </c>
      <c r="AM250" s="688">
        <f t="shared" si="1243"/>
        <v>0</v>
      </c>
      <c r="AN250" s="688">
        <f t="shared" si="1243"/>
        <v>0</v>
      </c>
      <c r="AO250" s="688">
        <f t="shared" si="1243"/>
        <v>0</v>
      </c>
      <c r="AP250" s="688">
        <f t="shared" si="1243"/>
        <v>0</v>
      </c>
      <c r="AQ250" s="688">
        <f t="shared" si="1243"/>
        <v>0</v>
      </c>
      <c r="AR250" s="688">
        <f t="shared" si="1243"/>
        <v>0</v>
      </c>
      <c r="AS250" s="688">
        <f t="shared" si="1243"/>
        <v>0</v>
      </c>
      <c r="AT250" s="688">
        <f t="shared" si="1243"/>
        <v>0</v>
      </c>
      <c r="AU250" s="21"/>
      <c r="AV250" s="688">
        <f>+$H$250*AT123/12</f>
        <v>0</v>
      </c>
      <c r="AW250" s="688">
        <f t="shared" ref="AW250:BG250" si="1244">+$H$250*AV123/12</f>
        <v>0</v>
      </c>
      <c r="AX250" s="688">
        <f t="shared" si="1244"/>
        <v>0</v>
      </c>
      <c r="AY250" s="688">
        <f t="shared" si="1244"/>
        <v>0</v>
      </c>
      <c r="AZ250" s="688">
        <f t="shared" si="1244"/>
        <v>0</v>
      </c>
      <c r="BA250" s="688">
        <f t="shared" si="1244"/>
        <v>0</v>
      </c>
      <c r="BB250" s="688">
        <f t="shared" si="1244"/>
        <v>0</v>
      </c>
      <c r="BC250" s="688">
        <f t="shared" si="1244"/>
        <v>0</v>
      </c>
      <c r="BD250" s="688">
        <f t="shared" si="1244"/>
        <v>0</v>
      </c>
      <c r="BE250" s="688">
        <f t="shared" si="1244"/>
        <v>0</v>
      </c>
      <c r="BF250" s="688">
        <f t="shared" si="1244"/>
        <v>0</v>
      </c>
      <c r="BG250" s="688">
        <f t="shared" si="1244"/>
        <v>0</v>
      </c>
      <c r="BH250" s="21"/>
      <c r="BI250" s="688">
        <f>+$H$250*BG123/12</f>
        <v>0</v>
      </c>
      <c r="BJ250" s="688">
        <f t="shared" ref="BJ250:BT250" si="1245">+$H$250*BI123/12</f>
        <v>0</v>
      </c>
      <c r="BK250" s="688">
        <f t="shared" si="1245"/>
        <v>0</v>
      </c>
      <c r="BL250" s="688">
        <f t="shared" si="1245"/>
        <v>0</v>
      </c>
      <c r="BM250" s="688">
        <f t="shared" si="1245"/>
        <v>0</v>
      </c>
      <c r="BN250" s="688">
        <f t="shared" si="1245"/>
        <v>0</v>
      </c>
      <c r="BO250" s="688">
        <f t="shared" si="1245"/>
        <v>0</v>
      </c>
      <c r="BP250" s="688">
        <f t="shared" si="1245"/>
        <v>0</v>
      </c>
      <c r="BQ250" s="688">
        <f t="shared" si="1245"/>
        <v>0</v>
      </c>
      <c r="BR250" s="688">
        <f t="shared" si="1245"/>
        <v>0</v>
      </c>
      <c r="BS250" s="688">
        <f t="shared" si="1245"/>
        <v>0</v>
      </c>
      <c r="BT250" s="688">
        <f t="shared" si="1245"/>
        <v>0</v>
      </c>
      <c r="BU250" s="21"/>
      <c r="BV250" s="688">
        <f>+$H$250*BT123/12</f>
        <v>0</v>
      </c>
      <c r="BW250" s="688">
        <f t="shared" ref="BW250:CG250" si="1246">+$H$250*BV123/12</f>
        <v>0</v>
      </c>
      <c r="BX250" s="688">
        <f t="shared" si="1246"/>
        <v>0</v>
      </c>
      <c r="BY250" s="688">
        <f t="shared" si="1246"/>
        <v>0</v>
      </c>
      <c r="BZ250" s="688">
        <f t="shared" si="1246"/>
        <v>0</v>
      </c>
      <c r="CA250" s="688">
        <f t="shared" si="1246"/>
        <v>0</v>
      </c>
      <c r="CB250" s="688">
        <f t="shared" si="1246"/>
        <v>0</v>
      </c>
      <c r="CC250" s="688">
        <f t="shared" si="1246"/>
        <v>0</v>
      </c>
      <c r="CD250" s="688">
        <f t="shared" si="1246"/>
        <v>0</v>
      </c>
      <c r="CE250" s="688">
        <f t="shared" si="1246"/>
        <v>0</v>
      </c>
      <c r="CF250" s="688">
        <f t="shared" si="1246"/>
        <v>0</v>
      </c>
      <c r="CG250" s="688">
        <f t="shared" si="1246"/>
        <v>0</v>
      </c>
      <c r="CH250" s="21"/>
      <c r="CI250" s="688">
        <f>+$H$250*CG123/12</f>
        <v>0</v>
      </c>
      <c r="CJ250" s="688">
        <f t="shared" ref="CJ250:CT250" si="1247">+$H$250*CI123/12</f>
        <v>0</v>
      </c>
      <c r="CK250" s="688">
        <f t="shared" si="1247"/>
        <v>0</v>
      </c>
      <c r="CL250" s="688">
        <f t="shared" si="1247"/>
        <v>0</v>
      </c>
      <c r="CM250" s="688">
        <f t="shared" si="1247"/>
        <v>0</v>
      </c>
      <c r="CN250" s="688">
        <f t="shared" si="1247"/>
        <v>0</v>
      </c>
      <c r="CO250" s="688">
        <f t="shared" si="1247"/>
        <v>0</v>
      </c>
      <c r="CP250" s="688">
        <f t="shared" si="1247"/>
        <v>0</v>
      </c>
      <c r="CQ250" s="688">
        <f t="shared" si="1247"/>
        <v>0</v>
      </c>
      <c r="CR250" s="688">
        <f t="shared" si="1247"/>
        <v>0</v>
      </c>
      <c r="CS250" s="688">
        <f t="shared" si="1247"/>
        <v>0</v>
      </c>
      <c r="CT250" s="688">
        <f t="shared" si="1247"/>
        <v>0</v>
      </c>
      <c r="CU250" s="21"/>
      <c r="CV250" s="688">
        <f>+$H$250*CT123/12</f>
        <v>0</v>
      </c>
      <c r="CW250" s="688">
        <f t="shared" ref="CW250:DG250" si="1248">+$H$250*CV123/12</f>
        <v>0</v>
      </c>
      <c r="CX250" s="688">
        <f t="shared" si="1248"/>
        <v>0</v>
      </c>
      <c r="CY250" s="688">
        <f t="shared" si="1248"/>
        <v>0</v>
      </c>
      <c r="CZ250" s="688">
        <f t="shared" si="1248"/>
        <v>0</v>
      </c>
      <c r="DA250" s="688">
        <f t="shared" si="1248"/>
        <v>0</v>
      </c>
      <c r="DB250" s="688">
        <f t="shared" si="1248"/>
        <v>0</v>
      </c>
      <c r="DC250" s="688">
        <f t="shared" si="1248"/>
        <v>0</v>
      </c>
      <c r="DD250" s="688">
        <f t="shared" si="1248"/>
        <v>0</v>
      </c>
      <c r="DE250" s="688">
        <f t="shared" si="1248"/>
        <v>0</v>
      </c>
      <c r="DF250" s="688">
        <f t="shared" si="1248"/>
        <v>0</v>
      </c>
      <c r="DG250" s="688">
        <f t="shared" si="1248"/>
        <v>0</v>
      </c>
      <c r="DH250" s="21"/>
      <c r="DI250" s="688">
        <f>+$H$250*DG123/12</f>
        <v>0</v>
      </c>
      <c r="DJ250" s="688">
        <f t="shared" ref="DJ250:DT250" si="1249">+$H$250*DI123/12</f>
        <v>0</v>
      </c>
      <c r="DK250" s="688">
        <f t="shared" si="1249"/>
        <v>0</v>
      </c>
      <c r="DL250" s="688">
        <f t="shared" si="1249"/>
        <v>0</v>
      </c>
      <c r="DM250" s="688">
        <f t="shared" si="1249"/>
        <v>0</v>
      </c>
      <c r="DN250" s="688">
        <f t="shared" si="1249"/>
        <v>0</v>
      </c>
      <c r="DO250" s="688">
        <f t="shared" si="1249"/>
        <v>0</v>
      </c>
      <c r="DP250" s="688">
        <f t="shared" si="1249"/>
        <v>0</v>
      </c>
      <c r="DQ250" s="688">
        <f t="shared" si="1249"/>
        <v>0</v>
      </c>
      <c r="DR250" s="688">
        <f t="shared" si="1249"/>
        <v>0</v>
      </c>
      <c r="DS250" s="688">
        <f t="shared" si="1249"/>
        <v>0</v>
      </c>
      <c r="DT250" s="688">
        <f t="shared" si="1249"/>
        <v>0</v>
      </c>
      <c r="DU250" s="21"/>
      <c r="DV250" s="688">
        <f>+$H$250*DT123/12</f>
        <v>0</v>
      </c>
      <c r="DW250" s="688">
        <f t="shared" ref="DW250:EG250" si="1250">+$H$250*DV123/12</f>
        <v>0</v>
      </c>
      <c r="DX250" s="688">
        <f t="shared" si="1250"/>
        <v>0</v>
      </c>
      <c r="DY250" s="688">
        <f t="shared" si="1250"/>
        <v>0</v>
      </c>
      <c r="DZ250" s="688">
        <f t="shared" si="1250"/>
        <v>0</v>
      </c>
      <c r="EA250" s="688">
        <f t="shared" si="1250"/>
        <v>0</v>
      </c>
      <c r="EB250" s="688">
        <f t="shared" si="1250"/>
        <v>0</v>
      </c>
      <c r="EC250" s="688">
        <f t="shared" si="1250"/>
        <v>0</v>
      </c>
      <c r="ED250" s="688">
        <f t="shared" si="1250"/>
        <v>0</v>
      </c>
      <c r="EE250" s="688">
        <f t="shared" si="1250"/>
        <v>0</v>
      </c>
      <c r="EF250" s="688">
        <f t="shared" si="1250"/>
        <v>0</v>
      </c>
      <c r="EG250" s="688">
        <f t="shared" si="1250"/>
        <v>0</v>
      </c>
      <c r="EH250" s="21"/>
      <c r="EI250" s="21"/>
      <c r="EJ250" s="21"/>
      <c r="EK250" s="21"/>
      <c r="EL250" s="21"/>
      <c r="EM250" s="21"/>
    </row>
    <row r="251" spans="1:143" ht="13.5" customHeight="1">
      <c r="A251" s="21"/>
      <c r="B251" s="21"/>
      <c r="C251" s="21"/>
      <c r="D251" s="21"/>
      <c r="E251" s="21"/>
      <c r="F251" s="21" t="str">
        <f>+Assumption!F323</f>
        <v>Bonds/MTN/Securities 5</v>
      </c>
      <c r="G251" s="15"/>
      <c r="H251" s="66">
        <f>+Assumption!H323</f>
        <v>0</v>
      </c>
      <c r="I251" s="688">
        <f t="shared" ref="I251:T251" si="1251">+$H$251*H124/12</f>
        <v>0</v>
      </c>
      <c r="J251" s="688">
        <f t="shared" si="1251"/>
        <v>0</v>
      </c>
      <c r="K251" s="688">
        <f t="shared" si="1251"/>
        <v>0</v>
      </c>
      <c r="L251" s="688">
        <f t="shared" si="1251"/>
        <v>0</v>
      </c>
      <c r="M251" s="688">
        <f t="shared" si="1251"/>
        <v>0</v>
      </c>
      <c r="N251" s="688">
        <f t="shared" si="1251"/>
        <v>0</v>
      </c>
      <c r="O251" s="688">
        <f t="shared" si="1251"/>
        <v>0</v>
      </c>
      <c r="P251" s="688">
        <f t="shared" si="1251"/>
        <v>0</v>
      </c>
      <c r="Q251" s="688">
        <f t="shared" si="1251"/>
        <v>0</v>
      </c>
      <c r="R251" s="688">
        <f t="shared" si="1251"/>
        <v>0</v>
      </c>
      <c r="S251" s="688">
        <f t="shared" si="1251"/>
        <v>0</v>
      </c>
      <c r="T251" s="688">
        <f t="shared" si="1251"/>
        <v>0</v>
      </c>
      <c r="U251" s="15"/>
      <c r="V251" s="688">
        <f>+$H$251*T124/12</f>
        <v>0</v>
      </c>
      <c r="W251" s="688">
        <f t="shared" ref="W251:AG251" si="1252">+$H$251*V124/12</f>
        <v>0</v>
      </c>
      <c r="X251" s="688">
        <f t="shared" si="1252"/>
        <v>0</v>
      </c>
      <c r="Y251" s="688">
        <f t="shared" si="1252"/>
        <v>0</v>
      </c>
      <c r="Z251" s="688">
        <f t="shared" si="1252"/>
        <v>0</v>
      </c>
      <c r="AA251" s="688">
        <f t="shared" si="1252"/>
        <v>0</v>
      </c>
      <c r="AB251" s="688">
        <f t="shared" si="1252"/>
        <v>0</v>
      </c>
      <c r="AC251" s="688">
        <f t="shared" si="1252"/>
        <v>0</v>
      </c>
      <c r="AD251" s="688">
        <f t="shared" si="1252"/>
        <v>0</v>
      </c>
      <c r="AE251" s="688">
        <f t="shared" si="1252"/>
        <v>0</v>
      </c>
      <c r="AF251" s="688">
        <f t="shared" si="1252"/>
        <v>0</v>
      </c>
      <c r="AG251" s="688">
        <f t="shared" si="1252"/>
        <v>0</v>
      </c>
      <c r="AH251" s="21"/>
      <c r="AI251" s="688">
        <f>+$H$251*AG124/12</f>
        <v>0</v>
      </c>
      <c r="AJ251" s="688">
        <f t="shared" ref="AJ251:AT251" si="1253">+$H$251*AI124/12</f>
        <v>0</v>
      </c>
      <c r="AK251" s="688">
        <f t="shared" si="1253"/>
        <v>0</v>
      </c>
      <c r="AL251" s="688">
        <f t="shared" si="1253"/>
        <v>0</v>
      </c>
      <c r="AM251" s="688">
        <f t="shared" si="1253"/>
        <v>0</v>
      </c>
      <c r="AN251" s="688">
        <f t="shared" si="1253"/>
        <v>0</v>
      </c>
      <c r="AO251" s="688">
        <f t="shared" si="1253"/>
        <v>0</v>
      </c>
      <c r="AP251" s="688">
        <f t="shared" si="1253"/>
        <v>0</v>
      </c>
      <c r="AQ251" s="688">
        <f t="shared" si="1253"/>
        <v>0</v>
      </c>
      <c r="AR251" s="688">
        <f t="shared" si="1253"/>
        <v>0</v>
      </c>
      <c r="AS251" s="688">
        <f t="shared" si="1253"/>
        <v>0</v>
      </c>
      <c r="AT251" s="688">
        <f t="shared" si="1253"/>
        <v>0</v>
      </c>
      <c r="AU251" s="21"/>
      <c r="AV251" s="688">
        <f>+$H$251*AT124/12</f>
        <v>0</v>
      </c>
      <c r="AW251" s="688">
        <f t="shared" ref="AW251:BG251" si="1254">+$H$251*AV124/12</f>
        <v>0</v>
      </c>
      <c r="AX251" s="688">
        <f t="shared" si="1254"/>
        <v>0</v>
      </c>
      <c r="AY251" s="688">
        <f t="shared" si="1254"/>
        <v>0</v>
      </c>
      <c r="AZ251" s="688">
        <f t="shared" si="1254"/>
        <v>0</v>
      </c>
      <c r="BA251" s="688">
        <f t="shared" si="1254"/>
        <v>0</v>
      </c>
      <c r="BB251" s="688">
        <f t="shared" si="1254"/>
        <v>0</v>
      </c>
      <c r="BC251" s="688">
        <f t="shared" si="1254"/>
        <v>0</v>
      </c>
      <c r="BD251" s="688">
        <f t="shared" si="1254"/>
        <v>0</v>
      </c>
      <c r="BE251" s="688">
        <f t="shared" si="1254"/>
        <v>0</v>
      </c>
      <c r="BF251" s="688">
        <f t="shared" si="1254"/>
        <v>0</v>
      </c>
      <c r="BG251" s="688">
        <f t="shared" si="1254"/>
        <v>0</v>
      </c>
      <c r="BH251" s="21"/>
      <c r="BI251" s="688">
        <f>+$H$251*BG124/12</f>
        <v>0</v>
      </c>
      <c r="BJ251" s="688">
        <f t="shared" ref="BJ251:BT251" si="1255">+$H$251*BI124/12</f>
        <v>0</v>
      </c>
      <c r="BK251" s="688">
        <f t="shared" si="1255"/>
        <v>0</v>
      </c>
      <c r="BL251" s="688">
        <f t="shared" si="1255"/>
        <v>0</v>
      </c>
      <c r="BM251" s="688">
        <f t="shared" si="1255"/>
        <v>0</v>
      </c>
      <c r="BN251" s="688">
        <f t="shared" si="1255"/>
        <v>0</v>
      </c>
      <c r="BO251" s="688">
        <f t="shared" si="1255"/>
        <v>0</v>
      </c>
      <c r="BP251" s="688">
        <f t="shared" si="1255"/>
        <v>0</v>
      </c>
      <c r="BQ251" s="688">
        <f t="shared" si="1255"/>
        <v>0</v>
      </c>
      <c r="BR251" s="688">
        <f t="shared" si="1255"/>
        <v>0</v>
      </c>
      <c r="BS251" s="688">
        <f t="shared" si="1255"/>
        <v>0</v>
      </c>
      <c r="BT251" s="688">
        <f t="shared" si="1255"/>
        <v>0</v>
      </c>
      <c r="BU251" s="21"/>
      <c r="BV251" s="688">
        <f>+$H$251*BT124/12</f>
        <v>0</v>
      </c>
      <c r="BW251" s="688">
        <f t="shared" ref="BW251:CG251" si="1256">+$H$251*BV124/12</f>
        <v>0</v>
      </c>
      <c r="BX251" s="688">
        <f t="shared" si="1256"/>
        <v>0</v>
      </c>
      <c r="BY251" s="688">
        <f t="shared" si="1256"/>
        <v>0</v>
      </c>
      <c r="BZ251" s="688">
        <f t="shared" si="1256"/>
        <v>0</v>
      </c>
      <c r="CA251" s="688">
        <f t="shared" si="1256"/>
        <v>0</v>
      </c>
      <c r="CB251" s="688">
        <f t="shared" si="1256"/>
        <v>0</v>
      </c>
      <c r="CC251" s="688">
        <f t="shared" si="1256"/>
        <v>0</v>
      </c>
      <c r="CD251" s="688">
        <f t="shared" si="1256"/>
        <v>0</v>
      </c>
      <c r="CE251" s="688">
        <f t="shared" si="1256"/>
        <v>0</v>
      </c>
      <c r="CF251" s="688">
        <f t="shared" si="1256"/>
        <v>0</v>
      </c>
      <c r="CG251" s="688">
        <f t="shared" si="1256"/>
        <v>0</v>
      </c>
      <c r="CH251" s="21"/>
      <c r="CI251" s="688">
        <f>+$H$251*CG124/12</f>
        <v>0</v>
      </c>
      <c r="CJ251" s="688">
        <f t="shared" ref="CJ251:CT251" si="1257">+$H$251*CI124/12</f>
        <v>0</v>
      </c>
      <c r="CK251" s="688">
        <f t="shared" si="1257"/>
        <v>0</v>
      </c>
      <c r="CL251" s="688">
        <f t="shared" si="1257"/>
        <v>0</v>
      </c>
      <c r="CM251" s="688">
        <f t="shared" si="1257"/>
        <v>0</v>
      </c>
      <c r="CN251" s="688">
        <f t="shared" si="1257"/>
        <v>0</v>
      </c>
      <c r="CO251" s="688">
        <f t="shared" si="1257"/>
        <v>0</v>
      </c>
      <c r="CP251" s="688">
        <f t="shared" si="1257"/>
        <v>0</v>
      </c>
      <c r="CQ251" s="688">
        <f t="shared" si="1257"/>
        <v>0</v>
      </c>
      <c r="CR251" s="688">
        <f t="shared" si="1257"/>
        <v>0</v>
      </c>
      <c r="CS251" s="688">
        <f t="shared" si="1257"/>
        <v>0</v>
      </c>
      <c r="CT251" s="688">
        <f t="shared" si="1257"/>
        <v>0</v>
      </c>
      <c r="CU251" s="21"/>
      <c r="CV251" s="688">
        <f>+$H$251*CT124/12</f>
        <v>0</v>
      </c>
      <c r="CW251" s="688">
        <f t="shared" ref="CW251:DG251" si="1258">+$H$251*CV124/12</f>
        <v>0</v>
      </c>
      <c r="CX251" s="688">
        <f t="shared" si="1258"/>
        <v>0</v>
      </c>
      <c r="CY251" s="688">
        <f t="shared" si="1258"/>
        <v>0</v>
      </c>
      <c r="CZ251" s="688">
        <f t="shared" si="1258"/>
        <v>0</v>
      </c>
      <c r="DA251" s="688">
        <f t="shared" si="1258"/>
        <v>0</v>
      </c>
      <c r="DB251" s="688">
        <f t="shared" si="1258"/>
        <v>0</v>
      </c>
      <c r="DC251" s="688">
        <f t="shared" si="1258"/>
        <v>0</v>
      </c>
      <c r="DD251" s="688">
        <f t="shared" si="1258"/>
        <v>0</v>
      </c>
      <c r="DE251" s="688">
        <f t="shared" si="1258"/>
        <v>0</v>
      </c>
      <c r="DF251" s="688">
        <f t="shared" si="1258"/>
        <v>0</v>
      </c>
      <c r="DG251" s="688">
        <f t="shared" si="1258"/>
        <v>0</v>
      </c>
      <c r="DH251" s="21"/>
      <c r="DI251" s="688">
        <f>+$H$251*DG124/12</f>
        <v>0</v>
      </c>
      <c r="DJ251" s="688">
        <f t="shared" ref="DJ251:DT251" si="1259">+$H$251*DI124/12</f>
        <v>0</v>
      </c>
      <c r="DK251" s="688">
        <f t="shared" si="1259"/>
        <v>0</v>
      </c>
      <c r="DL251" s="688">
        <f t="shared" si="1259"/>
        <v>0</v>
      </c>
      <c r="DM251" s="688">
        <f t="shared" si="1259"/>
        <v>0</v>
      </c>
      <c r="DN251" s="688">
        <f t="shared" si="1259"/>
        <v>0</v>
      </c>
      <c r="DO251" s="688">
        <f t="shared" si="1259"/>
        <v>0</v>
      </c>
      <c r="DP251" s="688">
        <f t="shared" si="1259"/>
        <v>0</v>
      </c>
      <c r="DQ251" s="688">
        <f t="shared" si="1259"/>
        <v>0</v>
      </c>
      <c r="DR251" s="688">
        <f t="shared" si="1259"/>
        <v>0</v>
      </c>
      <c r="DS251" s="688">
        <f t="shared" si="1259"/>
        <v>0</v>
      </c>
      <c r="DT251" s="688">
        <f t="shared" si="1259"/>
        <v>0</v>
      </c>
      <c r="DU251" s="21"/>
      <c r="DV251" s="688">
        <f>+$H$251*DT124/12</f>
        <v>0</v>
      </c>
      <c r="DW251" s="688">
        <f t="shared" ref="DW251:EG251" si="1260">+$H$251*DV124/12</f>
        <v>0</v>
      </c>
      <c r="DX251" s="688">
        <f t="shared" si="1260"/>
        <v>0</v>
      </c>
      <c r="DY251" s="688">
        <f t="shared" si="1260"/>
        <v>0</v>
      </c>
      <c r="DZ251" s="688">
        <f t="shared" si="1260"/>
        <v>0</v>
      </c>
      <c r="EA251" s="688">
        <f t="shared" si="1260"/>
        <v>0</v>
      </c>
      <c r="EB251" s="688">
        <f t="shared" si="1260"/>
        <v>0</v>
      </c>
      <c r="EC251" s="688">
        <f t="shared" si="1260"/>
        <v>0</v>
      </c>
      <c r="ED251" s="688">
        <f t="shared" si="1260"/>
        <v>0</v>
      </c>
      <c r="EE251" s="688">
        <f t="shared" si="1260"/>
        <v>0</v>
      </c>
      <c r="EF251" s="688">
        <f t="shared" si="1260"/>
        <v>0</v>
      </c>
      <c r="EG251" s="688">
        <f t="shared" si="1260"/>
        <v>0</v>
      </c>
      <c r="EH251" s="21"/>
      <c r="EI251" s="21"/>
      <c r="EJ251" s="21"/>
      <c r="EK251" s="21"/>
      <c r="EL251" s="21"/>
      <c r="EM251" s="21"/>
    </row>
    <row r="252" spans="1:143" ht="13.5" customHeight="1">
      <c r="A252" s="21"/>
      <c r="B252" s="21"/>
      <c r="C252" s="21"/>
      <c r="D252" s="21"/>
      <c r="E252" s="21"/>
      <c r="F252" s="21" t="str">
        <f>+Assumption!F324</f>
        <v>Bonds/MTN/Securities 6</v>
      </c>
      <c r="G252" s="15"/>
      <c r="H252" s="66">
        <f>+Assumption!H324</f>
        <v>0</v>
      </c>
      <c r="I252" s="688">
        <f t="shared" ref="I252:T252" si="1261">+$H$252*H125/12</f>
        <v>0</v>
      </c>
      <c r="J252" s="688">
        <f t="shared" si="1261"/>
        <v>0</v>
      </c>
      <c r="K252" s="688">
        <f t="shared" si="1261"/>
        <v>0</v>
      </c>
      <c r="L252" s="688">
        <f t="shared" si="1261"/>
        <v>0</v>
      </c>
      <c r="M252" s="688">
        <f t="shared" si="1261"/>
        <v>0</v>
      </c>
      <c r="N252" s="688">
        <f t="shared" si="1261"/>
        <v>0</v>
      </c>
      <c r="O252" s="688">
        <f t="shared" si="1261"/>
        <v>0</v>
      </c>
      <c r="P252" s="688">
        <f t="shared" si="1261"/>
        <v>0</v>
      </c>
      <c r="Q252" s="688">
        <f t="shared" si="1261"/>
        <v>0</v>
      </c>
      <c r="R252" s="688">
        <f t="shared" si="1261"/>
        <v>0</v>
      </c>
      <c r="S252" s="688">
        <f t="shared" si="1261"/>
        <v>0</v>
      </c>
      <c r="T252" s="688">
        <f t="shared" si="1261"/>
        <v>0</v>
      </c>
      <c r="U252" s="15"/>
      <c r="V252" s="688">
        <f>+$H$252*T125/12</f>
        <v>0</v>
      </c>
      <c r="W252" s="688">
        <f t="shared" ref="W252:AG252" si="1262">+$H$252*V125/12</f>
        <v>0</v>
      </c>
      <c r="X252" s="688">
        <f t="shared" si="1262"/>
        <v>0</v>
      </c>
      <c r="Y252" s="688">
        <f t="shared" si="1262"/>
        <v>0</v>
      </c>
      <c r="Z252" s="688">
        <f t="shared" si="1262"/>
        <v>0</v>
      </c>
      <c r="AA252" s="688">
        <f t="shared" si="1262"/>
        <v>0</v>
      </c>
      <c r="AB252" s="688">
        <f t="shared" si="1262"/>
        <v>0</v>
      </c>
      <c r="AC252" s="688">
        <f t="shared" si="1262"/>
        <v>0</v>
      </c>
      <c r="AD252" s="688">
        <f t="shared" si="1262"/>
        <v>0</v>
      </c>
      <c r="AE252" s="688">
        <f t="shared" si="1262"/>
        <v>0</v>
      </c>
      <c r="AF252" s="688">
        <f t="shared" si="1262"/>
        <v>0</v>
      </c>
      <c r="AG252" s="688">
        <f t="shared" si="1262"/>
        <v>0</v>
      </c>
      <c r="AH252" s="21"/>
      <c r="AI252" s="688">
        <f>+$H$252*AG125/12</f>
        <v>0</v>
      </c>
      <c r="AJ252" s="688">
        <f t="shared" ref="AJ252:AT252" si="1263">+$H$252*AI125/12</f>
        <v>0</v>
      </c>
      <c r="AK252" s="688">
        <f t="shared" si="1263"/>
        <v>0</v>
      </c>
      <c r="AL252" s="688">
        <f t="shared" si="1263"/>
        <v>0</v>
      </c>
      <c r="AM252" s="688">
        <f t="shared" si="1263"/>
        <v>0</v>
      </c>
      <c r="AN252" s="688">
        <f t="shared" si="1263"/>
        <v>0</v>
      </c>
      <c r="AO252" s="688">
        <f t="shared" si="1263"/>
        <v>0</v>
      </c>
      <c r="AP252" s="688">
        <f t="shared" si="1263"/>
        <v>0</v>
      </c>
      <c r="AQ252" s="688">
        <f t="shared" si="1263"/>
        <v>0</v>
      </c>
      <c r="AR252" s="688">
        <f t="shared" si="1263"/>
        <v>0</v>
      </c>
      <c r="AS252" s="688">
        <f t="shared" si="1263"/>
        <v>0</v>
      </c>
      <c r="AT252" s="688">
        <f t="shared" si="1263"/>
        <v>0</v>
      </c>
      <c r="AU252" s="21"/>
      <c r="AV252" s="688">
        <f>+$H$252*AT125/12</f>
        <v>0</v>
      </c>
      <c r="AW252" s="688">
        <f t="shared" ref="AW252:BG252" si="1264">+$H$252*AV125/12</f>
        <v>0</v>
      </c>
      <c r="AX252" s="688">
        <f t="shared" si="1264"/>
        <v>0</v>
      </c>
      <c r="AY252" s="688">
        <f t="shared" si="1264"/>
        <v>0</v>
      </c>
      <c r="AZ252" s="688">
        <f t="shared" si="1264"/>
        <v>0</v>
      </c>
      <c r="BA252" s="688">
        <f t="shared" si="1264"/>
        <v>0</v>
      </c>
      <c r="BB252" s="688">
        <f t="shared" si="1264"/>
        <v>0</v>
      </c>
      <c r="BC252" s="688">
        <f t="shared" si="1264"/>
        <v>0</v>
      </c>
      <c r="BD252" s="688">
        <f t="shared" si="1264"/>
        <v>0</v>
      </c>
      <c r="BE252" s="688">
        <f t="shared" si="1264"/>
        <v>0</v>
      </c>
      <c r="BF252" s="688">
        <f t="shared" si="1264"/>
        <v>0</v>
      </c>
      <c r="BG252" s="688">
        <f t="shared" si="1264"/>
        <v>0</v>
      </c>
      <c r="BH252" s="21"/>
      <c r="BI252" s="688">
        <f>+$H$252*BG125/12</f>
        <v>0</v>
      </c>
      <c r="BJ252" s="688">
        <f t="shared" ref="BJ252:BT252" si="1265">+$H$252*BI125/12</f>
        <v>0</v>
      </c>
      <c r="BK252" s="688">
        <f t="shared" si="1265"/>
        <v>0</v>
      </c>
      <c r="BL252" s="688">
        <f t="shared" si="1265"/>
        <v>0</v>
      </c>
      <c r="BM252" s="688">
        <f t="shared" si="1265"/>
        <v>0</v>
      </c>
      <c r="BN252" s="688">
        <f t="shared" si="1265"/>
        <v>0</v>
      </c>
      <c r="BO252" s="688">
        <f t="shared" si="1265"/>
        <v>0</v>
      </c>
      <c r="BP252" s="688">
        <f t="shared" si="1265"/>
        <v>0</v>
      </c>
      <c r="BQ252" s="688">
        <f t="shared" si="1265"/>
        <v>0</v>
      </c>
      <c r="BR252" s="688">
        <f t="shared" si="1265"/>
        <v>0</v>
      </c>
      <c r="BS252" s="688">
        <f t="shared" si="1265"/>
        <v>0</v>
      </c>
      <c r="BT252" s="688">
        <f t="shared" si="1265"/>
        <v>0</v>
      </c>
      <c r="BU252" s="21"/>
      <c r="BV252" s="688">
        <f>+$H$252*BT125/12</f>
        <v>0</v>
      </c>
      <c r="BW252" s="688">
        <f t="shared" ref="BW252:CG252" si="1266">+$H$252*BV125/12</f>
        <v>0</v>
      </c>
      <c r="BX252" s="688">
        <f t="shared" si="1266"/>
        <v>0</v>
      </c>
      <c r="BY252" s="688">
        <f t="shared" si="1266"/>
        <v>0</v>
      </c>
      <c r="BZ252" s="688">
        <f t="shared" si="1266"/>
        <v>0</v>
      </c>
      <c r="CA252" s="688">
        <f t="shared" si="1266"/>
        <v>0</v>
      </c>
      <c r="CB252" s="688">
        <f t="shared" si="1266"/>
        <v>0</v>
      </c>
      <c r="CC252" s="688">
        <f t="shared" si="1266"/>
        <v>0</v>
      </c>
      <c r="CD252" s="688">
        <f t="shared" si="1266"/>
        <v>0</v>
      </c>
      <c r="CE252" s="688">
        <f t="shared" si="1266"/>
        <v>0</v>
      </c>
      <c r="CF252" s="688">
        <f t="shared" si="1266"/>
        <v>0</v>
      </c>
      <c r="CG252" s="688">
        <f t="shared" si="1266"/>
        <v>0</v>
      </c>
      <c r="CH252" s="21"/>
      <c r="CI252" s="688">
        <f>+$H$252*CG125/12</f>
        <v>0</v>
      </c>
      <c r="CJ252" s="688">
        <f t="shared" ref="CJ252:CT252" si="1267">+$H$252*CI125/12</f>
        <v>0</v>
      </c>
      <c r="CK252" s="688">
        <f t="shared" si="1267"/>
        <v>0</v>
      </c>
      <c r="CL252" s="688">
        <f t="shared" si="1267"/>
        <v>0</v>
      </c>
      <c r="CM252" s="688">
        <f t="shared" si="1267"/>
        <v>0</v>
      </c>
      <c r="CN252" s="688">
        <f t="shared" si="1267"/>
        <v>0</v>
      </c>
      <c r="CO252" s="688">
        <f t="shared" si="1267"/>
        <v>0</v>
      </c>
      <c r="CP252" s="688">
        <f t="shared" si="1267"/>
        <v>0</v>
      </c>
      <c r="CQ252" s="688">
        <f t="shared" si="1267"/>
        <v>0</v>
      </c>
      <c r="CR252" s="688">
        <f t="shared" si="1267"/>
        <v>0</v>
      </c>
      <c r="CS252" s="688">
        <f t="shared" si="1267"/>
        <v>0</v>
      </c>
      <c r="CT252" s="688">
        <f t="shared" si="1267"/>
        <v>0</v>
      </c>
      <c r="CU252" s="21"/>
      <c r="CV252" s="688">
        <f>+$H$252*CT125/12</f>
        <v>0</v>
      </c>
      <c r="CW252" s="688">
        <f t="shared" ref="CW252:DG252" si="1268">+$H$252*CV125/12</f>
        <v>0</v>
      </c>
      <c r="CX252" s="688">
        <f t="shared" si="1268"/>
        <v>0</v>
      </c>
      <c r="CY252" s="688">
        <f t="shared" si="1268"/>
        <v>0</v>
      </c>
      <c r="CZ252" s="688">
        <f t="shared" si="1268"/>
        <v>0</v>
      </c>
      <c r="DA252" s="688">
        <f t="shared" si="1268"/>
        <v>0</v>
      </c>
      <c r="DB252" s="688">
        <f t="shared" si="1268"/>
        <v>0</v>
      </c>
      <c r="DC252" s="688">
        <f t="shared" si="1268"/>
        <v>0</v>
      </c>
      <c r="DD252" s="688">
        <f t="shared" si="1268"/>
        <v>0</v>
      </c>
      <c r="DE252" s="688">
        <f t="shared" si="1268"/>
        <v>0</v>
      </c>
      <c r="DF252" s="688">
        <f t="shared" si="1268"/>
        <v>0</v>
      </c>
      <c r="DG252" s="688">
        <f t="shared" si="1268"/>
        <v>0</v>
      </c>
      <c r="DH252" s="21"/>
      <c r="DI252" s="688">
        <f>+$H$252*DG125/12</f>
        <v>0</v>
      </c>
      <c r="DJ252" s="688">
        <f t="shared" ref="DJ252:DT252" si="1269">+$H$252*DI125/12</f>
        <v>0</v>
      </c>
      <c r="DK252" s="688">
        <f t="shared" si="1269"/>
        <v>0</v>
      </c>
      <c r="DL252" s="688">
        <f t="shared" si="1269"/>
        <v>0</v>
      </c>
      <c r="DM252" s="688">
        <f t="shared" si="1269"/>
        <v>0</v>
      </c>
      <c r="DN252" s="688">
        <f t="shared" si="1269"/>
        <v>0</v>
      </c>
      <c r="DO252" s="688">
        <f t="shared" si="1269"/>
        <v>0</v>
      </c>
      <c r="DP252" s="688">
        <f t="shared" si="1269"/>
        <v>0</v>
      </c>
      <c r="DQ252" s="688">
        <f t="shared" si="1269"/>
        <v>0</v>
      </c>
      <c r="DR252" s="688">
        <f t="shared" si="1269"/>
        <v>0</v>
      </c>
      <c r="DS252" s="688">
        <f t="shared" si="1269"/>
        <v>0</v>
      </c>
      <c r="DT252" s="688">
        <f t="shared" si="1269"/>
        <v>0</v>
      </c>
      <c r="DU252" s="21"/>
      <c r="DV252" s="688">
        <f>+$H$252*DT125/12</f>
        <v>0</v>
      </c>
      <c r="DW252" s="688">
        <f t="shared" ref="DW252:EG252" si="1270">+$H$252*DV125/12</f>
        <v>0</v>
      </c>
      <c r="DX252" s="688">
        <f t="shared" si="1270"/>
        <v>0</v>
      </c>
      <c r="DY252" s="688">
        <f t="shared" si="1270"/>
        <v>0</v>
      </c>
      <c r="DZ252" s="688">
        <f t="shared" si="1270"/>
        <v>0</v>
      </c>
      <c r="EA252" s="688">
        <f t="shared" si="1270"/>
        <v>0</v>
      </c>
      <c r="EB252" s="688">
        <f t="shared" si="1270"/>
        <v>0</v>
      </c>
      <c r="EC252" s="688">
        <f t="shared" si="1270"/>
        <v>0</v>
      </c>
      <c r="ED252" s="688">
        <f t="shared" si="1270"/>
        <v>0</v>
      </c>
      <c r="EE252" s="688">
        <f t="shared" si="1270"/>
        <v>0</v>
      </c>
      <c r="EF252" s="688">
        <f t="shared" si="1270"/>
        <v>0</v>
      </c>
      <c r="EG252" s="688">
        <f t="shared" si="1270"/>
        <v>0</v>
      </c>
      <c r="EH252" s="21"/>
      <c r="EI252" s="21"/>
      <c r="EJ252" s="21"/>
      <c r="EK252" s="21"/>
      <c r="EL252" s="21"/>
      <c r="EM252" s="21"/>
    </row>
    <row r="253" spans="1:143" ht="13.5" customHeight="1">
      <c r="A253" s="21"/>
      <c r="B253" s="21"/>
      <c r="C253" s="21"/>
      <c r="D253" s="21"/>
      <c r="E253" s="21"/>
      <c r="F253" s="21" t="str">
        <f>+Assumption!F325</f>
        <v>Bonds/MTN/Securities 7</v>
      </c>
      <c r="G253" s="15"/>
      <c r="H253" s="66">
        <f>+Assumption!H325</f>
        <v>0</v>
      </c>
      <c r="I253" s="688">
        <f t="shared" ref="I253:T253" si="1271">+$H$253*H126/12</f>
        <v>0</v>
      </c>
      <c r="J253" s="688">
        <f t="shared" si="1271"/>
        <v>0</v>
      </c>
      <c r="K253" s="688">
        <f t="shared" si="1271"/>
        <v>0</v>
      </c>
      <c r="L253" s="688">
        <f t="shared" si="1271"/>
        <v>0</v>
      </c>
      <c r="M253" s="688">
        <f t="shared" si="1271"/>
        <v>0</v>
      </c>
      <c r="N253" s="688">
        <f t="shared" si="1271"/>
        <v>0</v>
      </c>
      <c r="O253" s="688">
        <f t="shared" si="1271"/>
        <v>0</v>
      </c>
      <c r="P253" s="688">
        <f t="shared" si="1271"/>
        <v>0</v>
      </c>
      <c r="Q253" s="688">
        <f t="shared" si="1271"/>
        <v>0</v>
      </c>
      <c r="R253" s="688">
        <f t="shared" si="1271"/>
        <v>0</v>
      </c>
      <c r="S253" s="688">
        <f t="shared" si="1271"/>
        <v>0</v>
      </c>
      <c r="T253" s="688">
        <f t="shared" si="1271"/>
        <v>0</v>
      </c>
      <c r="U253" s="15"/>
      <c r="V253" s="688">
        <f>+$H$253*T126/12</f>
        <v>0</v>
      </c>
      <c r="W253" s="688">
        <f t="shared" ref="W253:AG253" si="1272">+$H$253*V126/12</f>
        <v>0</v>
      </c>
      <c r="X253" s="688">
        <f t="shared" si="1272"/>
        <v>0</v>
      </c>
      <c r="Y253" s="688">
        <f t="shared" si="1272"/>
        <v>0</v>
      </c>
      <c r="Z253" s="688">
        <f t="shared" si="1272"/>
        <v>0</v>
      </c>
      <c r="AA253" s="688">
        <f t="shared" si="1272"/>
        <v>0</v>
      </c>
      <c r="AB253" s="688">
        <f t="shared" si="1272"/>
        <v>0</v>
      </c>
      <c r="AC253" s="688">
        <f t="shared" si="1272"/>
        <v>0</v>
      </c>
      <c r="AD253" s="688">
        <f t="shared" si="1272"/>
        <v>0</v>
      </c>
      <c r="AE253" s="688">
        <f t="shared" si="1272"/>
        <v>0</v>
      </c>
      <c r="AF253" s="688">
        <f t="shared" si="1272"/>
        <v>0</v>
      </c>
      <c r="AG253" s="688">
        <f t="shared" si="1272"/>
        <v>0</v>
      </c>
      <c r="AH253" s="21"/>
      <c r="AI253" s="688">
        <f>+$H$253*AG126/12</f>
        <v>0</v>
      </c>
      <c r="AJ253" s="688">
        <f t="shared" ref="AJ253:AT253" si="1273">+$H$253*AI126/12</f>
        <v>0</v>
      </c>
      <c r="AK253" s="688">
        <f t="shared" si="1273"/>
        <v>0</v>
      </c>
      <c r="AL253" s="688">
        <f t="shared" si="1273"/>
        <v>0</v>
      </c>
      <c r="AM253" s="688">
        <f t="shared" si="1273"/>
        <v>0</v>
      </c>
      <c r="AN253" s="688">
        <f t="shared" si="1273"/>
        <v>0</v>
      </c>
      <c r="AO253" s="688">
        <f t="shared" si="1273"/>
        <v>0</v>
      </c>
      <c r="AP253" s="688">
        <f t="shared" si="1273"/>
        <v>0</v>
      </c>
      <c r="AQ253" s="688">
        <f t="shared" si="1273"/>
        <v>0</v>
      </c>
      <c r="AR253" s="688">
        <f t="shared" si="1273"/>
        <v>0</v>
      </c>
      <c r="AS253" s="688">
        <f t="shared" si="1273"/>
        <v>0</v>
      </c>
      <c r="AT253" s="688">
        <f t="shared" si="1273"/>
        <v>0</v>
      </c>
      <c r="AU253" s="21"/>
      <c r="AV253" s="688">
        <f>+$H$253*AT126/12</f>
        <v>0</v>
      </c>
      <c r="AW253" s="688">
        <f t="shared" ref="AW253:BG253" si="1274">+$H$253*AV126/12</f>
        <v>0</v>
      </c>
      <c r="AX253" s="688">
        <f t="shared" si="1274"/>
        <v>0</v>
      </c>
      <c r="AY253" s="688">
        <f t="shared" si="1274"/>
        <v>0</v>
      </c>
      <c r="AZ253" s="688">
        <f t="shared" si="1274"/>
        <v>0</v>
      </c>
      <c r="BA253" s="688">
        <f t="shared" si="1274"/>
        <v>0</v>
      </c>
      <c r="BB253" s="688">
        <f t="shared" si="1274"/>
        <v>0</v>
      </c>
      <c r="BC253" s="688">
        <f t="shared" si="1274"/>
        <v>0</v>
      </c>
      <c r="BD253" s="688">
        <f t="shared" si="1274"/>
        <v>0</v>
      </c>
      <c r="BE253" s="688">
        <f t="shared" si="1274"/>
        <v>0</v>
      </c>
      <c r="BF253" s="688">
        <f t="shared" si="1274"/>
        <v>0</v>
      </c>
      <c r="BG253" s="688">
        <f t="shared" si="1274"/>
        <v>0</v>
      </c>
      <c r="BH253" s="21"/>
      <c r="BI253" s="688">
        <f>+$H$253*BG126/12</f>
        <v>0</v>
      </c>
      <c r="BJ253" s="688">
        <f t="shared" ref="BJ253:BT253" si="1275">+$H$253*BI126/12</f>
        <v>0</v>
      </c>
      <c r="BK253" s="688">
        <f t="shared" si="1275"/>
        <v>0</v>
      </c>
      <c r="BL253" s="688">
        <f t="shared" si="1275"/>
        <v>0</v>
      </c>
      <c r="BM253" s="688">
        <f t="shared" si="1275"/>
        <v>0</v>
      </c>
      <c r="BN253" s="688">
        <f t="shared" si="1275"/>
        <v>0</v>
      </c>
      <c r="BO253" s="688">
        <f t="shared" si="1275"/>
        <v>0</v>
      </c>
      <c r="BP253" s="688">
        <f t="shared" si="1275"/>
        <v>0</v>
      </c>
      <c r="BQ253" s="688">
        <f t="shared" si="1275"/>
        <v>0</v>
      </c>
      <c r="BR253" s="688">
        <f t="shared" si="1275"/>
        <v>0</v>
      </c>
      <c r="BS253" s="688">
        <f t="shared" si="1275"/>
        <v>0</v>
      </c>
      <c r="BT253" s="688">
        <f t="shared" si="1275"/>
        <v>0</v>
      </c>
      <c r="BU253" s="21"/>
      <c r="BV253" s="688">
        <f>+$H$253*BT126/12</f>
        <v>0</v>
      </c>
      <c r="BW253" s="688">
        <f t="shared" ref="BW253:CG253" si="1276">+$H$253*BV126/12</f>
        <v>0</v>
      </c>
      <c r="BX253" s="688">
        <f t="shared" si="1276"/>
        <v>0</v>
      </c>
      <c r="BY253" s="688">
        <f t="shared" si="1276"/>
        <v>0</v>
      </c>
      <c r="BZ253" s="688">
        <f t="shared" si="1276"/>
        <v>0</v>
      </c>
      <c r="CA253" s="688">
        <f t="shared" si="1276"/>
        <v>0</v>
      </c>
      <c r="CB253" s="688">
        <f t="shared" si="1276"/>
        <v>0</v>
      </c>
      <c r="CC253" s="688">
        <f t="shared" si="1276"/>
        <v>0</v>
      </c>
      <c r="CD253" s="688">
        <f t="shared" si="1276"/>
        <v>0</v>
      </c>
      <c r="CE253" s="688">
        <f t="shared" si="1276"/>
        <v>0</v>
      </c>
      <c r="CF253" s="688">
        <f t="shared" si="1276"/>
        <v>0</v>
      </c>
      <c r="CG253" s="688">
        <f t="shared" si="1276"/>
        <v>0</v>
      </c>
      <c r="CH253" s="21"/>
      <c r="CI253" s="688">
        <f>+$H$253*CG126/12</f>
        <v>0</v>
      </c>
      <c r="CJ253" s="688">
        <f t="shared" ref="CJ253:CT253" si="1277">+$H$253*CI126/12</f>
        <v>0</v>
      </c>
      <c r="CK253" s="688">
        <f t="shared" si="1277"/>
        <v>0</v>
      </c>
      <c r="CL253" s="688">
        <f t="shared" si="1277"/>
        <v>0</v>
      </c>
      <c r="CM253" s="688">
        <f t="shared" si="1277"/>
        <v>0</v>
      </c>
      <c r="CN253" s="688">
        <f t="shared" si="1277"/>
        <v>0</v>
      </c>
      <c r="CO253" s="688">
        <f t="shared" si="1277"/>
        <v>0</v>
      </c>
      <c r="CP253" s="688">
        <f t="shared" si="1277"/>
        <v>0</v>
      </c>
      <c r="CQ253" s="688">
        <f t="shared" si="1277"/>
        <v>0</v>
      </c>
      <c r="CR253" s="688">
        <f t="shared" si="1277"/>
        <v>0</v>
      </c>
      <c r="CS253" s="688">
        <f t="shared" si="1277"/>
        <v>0</v>
      </c>
      <c r="CT253" s="688">
        <f t="shared" si="1277"/>
        <v>0</v>
      </c>
      <c r="CU253" s="21"/>
      <c r="CV253" s="688">
        <f>+$H$253*CT126/12</f>
        <v>0</v>
      </c>
      <c r="CW253" s="688">
        <f t="shared" ref="CW253:DG253" si="1278">+$H$253*CV126/12</f>
        <v>0</v>
      </c>
      <c r="CX253" s="688">
        <f t="shared" si="1278"/>
        <v>0</v>
      </c>
      <c r="CY253" s="688">
        <f t="shared" si="1278"/>
        <v>0</v>
      </c>
      <c r="CZ253" s="688">
        <f t="shared" si="1278"/>
        <v>0</v>
      </c>
      <c r="DA253" s="688">
        <f t="shared" si="1278"/>
        <v>0</v>
      </c>
      <c r="DB253" s="688">
        <f t="shared" si="1278"/>
        <v>0</v>
      </c>
      <c r="DC253" s="688">
        <f t="shared" si="1278"/>
        <v>0</v>
      </c>
      <c r="DD253" s="688">
        <f t="shared" si="1278"/>
        <v>0</v>
      </c>
      <c r="DE253" s="688">
        <f t="shared" si="1278"/>
        <v>0</v>
      </c>
      <c r="DF253" s="688">
        <f t="shared" si="1278"/>
        <v>0</v>
      </c>
      <c r="DG253" s="688">
        <f t="shared" si="1278"/>
        <v>0</v>
      </c>
      <c r="DH253" s="21"/>
      <c r="DI253" s="688">
        <f>+$H$253*DG126/12</f>
        <v>0</v>
      </c>
      <c r="DJ253" s="688">
        <f t="shared" ref="DJ253:DT253" si="1279">+$H$253*DI126/12</f>
        <v>0</v>
      </c>
      <c r="DK253" s="688">
        <f t="shared" si="1279"/>
        <v>0</v>
      </c>
      <c r="DL253" s="688">
        <f t="shared" si="1279"/>
        <v>0</v>
      </c>
      <c r="DM253" s="688">
        <f t="shared" si="1279"/>
        <v>0</v>
      </c>
      <c r="DN253" s="688">
        <f t="shared" si="1279"/>
        <v>0</v>
      </c>
      <c r="DO253" s="688">
        <f t="shared" si="1279"/>
        <v>0</v>
      </c>
      <c r="DP253" s="688">
        <f t="shared" si="1279"/>
        <v>0</v>
      </c>
      <c r="DQ253" s="688">
        <f t="shared" si="1279"/>
        <v>0</v>
      </c>
      <c r="DR253" s="688">
        <f t="shared" si="1279"/>
        <v>0</v>
      </c>
      <c r="DS253" s="688">
        <f t="shared" si="1279"/>
        <v>0</v>
      </c>
      <c r="DT253" s="688">
        <f t="shared" si="1279"/>
        <v>0</v>
      </c>
      <c r="DU253" s="21"/>
      <c r="DV253" s="688">
        <f>+$H$253*DT126/12</f>
        <v>0</v>
      </c>
      <c r="DW253" s="688">
        <f t="shared" ref="DW253:EG253" si="1280">+$H$253*DV126/12</f>
        <v>0</v>
      </c>
      <c r="DX253" s="688">
        <f t="shared" si="1280"/>
        <v>0</v>
      </c>
      <c r="DY253" s="688">
        <f t="shared" si="1280"/>
        <v>0</v>
      </c>
      <c r="DZ253" s="688">
        <f t="shared" si="1280"/>
        <v>0</v>
      </c>
      <c r="EA253" s="688">
        <f t="shared" si="1280"/>
        <v>0</v>
      </c>
      <c r="EB253" s="688">
        <f t="shared" si="1280"/>
        <v>0</v>
      </c>
      <c r="EC253" s="688">
        <f t="shared" si="1280"/>
        <v>0</v>
      </c>
      <c r="ED253" s="688">
        <f t="shared" si="1280"/>
        <v>0</v>
      </c>
      <c r="EE253" s="688">
        <f t="shared" si="1280"/>
        <v>0</v>
      </c>
      <c r="EF253" s="688">
        <f t="shared" si="1280"/>
        <v>0</v>
      </c>
      <c r="EG253" s="688">
        <f t="shared" si="1280"/>
        <v>0</v>
      </c>
      <c r="EH253" s="21"/>
      <c r="EI253" s="21"/>
      <c r="EJ253" s="21"/>
      <c r="EK253" s="21"/>
      <c r="EL253" s="21"/>
      <c r="EM253" s="21"/>
    </row>
    <row r="254" spans="1:143" ht="13.5" customHeight="1">
      <c r="A254" s="21"/>
      <c r="B254" s="21"/>
      <c r="C254" s="21"/>
      <c r="D254" s="21"/>
      <c r="E254" s="21"/>
      <c r="F254" s="21" t="str">
        <f>+Assumption!F326</f>
        <v>Bonds/MTN/Securities 8</v>
      </c>
      <c r="G254" s="15"/>
      <c r="H254" s="66">
        <f>+Assumption!H326</f>
        <v>0</v>
      </c>
      <c r="I254" s="688">
        <f t="shared" ref="I254:T254" si="1281">+$H$254*H127/12</f>
        <v>0</v>
      </c>
      <c r="J254" s="688">
        <f t="shared" si="1281"/>
        <v>0</v>
      </c>
      <c r="K254" s="688">
        <f t="shared" si="1281"/>
        <v>0</v>
      </c>
      <c r="L254" s="688">
        <f t="shared" si="1281"/>
        <v>0</v>
      </c>
      <c r="M254" s="688">
        <f t="shared" si="1281"/>
        <v>0</v>
      </c>
      <c r="N254" s="688">
        <f t="shared" si="1281"/>
        <v>0</v>
      </c>
      <c r="O254" s="688">
        <f t="shared" si="1281"/>
        <v>0</v>
      </c>
      <c r="P254" s="688">
        <f t="shared" si="1281"/>
        <v>0</v>
      </c>
      <c r="Q254" s="688">
        <f t="shared" si="1281"/>
        <v>0</v>
      </c>
      <c r="R254" s="688">
        <f t="shared" si="1281"/>
        <v>0</v>
      </c>
      <c r="S254" s="688">
        <f t="shared" si="1281"/>
        <v>0</v>
      </c>
      <c r="T254" s="688">
        <f t="shared" si="1281"/>
        <v>0</v>
      </c>
      <c r="U254" s="15"/>
      <c r="V254" s="688">
        <f>+$H$254*T127/12</f>
        <v>0</v>
      </c>
      <c r="W254" s="688">
        <f t="shared" ref="W254:AG254" si="1282">+$H$254*V127/12</f>
        <v>0</v>
      </c>
      <c r="X254" s="688">
        <f t="shared" si="1282"/>
        <v>0</v>
      </c>
      <c r="Y254" s="688">
        <f t="shared" si="1282"/>
        <v>0</v>
      </c>
      <c r="Z254" s="688">
        <f t="shared" si="1282"/>
        <v>0</v>
      </c>
      <c r="AA254" s="688">
        <f t="shared" si="1282"/>
        <v>0</v>
      </c>
      <c r="AB254" s="688">
        <f t="shared" si="1282"/>
        <v>0</v>
      </c>
      <c r="AC254" s="688">
        <f t="shared" si="1282"/>
        <v>0</v>
      </c>
      <c r="AD254" s="688">
        <f t="shared" si="1282"/>
        <v>0</v>
      </c>
      <c r="AE254" s="688">
        <f t="shared" si="1282"/>
        <v>0</v>
      </c>
      <c r="AF254" s="688">
        <f t="shared" si="1282"/>
        <v>0</v>
      </c>
      <c r="AG254" s="688">
        <f t="shared" si="1282"/>
        <v>0</v>
      </c>
      <c r="AH254" s="21"/>
      <c r="AI254" s="688">
        <f>+$H$254*AG127/12</f>
        <v>0</v>
      </c>
      <c r="AJ254" s="688">
        <f t="shared" ref="AJ254:AT254" si="1283">+$H$254*AI127/12</f>
        <v>0</v>
      </c>
      <c r="AK254" s="688">
        <f t="shared" si="1283"/>
        <v>0</v>
      </c>
      <c r="AL254" s="688">
        <f t="shared" si="1283"/>
        <v>0</v>
      </c>
      <c r="AM254" s="688">
        <f t="shared" si="1283"/>
        <v>0</v>
      </c>
      <c r="AN254" s="688">
        <f t="shared" si="1283"/>
        <v>0</v>
      </c>
      <c r="AO254" s="688">
        <f t="shared" si="1283"/>
        <v>0</v>
      </c>
      <c r="AP254" s="688">
        <f t="shared" si="1283"/>
        <v>0</v>
      </c>
      <c r="AQ254" s="688">
        <f t="shared" si="1283"/>
        <v>0</v>
      </c>
      <c r="AR254" s="688">
        <f t="shared" si="1283"/>
        <v>0</v>
      </c>
      <c r="AS254" s="688">
        <f t="shared" si="1283"/>
        <v>0</v>
      </c>
      <c r="AT254" s="688">
        <f t="shared" si="1283"/>
        <v>0</v>
      </c>
      <c r="AU254" s="21"/>
      <c r="AV254" s="688">
        <f>+$H$254*AT127/12</f>
        <v>0</v>
      </c>
      <c r="AW254" s="688">
        <f t="shared" ref="AW254:BG254" si="1284">+$H$254*AV127/12</f>
        <v>0</v>
      </c>
      <c r="AX254" s="688">
        <f t="shared" si="1284"/>
        <v>0</v>
      </c>
      <c r="AY254" s="688">
        <f t="shared" si="1284"/>
        <v>0</v>
      </c>
      <c r="AZ254" s="688">
        <f t="shared" si="1284"/>
        <v>0</v>
      </c>
      <c r="BA254" s="688">
        <f t="shared" si="1284"/>
        <v>0</v>
      </c>
      <c r="BB254" s="688">
        <f t="shared" si="1284"/>
        <v>0</v>
      </c>
      <c r="BC254" s="688">
        <f t="shared" si="1284"/>
        <v>0</v>
      </c>
      <c r="BD254" s="688">
        <f t="shared" si="1284"/>
        <v>0</v>
      </c>
      <c r="BE254" s="688">
        <f t="shared" si="1284"/>
        <v>0</v>
      </c>
      <c r="BF254" s="688">
        <f t="shared" si="1284"/>
        <v>0</v>
      </c>
      <c r="BG254" s="688">
        <f t="shared" si="1284"/>
        <v>0</v>
      </c>
      <c r="BH254" s="21"/>
      <c r="BI254" s="688">
        <f>+$H$254*BG127/12</f>
        <v>0</v>
      </c>
      <c r="BJ254" s="688">
        <f t="shared" ref="BJ254:BT254" si="1285">+$H$254*BI127/12</f>
        <v>0</v>
      </c>
      <c r="BK254" s="688">
        <f t="shared" si="1285"/>
        <v>0</v>
      </c>
      <c r="BL254" s="688">
        <f t="shared" si="1285"/>
        <v>0</v>
      </c>
      <c r="BM254" s="688">
        <f t="shared" si="1285"/>
        <v>0</v>
      </c>
      <c r="BN254" s="688">
        <f t="shared" si="1285"/>
        <v>0</v>
      </c>
      <c r="BO254" s="688">
        <f t="shared" si="1285"/>
        <v>0</v>
      </c>
      <c r="BP254" s="688">
        <f t="shared" si="1285"/>
        <v>0</v>
      </c>
      <c r="BQ254" s="688">
        <f t="shared" si="1285"/>
        <v>0</v>
      </c>
      <c r="BR254" s="688">
        <f t="shared" si="1285"/>
        <v>0</v>
      </c>
      <c r="BS254" s="688">
        <f t="shared" si="1285"/>
        <v>0</v>
      </c>
      <c r="BT254" s="688">
        <f t="shared" si="1285"/>
        <v>0</v>
      </c>
      <c r="BU254" s="21"/>
      <c r="BV254" s="688">
        <f>+$H$254*BT127/12</f>
        <v>0</v>
      </c>
      <c r="BW254" s="688">
        <f t="shared" ref="BW254:CG254" si="1286">+$H$254*BV127/12</f>
        <v>0</v>
      </c>
      <c r="BX254" s="688">
        <f t="shared" si="1286"/>
        <v>0</v>
      </c>
      <c r="BY254" s="688">
        <f t="shared" si="1286"/>
        <v>0</v>
      </c>
      <c r="BZ254" s="688">
        <f t="shared" si="1286"/>
        <v>0</v>
      </c>
      <c r="CA254" s="688">
        <f t="shared" si="1286"/>
        <v>0</v>
      </c>
      <c r="CB254" s="688">
        <f t="shared" si="1286"/>
        <v>0</v>
      </c>
      <c r="CC254" s="688">
        <f t="shared" si="1286"/>
        <v>0</v>
      </c>
      <c r="CD254" s="688">
        <f t="shared" si="1286"/>
        <v>0</v>
      </c>
      <c r="CE254" s="688">
        <f t="shared" si="1286"/>
        <v>0</v>
      </c>
      <c r="CF254" s="688">
        <f t="shared" si="1286"/>
        <v>0</v>
      </c>
      <c r="CG254" s="688">
        <f t="shared" si="1286"/>
        <v>0</v>
      </c>
      <c r="CH254" s="21"/>
      <c r="CI254" s="688">
        <f>+$H$254*CG127/12</f>
        <v>0</v>
      </c>
      <c r="CJ254" s="688">
        <f t="shared" ref="CJ254:CT254" si="1287">+$H$254*CI127/12</f>
        <v>0</v>
      </c>
      <c r="CK254" s="688">
        <f t="shared" si="1287"/>
        <v>0</v>
      </c>
      <c r="CL254" s="688">
        <f t="shared" si="1287"/>
        <v>0</v>
      </c>
      <c r="CM254" s="688">
        <f t="shared" si="1287"/>
        <v>0</v>
      </c>
      <c r="CN254" s="688">
        <f t="shared" si="1287"/>
        <v>0</v>
      </c>
      <c r="CO254" s="688">
        <f t="shared" si="1287"/>
        <v>0</v>
      </c>
      <c r="CP254" s="688">
        <f t="shared" si="1287"/>
        <v>0</v>
      </c>
      <c r="CQ254" s="688">
        <f t="shared" si="1287"/>
        <v>0</v>
      </c>
      <c r="CR254" s="688">
        <f t="shared" si="1287"/>
        <v>0</v>
      </c>
      <c r="CS254" s="688">
        <f t="shared" si="1287"/>
        <v>0</v>
      </c>
      <c r="CT254" s="688">
        <f t="shared" si="1287"/>
        <v>0</v>
      </c>
      <c r="CU254" s="21"/>
      <c r="CV254" s="688">
        <f>+$H$254*CT127/12</f>
        <v>0</v>
      </c>
      <c r="CW254" s="688">
        <f t="shared" ref="CW254:DG254" si="1288">+$H$254*CV127/12</f>
        <v>0</v>
      </c>
      <c r="CX254" s="688">
        <f t="shared" si="1288"/>
        <v>0</v>
      </c>
      <c r="CY254" s="688">
        <f t="shared" si="1288"/>
        <v>0</v>
      </c>
      <c r="CZ254" s="688">
        <f t="shared" si="1288"/>
        <v>0</v>
      </c>
      <c r="DA254" s="688">
        <f t="shared" si="1288"/>
        <v>0</v>
      </c>
      <c r="DB254" s="688">
        <f t="shared" si="1288"/>
        <v>0</v>
      </c>
      <c r="DC254" s="688">
        <f t="shared" si="1288"/>
        <v>0</v>
      </c>
      <c r="DD254" s="688">
        <f t="shared" si="1288"/>
        <v>0</v>
      </c>
      <c r="DE254" s="688">
        <f t="shared" si="1288"/>
        <v>0</v>
      </c>
      <c r="DF254" s="688">
        <f t="shared" si="1288"/>
        <v>0</v>
      </c>
      <c r="DG254" s="688">
        <f t="shared" si="1288"/>
        <v>0</v>
      </c>
      <c r="DH254" s="21"/>
      <c r="DI254" s="688">
        <f>+$H$254*DG127/12</f>
        <v>0</v>
      </c>
      <c r="DJ254" s="688">
        <f t="shared" ref="DJ254:DT254" si="1289">+$H$254*DI127/12</f>
        <v>0</v>
      </c>
      <c r="DK254" s="688">
        <f t="shared" si="1289"/>
        <v>0</v>
      </c>
      <c r="DL254" s="688">
        <f t="shared" si="1289"/>
        <v>0</v>
      </c>
      <c r="DM254" s="688">
        <f t="shared" si="1289"/>
        <v>0</v>
      </c>
      <c r="DN254" s="688">
        <f t="shared" si="1289"/>
        <v>0</v>
      </c>
      <c r="DO254" s="688">
        <f t="shared" si="1289"/>
        <v>0</v>
      </c>
      <c r="DP254" s="688">
        <f t="shared" si="1289"/>
        <v>0</v>
      </c>
      <c r="DQ254" s="688">
        <f t="shared" si="1289"/>
        <v>0</v>
      </c>
      <c r="DR254" s="688">
        <f t="shared" si="1289"/>
        <v>0</v>
      </c>
      <c r="DS254" s="688">
        <f t="shared" si="1289"/>
        <v>0</v>
      </c>
      <c r="DT254" s="688">
        <f t="shared" si="1289"/>
        <v>0</v>
      </c>
      <c r="DU254" s="21"/>
      <c r="DV254" s="688">
        <f>+$H$254*DT127/12</f>
        <v>0</v>
      </c>
      <c r="DW254" s="688">
        <f t="shared" ref="DW254:EG254" si="1290">+$H$254*DV127/12</f>
        <v>0</v>
      </c>
      <c r="DX254" s="688">
        <f t="shared" si="1290"/>
        <v>0</v>
      </c>
      <c r="DY254" s="688">
        <f t="shared" si="1290"/>
        <v>0</v>
      </c>
      <c r="DZ254" s="688">
        <f t="shared" si="1290"/>
        <v>0</v>
      </c>
      <c r="EA254" s="688">
        <f t="shared" si="1290"/>
        <v>0</v>
      </c>
      <c r="EB254" s="688">
        <f t="shared" si="1290"/>
        <v>0</v>
      </c>
      <c r="EC254" s="688">
        <f t="shared" si="1290"/>
        <v>0</v>
      </c>
      <c r="ED254" s="688">
        <f t="shared" si="1290"/>
        <v>0</v>
      </c>
      <c r="EE254" s="688">
        <f t="shared" si="1290"/>
        <v>0</v>
      </c>
      <c r="EF254" s="688">
        <f t="shared" si="1290"/>
        <v>0</v>
      </c>
      <c r="EG254" s="688">
        <f t="shared" si="1290"/>
        <v>0</v>
      </c>
      <c r="EH254" s="21"/>
      <c r="EI254" s="21"/>
      <c r="EJ254" s="21"/>
      <c r="EK254" s="21"/>
      <c r="EL254" s="21"/>
      <c r="EM254" s="21"/>
    </row>
    <row r="255" spans="1:143" ht="13.5" customHeight="1">
      <c r="A255" s="21"/>
      <c r="B255" s="21"/>
      <c r="C255" s="21"/>
      <c r="D255" s="21"/>
      <c r="E255" s="21"/>
      <c r="F255" s="21" t="str">
        <f>+Assumption!F327</f>
        <v>Bonds/MTN/Securities 9</v>
      </c>
      <c r="G255" s="15"/>
      <c r="H255" s="66">
        <f>+Assumption!H327</f>
        <v>0</v>
      </c>
      <c r="I255" s="688">
        <f t="shared" ref="I255:T255" si="1291">+$H$255*H128/12</f>
        <v>0</v>
      </c>
      <c r="J255" s="688">
        <f t="shared" si="1291"/>
        <v>0</v>
      </c>
      <c r="K255" s="688">
        <f t="shared" si="1291"/>
        <v>0</v>
      </c>
      <c r="L255" s="688">
        <f t="shared" si="1291"/>
        <v>0</v>
      </c>
      <c r="M255" s="688">
        <f t="shared" si="1291"/>
        <v>0</v>
      </c>
      <c r="N255" s="688">
        <f t="shared" si="1291"/>
        <v>0</v>
      </c>
      <c r="O255" s="688">
        <f t="shared" si="1291"/>
        <v>0</v>
      </c>
      <c r="P255" s="688">
        <f t="shared" si="1291"/>
        <v>0</v>
      </c>
      <c r="Q255" s="688">
        <f t="shared" si="1291"/>
        <v>0</v>
      </c>
      <c r="R255" s="688">
        <f t="shared" si="1291"/>
        <v>0</v>
      </c>
      <c r="S255" s="688">
        <f t="shared" si="1291"/>
        <v>0</v>
      </c>
      <c r="T255" s="688">
        <f t="shared" si="1291"/>
        <v>0</v>
      </c>
      <c r="U255" s="15"/>
      <c r="V255" s="688">
        <f>+$H$255*T128/12</f>
        <v>0</v>
      </c>
      <c r="W255" s="688">
        <f t="shared" ref="W255:AG255" si="1292">+$H$255*V128/12</f>
        <v>0</v>
      </c>
      <c r="X255" s="688">
        <f t="shared" si="1292"/>
        <v>0</v>
      </c>
      <c r="Y255" s="688">
        <f t="shared" si="1292"/>
        <v>0</v>
      </c>
      <c r="Z255" s="688">
        <f t="shared" si="1292"/>
        <v>0</v>
      </c>
      <c r="AA255" s="688">
        <f t="shared" si="1292"/>
        <v>0</v>
      </c>
      <c r="AB255" s="688">
        <f t="shared" si="1292"/>
        <v>0</v>
      </c>
      <c r="AC255" s="688">
        <f t="shared" si="1292"/>
        <v>0</v>
      </c>
      <c r="AD255" s="688">
        <f t="shared" si="1292"/>
        <v>0</v>
      </c>
      <c r="AE255" s="688">
        <f t="shared" si="1292"/>
        <v>0</v>
      </c>
      <c r="AF255" s="688">
        <f t="shared" si="1292"/>
        <v>0</v>
      </c>
      <c r="AG255" s="688">
        <f t="shared" si="1292"/>
        <v>0</v>
      </c>
      <c r="AH255" s="21"/>
      <c r="AI255" s="688">
        <f>+$H$255*AG128/12</f>
        <v>0</v>
      </c>
      <c r="AJ255" s="688">
        <f t="shared" ref="AJ255:AT255" si="1293">+$H$255*AI128/12</f>
        <v>0</v>
      </c>
      <c r="AK255" s="688">
        <f t="shared" si="1293"/>
        <v>0</v>
      </c>
      <c r="AL255" s="688">
        <f t="shared" si="1293"/>
        <v>0</v>
      </c>
      <c r="AM255" s="688">
        <f t="shared" si="1293"/>
        <v>0</v>
      </c>
      <c r="AN255" s="688">
        <f t="shared" si="1293"/>
        <v>0</v>
      </c>
      <c r="AO255" s="688">
        <f t="shared" si="1293"/>
        <v>0</v>
      </c>
      <c r="AP255" s="688">
        <f t="shared" si="1293"/>
        <v>0</v>
      </c>
      <c r="AQ255" s="688">
        <f t="shared" si="1293"/>
        <v>0</v>
      </c>
      <c r="AR255" s="688">
        <f t="shared" si="1293"/>
        <v>0</v>
      </c>
      <c r="AS255" s="688">
        <f t="shared" si="1293"/>
        <v>0</v>
      </c>
      <c r="AT255" s="688">
        <f t="shared" si="1293"/>
        <v>0</v>
      </c>
      <c r="AU255" s="21"/>
      <c r="AV255" s="688">
        <f>+$H$255*AT128/12</f>
        <v>0</v>
      </c>
      <c r="AW255" s="688">
        <f t="shared" ref="AW255:BG255" si="1294">+$H$255*AV128/12</f>
        <v>0</v>
      </c>
      <c r="AX255" s="688">
        <f t="shared" si="1294"/>
        <v>0</v>
      </c>
      <c r="AY255" s="688">
        <f t="shared" si="1294"/>
        <v>0</v>
      </c>
      <c r="AZ255" s="688">
        <f t="shared" si="1294"/>
        <v>0</v>
      </c>
      <c r="BA255" s="688">
        <f t="shared" si="1294"/>
        <v>0</v>
      </c>
      <c r="BB255" s="688">
        <f t="shared" si="1294"/>
        <v>0</v>
      </c>
      <c r="BC255" s="688">
        <f t="shared" si="1294"/>
        <v>0</v>
      </c>
      <c r="BD255" s="688">
        <f t="shared" si="1294"/>
        <v>0</v>
      </c>
      <c r="BE255" s="688">
        <f t="shared" si="1294"/>
        <v>0</v>
      </c>
      <c r="BF255" s="688">
        <f t="shared" si="1294"/>
        <v>0</v>
      </c>
      <c r="BG255" s="688">
        <f t="shared" si="1294"/>
        <v>0</v>
      </c>
      <c r="BH255" s="21"/>
      <c r="BI255" s="688">
        <f>+$H$255*BG128/12</f>
        <v>0</v>
      </c>
      <c r="BJ255" s="688">
        <f t="shared" ref="BJ255:BT255" si="1295">+$H$255*BI128/12</f>
        <v>0</v>
      </c>
      <c r="BK255" s="688">
        <f t="shared" si="1295"/>
        <v>0</v>
      </c>
      <c r="BL255" s="688">
        <f t="shared" si="1295"/>
        <v>0</v>
      </c>
      <c r="BM255" s="688">
        <f t="shared" si="1295"/>
        <v>0</v>
      </c>
      <c r="BN255" s="688">
        <f t="shared" si="1295"/>
        <v>0</v>
      </c>
      <c r="BO255" s="688">
        <f t="shared" si="1295"/>
        <v>0</v>
      </c>
      <c r="BP255" s="688">
        <f t="shared" si="1295"/>
        <v>0</v>
      </c>
      <c r="BQ255" s="688">
        <f t="shared" si="1295"/>
        <v>0</v>
      </c>
      <c r="BR255" s="688">
        <f t="shared" si="1295"/>
        <v>0</v>
      </c>
      <c r="BS255" s="688">
        <f t="shared" si="1295"/>
        <v>0</v>
      </c>
      <c r="BT255" s="688">
        <f t="shared" si="1295"/>
        <v>0</v>
      </c>
      <c r="BU255" s="21"/>
      <c r="BV255" s="688">
        <f>+$H$255*BT128/12</f>
        <v>0</v>
      </c>
      <c r="BW255" s="688">
        <f t="shared" ref="BW255:CG255" si="1296">+$H$255*BV128/12</f>
        <v>0</v>
      </c>
      <c r="BX255" s="688">
        <f t="shared" si="1296"/>
        <v>0</v>
      </c>
      <c r="BY255" s="688">
        <f t="shared" si="1296"/>
        <v>0</v>
      </c>
      <c r="BZ255" s="688">
        <f t="shared" si="1296"/>
        <v>0</v>
      </c>
      <c r="CA255" s="688">
        <f t="shared" si="1296"/>
        <v>0</v>
      </c>
      <c r="CB255" s="688">
        <f t="shared" si="1296"/>
        <v>0</v>
      </c>
      <c r="CC255" s="688">
        <f t="shared" si="1296"/>
        <v>0</v>
      </c>
      <c r="CD255" s="688">
        <f t="shared" si="1296"/>
        <v>0</v>
      </c>
      <c r="CE255" s="688">
        <f t="shared" si="1296"/>
        <v>0</v>
      </c>
      <c r="CF255" s="688">
        <f t="shared" si="1296"/>
        <v>0</v>
      </c>
      <c r="CG255" s="688">
        <f t="shared" si="1296"/>
        <v>0</v>
      </c>
      <c r="CH255" s="21"/>
      <c r="CI255" s="688">
        <f>+$H$255*CG128/12</f>
        <v>0</v>
      </c>
      <c r="CJ255" s="688">
        <f t="shared" ref="CJ255:CT255" si="1297">+$H$255*CI128/12</f>
        <v>0</v>
      </c>
      <c r="CK255" s="688">
        <f t="shared" si="1297"/>
        <v>0</v>
      </c>
      <c r="CL255" s="688">
        <f t="shared" si="1297"/>
        <v>0</v>
      </c>
      <c r="CM255" s="688">
        <f t="shared" si="1297"/>
        <v>0</v>
      </c>
      <c r="CN255" s="688">
        <f t="shared" si="1297"/>
        <v>0</v>
      </c>
      <c r="CO255" s="688">
        <f t="shared" si="1297"/>
        <v>0</v>
      </c>
      <c r="CP255" s="688">
        <f t="shared" si="1297"/>
        <v>0</v>
      </c>
      <c r="CQ255" s="688">
        <f t="shared" si="1297"/>
        <v>0</v>
      </c>
      <c r="CR255" s="688">
        <f t="shared" si="1297"/>
        <v>0</v>
      </c>
      <c r="CS255" s="688">
        <f t="shared" si="1297"/>
        <v>0</v>
      </c>
      <c r="CT255" s="688">
        <f t="shared" si="1297"/>
        <v>0</v>
      </c>
      <c r="CU255" s="21"/>
      <c r="CV255" s="688">
        <f>+$H$255*CT128/12</f>
        <v>0</v>
      </c>
      <c r="CW255" s="688">
        <f t="shared" ref="CW255:DG255" si="1298">+$H$255*CV128/12</f>
        <v>0</v>
      </c>
      <c r="CX255" s="688">
        <f t="shared" si="1298"/>
        <v>0</v>
      </c>
      <c r="CY255" s="688">
        <f t="shared" si="1298"/>
        <v>0</v>
      </c>
      <c r="CZ255" s="688">
        <f t="shared" si="1298"/>
        <v>0</v>
      </c>
      <c r="DA255" s="688">
        <f t="shared" si="1298"/>
        <v>0</v>
      </c>
      <c r="DB255" s="688">
        <f t="shared" si="1298"/>
        <v>0</v>
      </c>
      <c r="DC255" s="688">
        <f t="shared" si="1298"/>
        <v>0</v>
      </c>
      <c r="DD255" s="688">
        <f t="shared" si="1298"/>
        <v>0</v>
      </c>
      <c r="DE255" s="688">
        <f t="shared" si="1298"/>
        <v>0</v>
      </c>
      <c r="DF255" s="688">
        <f t="shared" si="1298"/>
        <v>0</v>
      </c>
      <c r="DG255" s="688">
        <f t="shared" si="1298"/>
        <v>0</v>
      </c>
      <c r="DH255" s="21"/>
      <c r="DI255" s="688">
        <f>+$H$255*DG128/12</f>
        <v>0</v>
      </c>
      <c r="DJ255" s="688">
        <f t="shared" ref="DJ255:DT255" si="1299">+$H$255*DI128/12</f>
        <v>0</v>
      </c>
      <c r="DK255" s="688">
        <f t="shared" si="1299"/>
        <v>0</v>
      </c>
      <c r="DL255" s="688">
        <f t="shared" si="1299"/>
        <v>0</v>
      </c>
      <c r="DM255" s="688">
        <f t="shared" si="1299"/>
        <v>0</v>
      </c>
      <c r="DN255" s="688">
        <f t="shared" si="1299"/>
        <v>0</v>
      </c>
      <c r="DO255" s="688">
        <f t="shared" si="1299"/>
        <v>0</v>
      </c>
      <c r="DP255" s="688">
        <f t="shared" si="1299"/>
        <v>0</v>
      </c>
      <c r="DQ255" s="688">
        <f t="shared" si="1299"/>
        <v>0</v>
      </c>
      <c r="DR255" s="688">
        <f t="shared" si="1299"/>
        <v>0</v>
      </c>
      <c r="DS255" s="688">
        <f t="shared" si="1299"/>
        <v>0</v>
      </c>
      <c r="DT255" s="688">
        <f t="shared" si="1299"/>
        <v>0</v>
      </c>
      <c r="DU255" s="21"/>
      <c r="DV255" s="688">
        <f>+$H$255*DT128/12</f>
        <v>0</v>
      </c>
      <c r="DW255" s="688">
        <f t="shared" ref="DW255:EG255" si="1300">+$H$255*DV128/12</f>
        <v>0</v>
      </c>
      <c r="DX255" s="688">
        <f t="shared" si="1300"/>
        <v>0</v>
      </c>
      <c r="DY255" s="688">
        <f t="shared" si="1300"/>
        <v>0</v>
      </c>
      <c r="DZ255" s="688">
        <f t="shared" si="1300"/>
        <v>0</v>
      </c>
      <c r="EA255" s="688">
        <f t="shared" si="1300"/>
        <v>0</v>
      </c>
      <c r="EB255" s="688">
        <f t="shared" si="1300"/>
        <v>0</v>
      </c>
      <c r="EC255" s="688">
        <f t="shared" si="1300"/>
        <v>0</v>
      </c>
      <c r="ED255" s="688">
        <f t="shared" si="1300"/>
        <v>0</v>
      </c>
      <c r="EE255" s="688">
        <f t="shared" si="1300"/>
        <v>0</v>
      </c>
      <c r="EF255" s="688">
        <f t="shared" si="1300"/>
        <v>0</v>
      </c>
      <c r="EG255" s="688">
        <f t="shared" si="1300"/>
        <v>0</v>
      </c>
      <c r="EH255" s="21"/>
      <c r="EI255" s="21"/>
      <c r="EJ255" s="21"/>
      <c r="EK255" s="21"/>
      <c r="EL255" s="21"/>
      <c r="EM255" s="21"/>
    </row>
    <row r="256" spans="1:143" ht="13.5" customHeight="1">
      <c r="A256" s="21"/>
      <c r="B256" s="21"/>
      <c r="C256" s="21"/>
      <c r="D256" s="21"/>
      <c r="E256" s="21"/>
      <c r="F256" s="21" t="str">
        <f>+Assumption!F328</f>
        <v>Bonds/MTN/Securities 10</v>
      </c>
      <c r="G256" s="15"/>
      <c r="H256" s="66">
        <f>+Assumption!H328</f>
        <v>0.2</v>
      </c>
      <c r="I256" s="688">
        <f t="shared" ref="I256:T256" si="1301">+$H$256*H129/12</f>
        <v>121.76666666666667</v>
      </c>
      <c r="J256" s="688">
        <f t="shared" si="1301"/>
        <v>121.76666666666667</v>
      </c>
      <c r="K256" s="688">
        <f t="shared" si="1301"/>
        <v>121.76666666666667</v>
      </c>
      <c r="L256" s="688">
        <f t="shared" si="1301"/>
        <v>121.76666666666667</v>
      </c>
      <c r="M256" s="688">
        <f t="shared" si="1301"/>
        <v>121.76666666666667</v>
      </c>
      <c r="N256" s="688">
        <f t="shared" si="1301"/>
        <v>121.76666666666667</v>
      </c>
      <c r="O256" s="688">
        <f t="shared" si="1301"/>
        <v>121.76666666666667</v>
      </c>
      <c r="P256" s="688">
        <f t="shared" si="1301"/>
        <v>121.76666666666667</v>
      </c>
      <c r="Q256" s="688">
        <f t="shared" si="1301"/>
        <v>121.76666666666667</v>
      </c>
      <c r="R256" s="688">
        <f t="shared" si="1301"/>
        <v>121.76666666666667</v>
      </c>
      <c r="S256" s="688">
        <f t="shared" si="1301"/>
        <v>121.76666666666667</v>
      </c>
      <c r="T256" s="688">
        <f t="shared" si="1301"/>
        <v>121.76666666666667</v>
      </c>
      <c r="U256" s="15"/>
      <c r="V256" s="688">
        <f>+$H$256*T129/12</f>
        <v>121.76666666666667</v>
      </c>
      <c r="W256" s="688">
        <f t="shared" ref="W256:AG256" si="1302">+$H$256*V129/12</f>
        <v>121.76666666666667</v>
      </c>
      <c r="X256" s="688">
        <f t="shared" si="1302"/>
        <v>121.76666666666667</v>
      </c>
      <c r="Y256" s="688">
        <f t="shared" si="1302"/>
        <v>121.76666666666667</v>
      </c>
      <c r="Z256" s="688">
        <f t="shared" si="1302"/>
        <v>121.76666666666667</v>
      </c>
      <c r="AA256" s="688">
        <f t="shared" si="1302"/>
        <v>121.76666666666667</v>
      </c>
      <c r="AB256" s="688">
        <f t="shared" si="1302"/>
        <v>121.76666666666667</v>
      </c>
      <c r="AC256" s="688">
        <f t="shared" si="1302"/>
        <v>121.76666666666667</v>
      </c>
      <c r="AD256" s="688">
        <f t="shared" si="1302"/>
        <v>121.76666666666667</v>
      </c>
      <c r="AE256" s="688">
        <f t="shared" si="1302"/>
        <v>121.76666666666667</v>
      </c>
      <c r="AF256" s="688">
        <f t="shared" si="1302"/>
        <v>121.76666666666667</v>
      </c>
      <c r="AG256" s="688">
        <f t="shared" si="1302"/>
        <v>121.76666666666667</v>
      </c>
      <c r="AH256" s="21"/>
      <c r="AI256" s="688">
        <f>+$H$256*AG129/12</f>
        <v>121.76666666666667</v>
      </c>
      <c r="AJ256" s="688">
        <f t="shared" ref="AJ256:AT256" si="1303">+$H$256*AI129/12</f>
        <v>121.76666666666667</v>
      </c>
      <c r="AK256" s="688">
        <f t="shared" si="1303"/>
        <v>121.76666666666667</v>
      </c>
      <c r="AL256" s="688">
        <f t="shared" si="1303"/>
        <v>121.76666666666667</v>
      </c>
      <c r="AM256" s="688">
        <f t="shared" si="1303"/>
        <v>121.76666666666667</v>
      </c>
      <c r="AN256" s="688">
        <f t="shared" si="1303"/>
        <v>121.76666666666667</v>
      </c>
      <c r="AO256" s="688">
        <f t="shared" si="1303"/>
        <v>121.76666666666667</v>
      </c>
      <c r="AP256" s="688">
        <f t="shared" si="1303"/>
        <v>121.76666666666667</v>
      </c>
      <c r="AQ256" s="688">
        <f t="shared" si="1303"/>
        <v>121.76666666666667</v>
      </c>
      <c r="AR256" s="688">
        <f t="shared" si="1303"/>
        <v>121.76666666666667</v>
      </c>
      <c r="AS256" s="688">
        <f t="shared" si="1303"/>
        <v>121.76666666666667</v>
      </c>
      <c r="AT256" s="688">
        <f t="shared" si="1303"/>
        <v>121.76666666666667</v>
      </c>
      <c r="AU256" s="21"/>
      <c r="AV256" s="688">
        <f>+$H$256*AT129/12</f>
        <v>121.76666666666667</v>
      </c>
      <c r="AW256" s="688">
        <f t="shared" ref="AW256:BG256" si="1304">+$H$256*AV129/12</f>
        <v>121.76666666666667</v>
      </c>
      <c r="AX256" s="688">
        <f t="shared" si="1304"/>
        <v>121.76666666666667</v>
      </c>
      <c r="AY256" s="688">
        <f t="shared" si="1304"/>
        <v>121.76666666666667</v>
      </c>
      <c r="AZ256" s="688">
        <f t="shared" si="1304"/>
        <v>121.76666666666667</v>
      </c>
      <c r="BA256" s="688">
        <f t="shared" si="1304"/>
        <v>121.76666666666667</v>
      </c>
      <c r="BB256" s="688">
        <f t="shared" si="1304"/>
        <v>121.76666666666667</v>
      </c>
      <c r="BC256" s="688">
        <f t="shared" si="1304"/>
        <v>121.76666666666667</v>
      </c>
      <c r="BD256" s="688">
        <f t="shared" si="1304"/>
        <v>121.76666666666667</v>
      </c>
      <c r="BE256" s="688">
        <f t="shared" si="1304"/>
        <v>121.76666666666667</v>
      </c>
      <c r="BF256" s="688">
        <f t="shared" si="1304"/>
        <v>121.76666666666667</v>
      </c>
      <c r="BG256" s="688">
        <f t="shared" si="1304"/>
        <v>121.76666666666667</v>
      </c>
      <c r="BH256" s="21"/>
      <c r="BI256" s="688">
        <f>+$H$256*BG129/12</f>
        <v>121.76666666666667</v>
      </c>
      <c r="BJ256" s="688">
        <f t="shared" ref="BJ256:BT256" si="1305">+$H$256*BI129/12</f>
        <v>121.76666666666667</v>
      </c>
      <c r="BK256" s="688">
        <f t="shared" si="1305"/>
        <v>121.76666666666667</v>
      </c>
      <c r="BL256" s="688">
        <f t="shared" si="1305"/>
        <v>121.76666666666667</v>
      </c>
      <c r="BM256" s="688">
        <f t="shared" si="1305"/>
        <v>121.76666666666667</v>
      </c>
      <c r="BN256" s="688">
        <f t="shared" si="1305"/>
        <v>121.76666666666667</v>
      </c>
      <c r="BO256" s="688">
        <f t="shared" si="1305"/>
        <v>121.76666666666667</v>
      </c>
      <c r="BP256" s="688">
        <f t="shared" si="1305"/>
        <v>121.76666666666667</v>
      </c>
      <c r="BQ256" s="688">
        <f t="shared" si="1305"/>
        <v>121.76666666666667</v>
      </c>
      <c r="BR256" s="688">
        <f t="shared" si="1305"/>
        <v>121.76666666666667</v>
      </c>
      <c r="BS256" s="688">
        <f t="shared" si="1305"/>
        <v>121.76666666666667</v>
      </c>
      <c r="BT256" s="688">
        <f t="shared" si="1305"/>
        <v>121.76666666666667</v>
      </c>
      <c r="BU256" s="21"/>
      <c r="BV256" s="688">
        <f>+$H$256*BT129/12</f>
        <v>121.76666666666667</v>
      </c>
      <c r="BW256" s="688">
        <f t="shared" ref="BW256:CG256" si="1306">+$H$256*BV129/12</f>
        <v>121.76666666666667</v>
      </c>
      <c r="BX256" s="688">
        <f t="shared" si="1306"/>
        <v>121.76666666666667</v>
      </c>
      <c r="BY256" s="688">
        <f t="shared" si="1306"/>
        <v>121.76666666666667</v>
      </c>
      <c r="BZ256" s="688">
        <f t="shared" si="1306"/>
        <v>121.76666666666667</v>
      </c>
      <c r="CA256" s="688">
        <f t="shared" si="1306"/>
        <v>121.76666666666667</v>
      </c>
      <c r="CB256" s="688">
        <f t="shared" si="1306"/>
        <v>121.76666666666667</v>
      </c>
      <c r="CC256" s="688">
        <f t="shared" si="1306"/>
        <v>121.76666666666667</v>
      </c>
      <c r="CD256" s="688">
        <f t="shared" si="1306"/>
        <v>121.76666666666667</v>
      </c>
      <c r="CE256" s="688">
        <f t="shared" si="1306"/>
        <v>121.76666666666667</v>
      </c>
      <c r="CF256" s="688">
        <f t="shared" si="1306"/>
        <v>121.76666666666667</v>
      </c>
      <c r="CG256" s="688">
        <f t="shared" si="1306"/>
        <v>121.76666666666667</v>
      </c>
      <c r="CH256" s="21"/>
      <c r="CI256" s="688">
        <f>+$H$256*CG129/12</f>
        <v>121.76666666666667</v>
      </c>
      <c r="CJ256" s="688">
        <f t="shared" ref="CJ256:CT256" si="1307">+$H$256*CI129/12</f>
        <v>121.76666666666667</v>
      </c>
      <c r="CK256" s="688">
        <f t="shared" si="1307"/>
        <v>121.76666666666667</v>
      </c>
      <c r="CL256" s="688">
        <f t="shared" si="1307"/>
        <v>121.76666666666667</v>
      </c>
      <c r="CM256" s="688">
        <f t="shared" si="1307"/>
        <v>121.76666666666667</v>
      </c>
      <c r="CN256" s="688">
        <f t="shared" si="1307"/>
        <v>121.76666666666667</v>
      </c>
      <c r="CO256" s="688">
        <f t="shared" si="1307"/>
        <v>121.76666666666667</v>
      </c>
      <c r="CP256" s="688">
        <f t="shared" si="1307"/>
        <v>121.76666666666667</v>
      </c>
      <c r="CQ256" s="688">
        <f t="shared" si="1307"/>
        <v>121.76666666666667</v>
      </c>
      <c r="CR256" s="688">
        <f t="shared" si="1307"/>
        <v>121.76666666666667</v>
      </c>
      <c r="CS256" s="688">
        <f t="shared" si="1307"/>
        <v>121.76666666666667</v>
      </c>
      <c r="CT256" s="688">
        <f t="shared" si="1307"/>
        <v>121.76666666666667</v>
      </c>
      <c r="CU256" s="21"/>
      <c r="CV256" s="688">
        <f>+$H$256*CT129/12</f>
        <v>121.76666666666667</v>
      </c>
      <c r="CW256" s="688">
        <f t="shared" ref="CW256:DG256" si="1308">+$H$256*CV129/12</f>
        <v>121.76666666666667</v>
      </c>
      <c r="CX256" s="688">
        <f t="shared" si="1308"/>
        <v>121.76666666666667</v>
      </c>
      <c r="CY256" s="688">
        <f t="shared" si="1308"/>
        <v>121.76666666666667</v>
      </c>
      <c r="CZ256" s="688">
        <f t="shared" si="1308"/>
        <v>121.76666666666667</v>
      </c>
      <c r="DA256" s="688">
        <f t="shared" si="1308"/>
        <v>121.76666666666667</v>
      </c>
      <c r="DB256" s="688">
        <f t="shared" si="1308"/>
        <v>121.76666666666667</v>
      </c>
      <c r="DC256" s="688">
        <f t="shared" si="1308"/>
        <v>121.76666666666667</v>
      </c>
      <c r="DD256" s="688">
        <f t="shared" si="1308"/>
        <v>121.76666666666667</v>
      </c>
      <c r="DE256" s="688">
        <f t="shared" si="1308"/>
        <v>121.76666666666667</v>
      </c>
      <c r="DF256" s="688">
        <f t="shared" si="1308"/>
        <v>121.76666666666667</v>
      </c>
      <c r="DG256" s="688">
        <f t="shared" si="1308"/>
        <v>121.76666666666667</v>
      </c>
      <c r="DH256" s="21"/>
      <c r="DI256" s="688">
        <f>+$H$256*DG129/12</f>
        <v>121.76666666666667</v>
      </c>
      <c r="DJ256" s="688">
        <f t="shared" ref="DJ256:DT256" si="1309">+$H$256*DI129/12</f>
        <v>121.76666666666667</v>
      </c>
      <c r="DK256" s="688">
        <f t="shared" si="1309"/>
        <v>121.76666666666667</v>
      </c>
      <c r="DL256" s="688">
        <f t="shared" si="1309"/>
        <v>121.76666666666667</v>
      </c>
      <c r="DM256" s="688">
        <f t="shared" si="1309"/>
        <v>121.76666666666667</v>
      </c>
      <c r="DN256" s="688">
        <f t="shared" si="1309"/>
        <v>121.76666666666667</v>
      </c>
      <c r="DO256" s="688">
        <f t="shared" si="1309"/>
        <v>121.76666666666667</v>
      </c>
      <c r="DP256" s="688">
        <f t="shared" si="1309"/>
        <v>121.76666666666667</v>
      </c>
      <c r="DQ256" s="688">
        <f t="shared" si="1309"/>
        <v>121.76666666666667</v>
      </c>
      <c r="DR256" s="688">
        <f t="shared" si="1309"/>
        <v>121.76666666666667</v>
      </c>
      <c r="DS256" s="688">
        <f t="shared" si="1309"/>
        <v>121.76666666666667</v>
      </c>
      <c r="DT256" s="688">
        <f t="shared" si="1309"/>
        <v>121.76666666666667</v>
      </c>
      <c r="DU256" s="21"/>
      <c r="DV256" s="688">
        <f>+$H$256*DT129/12</f>
        <v>121.76666666666667</v>
      </c>
      <c r="DW256" s="688">
        <f t="shared" ref="DW256:EG256" si="1310">+$H$256*DV129/12</f>
        <v>121.76666666666667</v>
      </c>
      <c r="DX256" s="688">
        <f t="shared" si="1310"/>
        <v>121.76666666666667</v>
      </c>
      <c r="DY256" s="688">
        <f t="shared" si="1310"/>
        <v>121.76666666666667</v>
      </c>
      <c r="DZ256" s="688">
        <f t="shared" si="1310"/>
        <v>121.76666666666667</v>
      </c>
      <c r="EA256" s="688">
        <f t="shared" si="1310"/>
        <v>121.76666666666667</v>
      </c>
      <c r="EB256" s="688">
        <f t="shared" si="1310"/>
        <v>121.76666666666667</v>
      </c>
      <c r="EC256" s="688">
        <f t="shared" si="1310"/>
        <v>121.76666666666667</v>
      </c>
      <c r="ED256" s="688">
        <f t="shared" si="1310"/>
        <v>121.76666666666667</v>
      </c>
      <c r="EE256" s="688">
        <f t="shared" si="1310"/>
        <v>121.76666666666667</v>
      </c>
      <c r="EF256" s="688">
        <f t="shared" si="1310"/>
        <v>121.76666666666667</v>
      </c>
      <c r="EG256" s="688">
        <f t="shared" si="1310"/>
        <v>121.76666666666667</v>
      </c>
      <c r="EH256" s="21"/>
      <c r="EI256" s="21"/>
      <c r="EJ256" s="21"/>
      <c r="EK256" s="21"/>
      <c r="EL256" s="21"/>
      <c r="EM256" s="21"/>
    </row>
    <row r="257" spans="1:143" ht="13.5" customHeight="1">
      <c r="A257" s="21"/>
      <c r="B257" s="21"/>
      <c r="C257" s="21"/>
      <c r="D257" s="21"/>
      <c r="E257" s="21"/>
      <c r="F257" s="245" t="s">
        <v>458</v>
      </c>
      <c r="G257" s="21"/>
      <c r="H257" s="21"/>
      <c r="I257" s="688">
        <f t="shared" ref="I257:T257" si="1311">IF(I4=0,0,SUM(I221:I256))</f>
        <v>0</v>
      </c>
      <c r="J257" s="688">
        <f t="shared" si="1311"/>
        <v>0</v>
      </c>
      <c r="K257" s="688">
        <f t="shared" si="1311"/>
        <v>0</v>
      </c>
      <c r="L257" s="688">
        <f t="shared" si="1311"/>
        <v>0</v>
      </c>
      <c r="M257" s="688">
        <f t="shared" si="1311"/>
        <v>0</v>
      </c>
      <c r="N257" s="688">
        <f t="shared" si="1311"/>
        <v>0</v>
      </c>
      <c r="O257" s="688">
        <f t="shared" si="1311"/>
        <v>341.12333333333328</v>
      </c>
      <c r="P257" s="688">
        <f t="shared" si="1311"/>
        <v>341.12333333333328</v>
      </c>
      <c r="Q257" s="688">
        <f t="shared" si="1311"/>
        <v>341.12333333333328</v>
      </c>
      <c r="R257" s="688">
        <f t="shared" si="1311"/>
        <v>341.12333333333328</v>
      </c>
      <c r="S257" s="688">
        <f t="shared" si="1311"/>
        <v>341.12333333333328</v>
      </c>
      <c r="T257" s="688">
        <f t="shared" si="1311"/>
        <v>341.12333333333328</v>
      </c>
      <c r="U257" s="15"/>
      <c r="V257" s="688">
        <f t="shared" ref="V257:AG257" si="1312">SUM(V221:V256)</f>
        <v>340.50666666666666</v>
      </c>
      <c r="W257" s="688">
        <f t="shared" si="1312"/>
        <v>340.50666666666666</v>
      </c>
      <c r="X257" s="688">
        <f t="shared" si="1312"/>
        <v>340.50666666666666</v>
      </c>
      <c r="Y257" s="688">
        <f t="shared" si="1312"/>
        <v>340.50666666666666</v>
      </c>
      <c r="Z257" s="688">
        <f t="shared" si="1312"/>
        <v>340.50666666666666</v>
      </c>
      <c r="AA257" s="688">
        <f t="shared" si="1312"/>
        <v>340.50666666666666</v>
      </c>
      <c r="AB257" s="688">
        <f t="shared" si="1312"/>
        <v>340.50666666666666</v>
      </c>
      <c r="AC257" s="688">
        <f t="shared" si="1312"/>
        <v>340.50666666666666</v>
      </c>
      <c r="AD257" s="688">
        <f t="shared" si="1312"/>
        <v>340.50666666666666</v>
      </c>
      <c r="AE257" s="688">
        <f t="shared" si="1312"/>
        <v>340.50666666666666</v>
      </c>
      <c r="AF257" s="688">
        <f t="shared" si="1312"/>
        <v>340.50666666666666</v>
      </c>
      <c r="AG257" s="688">
        <f t="shared" si="1312"/>
        <v>340.50666666666666</v>
      </c>
      <c r="AH257" s="21"/>
      <c r="AI257" s="688">
        <f t="shared" ref="AI257:AT257" si="1313">SUM(AI221:AI256)</f>
        <v>340.50666666666666</v>
      </c>
      <c r="AJ257" s="688">
        <f t="shared" si="1313"/>
        <v>340.50666666666666</v>
      </c>
      <c r="AK257" s="688">
        <f t="shared" si="1313"/>
        <v>340.50666666666666</v>
      </c>
      <c r="AL257" s="688">
        <f t="shared" si="1313"/>
        <v>340.50666666666666</v>
      </c>
      <c r="AM257" s="688">
        <f t="shared" si="1313"/>
        <v>340.50666666666666</v>
      </c>
      <c r="AN257" s="688">
        <f t="shared" si="1313"/>
        <v>340.50666666666666</v>
      </c>
      <c r="AO257" s="688">
        <f t="shared" si="1313"/>
        <v>340.50666666666666</v>
      </c>
      <c r="AP257" s="688">
        <f t="shared" si="1313"/>
        <v>340.50666666666666</v>
      </c>
      <c r="AQ257" s="688">
        <f t="shared" si="1313"/>
        <v>340.50666666666666</v>
      </c>
      <c r="AR257" s="688">
        <f t="shared" si="1313"/>
        <v>340.50666666666666</v>
      </c>
      <c r="AS257" s="688">
        <f t="shared" si="1313"/>
        <v>340.50666666666666</v>
      </c>
      <c r="AT257" s="688">
        <f t="shared" si="1313"/>
        <v>340.50666666666666</v>
      </c>
      <c r="AU257" s="21"/>
      <c r="AV257" s="688">
        <f t="shared" ref="AV257:BG257" si="1314">SUM(AV221:AV256)</f>
        <v>340.50666666666666</v>
      </c>
      <c r="AW257" s="688">
        <f t="shared" si="1314"/>
        <v>340.50666666666666</v>
      </c>
      <c r="AX257" s="688">
        <f t="shared" si="1314"/>
        <v>340.50666666666666</v>
      </c>
      <c r="AY257" s="688">
        <f t="shared" si="1314"/>
        <v>340.50666666666666</v>
      </c>
      <c r="AZ257" s="688">
        <f t="shared" si="1314"/>
        <v>340.50666666666666</v>
      </c>
      <c r="BA257" s="688">
        <f t="shared" si="1314"/>
        <v>340.50666666666666</v>
      </c>
      <c r="BB257" s="688">
        <f t="shared" si="1314"/>
        <v>340.50666666666666</v>
      </c>
      <c r="BC257" s="688">
        <f t="shared" si="1314"/>
        <v>340.50666666666666</v>
      </c>
      <c r="BD257" s="688">
        <f t="shared" si="1314"/>
        <v>340.50666666666666</v>
      </c>
      <c r="BE257" s="688">
        <f t="shared" si="1314"/>
        <v>340.50666666666666</v>
      </c>
      <c r="BF257" s="688">
        <f t="shared" si="1314"/>
        <v>340.50666666666666</v>
      </c>
      <c r="BG257" s="688">
        <f t="shared" si="1314"/>
        <v>340.50666666666666</v>
      </c>
      <c r="BH257" s="21"/>
      <c r="BI257" s="688">
        <f t="shared" ref="BI257:BT257" si="1315">SUM(BI221:BI256)</f>
        <v>340.50666666666666</v>
      </c>
      <c r="BJ257" s="688">
        <f t="shared" si="1315"/>
        <v>340.50666666666666</v>
      </c>
      <c r="BK257" s="688">
        <f t="shared" si="1315"/>
        <v>340.50666666666666</v>
      </c>
      <c r="BL257" s="688">
        <f t="shared" si="1315"/>
        <v>340.50666666666666</v>
      </c>
      <c r="BM257" s="688">
        <f t="shared" si="1315"/>
        <v>340.50666666666666</v>
      </c>
      <c r="BN257" s="688">
        <f t="shared" si="1315"/>
        <v>340.50666666666666</v>
      </c>
      <c r="BO257" s="688">
        <f t="shared" si="1315"/>
        <v>340.50666666666666</v>
      </c>
      <c r="BP257" s="688">
        <f t="shared" si="1315"/>
        <v>340.50666666666666</v>
      </c>
      <c r="BQ257" s="688">
        <f t="shared" si="1315"/>
        <v>340.50666666666666</v>
      </c>
      <c r="BR257" s="688">
        <f t="shared" si="1315"/>
        <v>340.50666666666666</v>
      </c>
      <c r="BS257" s="688">
        <f t="shared" si="1315"/>
        <v>340.50666666666666</v>
      </c>
      <c r="BT257" s="688">
        <f t="shared" si="1315"/>
        <v>340.50666666666666</v>
      </c>
      <c r="BU257" s="21"/>
      <c r="BV257" s="688">
        <f t="shared" ref="BV257:CG257" si="1316">SUM(BV221:BV256)</f>
        <v>340.50666666666666</v>
      </c>
      <c r="BW257" s="688">
        <f t="shared" si="1316"/>
        <v>340.50666666666666</v>
      </c>
      <c r="BX257" s="688">
        <f t="shared" si="1316"/>
        <v>340.50666666666666</v>
      </c>
      <c r="BY257" s="688">
        <f t="shared" si="1316"/>
        <v>340.50666666666666</v>
      </c>
      <c r="BZ257" s="688">
        <f t="shared" si="1316"/>
        <v>340.50666666666666</v>
      </c>
      <c r="CA257" s="688">
        <f t="shared" si="1316"/>
        <v>340.50666666666666</v>
      </c>
      <c r="CB257" s="688">
        <f t="shared" si="1316"/>
        <v>340.50666666666666</v>
      </c>
      <c r="CC257" s="688">
        <f t="shared" si="1316"/>
        <v>340.50666666666666</v>
      </c>
      <c r="CD257" s="688">
        <f t="shared" si="1316"/>
        <v>340.50666666666666</v>
      </c>
      <c r="CE257" s="688">
        <f t="shared" si="1316"/>
        <v>340.50666666666666</v>
      </c>
      <c r="CF257" s="688">
        <f t="shared" si="1316"/>
        <v>340.50666666666666</v>
      </c>
      <c r="CG257" s="688">
        <f t="shared" si="1316"/>
        <v>340.50666666666666</v>
      </c>
      <c r="CH257" s="21"/>
      <c r="CI257" s="688">
        <f t="shared" ref="CI257:CT257" si="1317">SUM(CI221:CI256)</f>
        <v>340.50666666666666</v>
      </c>
      <c r="CJ257" s="688">
        <f t="shared" si="1317"/>
        <v>340.50666666666666</v>
      </c>
      <c r="CK257" s="688">
        <f t="shared" si="1317"/>
        <v>340.50666666666666</v>
      </c>
      <c r="CL257" s="688">
        <f t="shared" si="1317"/>
        <v>340.50666666666666</v>
      </c>
      <c r="CM257" s="688">
        <f t="shared" si="1317"/>
        <v>340.50666666666666</v>
      </c>
      <c r="CN257" s="688">
        <f t="shared" si="1317"/>
        <v>340.50666666666666</v>
      </c>
      <c r="CO257" s="688">
        <f t="shared" si="1317"/>
        <v>340.50666666666666</v>
      </c>
      <c r="CP257" s="688">
        <f t="shared" si="1317"/>
        <v>340.50666666666666</v>
      </c>
      <c r="CQ257" s="688">
        <f t="shared" si="1317"/>
        <v>340.50666666666666</v>
      </c>
      <c r="CR257" s="688">
        <f t="shared" si="1317"/>
        <v>340.50666666666666</v>
      </c>
      <c r="CS257" s="688">
        <f t="shared" si="1317"/>
        <v>340.50666666666666</v>
      </c>
      <c r="CT257" s="688">
        <f t="shared" si="1317"/>
        <v>340.50666666666666</v>
      </c>
      <c r="CU257" s="21"/>
      <c r="CV257" s="688">
        <f t="shared" ref="CV257:DG257" si="1318">SUM(CV221:CV256)</f>
        <v>340.50666666666666</v>
      </c>
      <c r="CW257" s="688">
        <f t="shared" si="1318"/>
        <v>340.50666666666666</v>
      </c>
      <c r="CX257" s="688">
        <f t="shared" si="1318"/>
        <v>340.50666666666666</v>
      </c>
      <c r="CY257" s="688">
        <f t="shared" si="1318"/>
        <v>340.50666666666666</v>
      </c>
      <c r="CZ257" s="688">
        <f t="shared" si="1318"/>
        <v>340.50666666666666</v>
      </c>
      <c r="DA257" s="688">
        <f t="shared" si="1318"/>
        <v>340.50666666666666</v>
      </c>
      <c r="DB257" s="688">
        <f t="shared" si="1318"/>
        <v>340.50666666666666</v>
      </c>
      <c r="DC257" s="688">
        <f t="shared" si="1318"/>
        <v>340.50666666666666</v>
      </c>
      <c r="DD257" s="688">
        <f t="shared" si="1318"/>
        <v>340.50666666666666</v>
      </c>
      <c r="DE257" s="688">
        <f t="shared" si="1318"/>
        <v>340.50666666666666</v>
      </c>
      <c r="DF257" s="688">
        <f t="shared" si="1318"/>
        <v>340.50666666666666</v>
      </c>
      <c r="DG257" s="688">
        <f t="shared" si="1318"/>
        <v>340.50666666666666</v>
      </c>
      <c r="DH257" s="21"/>
      <c r="DI257" s="688">
        <f t="shared" ref="DI257:DT257" si="1319">SUM(DI221:DI256)</f>
        <v>340.50666666666666</v>
      </c>
      <c r="DJ257" s="688">
        <f t="shared" si="1319"/>
        <v>340.50666666666666</v>
      </c>
      <c r="DK257" s="688">
        <f t="shared" si="1319"/>
        <v>340.50666666666666</v>
      </c>
      <c r="DL257" s="688">
        <f t="shared" si="1319"/>
        <v>340.50666666666666</v>
      </c>
      <c r="DM257" s="688">
        <f t="shared" si="1319"/>
        <v>340.50666666666666</v>
      </c>
      <c r="DN257" s="688">
        <f t="shared" si="1319"/>
        <v>340.50666666666666</v>
      </c>
      <c r="DO257" s="688">
        <f t="shared" si="1319"/>
        <v>340.50666666666666</v>
      </c>
      <c r="DP257" s="688">
        <f t="shared" si="1319"/>
        <v>340.50666666666666</v>
      </c>
      <c r="DQ257" s="688">
        <f t="shared" si="1319"/>
        <v>340.50666666666666</v>
      </c>
      <c r="DR257" s="688">
        <f t="shared" si="1319"/>
        <v>340.50666666666666</v>
      </c>
      <c r="DS257" s="688">
        <f t="shared" si="1319"/>
        <v>340.50666666666666</v>
      </c>
      <c r="DT257" s="688">
        <f t="shared" si="1319"/>
        <v>340.50666666666666</v>
      </c>
      <c r="DU257" s="21"/>
      <c r="DV257" s="688">
        <f t="shared" ref="DV257:EG257" si="1320">SUM(DV221:DV256)</f>
        <v>340.50666666666666</v>
      </c>
      <c r="DW257" s="688">
        <f t="shared" si="1320"/>
        <v>340.50666666666666</v>
      </c>
      <c r="DX257" s="688">
        <f t="shared" si="1320"/>
        <v>340.50666666666666</v>
      </c>
      <c r="DY257" s="688">
        <f t="shared" si="1320"/>
        <v>340.50666666666666</v>
      </c>
      <c r="DZ257" s="688">
        <f t="shared" si="1320"/>
        <v>340.50666666666666</v>
      </c>
      <c r="EA257" s="688">
        <f t="shared" si="1320"/>
        <v>340.50666666666666</v>
      </c>
      <c r="EB257" s="688">
        <f t="shared" si="1320"/>
        <v>340.50666666666666</v>
      </c>
      <c r="EC257" s="688">
        <f t="shared" si="1320"/>
        <v>340.50666666666666</v>
      </c>
      <c r="ED257" s="688">
        <f t="shared" si="1320"/>
        <v>340.50666666666666</v>
      </c>
      <c r="EE257" s="688">
        <f t="shared" si="1320"/>
        <v>340.50666666666666</v>
      </c>
      <c r="EF257" s="688">
        <f t="shared" si="1320"/>
        <v>340.50666666666666</v>
      </c>
      <c r="EG257" s="688">
        <f t="shared" si="1320"/>
        <v>340.50666666666666</v>
      </c>
      <c r="EH257" s="21"/>
      <c r="EI257" s="21"/>
      <c r="EJ257" s="21"/>
      <c r="EK257" s="21"/>
      <c r="EL257" s="21"/>
      <c r="EM257" s="21"/>
    </row>
  </sheetData>
  <mergeCells count="36">
    <mergeCell ref="CV6:DH6"/>
    <mergeCell ref="DI6:DU6"/>
    <mergeCell ref="DV6:EH6"/>
    <mergeCell ref="I6:U6"/>
    <mergeCell ref="V6:AH6"/>
    <mergeCell ref="AI6:AU6"/>
    <mergeCell ref="AV6:BH6"/>
    <mergeCell ref="BI6:BU6"/>
    <mergeCell ref="BV6:CH6"/>
    <mergeCell ref="CI6:CU6"/>
    <mergeCell ref="CV131:DH131"/>
    <mergeCell ref="DI131:DU131"/>
    <mergeCell ref="DV131:EH131"/>
    <mergeCell ref="E10:E13"/>
    <mergeCell ref="E15:E38"/>
    <mergeCell ref="E40:E58"/>
    <mergeCell ref="E60:E78"/>
    <mergeCell ref="E80:E129"/>
    <mergeCell ref="I131:U131"/>
    <mergeCell ref="V131:AH131"/>
    <mergeCell ref="AI131:AU131"/>
    <mergeCell ref="AV131:BH131"/>
    <mergeCell ref="BI131:BU131"/>
    <mergeCell ref="BV131:CH131"/>
    <mergeCell ref="CI131:CU131"/>
    <mergeCell ref="E170:E180"/>
    <mergeCell ref="E182:E192"/>
    <mergeCell ref="D194:E194"/>
    <mergeCell ref="E195:E205"/>
    <mergeCell ref="D133:H133"/>
    <mergeCell ref="D134:E134"/>
    <mergeCell ref="E135:E149"/>
    <mergeCell ref="D150:E150"/>
    <mergeCell ref="E151:E167"/>
    <mergeCell ref="D169:E169"/>
    <mergeCell ref="D181:E181"/>
  </mergeCells>
  <pageMargins left="0.7" right="0.7" top="0.75" bottom="0.75" header="0" footer="0"/>
  <pageSetup orientation="landscape"/>
  <headerFooter>
    <oddFooter>&amp;RSABAK - GENERIK NON STANDARD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993366"/>
  </sheetPr>
  <dimension ref="A1:AN1017"/>
  <sheetViews>
    <sheetView showGridLines="0" zoomScale="85" zoomScaleNormal="85" workbookViewId="0">
      <pane xSplit="7" ySplit="6" topLeftCell="H34" activePane="bottomRight" state="frozen"/>
      <selection pane="bottomRight" activeCell="F38" sqref="F38"/>
      <selection pane="bottomLeft" activeCell="A7" sqref="A7"/>
      <selection pane="topRight" activeCell="H1" sqref="H1"/>
    </sheetView>
  </sheetViews>
  <sheetFormatPr defaultColWidth="12.42578125" defaultRowHeight="15" customHeight="1"/>
  <cols>
    <col min="1" max="2" width="9.140625" style="855" hidden="1" customWidth="1"/>
    <col min="3" max="4" width="6.140625" style="855" hidden="1" customWidth="1"/>
    <col min="5" max="5" width="5.140625" style="855" customWidth="1"/>
    <col min="6" max="6" width="30.28515625" style="855" customWidth="1"/>
    <col min="7" max="7" width="3.85546875" style="855" customWidth="1"/>
    <col min="8" max="9" width="9" style="855" bestFit="1" customWidth="1"/>
    <col min="10" max="10" width="8.5703125" style="855" bestFit="1" customWidth="1"/>
    <col min="11" max="11" width="4.85546875" style="855" bestFit="1" customWidth="1"/>
    <col min="12" max="12" width="10.140625" style="855" bestFit="1" customWidth="1"/>
    <col min="13" max="13" width="8.5703125" style="855" bestFit="1" customWidth="1"/>
    <col min="14" max="14" width="9" style="855" bestFit="1" customWidth="1"/>
    <col min="15" max="15" width="8.5703125" style="855" bestFit="1" customWidth="1"/>
    <col min="16" max="16" width="9" style="855" bestFit="1" customWidth="1"/>
    <col min="17" max="17" width="8.5703125" style="855" bestFit="1" customWidth="1"/>
    <col min="18" max="18" width="9" style="855" bestFit="1" customWidth="1"/>
    <col min="19" max="19" width="8.5703125" style="855" bestFit="1" customWidth="1"/>
    <col min="20" max="20" width="9" style="855" bestFit="1" customWidth="1"/>
    <col min="21" max="21" width="8.5703125" style="855" bestFit="1" customWidth="1"/>
    <col min="22" max="22" width="10.140625" style="855" customWidth="1"/>
    <col min="23" max="23" width="5.140625" style="855" hidden="1" customWidth="1"/>
    <col min="24" max="24" width="41.140625" style="855" hidden="1" customWidth="1"/>
    <col min="25" max="25" width="14" style="855" hidden="1" customWidth="1"/>
    <col min="26" max="26" width="14.140625" style="855" hidden="1" customWidth="1"/>
    <col min="27" max="27" width="10.140625" style="855" hidden="1" customWidth="1"/>
    <col min="28" max="28" width="14.140625" style="855" hidden="1" customWidth="1"/>
    <col min="29" max="29" width="10.140625" style="855" hidden="1" customWidth="1"/>
    <col min="30" max="30" width="14.140625" style="855" hidden="1" customWidth="1"/>
    <col min="31" max="31" width="10.140625" style="855" hidden="1" customWidth="1"/>
    <col min="32" max="32" width="14.140625" style="855" hidden="1" customWidth="1"/>
    <col min="33" max="33" width="10.140625" style="855" hidden="1" customWidth="1"/>
    <col min="34" max="34" width="14.140625" style="855" hidden="1" customWidth="1"/>
    <col min="35" max="35" width="10.140625" style="855" hidden="1" customWidth="1"/>
    <col min="36" max="40" width="9.140625" style="855" hidden="1" customWidth="1"/>
    <col min="41" max="41" width="0" style="855" hidden="1" customWidth="1"/>
    <col min="42" max="16384" width="12.42578125" style="855"/>
  </cols>
  <sheetData>
    <row r="1" spans="1:40" ht="15" customHeight="1">
      <c r="A1" s="939"/>
      <c r="B1" s="939"/>
      <c r="C1" s="939"/>
      <c r="D1" s="939"/>
      <c r="E1" s="939"/>
      <c r="F1" s="939"/>
      <c r="G1" s="939"/>
      <c r="H1" s="939"/>
      <c r="I1" s="939"/>
      <c r="J1" s="939"/>
      <c r="K1" s="939"/>
      <c r="L1" s="939"/>
      <c r="M1" s="939"/>
      <c r="N1" s="939"/>
      <c r="O1" s="939"/>
      <c r="P1" s="939"/>
      <c r="Q1" s="939"/>
      <c r="R1" s="939"/>
      <c r="S1" s="939"/>
      <c r="T1" s="939"/>
      <c r="U1" s="939"/>
      <c r="V1" s="939"/>
      <c r="W1" s="939"/>
      <c r="X1" s="939"/>
      <c r="Y1" s="939"/>
      <c r="Z1" s="939"/>
      <c r="AA1" s="939"/>
      <c r="AB1" s="939"/>
      <c r="AC1" s="939"/>
      <c r="AD1" s="939"/>
      <c r="AE1" s="939"/>
      <c r="AF1" s="939"/>
      <c r="AG1" s="939"/>
      <c r="AH1" s="939"/>
      <c r="AI1" s="939"/>
      <c r="AJ1" s="939"/>
      <c r="AK1" s="939"/>
      <c r="AL1" s="939"/>
      <c r="AM1" s="939"/>
      <c r="AN1" s="939"/>
    </row>
    <row r="2" spans="1:40" ht="15" customHeight="1">
      <c r="A2" s="939"/>
      <c r="B2" s="940"/>
      <c r="C2" s="941"/>
      <c r="D2" s="939"/>
      <c r="E2" s="1565" t="str">
        <f>Historical!B2</f>
        <v>Debtor / Group Name:</v>
      </c>
      <c r="F2" s="1560"/>
      <c r="G2" s="1561"/>
      <c r="H2" s="1566" t="str">
        <f>Historical!E2</f>
        <v>Date :</v>
      </c>
      <c r="I2" s="1560"/>
      <c r="J2" s="1560"/>
      <c r="K2" s="1560"/>
      <c r="L2" s="1560"/>
      <c r="M2" s="1560"/>
      <c r="N2" s="1561"/>
      <c r="O2" s="1565" t="str">
        <f>Historical!H2</f>
        <v>Proposed Unit :</v>
      </c>
      <c r="P2" s="1560"/>
      <c r="Q2" s="1560"/>
      <c r="R2" s="1560"/>
      <c r="S2" s="943"/>
      <c r="T2" s="943"/>
      <c r="U2" s="941"/>
      <c r="V2" s="939"/>
      <c r="W2" s="1565" t="s">
        <v>648</v>
      </c>
      <c r="X2" s="1560"/>
      <c r="Y2" s="1560"/>
      <c r="Z2" s="943"/>
      <c r="AA2" s="943"/>
      <c r="AB2" s="943"/>
      <c r="AC2" s="941"/>
      <c r="AD2" s="942" t="str">
        <f t="shared" ref="AD2:AD3" si="0">+H2</f>
        <v>Date :</v>
      </c>
      <c r="AE2" s="941"/>
      <c r="AF2" s="942" t="str">
        <f t="shared" ref="AF2:AF3" si="1">+O2</f>
        <v>Proposed Unit :</v>
      </c>
      <c r="AG2" s="943"/>
      <c r="AH2" s="943"/>
      <c r="AI2" s="941"/>
      <c r="AJ2" s="939"/>
      <c r="AK2" s="939"/>
      <c r="AL2" s="939"/>
      <c r="AM2" s="939"/>
      <c r="AN2" s="939"/>
    </row>
    <row r="3" spans="1:40" ht="15" customHeight="1">
      <c r="A3" s="939"/>
      <c r="B3" s="944"/>
      <c r="C3" s="945"/>
      <c r="D3" s="939"/>
      <c r="E3" s="1567" t="str">
        <f>+Historical!B3</f>
        <v>Generic Niaga / Generic Group</v>
      </c>
      <c r="F3" s="1494"/>
      <c r="G3" s="1550"/>
      <c r="H3" s="1568">
        <f>+Historical!E3</f>
        <v>45598</v>
      </c>
      <c r="I3" s="1494"/>
      <c r="J3" s="1494"/>
      <c r="K3" s="1494"/>
      <c r="L3" s="1494"/>
      <c r="M3" s="1494"/>
      <c r="N3" s="1550"/>
      <c r="O3" s="1567" t="str">
        <f>+Historical!H3</f>
        <v>Divisi Corporate Banking 2</v>
      </c>
      <c r="P3" s="1494"/>
      <c r="Q3" s="1494"/>
      <c r="R3" s="1494"/>
      <c r="S3" s="1494"/>
      <c r="T3" s="1494"/>
      <c r="U3" s="945"/>
      <c r="V3" s="939"/>
      <c r="W3" s="1567" t="str">
        <f>+E3</f>
        <v>Generic Niaga / Generic Group</v>
      </c>
      <c r="X3" s="1494"/>
      <c r="Y3" s="1494"/>
      <c r="Z3" s="939"/>
      <c r="AA3" s="939"/>
      <c r="AB3" s="939"/>
      <c r="AC3" s="945"/>
      <c r="AD3" s="1568">
        <f t="shared" si="0"/>
        <v>45598</v>
      </c>
      <c r="AE3" s="1550"/>
      <c r="AF3" s="946" t="str">
        <f t="shared" si="1"/>
        <v>Divisi Corporate Banking 2</v>
      </c>
      <c r="AG3" s="939"/>
      <c r="AH3" s="939"/>
      <c r="AI3" s="945"/>
      <c r="AJ3" s="939"/>
      <c r="AK3" s="939"/>
      <c r="AL3" s="939"/>
      <c r="AM3" s="939"/>
      <c r="AN3" s="939"/>
    </row>
    <row r="4" spans="1:40" ht="15" customHeight="1">
      <c r="A4" s="939"/>
      <c r="B4" s="947"/>
      <c r="C4" s="945"/>
      <c r="D4" s="939"/>
      <c r="E4" s="1569"/>
      <c r="F4" s="1494"/>
      <c r="G4" s="1550"/>
      <c r="H4" s="1570"/>
      <c r="I4" s="1564"/>
      <c r="J4" s="1564"/>
      <c r="K4" s="948"/>
      <c r="L4" s="1571"/>
      <c r="M4" s="1564"/>
      <c r="N4" s="1555"/>
      <c r="O4" s="1572"/>
      <c r="P4" s="1564"/>
      <c r="Q4" s="1564"/>
      <c r="R4" s="1564"/>
      <c r="S4" s="949"/>
      <c r="T4" s="949"/>
      <c r="U4" s="950"/>
      <c r="V4" s="939"/>
      <c r="W4" s="1569"/>
      <c r="X4" s="1494"/>
      <c r="Y4" s="1494"/>
      <c r="Z4" s="949"/>
      <c r="AA4" s="949"/>
      <c r="AB4" s="949"/>
      <c r="AC4" s="950"/>
      <c r="AD4" s="949"/>
      <c r="AE4" s="950"/>
      <c r="AF4" s="951"/>
      <c r="AG4" s="949"/>
      <c r="AH4" s="949"/>
      <c r="AI4" s="950"/>
      <c r="AJ4" s="939"/>
      <c r="AK4" s="939"/>
      <c r="AL4" s="939"/>
      <c r="AM4" s="939"/>
      <c r="AN4" s="939"/>
    </row>
    <row r="5" spans="1:40" ht="15" customHeight="1">
      <c r="A5" s="939"/>
      <c r="B5" s="1551"/>
      <c r="C5" s="1552"/>
      <c r="D5" s="1122"/>
      <c r="E5" s="1556" t="s">
        <v>75</v>
      </c>
      <c r="F5" s="1557"/>
      <c r="G5" s="1557"/>
      <c r="H5" s="1557"/>
      <c r="I5" s="1557"/>
      <c r="J5" s="1557"/>
      <c r="K5" s="1557"/>
      <c r="L5" s="1557"/>
      <c r="M5" s="1557"/>
      <c r="N5" s="1557"/>
      <c r="O5" s="1557"/>
      <c r="P5" s="1557"/>
      <c r="Q5" s="1557"/>
      <c r="R5" s="1557"/>
      <c r="S5" s="1557"/>
      <c r="T5" s="1557"/>
      <c r="U5" s="1552"/>
      <c r="V5" s="1123"/>
      <c r="W5" s="1556" t="str">
        <f t="shared" ref="W5:W7" si="2">+E5</f>
        <v>BALANCE SHEET STATEMENT</v>
      </c>
      <c r="X5" s="1557"/>
      <c r="Y5" s="1557"/>
      <c r="Z5" s="1557"/>
      <c r="AA5" s="1557"/>
      <c r="AB5" s="1557"/>
      <c r="AC5" s="1557"/>
      <c r="AD5" s="1557"/>
      <c r="AE5" s="1557"/>
      <c r="AF5" s="1557"/>
      <c r="AG5" s="1557"/>
      <c r="AH5" s="1557"/>
      <c r="AI5" s="1552"/>
      <c r="AJ5" s="947"/>
      <c r="AK5" s="947"/>
      <c r="AL5" s="947"/>
      <c r="AM5" s="947"/>
      <c r="AN5" s="939"/>
    </row>
    <row r="6" spans="1:40" ht="15" customHeight="1">
      <c r="A6" s="939"/>
      <c r="B6" s="1553"/>
      <c r="C6" s="1552"/>
      <c r="D6" s="917"/>
      <c r="E6" s="1549" t="str">
        <f>+Historical!B12</f>
        <v>Financial Statement Unit</v>
      </c>
      <c r="F6" s="1494"/>
      <c r="G6" s="1550"/>
      <c r="H6" s="1554" t="str">
        <f>+Historical!E12</f>
        <v>HISTORICAL</v>
      </c>
      <c r="I6" s="1555"/>
      <c r="J6" s="1563"/>
      <c r="K6" s="1494"/>
      <c r="L6" s="1558" t="s">
        <v>649</v>
      </c>
      <c r="M6" s="1557"/>
      <c r="N6" s="1557"/>
      <c r="O6" s="1557"/>
      <c r="P6" s="1557"/>
      <c r="Q6" s="1557"/>
      <c r="R6" s="1557"/>
      <c r="S6" s="1557"/>
      <c r="T6" s="1557"/>
      <c r="U6" s="1552"/>
      <c r="V6" s="919"/>
      <c r="W6" s="1549" t="str">
        <f t="shared" si="2"/>
        <v>Financial Statement Unit</v>
      </c>
      <c r="X6" s="1494"/>
      <c r="Y6" s="1494"/>
      <c r="Z6" s="1573" t="str">
        <f>+L6</f>
        <v>PROJECTION</v>
      </c>
      <c r="AA6" s="1574"/>
      <c r="AB6" s="1574"/>
      <c r="AC6" s="1574"/>
      <c r="AD6" s="1574"/>
      <c r="AE6" s="1574"/>
      <c r="AF6" s="1574"/>
      <c r="AG6" s="1574"/>
      <c r="AH6" s="1574"/>
      <c r="AI6" s="1575"/>
      <c r="AJ6" s="939"/>
      <c r="AK6" s="939"/>
      <c r="AL6" s="939"/>
      <c r="AM6" s="939"/>
      <c r="AN6" s="939"/>
    </row>
    <row r="7" spans="1:40" ht="15" customHeight="1">
      <c r="A7" s="939"/>
      <c r="B7" s="920">
        <f>+H7</f>
        <v>45473</v>
      </c>
      <c r="C7" s="921">
        <v>90</v>
      </c>
      <c r="D7" s="918"/>
      <c r="E7" s="1549" t="str">
        <f>+Historical!B13</f>
        <v>IDR Million</v>
      </c>
      <c r="F7" s="1494"/>
      <c r="G7" s="1550"/>
      <c r="H7" s="922">
        <f>+Historical!K13</f>
        <v>45473</v>
      </c>
      <c r="I7" s="921">
        <f>+MONTH(H7)*30</f>
        <v>180</v>
      </c>
      <c r="J7" s="1494"/>
      <c r="K7" s="1494"/>
      <c r="L7" s="922">
        <f>+'Sales-AR Schedule'!H10</f>
        <v>45657</v>
      </c>
      <c r="M7" s="923">
        <f>+MONTH(L7)*30</f>
        <v>360</v>
      </c>
      <c r="N7" s="920">
        <f>+'Sales-AR Schedule'!I10</f>
        <v>46022</v>
      </c>
      <c r="O7" s="923">
        <f>+MONTH(N7)*30</f>
        <v>360</v>
      </c>
      <c r="P7" s="920">
        <f>+'Sales-AR Schedule'!J10</f>
        <v>46387</v>
      </c>
      <c r="Q7" s="923">
        <f>+MONTH(P7)*30</f>
        <v>360</v>
      </c>
      <c r="R7" s="920">
        <f>+'Sales-AR Schedule'!K10</f>
        <v>46752</v>
      </c>
      <c r="S7" s="924">
        <f>+MONTH(R7)*30</f>
        <v>360</v>
      </c>
      <c r="T7" s="920">
        <f>+'Sales-AR Schedule'!L10</f>
        <v>47118</v>
      </c>
      <c r="U7" s="921">
        <f>+MONTH(T7)*30</f>
        <v>360</v>
      </c>
      <c r="V7" s="925"/>
      <c r="W7" s="1549" t="str">
        <f t="shared" si="2"/>
        <v>IDR Million</v>
      </c>
      <c r="X7" s="1494"/>
      <c r="Y7" s="1494"/>
      <c r="Z7" s="926">
        <f>+'Sales-AR Schedule'!M10</f>
        <v>47483</v>
      </c>
      <c r="AA7" s="927">
        <f>+MONTH(Z7)*30</f>
        <v>360</v>
      </c>
      <c r="AB7" s="926">
        <f>+'Sales-AR Schedule'!N10</f>
        <v>47848</v>
      </c>
      <c r="AC7" s="927">
        <f>+MONTH(AB7)*30</f>
        <v>360</v>
      </c>
      <c r="AD7" s="926">
        <f>+'Sales-AR Schedule'!O10</f>
        <v>48213</v>
      </c>
      <c r="AE7" s="927">
        <f>+MONTH(AD7)*30</f>
        <v>360</v>
      </c>
      <c r="AF7" s="926">
        <f>+'Sales-AR Schedule'!P10</f>
        <v>48579</v>
      </c>
      <c r="AG7" s="927">
        <f>+MONTH(AF7)*30</f>
        <v>360</v>
      </c>
      <c r="AH7" s="926">
        <f>+'Sales-AR Schedule'!Q10</f>
        <v>48944</v>
      </c>
      <c r="AI7" s="928">
        <f>+MONTH(AH7)*30</f>
        <v>360</v>
      </c>
      <c r="AJ7" s="939"/>
      <c r="AK7" s="939"/>
      <c r="AL7" s="939"/>
      <c r="AM7" s="939"/>
      <c r="AN7" s="939"/>
    </row>
    <row r="8" spans="1:40" ht="15" customHeight="1">
      <c r="A8" s="939"/>
      <c r="B8" s="929" t="s">
        <v>87</v>
      </c>
      <c r="C8" s="930" t="s">
        <v>86</v>
      </c>
      <c r="D8" s="931"/>
      <c r="E8" s="932"/>
      <c r="F8" s="933"/>
      <c r="G8" s="934"/>
      <c r="H8" s="935" t="s">
        <v>650</v>
      </c>
      <c r="I8" s="930" t="s">
        <v>86</v>
      </c>
      <c r="J8" s="1564"/>
      <c r="K8" s="1564"/>
      <c r="L8" s="935" t="s">
        <v>650</v>
      </c>
      <c r="M8" s="936" t="s">
        <v>86</v>
      </c>
      <c r="N8" s="935" t="s">
        <v>650</v>
      </c>
      <c r="O8" s="936" t="s">
        <v>86</v>
      </c>
      <c r="P8" s="935" t="s">
        <v>650</v>
      </c>
      <c r="Q8" s="936" t="s">
        <v>86</v>
      </c>
      <c r="R8" s="935" t="s">
        <v>650</v>
      </c>
      <c r="S8" s="937" t="s">
        <v>86</v>
      </c>
      <c r="T8" s="935" t="s">
        <v>650</v>
      </c>
      <c r="U8" s="930" t="s">
        <v>86</v>
      </c>
      <c r="V8" s="938"/>
      <c r="W8" s="932"/>
      <c r="X8" s="933"/>
      <c r="Y8" s="933"/>
      <c r="Z8" s="929" t="s">
        <v>87</v>
      </c>
      <c r="AA8" s="936" t="s">
        <v>86</v>
      </c>
      <c r="AB8" s="929" t="s">
        <v>87</v>
      </c>
      <c r="AC8" s="936" t="s">
        <v>86</v>
      </c>
      <c r="AD8" s="929" t="s">
        <v>87</v>
      </c>
      <c r="AE8" s="936" t="s">
        <v>86</v>
      </c>
      <c r="AF8" s="929" t="s">
        <v>87</v>
      </c>
      <c r="AG8" s="936" t="s">
        <v>86</v>
      </c>
      <c r="AH8" s="929" t="s">
        <v>87</v>
      </c>
      <c r="AI8" s="930" t="s">
        <v>86</v>
      </c>
      <c r="AJ8" s="939"/>
      <c r="AK8" s="939"/>
      <c r="AL8" s="939"/>
      <c r="AM8" s="939"/>
      <c r="AN8" s="939"/>
    </row>
    <row r="9" spans="1:40" ht="15" customHeight="1">
      <c r="A9" s="939"/>
      <c r="B9" s="939"/>
      <c r="C9" s="939"/>
      <c r="D9" s="952"/>
      <c r="E9" s="953">
        <v>1</v>
      </c>
      <c r="F9" s="954" t="str">
        <f>+Historical!C16</f>
        <v>Cash and Cash Equivalents</v>
      </c>
      <c r="G9" s="955"/>
      <c r="H9" s="956">
        <f>+Historical!K16</f>
        <v>103</v>
      </c>
      <c r="I9" s="957">
        <f t="shared" ref="I9:I66" si="3">IF(H$66=0,0,H9/H$66*100)</f>
        <v>8.3370431826459993E-2</v>
      </c>
      <c r="J9" s="958">
        <f>+CF!T81</f>
        <v>500</v>
      </c>
      <c r="K9" s="955"/>
      <c r="L9" s="959">
        <f>J9</f>
        <v>500</v>
      </c>
      <c r="M9" s="957">
        <f t="shared" ref="M9:M66" si="4">IF(L$66=0,0,L9/L$66*100)</f>
        <v>0.19258842697624615</v>
      </c>
      <c r="N9" s="960">
        <f>+CF!AG81</f>
        <v>500</v>
      </c>
      <c r="O9" s="1399">
        <f t="shared" ref="O9:O66" si="5">IF(N$66=0,0,N9/N$66*100)</f>
        <v>0.19156733057529024</v>
      </c>
      <c r="P9" s="960">
        <f>CF!AT81</f>
        <v>500</v>
      </c>
      <c r="Q9" s="957">
        <f t="shared" ref="Q9:Q66" si="6">IF(P$66=0,0,P9/P$66*100)</f>
        <v>0.19402655296819438</v>
      </c>
      <c r="R9" s="962">
        <f>CF!BG81</f>
        <v>500</v>
      </c>
      <c r="S9" s="957">
        <f t="shared" ref="S9:S66" si="7">IF(R$66=0,0,R9/R$66*100)</f>
        <v>0.19625242448742855</v>
      </c>
      <c r="T9" s="962">
        <f>+CF!BT81</f>
        <v>19821.240488916494</v>
      </c>
      <c r="U9" s="963">
        <f t="shared" ref="U9:U66" si="8">IF(T$66=0,0,T9/T$66*100)</f>
        <v>7.2980518938345229</v>
      </c>
      <c r="V9" s="952"/>
      <c r="W9" s="953">
        <v>1</v>
      </c>
      <c r="X9" s="954" t="str">
        <f t="shared" ref="X9:X66" si="9">+F9</f>
        <v>Cash and Cash Equivalents</v>
      </c>
      <c r="Y9" s="955"/>
      <c r="Z9" s="962">
        <f>+CF!CG81</f>
        <v>71103.486907879706</v>
      </c>
      <c r="AA9" s="957">
        <f t="shared" ref="AA9:AA20" si="10">IF(Z$66=0,0,Z9/Z$66*100)</f>
        <v>24.218400040117835</v>
      </c>
      <c r="AB9" s="962">
        <f>+CF!CT81</f>
        <v>41368.086783928818</v>
      </c>
      <c r="AC9" s="957">
        <f t="shared" ref="AC9:AC66" si="11">IF(AB$66=0,0,AB9/AB$66*100)</f>
        <v>13.670275363988187</v>
      </c>
      <c r="AD9" s="962">
        <f>+CF!DG81</f>
        <v>51083.578568977922</v>
      </c>
      <c r="AE9" s="957">
        <f t="shared" ref="AE9:AE66" si="12">IF(AD$66=0,0,AD9/AD$66*100)</f>
        <v>16.614334046611187</v>
      </c>
      <c r="AF9" s="962">
        <f>+CF!DT81</f>
        <v>60799.070354027026</v>
      </c>
      <c r="AG9" s="957">
        <f t="shared" ref="AG9:AG66" si="13">IF(AF$66=0,0,AF9/AF$66*100)</f>
        <v>19.466890766452831</v>
      </c>
      <c r="AH9" s="962">
        <f>+CF!EG81</f>
        <v>70514.562139076108</v>
      </c>
      <c r="AI9" s="963">
        <f t="shared" ref="AI9:AI66" si="14">IF(AH$66=0,0,AH9/AH$66*100)</f>
        <v>22.232146096526321</v>
      </c>
      <c r="AJ9" s="939"/>
      <c r="AK9" s="939"/>
      <c r="AL9" s="939"/>
      <c r="AM9" s="939"/>
      <c r="AN9" s="939"/>
    </row>
    <row r="10" spans="1:40" ht="15" customHeight="1">
      <c r="A10" s="939"/>
      <c r="B10" s="939"/>
      <c r="C10" s="939"/>
      <c r="D10" s="952"/>
      <c r="E10" s="964">
        <f>+E9+1</f>
        <v>2</v>
      </c>
      <c r="F10" s="965" t="str">
        <f>+Historical!C17</f>
        <v>Restricted Cash</v>
      </c>
      <c r="G10" s="966"/>
      <c r="H10" s="967">
        <f>+Historical!K17</f>
        <v>203</v>
      </c>
      <c r="I10" s="968">
        <f t="shared" si="3"/>
        <v>0.16431259864826581</v>
      </c>
      <c r="J10" s="969">
        <f>H10</f>
        <v>203</v>
      </c>
      <c r="K10" s="966"/>
      <c r="L10" s="970">
        <f>J10</f>
        <v>203</v>
      </c>
      <c r="M10" s="968">
        <f t="shared" si="4"/>
        <v>7.8190901352355929E-2</v>
      </c>
      <c r="N10" s="971">
        <f>L10</f>
        <v>203</v>
      </c>
      <c r="O10" s="1397">
        <f t="shared" si="5"/>
        <v>7.7776336213567845E-2</v>
      </c>
      <c r="P10" s="971">
        <f>N10</f>
        <v>203</v>
      </c>
      <c r="Q10" s="972">
        <f t="shared" si="6"/>
        <v>7.8774780505086919E-2</v>
      </c>
      <c r="R10" s="971">
        <f>P10</f>
        <v>203</v>
      </c>
      <c r="S10" s="972">
        <f t="shared" si="7"/>
        <v>7.9678484341895991E-2</v>
      </c>
      <c r="T10" s="971">
        <f>R10</f>
        <v>203</v>
      </c>
      <c r="U10" s="979">
        <f t="shared" si="8"/>
        <v>7.4743280334892553E-2</v>
      </c>
      <c r="V10" s="952"/>
      <c r="W10" s="964">
        <f t="shared" ref="W10:W13" si="15">+W9+1</f>
        <v>2</v>
      </c>
      <c r="X10" s="965" t="str">
        <f t="shared" si="9"/>
        <v>Restricted Cash</v>
      </c>
      <c r="Y10" s="966"/>
      <c r="Z10" s="973">
        <f>T10</f>
        <v>203</v>
      </c>
      <c r="AA10" s="968">
        <f t="shared" si="10"/>
        <v>6.9143377096448563E-2</v>
      </c>
      <c r="AB10" s="971">
        <f>Z10</f>
        <v>203</v>
      </c>
      <c r="AC10" s="968">
        <f>IF(AB$66=0,0,AB10/AB$66*100)</f>
        <v>6.7082287691576148E-2</v>
      </c>
      <c r="AD10" s="971">
        <f>AB10</f>
        <v>203</v>
      </c>
      <c r="AE10" s="968">
        <f>IF(AD$66=0,0,AD10/AD$66*100)</f>
        <v>6.6023366137278661E-2</v>
      </c>
      <c r="AF10" s="971">
        <f>AD10</f>
        <v>203</v>
      </c>
      <c r="AG10" s="968">
        <f>IF(AF$66=0,0,AF10/AF$66*100)</f>
        <v>6.4997356087504371E-2</v>
      </c>
      <c r="AH10" s="971">
        <f>AF10</f>
        <v>203</v>
      </c>
      <c r="AI10" s="968">
        <f>IF(AH$66=0,0,AH10/AH$66*100)</f>
        <v>6.4002746676545902E-2</v>
      </c>
      <c r="AJ10" s="939"/>
      <c r="AK10" s="939"/>
      <c r="AL10" s="939"/>
      <c r="AM10" s="939"/>
      <c r="AN10" s="939"/>
    </row>
    <row r="11" spans="1:40" ht="15" customHeight="1">
      <c r="A11" s="939"/>
      <c r="B11" s="939"/>
      <c r="C11" s="939"/>
      <c r="D11" s="952"/>
      <c r="E11" s="964">
        <f>+E10+1</f>
        <v>3</v>
      </c>
      <c r="F11" s="965" t="str">
        <f>+Historical!C18</f>
        <v>Short Term Investments</v>
      </c>
      <c r="G11" s="974"/>
      <c r="H11" s="967">
        <f>+Historical!K18</f>
        <v>303</v>
      </c>
      <c r="I11" s="968">
        <f t="shared" si="3"/>
        <v>0.24525476547007161</v>
      </c>
      <c r="J11" s="975">
        <f>+H11</f>
        <v>303</v>
      </c>
      <c r="K11" s="974"/>
      <c r="L11" s="970">
        <f t="shared" ref="L11:L17" si="16">J11</f>
        <v>303</v>
      </c>
      <c r="M11" s="968">
        <f t="shared" si="4"/>
        <v>0.11670858674760518</v>
      </c>
      <c r="N11" s="977">
        <f>L11</f>
        <v>303</v>
      </c>
      <c r="O11" s="1397">
        <f t="shared" si="5"/>
        <v>0.11608980232862588</v>
      </c>
      <c r="P11" s="977">
        <f>N11</f>
        <v>303</v>
      </c>
      <c r="Q11" s="968">
        <f t="shared" si="6"/>
        <v>0.11758009109872579</v>
      </c>
      <c r="R11" s="978">
        <f>P11</f>
        <v>303</v>
      </c>
      <c r="S11" s="968">
        <f t="shared" si="7"/>
        <v>0.1189289692393817</v>
      </c>
      <c r="T11" s="978">
        <f>R11</f>
        <v>303</v>
      </c>
      <c r="U11" s="979">
        <f t="shared" si="8"/>
        <v>0.11156263025355881</v>
      </c>
      <c r="V11" s="952"/>
      <c r="W11" s="964">
        <f t="shared" si="15"/>
        <v>3</v>
      </c>
      <c r="X11" s="965" t="str">
        <f t="shared" si="9"/>
        <v>Short Term Investments</v>
      </c>
      <c r="Y11" s="974"/>
      <c r="Z11" s="978">
        <f>T11</f>
        <v>303</v>
      </c>
      <c r="AA11" s="968">
        <f t="shared" si="10"/>
        <v>0.10320415399125082</v>
      </c>
      <c r="AB11" s="978">
        <f>Z11</f>
        <v>303</v>
      </c>
      <c r="AC11" s="968">
        <f t="shared" si="11"/>
        <v>0.10012774960860875</v>
      </c>
      <c r="AD11" s="978">
        <f>AB11</f>
        <v>303</v>
      </c>
      <c r="AE11" s="968">
        <f t="shared" si="12"/>
        <v>9.8547191820667165E-2</v>
      </c>
      <c r="AF11" s="978">
        <f>AD11</f>
        <v>303</v>
      </c>
      <c r="AG11" s="968">
        <f t="shared" si="13"/>
        <v>9.7015758101053326E-2</v>
      </c>
      <c r="AH11" s="978">
        <f>AF11</f>
        <v>303</v>
      </c>
      <c r="AI11" s="979">
        <f t="shared" si="14"/>
        <v>9.5531193315238475E-2</v>
      </c>
      <c r="AJ11" s="939"/>
      <c r="AK11" s="939"/>
      <c r="AL11" s="939"/>
      <c r="AM11" s="939"/>
      <c r="AN11" s="939"/>
    </row>
    <row r="12" spans="1:40" ht="15" customHeight="1">
      <c r="A12" s="939"/>
      <c r="B12" s="939"/>
      <c r="C12" s="939"/>
      <c r="D12" s="952"/>
      <c r="E12" s="964">
        <f t="shared" ref="E12:E13" si="17">+E11+1</f>
        <v>4</v>
      </c>
      <c r="F12" s="965" t="str">
        <f>+Historical!C19</f>
        <v>Account Receivables</v>
      </c>
      <c r="G12" s="974"/>
      <c r="H12" s="967">
        <f>+Historical!K19</f>
        <v>403</v>
      </c>
      <c r="I12" s="1397">
        <f t="shared" si="3"/>
        <v>0.32619693229187746</v>
      </c>
      <c r="J12" s="975">
        <f>+CF!U11</f>
        <v>16500</v>
      </c>
      <c r="K12" s="974"/>
      <c r="L12" s="970">
        <f t="shared" si="16"/>
        <v>16500</v>
      </c>
      <c r="M12" s="968">
        <f t="shared" si="4"/>
        <v>6.3554180902161219</v>
      </c>
      <c r="N12" s="977">
        <f>CF!AH11</f>
        <v>19662.5</v>
      </c>
      <c r="O12" s="972">
        <f t="shared" si="5"/>
        <v>7.5333852748732886</v>
      </c>
      <c r="P12" s="978">
        <f>CF!AU11</f>
        <v>21628.749999999996</v>
      </c>
      <c r="Q12" s="968">
        <f t="shared" si="6"/>
        <v>8.3931036150216674</v>
      </c>
      <c r="R12" s="978">
        <f>CF!BG11</f>
        <v>23791.625000000007</v>
      </c>
      <c r="S12" s="968">
        <f t="shared" si="7"/>
        <v>9.3383281774914373</v>
      </c>
      <c r="T12" s="978">
        <f>+CF!BU11</f>
        <v>26170.787500000006</v>
      </c>
      <c r="U12" s="979">
        <f t="shared" si="8"/>
        <v>9.6359138260955763</v>
      </c>
      <c r="V12" s="952"/>
      <c r="W12" s="964">
        <f t="shared" si="15"/>
        <v>4</v>
      </c>
      <c r="X12" s="965" t="str">
        <f>+F12</f>
        <v>Account Receivables</v>
      </c>
      <c r="Y12" s="974"/>
      <c r="Z12" s="978">
        <f>CF!CH11</f>
        <v>26170.787500000006</v>
      </c>
      <c r="AA12" s="968">
        <f t="shared" si="10"/>
        <v>8.9139735419877972</v>
      </c>
      <c r="AB12" s="978">
        <f>+CF!CU11</f>
        <v>69788.766666666677</v>
      </c>
      <c r="AC12" s="968">
        <f t="shared" si="11"/>
        <v>23.062020311200072</v>
      </c>
      <c r="AD12" s="978">
        <f>+CF!DH11</f>
        <v>69788.766666666677</v>
      </c>
      <c r="AE12" s="968">
        <f t="shared" si="12"/>
        <v>22.697976817253409</v>
      </c>
      <c r="AF12" s="978">
        <f>+CF!DU11</f>
        <v>69788.766666666677</v>
      </c>
      <c r="AG12" s="968">
        <f t="shared" si="13"/>
        <v>22.345247871630981</v>
      </c>
      <c r="AH12" s="978">
        <f>+CF!EH11</f>
        <v>69788.766666666677</v>
      </c>
      <c r="AI12" s="979">
        <f t="shared" si="14"/>
        <v>22.003314058301665</v>
      </c>
      <c r="AJ12" s="939"/>
      <c r="AK12" s="939"/>
      <c r="AL12" s="939"/>
      <c r="AM12" s="939"/>
      <c r="AN12" s="939"/>
    </row>
    <row r="13" spans="1:40" ht="15" customHeight="1">
      <c r="A13" s="939"/>
      <c r="B13" s="939"/>
      <c r="C13" s="939"/>
      <c r="D13" s="952"/>
      <c r="E13" s="964">
        <f t="shared" si="17"/>
        <v>5</v>
      </c>
      <c r="F13" s="965" t="str">
        <f>+Historical!C20</f>
        <v>Inventories</v>
      </c>
      <c r="G13" s="974"/>
      <c r="H13" s="967">
        <f>+Historical!K20</f>
        <v>503</v>
      </c>
      <c r="I13" s="1397">
        <f t="shared" si="3"/>
        <v>0.40713909911368323</v>
      </c>
      <c r="J13" s="975">
        <f>+'Purchase-Expenses-AP Schedule'!K20</f>
        <v>15840</v>
      </c>
      <c r="K13" s="974"/>
      <c r="L13" s="970">
        <f t="shared" si="16"/>
        <v>15840</v>
      </c>
      <c r="M13" s="968">
        <f t="shared" si="4"/>
        <v>6.1012013666074774</v>
      </c>
      <c r="N13" s="977">
        <f>+'Purchase-Expenses-AP Schedule'!M20</f>
        <v>18876</v>
      </c>
      <c r="O13" s="972">
        <f t="shared" si="5"/>
        <v>7.2320498638783581</v>
      </c>
      <c r="P13" s="978">
        <f>+'Purchase-Expenses-AP Schedule'!O20</f>
        <v>20763.599999999999</v>
      </c>
      <c r="Q13" s="968">
        <f t="shared" si="6"/>
        <v>8.0573794704208019</v>
      </c>
      <c r="R13" s="978">
        <f>+'Purchase-Expenses-AP Schedule'!Q20</f>
        <v>22839.96</v>
      </c>
      <c r="S13" s="968">
        <f t="shared" si="7"/>
        <v>8.9647950503917766</v>
      </c>
      <c r="T13" s="978">
        <f>+'Purchase-Expenses-AP Schedule'!S20</f>
        <v>25123.955999999998</v>
      </c>
      <c r="U13" s="979">
        <f t="shared" si="8"/>
        <v>9.2504772730517502</v>
      </c>
      <c r="V13" s="952"/>
      <c r="W13" s="964">
        <f t="shared" si="15"/>
        <v>5</v>
      </c>
      <c r="X13" s="965" t="str">
        <f t="shared" si="9"/>
        <v>Inventories</v>
      </c>
      <c r="Y13" s="974"/>
      <c r="Z13" s="978">
        <f>+'Purchase-Expenses-AP Schedule'!U20</f>
        <v>3693.2215320000005</v>
      </c>
      <c r="AA13" s="968">
        <f t="shared" si="10"/>
        <v>1.257939946245318</v>
      </c>
      <c r="AB13" s="978">
        <f>+'Purchase-Expenses-AP Schedule'!W20</f>
        <v>3693.2215320000005</v>
      </c>
      <c r="AC13" s="968">
        <f t="shared" si="11"/>
        <v>1.2204421148687077</v>
      </c>
      <c r="AD13" s="978">
        <f>+'Purchase-Expenses-AP Schedule'!Y20</f>
        <v>3693.2215320000005</v>
      </c>
      <c r="AE13" s="968">
        <f t="shared" si="12"/>
        <v>1.2011769331690505</v>
      </c>
      <c r="AF13" s="978">
        <f>+'Purchase-Expenses-AP Schedule'!AA20</f>
        <v>3693.2215320000005</v>
      </c>
      <c r="AG13" s="968">
        <f t="shared" si="13"/>
        <v>1.1825105173667116</v>
      </c>
      <c r="AH13" s="978">
        <f>+'Purchase-Expenses-AP Schedule'!AC20</f>
        <v>3693.2215320000005</v>
      </c>
      <c r="AI13" s="979">
        <f t="shared" si="14"/>
        <v>1.1644153799653243</v>
      </c>
      <c r="AJ13" s="939"/>
      <c r="AK13" s="939"/>
      <c r="AL13" s="939"/>
      <c r="AM13" s="939"/>
      <c r="AN13" s="939"/>
    </row>
    <row r="14" spans="1:40" ht="15" customHeight="1">
      <c r="A14" s="939"/>
      <c r="B14" s="939"/>
      <c r="C14" s="939"/>
      <c r="D14" s="952"/>
      <c r="E14" s="964">
        <f>E13+1</f>
        <v>6</v>
      </c>
      <c r="F14" s="965" t="str">
        <f>+Historical!C21</f>
        <v>Prepaid Taxes</v>
      </c>
      <c r="G14" s="974"/>
      <c r="H14" s="967">
        <f>+Historical!K21</f>
        <v>603</v>
      </c>
      <c r="I14" s="1397">
        <f t="shared" si="3"/>
        <v>0.48808126593548912</v>
      </c>
      <c r="J14" s="975">
        <f>IF(J130&lt;0,-J130+H14+CF!U31,+H14+CF!U31)</f>
        <v>7120</v>
      </c>
      <c r="K14" s="974"/>
      <c r="L14" s="970">
        <f t="shared" si="16"/>
        <v>7120</v>
      </c>
      <c r="M14" s="972">
        <f t="shared" si="4"/>
        <v>2.7424592001417452</v>
      </c>
      <c r="N14" s="978">
        <f>+IF(N130&lt;0,-N130+L14+CF!AH31,L14+CF!AH31)</f>
        <v>9467.3375672744587</v>
      </c>
      <c r="O14" s="972">
        <f t="shared" si="5"/>
        <v>3.6272651708358605</v>
      </c>
      <c r="P14" s="978">
        <f>+IF(P130&lt;0,-P130+N14+CF!AU31,N14+CF!AU31)</f>
        <v>9467.3375672744587</v>
      </c>
      <c r="Q14" s="972">
        <f t="shared" si="6"/>
        <v>3.6738297479291089</v>
      </c>
      <c r="R14" s="978">
        <f>P14+CF!BH31</f>
        <v>9467.3375672744587</v>
      </c>
      <c r="S14" s="972">
        <f t="shared" si="7"/>
        <v>3.7159759020370524</v>
      </c>
      <c r="T14" s="978">
        <f>R14+CF!BU31</f>
        <v>9467.3375672744587</v>
      </c>
      <c r="U14" s="979">
        <f t="shared" si="8"/>
        <v>3.4858121468761305</v>
      </c>
      <c r="V14" s="952"/>
      <c r="W14" s="964">
        <f>W13+1</f>
        <v>6</v>
      </c>
      <c r="X14" s="965" t="str">
        <f t="shared" si="9"/>
        <v>Prepaid Taxes</v>
      </c>
      <c r="Y14" s="974"/>
      <c r="Z14" s="978">
        <f>T14+CF!CH31</f>
        <v>9467.3375672744587</v>
      </c>
      <c r="AA14" s="968">
        <f t="shared" si="10"/>
        <v>3.2246487266671524</v>
      </c>
      <c r="AB14" s="978">
        <f>Z14+CF!CU31</f>
        <v>9467.3375672744587</v>
      </c>
      <c r="AC14" s="968">
        <f t="shared" si="11"/>
        <v>3.1285254303506012</v>
      </c>
      <c r="AD14" s="978">
        <f>AB14+CF!DH31</f>
        <v>9467.3375672744587</v>
      </c>
      <c r="AE14" s="968">
        <f t="shared" si="12"/>
        <v>3.0791403672382986</v>
      </c>
      <c r="AF14" s="978">
        <f>AD14+CF!DU31</f>
        <v>9467.3375672744587</v>
      </c>
      <c r="AG14" s="968">
        <f t="shared" si="13"/>
        <v>3.0312902022696817</v>
      </c>
      <c r="AH14" s="978">
        <f>AF14+CF!EH31</f>
        <v>9467.3375672744587</v>
      </c>
      <c r="AI14" s="979">
        <f t="shared" si="14"/>
        <v>2.9849044730030228</v>
      </c>
      <c r="AJ14" s="939"/>
      <c r="AK14" s="939"/>
      <c r="AL14" s="939"/>
      <c r="AM14" s="939"/>
      <c r="AN14" s="939"/>
    </row>
    <row r="15" spans="1:40" ht="15" customHeight="1">
      <c r="A15" s="939"/>
      <c r="B15" s="939"/>
      <c r="C15" s="939"/>
      <c r="D15" s="952"/>
      <c r="E15" s="964">
        <f t="shared" ref="E15:E17" si="18">+E14+1</f>
        <v>7</v>
      </c>
      <c r="F15" s="965" t="str">
        <f>+Historical!C22</f>
        <v>Prepaid Expenses</v>
      </c>
      <c r="G15" s="974"/>
      <c r="H15" s="967">
        <f>+Historical!K22</f>
        <v>703</v>
      </c>
      <c r="I15" s="1397">
        <f t="shared" si="3"/>
        <v>0.56902343275729494</v>
      </c>
      <c r="J15" s="975">
        <f>H15+CF!U32</f>
        <v>733</v>
      </c>
      <c r="K15" s="974"/>
      <c r="L15" s="970">
        <f t="shared" si="16"/>
        <v>733</v>
      </c>
      <c r="M15" s="972">
        <f t="shared" si="4"/>
        <v>0.28233463394717684</v>
      </c>
      <c r="N15" s="978">
        <f>+L15+CF!AH32</f>
        <v>733</v>
      </c>
      <c r="O15" s="972">
        <f t="shared" si="5"/>
        <v>0.28083770662337548</v>
      </c>
      <c r="P15" s="978">
        <f>+N15+CF!AU32</f>
        <v>733</v>
      </c>
      <c r="Q15" s="972">
        <f t="shared" si="6"/>
        <v>0.284442926651373</v>
      </c>
      <c r="R15" s="978">
        <f>P15+CF!BH32</f>
        <v>733</v>
      </c>
      <c r="S15" s="972">
        <f t="shared" si="7"/>
        <v>0.28770605429857027</v>
      </c>
      <c r="T15" s="978">
        <f>R15+CF!BU32</f>
        <v>733</v>
      </c>
      <c r="U15" s="979">
        <f t="shared" si="8"/>
        <v>0.26988583490382384</v>
      </c>
      <c r="V15" s="952"/>
      <c r="W15" s="964">
        <f t="shared" ref="W15:W17" si="19">+W14+1</f>
        <v>7</v>
      </c>
      <c r="X15" s="965" t="str">
        <f t="shared" si="9"/>
        <v>Prepaid Expenses</v>
      </c>
      <c r="Y15" s="974"/>
      <c r="Z15" s="978">
        <f>T15+CF!CH32</f>
        <v>733</v>
      </c>
      <c r="AA15" s="968">
        <f t="shared" si="10"/>
        <v>0.2496654946389005</v>
      </c>
      <c r="AB15" s="978">
        <f>Z15+CF!CU32</f>
        <v>733</v>
      </c>
      <c r="AC15" s="968">
        <f t="shared" si="11"/>
        <v>0.24222323585184885</v>
      </c>
      <c r="AD15" s="978">
        <f>AB15+CF!DH32</f>
        <v>733</v>
      </c>
      <c r="AE15" s="968">
        <f t="shared" si="12"/>
        <v>0.23839964225923771</v>
      </c>
      <c r="AF15" s="978">
        <f>AD15+CF!DU32</f>
        <v>733</v>
      </c>
      <c r="AG15" s="968">
        <f t="shared" si="13"/>
        <v>0.23469488675931383</v>
      </c>
      <c r="AH15" s="978">
        <f>AF15+CF!EH32</f>
        <v>733</v>
      </c>
      <c r="AI15" s="979">
        <f t="shared" si="14"/>
        <v>0.23110351386161648</v>
      </c>
      <c r="AJ15" s="939"/>
      <c r="AK15" s="939"/>
      <c r="AL15" s="939"/>
      <c r="AM15" s="939"/>
      <c r="AN15" s="939"/>
    </row>
    <row r="16" spans="1:40" ht="15" customHeight="1">
      <c r="A16" s="939"/>
      <c r="B16" s="939"/>
      <c r="C16" s="939"/>
      <c r="D16" s="952"/>
      <c r="E16" s="964">
        <f t="shared" si="18"/>
        <v>8</v>
      </c>
      <c r="F16" s="965" t="str">
        <f>+Historical!C23</f>
        <v>Advance Payments</v>
      </c>
      <c r="G16" s="974"/>
      <c r="H16" s="967">
        <f>+Historical!K23</f>
        <v>803</v>
      </c>
      <c r="I16" s="1397">
        <f t="shared" si="3"/>
        <v>0.64996559957910072</v>
      </c>
      <c r="J16" s="975">
        <f>+H16+CF!U33</f>
        <v>843</v>
      </c>
      <c r="K16" s="974"/>
      <c r="L16" s="970">
        <f t="shared" si="16"/>
        <v>843</v>
      </c>
      <c r="M16" s="972">
        <f t="shared" si="4"/>
        <v>0.32470408788195099</v>
      </c>
      <c r="N16" s="978">
        <f>+L16+CF!AH33</f>
        <v>843</v>
      </c>
      <c r="O16" s="972">
        <f t="shared" si="5"/>
        <v>0.32298251934993938</v>
      </c>
      <c r="P16" s="978">
        <f>+N16+CF!AU33</f>
        <v>843</v>
      </c>
      <c r="Q16" s="972">
        <f t="shared" si="6"/>
        <v>0.32712876830437571</v>
      </c>
      <c r="R16" s="978">
        <f>P16+CF!BH33</f>
        <v>843</v>
      </c>
      <c r="S16" s="972">
        <f t="shared" si="7"/>
        <v>0.33088158768580456</v>
      </c>
      <c r="T16" s="978">
        <f>R16+CF!BU33</f>
        <v>843</v>
      </c>
      <c r="U16" s="979">
        <f t="shared" si="8"/>
        <v>0.31038711981435674</v>
      </c>
      <c r="V16" s="952"/>
      <c r="W16" s="964">
        <f t="shared" si="19"/>
        <v>8</v>
      </c>
      <c r="X16" s="965" t="str">
        <f t="shared" si="9"/>
        <v>Advance Payments</v>
      </c>
      <c r="Y16" s="974"/>
      <c r="Z16" s="978">
        <f>T16+CF!CH33</f>
        <v>843</v>
      </c>
      <c r="AA16" s="968">
        <f t="shared" si="10"/>
        <v>0.28713234922318298</v>
      </c>
      <c r="AB16" s="978">
        <f>Z16+CF!CU33</f>
        <v>843</v>
      </c>
      <c r="AC16" s="968">
        <f t="shared" si="11"/>
        <v>0.27857324396058475</v>
      </c>
      <c r="AD16" s="978">
        <f>AB16+CF!DH33</f>
        <v>843</v>
      </c>
      <c r="AE16" s="968">
        <f t="shared" si="12"/>
        <v>0.27417585051096505</v>
      </c>
      <c r="AF16" s="978">
        <f>AD16+CF!DU33</f>
        <v>843</v>
      </c>
      <c r="AG16" s="968">
        <f t="shared" si="13"/>
        <v>0.26991512897421766</v>
      </c>
      <c r="AH16" s="978">
        <f>AF16+CF!EH33</f>
        <v>843</v>
      </c>
      <c r="AI16" s="979">
        <f t="shared" si="14"/>
        <v>0.26578480516417835</v>
      </c>
      <c r="AJ16" s="939"/>
      <c r="AK16" s="939"/>
      <c r="AL16" s="939"/>
      <c r="AM16" s="939"/>
      <c r="AN16" s="939"/>
    </row>
    <row r="17" spans="1:40" ht="15" customHeight="1">
      <c r="A17" s="939"/>
      <c r="B17" s="939"/>
      <c r="C17" s="939"/>
      <c r="D17" s="952"/>
      <c r="E17" s="964">
        <f t="shared" si="18"/>
        <v>9</v>
      </c>
      <c r="F17" s="965" t="str">
        <f>+Historical!C24</f>
        <v>Other Current Assets</v>
      </c>
      <c r="G17" s="974"/>
      <c r="H17" s="967">
        <f>+Historical!K24</f>
        <v>903</v>
      </c>
      <c r="I17" s="1397">
        <f t="shared" si="3"/>
        <v>0.73090776640090649</v>
      </c>
      <c r="J17" s="975">
        <f>+H17+CF!U34</f>
        <v>953</v>
      </c>
      <c r="K17" s="974"/>
      <c r="L17" s="970">
        <f t="shared" si="16"/>
        <v>953</v>
      </c>
      <c r="M17" s="972">
        <f t="shared" si="4"/>
        <v>0.36707354181672514</v>
      </c>
      <c r="N17" s="978">
        <f>+L17+CF!AH34</f>
        <v>953</v>
      </c>
      <c r="O17" s="972">
        <f t="shared" si="5"/>
        <v>0.36512733207650322</v>
      </c>
      <c r="P17" s="978">
        <f>+N17+CF!AU34</f>
        <v>953</v>
      </c>
      <c r="Q17" s="972">
        <f t="shared" si="6"/>
        <v>0.36981460995737847</v>
      </c>
      <c r="R17" s="978">
        <f>P17+CF!BH34</f>
        <v>953</v>
      </c>
      <c r="S17" s="972">
        <f t="shared" si="7"/>
        <v>0.37405712107303885</v>
      </c>
      <c r="T17" s="978">
        <f>R17+CF!BU34</f>
        <v>953</v>
      </c>
      <c r="U17" s="979">
        <f t="shared" si="8"/>
        <v>0.35088840472488964</v>
      </c>
      <c r="V17" s="952"/>
      <c r="W17" s="964">
        <f t="shared" si="19"/>
        <v>9</v>
      </c>
      <c r="X17" s="965" t="str">
        <f t="shared" si="9"/>
        <v>Other Current Assets</v>
      </c>
      <c r="Y17" s="974"/>
      <c r="Z17" s="978">
        <f>T17+CF!CH34</f>
        <v>953</v>
      </c>
      <c r="AA17" s="968">
        <f t="shared" si="10"/>
        <v>0.32459920380746549</v>
      </c>
      <c r="AB17" s="978">
        <f>Z17+CF!CU34</f>
        <v>953</v>
      </c>
      <c r="AC17" s="968">
        <f t="shared" si="11"/>
        <v>0.31492325206932059</v>
      </c>
      <c r="AD17" s="978">
        <f>AB17+CF!DH34</f>
        <v>953</v>
      </c>
      <c r="AE17" s="968">
        <f t="shared" si="12"/>
        <v>0.30995205876269244</v>
      </c>
      <c r="AF17" s="978">
        <f>AD17+CF!DU34</f>
        <v>953</v>
      </c>
      <c r="AG17" s="968">
        <f t="shared" si="13"/>
        <v>0.30513537118912148</v>
      </c>
      <c r="AH17" s="978">
        <f>AF17+CF!EH34</f>
        <v>953</v>
      </c>
      <c r="AI17" s="979">
        <f t="shared" si="14"/>
        <v>0.30046609646674011</v>
      </c>
      <c r="AJ17" s="939"/>
      <c r="AK17" s="939"/>
      <c r="AL17" s="939"/>
      <c r="AM17" s="939"/>
      <c r="AN17" s="939"/>
    </row>
    <row r="18" spans="1:40" ht="15" customHeight="1">
      <c r="A18" s="939"/>
      <c r="B18" s="939"/>
      <c r="C18" s="939"/>
      <c r="D18" s="980"/>
      <c r="E18" s="981">
        <f>E17+1</f>
        <v>10</v>
      </c>
      <c r="F18" s="982" t="str">
        <f>+Historical!C25</f>
        <v>Total Current Assets</v>
      </c>
      <c r="G18" s="983"/>
      <c r="H18" s="984">
        <f>SUM(H9:H17)</f>
        <v>4527</v>
      </c>
      <c r="I18" s="1398">
        <f t="shared" si="3"/>
        <v>3.6642518920231493</v>
      </c>
      <c r="J18" s="986">
        <f>+SUM(J9:J17)</f>
        <v>42995</v>
      </c>
      <c r="K18" s="983"/>
      <c r="L18" s="987">
        <f>SUM(L9:L17)</f>
        <v>42995</v>
      </c>
      <c r="M18" s="985">
        <f t="shared" si="4"/>
        <v>16.560678835687405</v>
      </c>
      <c r="N18" s="988">
        <f>SUM(N9:N17)</f>
        <v>51540.837567274459</v>
      </c>
      <c r="O18" s="989">
        <f t="shared" si="5"/>
        <v>19.74708133675481</v>
      </c>
      <c r="P18" s="988">
        <f>SUM(P9:P17)</f>
        <v>55394.68756727445</v>
      </c>
      <c r="Q18" s="985">
        <f t="shared" si="6"/>
        <v>21.496080562856708</v>
      </c>
      <c r="R18" s="988">
        <f>SUM(R9:R17)</f>
        <v>59633.922567274465</v>
      </c>
      <c r="S18" s="985">
        <f t="shared" si="7"/>
        <v>23.406603771046388</v>
      </c>
      <c r="T18" s="988">
        <f>SUM(T9:T17)</f>
        <v>83618.32155619096</v>
      </c>
      <c r="U18" s="990">
        <f t="shared" si="8"/>
        <v>30.787722409889501</v>
      </c>
      <c r="V18" s="952"/>
      <c r="W18" s="981">
        <f>W17+1</f>
        <v>10</v>
      </c>
      <c r="X18" s="982" t="str">
        <f t="shared" si="9"/>
        <v>Total Current Assets</v>
      </c>
      <c r="Y18" s="983"/>
      <c r="Z18" s="988">
        <f>SUM(Z9:Z17)</f>
        <v>113469.83350715417</v>
      </c>
      <c r="AA18" s="985">
        <f t="shared" si="10"/>
        <v>38.64870683377535</v>
      </c>
      <c r="AB18" s="988">
        <f>SUM(AB9:AB17)</f>
        <v>127352.41254986994</v>
      </c>
      <c r="AC18" s="985">
        <f t="shared" si="11"/>
        <v>42.084192989589503</v>
      </c>
      <c r="AD18" s="988">
        <f>SUM(AD9:AD17)</f>
        <v>137067.90433491906</v>
      </c>
      <c r="AE18" s="985">
        <f t="shared" si="12"/>
        <v>44.579726273762788</v>
      </c>
      <c r="AF18" s="988">
        <f>SUM(AF9:AF17)</f>
        <v>146783.39611996815</v>
      </c>
      <c r="AG18" s="985">
        <f t="shared" si="13"/>
        <v>46.997697858831415</v>
      </c>
      <c r="AH18" s="988">
        <f>SUM(AH9:AH17)</f>
        <v>156498.88790501724</v>
      </c>
      <c r="AI18" s="990">
        <f t="shared" si="14"/>
        <v>49.341668363280647</v>
      </c>
      <c r="AJ18" s="939"/>
      <c r="AK18" s="939"/>
      <c r="AL18" s="939"/>
      <c r="AM18" s="939"/>
      <c r="AN18" s="939"/>
    </row>
    <row r="19" spans="1:40" ht="15" customHeight="1">
      <c r="A19" s="939"/>
      <c r="B19" s="939"/>
      <c r="C19" s="939"/>
      <c r="D19" s="952"/>
      <c r="E19" s="953">
        <f t="shared" ref="E19:E25" si="20">+E18+1</f>
        <v>11</v>
      </c>
      <c r="F19" s="954" t="str">
        <f>+Historical!C26</f>
        <v>Fixed Assets</v>
      </c>
      <c r="G19" s="955"/>
      <c r="H19" s="956">
        <f>+Historical!K26</f>
        <v>110300</v>
      </c>
      <c r="I19" s="1399">
        <f t="shared" si="3"/>
        <v>89.279210004451812</v>
      </c>
      <c r="J19" s="1396">
        <f>+H19+CF!U61+CF!U62-J79-CF!U41</f>
        <v>208028</v>
      </c>
      <c r="K19" s="955"/>
      <c r="L19" s="959">
        <f>J19</f>
        <v>208028</v>
      </c>
      <c r="M19" s="961">
        <f t="shared" si="4"/>
        <v>80.127570574029065</v>
      </c>
      <c r="N19" s="962">
        <f>+L19+CF!AH61+CF!AH62-Projection!N79-CF!AH41</f>
        <v>201126</v>
      </c>
      <c r="O19" s="961">
        <f t="shared" si="5"/>
        <v>77.058341858571652</v>
      </c>
      <c r="P19" s="962">
        <f>N19-P79+CF!AU61+CF!AU62-CF!AU41</f>
        <v>194224</v>
      </c>
      <c r="Q19" s="961">
        <f t="shared" si="6"/>
        <v>75.369226447389167</v>
      </c>
      <c r="R19" s="962">
        <f>P19-R79+CF!BH61+CF!BH62-CF!BH41</f>
        <v>187322</v>
      </c>
      <c r="S19" s="961">
        <f t="shared" si="7"/>
        <v>73.524793319668177</v>
      </c>
      <c r="T19" s="962">
        <f>R19-T79+CF!BU61+CF!BU62-CF!BU41</f>
        <v>180420</v>
      </c>
      <c r="U19" s="963">
        <f t="shared" si="8"/>
        <v>66.429471123257699</v>
      </c>
      <c r="V19" s="952"/>
      <c r="W19" s="953">
        <f t="shared" ref="W19:W25" si="21">+W18+1</f>
        <v>11</v>
      </c>
      <c r="X19" s="954" t="str">
        <f t="shared" si="9"/>
        <v>Fixed Assets</v>
      </c>
      <c r="Y19" s="955"/>
      <c r="Z19" s="962">
        <f>T19-Z79+CF!CH61-CF!CH41</f>
        <v>175818</v>
      </c>
      <c r="AA19" s="957">
        <f t="shared" si="10"/>
        <v>59.884976720903424</v>
      </c>
      <c r="AB19" s="962">
        <f>Z19-AB79+CF!CU61-CF!CU41</f>
        <v>171216</v>
      </c>
      <c r="AC19" s="957">
        <f t="shared" si="11"/>
        <v>56.579118075866518</v>
      </c>
      <c r="AD19" s="962">
        <f>AB19-AD79+CF!DH61-CF!DH41</f>
        <v>166614</v>
      </c>
      <c r="AE19" s="957">
        <f t="shared" si="12"/>
        <v>54.189246924120916</v>
      </c>
      <c r="AF19" s="962">
        <f>AD19-AF79+CF!DU61-CF!DU41</f>
        <v>162012</v>
      </c>
      <c r="AG19" s="957">
        <f t="shared" si="13"/>
        <v>51.873653470190931</v>
      </c>
      <c r="AH19" s="962">
        <f>AF19-AH79+CF!EH61-CF!EH41</f>
        <v>157410</v>
      </c>
      <c r="AI19" s="963">
        <f t="shared" si="14"/>
        <v>49.628927853965962</v>
      </c>
      <c r="AJ19" s="939"/>
      <c r="AK19" s="939"/>
      <c r="AL19" s="939"/>
      <c r="AM19" s="939"/>
      <c r="AN19" s="939"/>
    </row>
    <row r="20" spans="1:40" ht="15" customHeight="1">
      <c r="A20" s="939"/>
      <c r="B20" s="939"/>
      <c r="C20" s="939"/>
      <c r="D20" s="952"/>
      <c r="E20" s="964">
        <f t="shared" si="20"/>
        <v>12</v>
      </c>
      <c r="F20" s="965" t="str">
        <f>+Historical!C27</f>
        <v>Investment in Associates</v>
      </c>
      <c r="G20" s="974"/>
      <c r="H20" s="967">
        <f>+Historical!K27</f>
        <v>1203</v>
      </c>
      <c r="I20" s="1397">
        <f t="shared" si="3"/>
        <v>0.97373426686632403</v>
      </c>
      <c r="J20" s="975">
        <f>+H20+CF!U63-CF!U42-J82</f>
        <v>1213</v>
      </c>
      <c r="K20" s="974"/>
      <c r="L20" s="970">
        <f>J20</f>
        <v>1213</v>
      </c>
      <c r="M20" s="972">
        <f t="shared" si="4"/>
        <v>0.46721952384437315</v>
      </c>
      <c r="N20" s="978">
        <f>L20+CF!AH63-CF!AH42-N82</f>
        <v>1213</v>
      </c>
      <c r="O20" s="972">
        <f t="shared" si="5"/>
        <v>0.46474234397565417</v>
      </c>
      <c r="P20" s="978">
        <f>N20+CF!AU63-CF!AU42-P82</f>
        <v>1213</v>
      </c>
      <c r="Q20" s="972">
        <f t="shared" si="6"/>
        <v>0.47070841750083958</v>
      </c>
      <c r="R20" s="978">
        <f>P20+CF!BH63-CF!BH42-R82</f>
        <v>1213</v>
      </c>
      <c r="S20" s="972">
        <f t="shared" si="7"/>
        <v>0.47610838180650167</v>
      </c>
      <c r="T20" s="978">
        <f>R20+CF!BU63-CF!BU42-T82</f>
        <v>1213</v>
      </c>
      <c r="U20" s="979">
        <f t="shared" si="8"/>
        <v>0.44661871451342194</v>
      </c>
      <c r="V20" s="952"/>
      <c r="W20" s="964">
        <f>+W19+1</f>
        <v>12</v>
      </c>
      <c r="X20" s="965" t="str">
        <f t="shared" si="9"/>
        <v>Investment in Associates</v>
      </c>
      <c r="Y20" s="974"/>
      <c r="Z20" s="978">
        <f>T20+CF!CH63-CF!CH42-Z80</f>
        <v>953</v>
      </c>
      <c r="AA20" s="968">
        <f t="shared" si="10"/>
        <v>0.32459920380746549</v>
      </c>
      <c r="AB20" s="978">
        <f>Z20+CF!CU63-CF!CU42-AB80</f>
        <v>693</v>
      </c>
      <c r="AC20" s="968">
        <f t="shared" si="11"/>
        <v>0.22900505108503585</v>
      </c>
      <c r="AD20" s="978">
        <f>AB20+CF!DH63-CF!DH42-AD80</f>
        <v>433</v>
      </c>
      <c r="AE20" s="968">
        <f t="shared" si="12"/>
        <v>0.14082816520907221</v>
      </c>
      <c r="AF20" s="978">
        <f>AD20+CF!DU63-CF!DU42-AF80</f>
        <v>173</v>
      </c>
      <c r="AG20" s="968">
        <f t="shared" si="13"/>
        <v>5.5391835483439684E-2</v>
      </c>
      <c r="AH20" s="978">
        <f>AF20+CF!EH63-CF!EH42-AH80</f>
        <v>-87</v>
      </c>
      <c r="AI20" s="979">
        <f t="shared" si="14"/>
        <v>-2.7429748575662532E-2</v>
      </c>
      <c r="AJ20" s="939"/>
      <c r="AK20" s="939"/>
      <c r="AL20" s="939"/>
      <c r="AM20" s="939"/>
      <c r="AN20" s="939"/>
    </row>
    <row r="21" spans="1:40" ht="15" customHeight="1">
      <c r="A21" s="939"/>
      <c r="B21" s="939"/>
      <c r="C21" s="939"/>
      <c r="D21" s="952"/>
      <c r="E21" s="964">
        <f t="shared" si="20"/>
        <v>13</v>
      </c>
      <c r="F21" s="965" t="str">
        <f>+Historical!C28</f>
        <v>Investment in Joint Venture</v>
      </c>
      <c r="G21" s="974"/>
      <c r="H21" s="967">
        <f>+Historical!K28</f>
        <v>1303</v>
      </c>
      <c r="I21" s="1397">
        <f t="shared" ref="I21" si="22">IF(H$66=0,0,H21/H$66*100)</f>
        <v>1.0546764336881298</v>
      </c>
      <c r="J21" s="975">
        <f>H21+CF!U64-CF!U43</f>
        <v>1313</v>
      </c>
      <c r="K21" s="974"/>
      <c r="L21" s="970">
        <f t="shared" ref="L21:L25" si="23">J21</f>
        <v>1313</v>
      </c>
      <c r="M21" s="972">
        <f t="shared" ref="M21" si="24">IF(L$66=0,0,L21/L$66*100)</f>
        <v>0.5057372092396224</v>
      </c>
      <c r="N21" s="978">
        <f>L21+CF!AH64-CF!AH43-N83</f>
        <v>1313</v>
      </c>
      <c r="O21" s="972">
        <f t="shared" ref="O21" si="25">IF(N$66=0,0,N21/N$66*100)</f>
        <v>0.50305581009071221</v>
      </c>
      <c r="P21" s="978">
        <f>N21+CF!AU64-CF!AU43-P83</f>
        <v>1313</v>
      </c>
      <c r="Q21" s="972">
        <f t="shared" ref="Q21" si="26">IF(P$66=0,0,P21/P$66*100)</f>
        <v>0.50951372809447848</v>
      </c>
      <c r="R21" s="978">
        <f>P21+CF!BH64-CF!BH43-R83</f>
        <v>1313</v>
      </c>
      <c r="S21" s="972">
        <f t="shared" ref="S21" si="27">IF(R$66=0,0,R21/R$66*100)</f>
        <v>0.51535886670398734</v>
      </c>
      <c r="T21" s="978">
        <f>R21+CF!BU64-CF!BU43-T83</f>
        <v>1313</v>
      </c>
      <c r="U21" s="979">
        <f t="shared" ref="U21" si="28">IF(T$66=0,0,T21/T$66*100)</f>
        <v>0.48343806443208825</v>
      </c>
      <c r="V21" s="952"/>
      <c r="W21" s="964">
        <f t="shared" si="21"/>
        <v>13</v>
      </c>
      <c r="X21" s="965" t="str">
        <f t="shared" ref="X21:X22" si="29">+F21</f>
        <v>Investment in Joint Venture</v>
      </c>
      <c r="Y21" s="974"/>
      <c r="Z21" s="978"/>
      <c r="AA21" s="968"/>
      <c r="AB21" s="978"/>
      <c r="AC21" s="968"/>
      <c r="AD21" s="978"/>
      <c r="AE21" s="968"/>
      <c r="AF21" s="978"/>
      <c r="AG21" s="968"/>
      <c r="AH21" s="978"/>
      <c r="AI21" s="979"/>
      <c r="AJ21" s="939"/>
      <c r="AK21" s="939"/>
      <c r="AL21" s="939"/>
      <c r="AM21" s="939"/>
      <c r="AN21" s="939"/>
    </row>
    <row r="22" spans="1:40" ht="15" customHeight="1">
      <c r="A22" s="939"/>
      <c r="B22" s="939"/>
      <c r="C22" s="939"/>
      <c r="D22" s="952"/>
      <c r="E22" s="964">
        <f t="shared" si="20"/>
        <v>14</v>
      </c>
      <c r="F22" s="965" t="str">
        <f>+Historical!C29</f>
        <v>Intangible Assets</v>
      </c>
      <c r="G22" s="974"/>
      <c r="H22" s="967">
        <f>Historical!K29</f>
        <v>1403</v>
      </c>
      <c r="I22" s="1397">
        <f t="shared" si="3"/>
        <v>1.1356186005099356</v>
      </c>
      <c r="J22" s="975">
        <f>H22-J80</f>
        <v>1273</v>
      </c>
      <c r="K22" s="974"/>
      <c r="L22" s="970">
        <f t="shared" si="23"/>
        <v>1273</v>
      </c>
      <c r="M22" s="972">
        <f t="shared" si="4"/>
        <v>0.49033013508152273</v>
      </c>
      <c r="N22" s="976">
        <f>L22-N80</f>
        <v>1013</v>
      </c>
      <c r="O22" s="972">
        <f t="shared" ref="O22" si="30">IF(N$66=0,0,N22/N$66*100)</f>
        <v>0.38811541174553804</v>
      </c>
      <c r="P22" s="976">
        <f>N22-P80</f>
        <v>753</v>
      </c>
      <c r="Q22" s="972">
        <f t="shared" ref="Q22" si="31">IF(P$66=0,0,P22/P$66*100)</f>
        <v>0.29220398877010073</v>
      </c>
      <c r="R22" s="976">
        <f>P22-R80</f>
        <v>493</v>
      </c>
      <c r="S22" s="972">
        <f t="shared" ref="S22" si="32">IF(R$66=0,0,R22/R$66*100)</f>
        <v>0.19350489054460457</v>
      </c>
      <c r="T22" s="976">
        <f>R22-T80</f>
        <v>233</v>
      </c>
      <c r="U22" s="979">
        <f t="shared" ref="U22" si="33">IF(T$66=0,0,T22/T$66*100)</f>
        <v>8.5789085310492424E-2</v>
      </c>
      <c r="V22" s="952"/>
      <c r="W22" s="964">
        <f t="shared" si="21"/>
        <v>14</v>
      </c>
      <c r="X22" s="965" t="str">
        <f t="shared" si="29"/>
        <v>Intangible Assets</v>
      </c>
      <c r="Y22" s="974"/>
      <c r="Z22" s="976">
        <f>T22</f>
        <v>233</v>
      </c>
      <c r="AA22" s="972">
        <f t="shared" ref="AA22:AA39" si="34">IF(Z$66=0,0,Z22/Z$66*100)</f>
        <v>7.936161016488924E-2</v>
      </c>
      <c r="AB22" s="978">
        <f>Z22</f>
        <v>233</v>
      </c>
      <c r="AC22" s="968">
        <f t="shared" si="11"/>
        <v>7.6995926266685943E-2</v>
      </c>
      <c r="AD22" s="978">
        <f>AB22</f>
        <v>233</v>
      </c>
      <c r="AE22" s="968">
        <f t="shared" ref="AE22" si="35">IF(AD$66=0,0,AD22/AD$66*100)</f>
        <v>7.5780513842295213E-2</v>
      </c>
      <c r="AF22" s="978">
        <f>AD22</f>
        <v>233</v>
      </c>
      <c r="AG22" s="968">
        <f t="shared" ref="AG22" si="36">IF(AF$66=0,0,AF22/AF$66*100)</f>
        <v>7.4602876691569064E-2</v>
      </c>
      <c r="AH22" s="978">
        <f>AF22</f>
        <v>233</v>
      </c>
      <c r="AI22" s="968">
        <f t="shared" ref="AI22" si="37">IF(AH$66=0,0,AH22/AH$66*100)</f>
        <v>7.3461280668153675E-2</v>
      </c>
      <c r="AJ22" s="939"/>
      <c r="AK22" s="939"/>
      <c r="AL22" s="939"/>
      <c r="AM22" s="939"/>
      <c r="AN22" s="939"/>
    </row>
    <row r="23" spans="1:40" ht="15" customHeight="1">
      <c r="A23" s="939"/>
      <c r="B23" s="939"/>
      <c r="C23" s="939"/>
      <c r="D23" s="952"/>
      <c r="E23" s="964">
        <f t="shared" si="20"/>
        <v>15</v>
      </c>
      <c r="F23" s="965" t="str">
        <f>+Historical!C30</f>
        <v>Deferred Taxes</v>
      </c>
      <c r="G23" s="974"/>
      <c r="H23" s="967">
        <f>+Historical!K30</f>
        <v>1503</v>
      </c>
      <c r="I23" s="1397">
        <f t="shared" si="3"/>
        <v>1.2165607673317413</v>
      </c>
      <c r="J23" s="975">
        <f>+H23+CF!U65-CF!U44</f>
        <v>1463</v>
      </c>
      <c r="K23" s="974"/>
      <c r="L23" s="970">
        <f t="shared" si="23"/>
        <v>1463</v>
      </c>
      <c r="M23" s="972">
        <f t="shared" si="4"/>
        <v>0.56351373733249621</v>
      </c>
      <c r="N23" s="978">
        <f>L23+CF!AH65-CF!AH44</f>
        <v>1463</v>
      </c>
      <c r="O23" s="972">
        <f t="shared" si="5"/>
        <v>0.56052600926329921</v>
      </c>
      <c r="P23" s="978">
        <f>N23+CF!AU65-CF!AU44</f>
        <v>1463</v>
      </c>
      <c r="Q23" s="972">
        <f t="shared" si="6"/>
        <v>0.56772169398493677</v>
      </c>
      <c r="R23" s="978">
        <f>P23+CF!BH65-CF!BH44</f>
        <v>1463</v>
      </c>
      <c r="S23" s="972">
        <f t="shared" si="7"/>
        <v>0.57423459405021604</v>
      </c>
      <c r="T23" s="978">
        <f>R23+CF!BU65-CF!BU44</f>
        <v>1463</v>
      </c>
      <c r="U23" s="979">
        <f t="shared" si="8"/>
        <v>0.53866708931008767</v>
      </c>
      <c r="V23" s="952"/>
      <c r="W23" s="964">
        <f t="shared" si="21"/>
        <v>15</v>
      </c>
      <c r="X23" s="965" t="str">
        <f t="shared" si="9"/>
        <v>Deferred Taxes</v>
      </c>
      <c r="Y23" s="974"/>
      <c r="Z23" s="978">
        <f>T23+CF!CH65-CF!CH44</f>
        <v>1463</v>
      </c>
      <c r="AA23" s="968">
        <f t="shared" si="34"/>
        <v>0.49830916597095692</v>
      </c>
      <c r="AB23" s="978">
        <f>Z23+CF!CU65-CF!CU44</f>
        <v>1463</v>
      </c>
      <c r="AC23" s="968">
        <f t="shared" si="11"/>
        <v>0.48345510784618673</v>
      </c>
      <c r="AD23" s="978">
        <f>AB23+CF!DH65-CF!DH44</f>
        <v>1463</v>
      </c>
      <c r="AE23" s="968">
        <f t="shared" si="12"/>
        <v>0.47582356974797374</v>
      </c>
      <c r="AF23" s="978">
        <f>AD23+CF!DU65-CF!DU44</f>
        <v>1463</v>
      </c>
      <c r="AG23" s="968">
        <f t="shared" si="13"/>
        <v>0.46842922145822119</v>
      </c>
      <c r="AH23" s="978">
        <f>AF23+CF!EH65-CF!EH44</f>
        <v>1463</v>
      </c>
      <c r="AI23" s="979">
        <f t="shared" si="14"/>
        <v>0.46126117432407227</v>
      </c>
      <c r="AJ23" s="939"/>
      <c r="AK23" s="939"/>
      <c r="AL23" s="939"/>
      <c r="AM23" s="939"/>
      <c r="AN23" s="939"/>
    </row>
    <row r="24" spans="1:40" ht="15" customHeight="1">
      <c r="A24" s="939"/>
      <c r="B24" s="939"/>
      <c r="C24" s="939"/>
      <c r="D24" s="952"/>
      <c r="E24" s="964">
        <f t="shared" si="20"/>
        <v>16</v>
      </c>
      <c r="F24" s="965" t="str">
        <f>+Historical!C31</f>
        <v>Other Non-Current Assets</v>
      </c>
      <c r="G24" s="974"/>
      <c r="H24" s="967">
        <f>+Historical!K31</f>
        <v>1603</v>
      </c>
      <c r="I24" s="972">
        <f t="shared" si="3"/>
        <v>1.2975029341535473</v>
      </c>
      <c r="J24" s="991">
        <f>+H24+CF!U66-CF!U45</f>
        <v>1613</v>
      </c>
      <c r="K24" s="974"/>
      <c r="L24" s="970">
        <f t="shared" si="23"/>
        <v>1613</v>
      </c>
      <c r="M24" s="972">
        <f t="shared" si="4"/>
        <v>0.62129026542537014</v>
      </c>
      <c r="N24" s="978">
        <f>L24+CF!AH66-CF!AH45</f>
        <v>1613</v>
      </c>
      <c r="O24" s="972">
        <f t="shared" si="5"/>
        <v>0.61799620843588632</v>
      </c>
      <c r="P24" s="978">
        <f>N24+CF!AU66-CF!AU45</f>
        <v>1613</v>
      </c>
      <c r="Q24" s="972">
        <f t="shared" si="6"/>
        <v>0.62592965987539506</v>
      </c>
      <c r="R24" s="978">
        <f>P24+CF!BH66-CF!BH45</f>
        <v>1613</v>
      </c>
      <c r="S24" s="972">
        <f t="shared" si="7"/>
        <v>0.63311032139644452</v>
      </c>
      <c r="T24" s="978">
        <f>R24+CF!BU66-CF!BU45</f>
        <v>1613</v>
      </c>
      <c r="U24" s="979">
        <f t="shared" si="8"/>
        <v>0.59389611418808708</v>
      </c>
      <c r="V24" s="952"/>
      <c r="W24" s="964">
        <f t="shared" si="21"/>
        <v>16</v>
      </c>
      <c r="X24" s="965" t="str">
        <f t="shared" si="9"/>
        <v>Other Non-Current Assets</v>
      </c>
      <c r="Y24" s="974"/>
      <c r="Z24" s="978">
        <f>T24+CF!CH66-CF!CH45</f>
        <v>1613</v>
      </c>
      <c r="AA24" s="968">
        <f t="shared" si="34"/>
        <v>0.54940033131316035</v>
      </c>
      <c r="AB24" s="978">
        <f>Z24+CF!CU66-CF!CU45</f>
        <v>1613</v>
      </c>
      <c r="AC24" s="968">
        <f t="shared" si="11"/>
        <v>0.53302330072173565</v>
      </c>
      <c r="AD24" s="978">
        <f>AB24+CF!DH66-CF!DH45</f>
        <v>1613</v>
      </c>
      <c r="AE24" s="968">
        <f t="shared" si="12"/>
        <v>0.52460930827305652</v>
      </c>
      <c r="AF24" s="978">
        <f>AD24+CF!DU66-CF!DU45</f>
        <v>1613</v>
      </c>
      <c r="AG24" s="968">
        <f t="shared" si="13"/>
        <v>0.51645682447854457</v>
      </c>
      <c r="AH24" s="978">
        <f>AF24+CF!EH66-CF!EH45</f>
        <v>1613</v>
      </c>
      <c r="AI24" s="979">
        <f t="shared" si="14"/>
        <v>0.50855384428211103</v>
      </c>
      <c r="AJ24" s="939"/>
      <c r="AK24" s="939"/>
      <c r="AL24" s="939"/>
      <c r="AM24" s="939"/>
      <c r="AN24" s="939"/>
    </row>
    <row r="25" spans="1:40" ht="15" customHeight="1">
      <c r="A25" s="939"/>
      <c r="B25" s="939"/>
      <c r="C25" s="939"/>
      <c r="D25" s="952"/>
      <c r="E25" s="964">
        <f t="shared" si="20"/>
        <v>17</v>
      </c>
      <c r="F25" s="965" t="str">
        <f>+Historical!C32</f>
        <v>Investments</v>
      </c>
      <c r="G25" s="974"/>
      <c r="H25" s="967">
        <f>+Historical!K32</f>
        <v>1703</v>
      </c>
      <c r="I25" s="972">
        <f t="shared" si="3"/>
        <v>1.3784451009753531</v>
      </c>
      <c r="J25" s="991">
        <f>+H25+CF!U67-CF!U46</f>
        <v>1713</v>
      </c>
      <c r="K25" s="974"/>
      <c r="L25" s="970">
        <f t="shared" si="23"/>
        <v>1713</v>
      </c>
      <c r="M25" s="972">
        <f t="shared" si="4"/>
        <v>0.65980795082061927</v>
      </c>
      <c r="N25" s="978">
        <f>L25+CF!AH67-CF!AH46</f>
        <v>1713</v>
      </c>
      <c r="O25" s="972">
        <f t="shared" si="5"/>
        <v>0.65630967455094447</v>
      </c>
      <c r="P25" s="978">
        <f>N25+CF!AU67-CF!AU46</f>
        <v>1713</v>
      </c>
      <c r="Q25" s="972">
        <f t="shared" si="6"/>
        <v>0.66473497046903396</v>
      </c>
      <c r="R25" s="978">
        <f>P25+CF!BH67-CF!BH46</f>
        <v>1713</v>
      </c>
      <c r="S25" s="972">
        <f t="shared" si="7"/>
        <v>0.67236080629393025</v>
      </c>
      <c r="T25" s="978">
        <f>R25+CF!BU67-CF!BU46</f>
        <v>1713</v>
      </c>
      <c r="U25" s="979">
        <f t="shared" si="8"/>
        <v>0.63071546410675339</v>
      </c>
      <c r="V25" s="952"/>
      <c r="W25" s="964">
        <f t="shared" si="21"/>
        <v>17</v>
      </c>
      <c r="X25" s="965" t="str">
        <f t="shared" si="9"/>
        <v>Investments</v>
      </c>
      <c r="Y25" s="974"/>
      <c r="Z25" s="978">
        <f>T25+CF!CH67-CF!CH46</f>
        <v>1713</v>
      </c>
      <c r="AA25" s="968">
        <f t="shared" si="34"/>
        <v>0.5834611082079626</v>
      </c>
      <c r="AB25" s="978">
        <f>Z25+CF!CU67-CF!CU46</f>
        <v>1713</v>
      </c>
      <c r="AC25" s="968">
        <f t="shared" si="11"/>
        <v>0.56606876263876826</v>
      </c>
      <c r="AD25" s="978">
        <f>AB25+CF!DH67-CF!DH46</f>
        <v>1713</v>
      </c>
      <c r="AE25" s="968">
        <f t="shared" si="12"/>
        <v>0.55713313395644504</v>
      </c>
      <c r="AF25" s="978">
        <f>AD25+CF!DU67-CF!DU46</f>
        <v>1713</v>
      </c>
      <c r="AG25" s="968">
        <f t="shared" si="13"/>
        <v>0.54847522649209357</v>
      </c>
      <c r="AH25" s="978">
        <f>AF25+CF!EH67-CF!EH46</f>
        <v>1713</v>
      </c>
      <c r="AI25" s="979">
        <f t="shared" si="14"/>
        <v>0.54008229092080362</v>
      </c>
      <c r="AJ25" s="939"/>
      <c r="AK25" s="939"/>
      <c r="AL25" s="939"/>
      <c r="AM25" s="939"/>
      <c r="AN25" s="939"/>
    </row>
    <row r="26" spans="1:40" ht="15" customHeight="1">
      <c r="A26" s="939"/>
      <c r="B26" s="939"/>
      <c r="C26" s="939"/>
      <c r="D26" s="980"/>
      <c r="E26" s="981">
        <f>E25+1</f>
        <v>18</v>
      </c>
      <c r="F26" s="982" t="str">
        <f>+Historical!C33</f>
        <v>Total Non-Current Assets</v>
      </c>
      <c r="G26" s="983"/>
      <c r="H26" s="984">
        <f>SUM(H19:H25)</f>
        <v>119018</v>
      </c>
      <c r="I26" s="992">
        <f t="shared" si="3"/>
        <v>96.335748107976855</v>
      </c>
      <c r="J26" s="988">
        <f>SUM(J19:J25)</f>
        <v>216616</v>
      </c>
      <c r="K26" s="983"/>
      <c r="L26" s="987">
        <f>SUM(L19:L25)</f>
        <v>216616</v>
      </c>
      <c r="M26" s="993">
        <f t="shared" si="4"/>
        <v>83.435469395773069</v>
      </c>
      <c r="N26" s="988">
        <f>SUM(N19:N25)</f>
        <v>209454</v>
      </c>
      <c r="O26" s="992">
        <f t="shared" si="5"/>
        <v>80.249087316633677</v>
      </c>
      <c r="P26" s="988">
        <f>SUM(P19:P25)</f>
        <v>202292</v>
      </c>
      <c r="Q26" s="993">
        <f t="shared" si="6"/>
        <v>78.500038906083958</v>
      </c>
      <c r="R26" s="988">
        <f>SUM(R19:R25)</f>
        <v>195130</v>
      </c>
      <c r="S26" s="993">
        <f t="shared" si="7"/>
        <v>76.589471180463875</v>
      </c>
      <c r="T26" s="988">
        <f>SUM(T19:T25)</f>
        <v>187968</v>
      </c>
      <c r="U26" s="994">
        <f t="shared" si="8"/>
        <v>69.208595655118629</v>
      </c>
      <c r="V26" s="952"/>
      <c r="W26" s="981">
        <f>W25+1</f>
        <v>18</v>
      </c>
      <c r="X26" s="982" t="str">
        <f t="shared" si="9"/>
        <v>Total Non-Current Assets</v>
      </c>
      <c r="Y26" s="983"/>
      <c r="Z26" s="988">
        <f>SUM(Z19:Z25)</f>
        <v>181793</v>
      </c>
      <c r="AA26" s="985">
        <f t="shared" si="34"/>
        <v>61.920108140367859</v>
      </c>
      <c r="AB26" s="988">
        <f>SUM(AB19:AB25)</f>
        <v>176931</v>
      </c>
      <c r="AC26" s="985">
        <f t="shared" si="11"/>
        <v>58.467666224424931</v>
      </c>
      <c r="AD26" s="988">
        <f>SUM(AD19:AD25)</f>
        <v>172069</v>
      </c>
      <c r="AE26" s="985">
        <f t="shared" si="12"/>
        <v>55.96342161514977</v>
      </c>
      <c r="AF26" s="988">
        <f>SUM(AF19:AF25)</f>
        <v>167207</v>
      </c>
      <c r="AG26" s="985">
        <f t="shared" si="13"/>
        <v>53.537009454794791</v>
      </c>
      <c r="AH26" s="988">
        <f>SUM(AH19:AH25)</f>
        <v>162345</v>
      </c>
      <c r="AI26" s="990">
        <f t="shared" si="14"/>
        <v>51.184856695585445</v>
      </c>
      <c r="AJ26" s="939"/>
      <c r="AK26" s="939"/>
      <c r="AL26" s="939"/>
      <c r="AM26" s="939"/>
      <c r="AN26" s="939"/>
    </row>
    <row r="27" spans="1:40" ht="15" customHeight="1" thickBot="1">
      <c r="A27" s="939"/>
      <c r="B27" s="939"/>
      <c r="C27" s="939"/>
      <c r="D27" s="980"/>
      <c r="E27" s="981">
        <f t="shared" ref="E27:E51" si="38">+E26+1</f>
        <v>19</v>
      </c>
      <c r="F27" s="982" t="str">
        <f>+Historical!C34</f>
        <v>TOTAL ASSETS</v>
      </c>
      <c r="G27" s="983"/>
      <c r="H27" s="995">
        <f>H18+H26</f>
        <v>123545</v>
      </c>
      <c r="I27" s="996">
        <f t="shared" si="3"/>
        <v>100</v>
      </c>
      <c r="J27" s="997">
        <f>J18+J26</f>
        <v>259611</v>
      </c>
      <c r="K27" s="983"/>
      <c r="L27" s="984">
        <f>L18+L26</f>
        <v>259611</v>
      </c>
      <c r="M27" s="998">
        <f t="shared" si="4"/>
        <v>99.996148231460481</v>
      </c>
      <c r="N27" s="997">
        <f>N18+N26</f>
        <v>260994.83756727446</v>
      </c>
      <c r="O27" s="996">
        <f t="shared" si="5"/>
        <v>99.996168653388494</v>
      </c>
      <c r="P27" s="997">
        <f>P18+P26</f>
        <v>257686.68756727444</v>
      </c>
      <c r="Q27" s="998">
        <f t="shared" si="6"/>
        <v>99.996119468940663</v>
      </c>
      <c r="R27" s="997">
        <f>R18+R26</f>
        <v>254763.92256727448</v>
      </c>
      <c r="S27" s="998">
        <f t="shared" si="7"/>
        <v>99.996074951510266</v>
      </c>
      <c r="T27" s="997">
        <f>T18+T26</f>
        <v>271586.32155619096</v>
      </c>
      <c r="U27" s="999">
        <f t="shared" si="8"/>
        <v>99.99631806500814</v>
      </c>
      <c r="V27" s="980"/>
      <c r="W27" s="981">
        <f t="shared" ref="W27:W51" si="39">+W26+1</f>
        <v>19</v>
      </c>
      <c r="X27" s="982" t="str">
        <f t="shared" si="9"/>
        <v>TOTAL ASSETS</v>
      </c>
      <c r="Y27" s="983"/>
      <c r="Z27" s="997">
        <f>Z18+Z26</f>
        <v>295262.83350715414</v>
      </c>
      <c r="AA27" s="1000">
        <f t="shared" si="34"/>
        <v>100.56881497414321</v>
      </c>
      <c r="AB27" s="997">
        <f>AB18+AB26</f>
        <v>304283.41254986997</v>
      </c>
      <c r="AC27" s="1000">
        <f t="shared" si="11"/>
        <v>100.55185921401444</v>
      </c>
      <c r="AD27" s="997">
        <f>AD18+AD26</f>
        <v>309136.90433491906</v>
      </c>
      <c r="AE27" s="1000">
        <f t="shared" si="12"/>
        <v>100.54314788891254</v>
      </c>
      <c r="AF27" s="997">
        <f>AF18+AF26</f>
        <v>313990.39611996815</v>
      </c>
      <c r="AG27" s="1000">
        <f t="shared" si="13"/>
        <v>100.53470731362621</v>
      </c>
      <c r="AH27" s="997">
        <f>AH18+AH26</f>
        <v>318843.88790501724</v>
      </c>
      <c r="AI27" s="1001">
        <f t="shared" si="14"/>
        <v>100.5265250588661</v>
      </c>
      <c r="AJ27" s="939"/>
      <c r="AK27" s="939"/>
      <c r="AL27" s="939"/>
      <c r="AM27" s="939"/>
      <c r="AN27" s="939"/>
    </row>
    <row r="28" spans="1:40" ht="15" customHeight="1">
      <c r="A28" s="939"/>
      <c r="B28" s="939"/>
      <c r="C28" s="939"/>
      <c r="D28" s="952"/>
      <c r="E28" s="953">
        <f t="shared" si="38"/>
        <v>20</v>
      </c>
      <c r="F28" s="954" t="str">
        <f>+Historical!C35</f>
        <v>Short-Term Bank Loan - BNI</v>
      </c>
      <c r="G28" s="955"/>
      <c r="H28" s="956">
        <f>+Historical!K35</f>
        <v>2003</v>
      </c>
      <c r="I28" s="1002">
        <f t="shared" si="3"/>
        <v>1.6212716014407706</v>
      </c>
      <c r="J28" s="1003">
        <f>+CF!T96</f>
        <v>67798.131186775427</v>
      </c>
      <c r="K28" s="955"/>
      <c r="L28" s="956">
        <f>J28</f>
        <v>67798.131186775427</v>
      </c>
      <c r="M28" s="1004">
        <f t="shared" si="4"/>
        <v>26.114270874380512</v>
      </c>
      <c r="N28" s="960">
        <f>+CF!AG96</f>
        <v>56744.885347242132</v>
      </c>
      <c r="O28" s="1002">
        <f t="shared" si="5"/>
        <v>21.740932419544155</v>
      </c>
      <c r="P28" s="962">
        <f>+CF!AT96</f>
        <v>35263.996078488395</v>
      </c>
      <c r="Q28" s="1004">
        <f t="shared" si="6"/>
        <v>13.684303205986053</v>
      </c>
      <c r="R28" s="962">
        <f>+CF!BG96</f>
        <v>10102.485424779787</v>
      </c>
      <c r="S28" s="1004">
        <f t="shared" si="7"/>
        <v>3.9652745159238854</v>
      </c>
      <c r="T28" s="962">
        <f>+CF!BT96</f>
        <v>0</v>
      </c>
      <c r="U28" s="1005">
        <f t="shared" si="8"/>
        <v>0</v>
      </c>
      <c r="V28" s="952"/>
      <c r="W28" s="953">
        <f t="shared" si="39"/>
        <v>20</v>
      </c>
      <c r="X28" s="954" t="str">
        <f t="shared" si="9"/>
        <v>Short-Term Bank Loan - BNI</v>
      </c>
      <c r="Y28" s="955"/>
      <c r="Z28" s="962">
        <f>+CF!CG96</f>
        <v>0</v>
      </c>
      <c r="AA28" s="957">
        <f t="shared" si="34"/>
        <v>0</v>
      </c>
      <c r="AB28" s="962">
        <f>+CF!CT96</f>
        <v>0</v>
      </c>
      <c r="AC28" s="957">
        <f t="shared" si="11"/>
        <v>0</v>
      </c>
      <c r="AD28" s="962">
        <f>+CF!DG96</f>
        <v>0</v>
      </c>
      <c r="AE28" s="957">
        <f t="shared" si="12"/>
        <v>0</v>
      </c>
      <c r="AF28" s="962">
        <f>+CF!DT96</f>
        <v>0</v>
      </c>
      <c r="AG28" s="957">
        <f t="shared" si="13"/>
        <v>0</v>
      </c>
      <c r="AH28" s="962">
        <f>+CF!EG96</f>
        <v>0</v>
      </c>
      <c r="AI28" s="963">
        <f t="shared" si="14"/>
        <v>0</v>
      </c>
      <c r="AJ28" s="939"/>
      <c r="AK28" s="939"/>
      <c r="AL28" s="939"/>
      <c r="AM28" s="939"/>
      <c r="AN28" s="939"/>
    </row>
    <row r="29" spans="1:40" ht="15" customHeight="1">
      <c r="A29" s="939"/>
      <c r="B29" s="939"/>
      <c r="C29" s="939"/>
      <c r="D29" s="952"/>
      <c r="E29" s="964">
        <f t="shared" si="38"/>
        <v>21</v>
      </c>
      <c r="F29" s="965" t="str">
        <f>+Historical!C36</f>
        <v>Short-Term Bank Loan - Other Banks</v>
      </c>
      <c r="G29" s="974"/>
      <c r="H29" s="967">
        <f>+Historical!K36</f>
        <v>2103</v>
      </c>
      <c r="I29" s="1006">
        <f t="shared" si="3"/>
        <v>1.7022137682625764</v>
      </c>
      <c r="J29" s="991">
        <f>+CF!T100</f>
        <v>2103</v>
      </c>
      <c r="K29" s="974"/>
      <c r="L29" s="1070">
        <f>J29</f>
        <v>2103</v>
      </c>
      <c r="M29" s="1008">
        <f t="shared" si="4"/>
        <v>0.8100269238620913</v>
      </c>
      <c r="N29" s="977">
        <f>+CF!AG100</f>
        <v>2103</v>
      </c>
      <c r="O29" s="1006">
        <f t="shared" si="5"/>
        <v>0.80573219239967087</v>
      </c>
      <c r="P29" s="978">
        <f>+CF!AT100</f>
        <v>2103</v>
      </c>
      <c r="Q29" s="1008">
        <f t="shared" si="6"/>
        <v>0.81607568178422552</v>
      </c>
      <c r="R29" s="978">
        <f>+CF!BG100</f>
        <v>2103</v>
      </c>
      <c r="S29" s="1008">
        <f t="shared" si="7"/>
        <v>0.82543769739412443</v>
      </c>
      <c r="T29" s="978">
        <f>+CF!BT100</f>
        <v>2103</v>
      </c>
      <c r="U29" s="1009">
        <f t="shared" si="8"/>
        <v>0.77431092878955177</v>
      </c>
      <c r="V29" s="1010"/>
      <c r="W29" s="964">
        <f t="shared" si="39"/>
        <v>21</v>
      </c>
      <c r="X29" s="965" t="str">
        <f t="shared" si="9"/>
        <v>Short-Term Bank Loan - Other Banks</v>
      </c>
      <c r="Y29" s="974"/>
      <c r="Z29" s="978">
        <f>+CF!CG100</f>
        <v>2103</v>
      </c>
      <c r="AA29" s="968">
        <f t="shared" si="34"/>
        <v>0.71629813809769138</v>
      </c>
      <c r="AB29" s="978">
        <f>+CF!CT100</f>
        <v>2103</v>
      </c>
      <c r="AC29" s="968">
        <f t="shared" si="11"/>
        <v>0.69494606411519533</v>
      </c>
      <c r="AD29" s="978">
        <f>+CF!DG100</f>
        <v>2103</v>
      </c>
      <c r="AE29" s="968">
        <f t="shared" si="12"/>
        <v>0.68397605412166018</v>
      </c>
      <c r="AF29" s="978">
        <f>+CF!DT100</f>
        <v>2103</v>
      </c>
      <c r="AG29" s="968">
        <f t="shared" si="13"/>
        <v>0.67334699434493439</v>
      </c>
      <c r="AH29" s="978">
        <f>+CF!EG100</f>
        <v>2103</v>
      </c>
      <c r="AI29" s="979">
        <f t="shared" si="14"/>
        <v>0.66304323281170463</v>
      </c>
      <c r="AJ29" s="939"/>
      <c r="AK29" s="939"/>
      <c r="AL29" s="939"/>
      <c r="AM29" s="939"/>
      <c r="AN29" s="939"/>
    </row>
    <row r="30" spans="1:40" ht="15" customHeight="1">
      <c r="A30" s="939"/>
      <c r="B30" s="939"/>
      <c r="C30" s="939"/>
      <c r="D30" s="952"/>
      <c r="E30" s="964">
        <f t="shared" si="38"/>
        <v>22</v>
      </c>
      <c r="F30" s="965" t="str">
        <f>+Historical!C37</f>
        <v>LC / TR - BNI</v>
      </c>
      <c r="G30" s="974"/>
      <c r="H30" s="967">
        <f>+Historical!K37</f>
        <v>2203</v>
      </c>
      <c r="I30" s="1008">
        <f t="shared" si="3"/>
        <v>1.7831559350843822</v>
      </c>
      <c r="J30" s="975">
        <f>+CF!T99</f>
        <v>0</v>
      </c>
      <c r="K30" s="974"/>
      <c r="L30" s="1070">
        <f t="shared" ref="L30:L42" si="40">J30</f>
        <v>0</v>
      </c>
      <c r="M30" s="1008">
        <f t="shared" si="4"/>
        <v>0</v>
      </c>
      <c r="N30" s="977">
        <f>+CF!AG99</f>
        <v>0</v>
      </c>
      <c r="O30" s="1006">
        <f t="shared" si="5"/>
        <v>0</v>
      </c>
      <c r="P30" s="978">
        <f>+CF!AT99</f>
        <v>0</v>
      </c>
      <c r="Q30" s="1008">
        <f t="shared" si="6"/>
        <v>0</v>
      </c>
      <c r="R30" s="978">
        <f>+CF!BG99</f>
        <v>0</v>
      </c>
      <c r="S30" s="1008">
        <f t="shared" si="7"/>
        <v>0</v>
      </c>
      <c r="T30" s="978">
        <f>+CF!BT99</f>
        <v>0</v>
      </c>
      <c r="U30" s="1009">
        <f t="shared" si="8"/>
        <v>0</v>
      </c>
      <c r="V30" s="1010"/>
      <c r="W30" s="964">
        <f t="shared" si="39"/>
        <v>22</v>
      </c>
      <c r="X30" s="965" t="str">
        <f t="shared" si="9"/>
        <v>LC / TR - BNI</v>
      </c>
      <c r="Y30" s="974"/>
      <c r="Z30" s="978">
        <f>+CF!CG101</f>
        <v>2303</v>
      </c>
      <c r="AA30" s="968">
        <f t="shared" si="34"/>
        <v>0.78441969188729577</v>
      </c>
      <c r="AB30" s="978">
        <f>+CF!CT101</f>
        <v>2303</v>
      </c>
      <c r="AC30" s="968">
        <f t="shared" si="11"/>
        <v>0.76103698794926056</v>
      </c>
      <c r="AD30" s="978">
        <f>+CF!DG101</f>
        <v>2303</v>
      </c>
      <c r="AE30" s="968">
        <f t="shared" si="12"/>
        <v>0.74902370548843722</v>
      </c>
      <c r="AF30" s="978">
        <f>+CF!DT101</f>
        <v>2303</v>
      </c>
      <c r="AG30" s="968">
        <f t="shared" si="13"/>
        <v>0.73738379837203238</v>
      </c>
      <c r="AH30" s="978">
        <f>+CF!EG101</f>
        <v>2303</v>
      </c>
      <c r="AI30" s="979">
        <f t="shared" si="14"/>
        <v>0.72610012608908969</v>
      </c>
      <c r="AJ30" s="939"/>
      <c r="AK30" s="939"/>
      <c r="AL30" s="939"/>
      <c r="AM30" s="939"/>
      <c r="AN30" s="939"/>
    </row>
    <row r="31" spans="1:40" ht="15" customHeight="1">
      <c r="A31" s="939"/>
      <c r="B31" s="939"/>
      <c r="C31" s="939"/>
      <c r="D31" s="952"/>
      <c r="E31" s="964">
        <f t="shared" si="38"/>
        <v>23</v>
      </c>
      <c r="F31" s="965" t="str">
        <f>+Historical!C38</f>
        <v>LC / TR - Other Banks</v>
      </c>
      <c r="G31" s="974"/>
      <c r="H31" s="967">
        <f>+Historical!K38</f>
        <v>2303</v>
      </c>
      <c r="I31" s="1008">
        <f t="shared" si="3"/>
        <v>1.8640981019061882</v>
      </c>
      <c r="J31" s="975">
        <f>+CF!T101</f>
        <v>2303</v>
      </c>
      <c r="K31" s="974"/>
      <c r="L31" s="1070">
        <f t="shared" si="40"/>
        <v>2303</v>
      </c>
      <c r="M31" s="1008">
        <f t="shared" si="4"/>
        <v>0.88706229465258979</v>
      </c>
      <c r="N31" s="978">
        <f>+CF!AG101</f>
        <v>2303</v>
      </c>
      <c r="O31" s="1006">
        <f t="shared" si="5"/>
        <v>0.88235912462978683</v>
      </c>
      <c r="P31" s="978">
        <f>+CF!AT101</f>
        <v>2303</v>
      </c>
      <c r="Q31" s="1008">
        <f t="shared" si="6"/>
        <v>0.8936863029715032</v>
      </c>
      <c r="R31" s="978">
        <f>+CF!BG101</f>
        <v>2303</v>
      </c>
      <c r="S31" s="1008">
        <f t="shared" si="7"/>
        <v>0.90393866718909599</v>
      </c>
      <c r="T31" s="978">
        <f>+CF!BT101</f>
        <v>2303</v>
      </c>
      <c r="U31" s="1009">
        <f t="shared" si="8"/>
        <v>0.84794962862688428</v>
      </c>
      <c r="V31" s="1010"/>
      <c r="W31" s="964">
        <f t="shared" si="39"/>
        <v>23</v>
      </c>
      <c r="X31" s="965" t="str">
        <f t="shared" si="9"/>
        <v>LC / TR - Other Banks</v>
      </c>
      <c r="Y31" s="974"/>
      <c r="Z31" s="978">
        <f>+CF!CG99</f>
        <v>0</v>
      </c>
      <c r="AA31" s="968">
        <f t="shared" si="34"/>
        <v>0</v>
      </c>
      <c r="AB31" s="978">
        <f>+CF!CT99</f>
        <v>0</v>
      </c>
      <c r="AC31" s="968">
        <f t="shared" si="11"/>
        <v>0</v>
      </c>
      <c r="AD31" s="978">
        <f>+CF!DG99</f>
        <v>0</v>
      </c>
      <c r="AE31" s="968">
        <f t="shared" si="12"/>
        <v>0</v>
      </c>
      <c r="AF31" s="978">
        <f>+CF!DT99</f>
        <v>0</v>
      </c>
      <c r="AG31" s="968">
        <f t="shared" si="13"/>
        <v>0</v>
      </c>
      <c r="AH31" s="978">
        <f>+CF!EG99</f>
        <v>0</v>
      </c>
      <c r="AI31" s="979">
        <f t="shared" si="14"/>
        <v>0</v>
      </c>
      <c r="AJ31" s="939"/>
      <c r="AK31" s="939"/>
      <c r="AL31" s="939"/>
      <c r="AM31" s="939"/>
      <c r="AN31" s="939"/>
    </row>
    <row r="32" spans="1:40" ht="15" customHeight="1">
      <c r="A32" s="939"/>
      <c r="B32" s="939"/>
      <c r="C32" s="939"/>
      <c r="D32" s="952"/>
      <c r="E32" s="964">
        <f t="shared" si="38"/>
        <v>24</v>
      </c>
      <c r="F32" s="965" t="str">
        <f>+Historical!C39</f>
        <v>Account Payables</v>
      </c>
      <c r="G32" s="974"/>
      <c r="H32" s="967">
        <f>+Historical!K39</f>
        <v>2403</v>
      </c>
      <c r="I32" s="1008">
        <f t="shared" si="3"/>
        <v>1.945040268727994</v>
      </c>
      <c r="J32" s="975">
        <f>+CF!U18</f>
        <v>1533.0277777777778</v>
      </c>
      <c r="K32" s="974"/>
      <c r="L32" s="1070">
        <f t="shared" si="40"/>
        <v>1533.0277777777778</v>
      </c>
      <c r="M32" s="1008">
        <f t="shared" si="4"/>
        <v>0.59048681646622492</v>
      </c>
      <c r="N32" s="977">
        <f>CF!AH18</f>
        <v>1615.1666666666665</v>
      </c>
      <c r="O32" s="1006">
        <f t="shared" si="5"/>
        <v>0.6188263335350459</v>
      </c>
      <c r="P32" s="978">
        <f>CF!AU18</f>
        <v>1756.5166666666662</v>
      </c>
      <c r="Q32" s="1008">
        <f t="shared" si="6"/>
        <v>0.68162174812903231</v>
      </c>
      <c r="R32" s="978">
        <f>CF!BH18</f>
        <v>1932.1683333333331</v>
      </c>
      <c r="S32" s="1008">
        <f t="shared" si="7"/>
        <v>0.75838543986900131</v>
      </c>
      <c r="T32" s="978">
        <f>+CF!BU18</f>
        <v>2125.3851666666669</v>
      </c>
      <c r="U32" s="1009">
        <f t="shared" si="8"/>
        <v>0.78255300163442865</v>
      </c>
      <c r="V32" s="952"/>
      <c r="W32" s="964">
        <f t="shared" si="39"/>
        <v>24</v>
      </c>
      <c r="X32" s="965" t="str">
        <f t="shared" si="9"/>
        <v>Account Payables</v>
      </c>
      <c r="Y32" s="974"/>
      <c r="Z32" s="978">
        <f>CF!CH18</f>
        <v>32765.128062333337</v>
      </c>
      <c r="AA32" s="968">
        <f t="shared" si="34"/>
        <v>11.160057168607603</v>
      </c>
      <c r="AB32" s="978">
        <f>CF!CU18</f>
        <v>36932.215320000003</v>
      </c>
      <c r="AC32" s="968">
        <f t="shared" si="11"/>
        <v>12.204421148687077</v>
      </c>
      <c r="AD32" s="978">
        <f>CF!DH18</f>
        <v>36932.215320000003</v>
      </c>
      <c r="AE32" s="968">
        <f t="shared" si="12"/>
        <v>12.011769331690504</v>
      </c>
      <c r="AF32" s="978">
        <f>CF!DU18</f>
        <v>36932.215320000003</v>
      </c>
      <c r="AG32" s="968">
        <f t="shared" si="13"/>
        <v>11.825105173667115</v>
      </c>
      <c r="AH32" s="978">
        <f>CF!EH18</f>
        <v>36932.215320000003</v>
      </c>
      <c r="AI32" s="979">
        <f t="shared" si="14"/>
        <v>11.644153799653241</v>
      </c>
      <c r="AJ32" s="939"/>
      <c r="AK32" s="939"/>
      <c r="AL32" s="939"/>
      <c r="AM32" s="939"/>
      <c r="AN32" s="939"/>
    </row>
    <row r="33" spans="1:40" ht="15" customHeight="1">
      <c r="A33" s="939"/>
      <c r="B33" s="939"/>
      <c r="C33" s="939"/>
      <c r="D33" s="952"/>
      <c r="E33" s="964">
        <f t="shared" si="38"/>
        <v>25</v>
      </c>
      <c r="F33" s="965" t="str">
        <f>+Historical!C40</f>
        <v>Tax Payables</v>
      </c>
      <c r="G33" s="974"/>
      <c r="H33" s="967">
        <f>+Historical!K40</f>
        <v>2503</v>
      </c>
      <c r="I33" s="1008">
        <f t="shared" si="3"/>
        <v>2.0259824355497997</v>
      </c>
      <c r="J33" s="975">
        <f>+IF(J130&lt;0,0,J130)</f>
        <v>0</v>
      </c>
      <c r="K33" s="974"/>
      <c r="L33" s="1070">
        <f t="shared" si="40"/>
        <v>0</v>
      </c>
      <c r="M33" s="1008">
        <f t="shared" si="4"/>
        <v>0</v>
      </c>
      <c r="N33" s="1394">
        <f>+IF((L33-CF!AH30+N89)&lt;0,0,(L33-CF!AH30+N89))</f>
        <v>0</v>
      </c>
      <c r="O33" s="1006">
        <f t="shared" si="5"/>
        <v>0</v>
      </c>
      <c r="P33" s="978">
        <f>N33-CF!AU30+P89</f>
        <v>1986.7556627921895</v>
      </c>
      <c r="Q33" s="1008">
        <f t="shared" si="6"/>
        <v>0.77096670568321779</v>
      </c>
      <c r="R33" s="978">
        <f>P33-CF!BH30+R89</f>
        <v>4093.2167961703544</v>
      </c>
      <c r="S33" s="1008">
        <f t="shared" si="7"/>
        <v>1.6066074404021933</v>
      </c>
      <c r="T33" s="978">
        <f>+R33+T89-CF!BU30</f>
        <v>6464.4789505150566</v>
      </c>
      <c r="U33" s="1009">
        <f t="shared" si="8"/>
        <v>2.3801791252086644</v>
      </c>
      <c r="V33" s="952"/>
      <c r="W33" s="964">
        <f t="shared" si="39"/>
        <v>25</v>
      </c>
      <c r="X33" s="965" t="str">
        <f t="shared" si="9"/>
        <v>Tax Payables</v>
      </c>
      <c r="Y33" s="974"/>
      <c r="Z33" s="978">
        <f>+T33+Z89-CF!CH30</f>
        <v>-4039.2437792375404</v>
      </c>
      <c r="AA33" s="968">
        <f t="shared" si="34"/>
        <v>-1.3757978118832774</v>
      </c>
      <c r="AB33" s="978">
        <f>+Z33+AB89-CF!CU30</f>
        <v>-4039.2437792375395</v>
      </c>
      <c r="AC33" s="968">
        <f t="shared" si="11"/>
        <v>-1.334786764804049</v>
      </c>
      <c r="AD33" s="978">
        <f>+AB33+AD89-CF!DH30</f>
        <v>-4039.2437792375385</v>
      </c>
      <c r="AE33" s="968">
        <f t="shared" si="12"/>
        <v>-1.313716605686331</v>
      </c>
      <c r="AF33" s="978">
        <f>+AD33+AF89-CF!DU30</f>
        <v>-4039.2437792375376</v>
      </c>
      <c r="AG33" s="968">
        <f t="shared" si="13"/>
        <v>-1.2933013115435426</v>
      </c>
      <c r="AH33" s="978">
        <f>+AF33+AH89-CF!EH30</f>
        <v>-4039.2437792375367</v>
      </c>
      <c r="AI33" s="979">
        <f t="shared" si="14"/>
        <v>-1.2735108195436156</v>
      </c>
      <c r="AJ33" s="939"/>
      <c r="AK33" s="939"/>
      <c r="AL33" s="939"/>
      <c r="AM33" s="939"/>
      <c r="AN33" s="939"/>
    </row>
    <row r="34" spans="1:40" ht="15" customHeight="1">
      <c r="A34" s="939"/>
      <c r="B34" s="939"/>
      <c r="C34" s="939"/>
      <c r="D34" s="952"/>
      <c r="E34" s="964">
        <f t="shared" si="38"/>
        <v>26</v>
      </c>
      <c r="F34" s="965" t="str">
        <f>+Historical!C41</f>
        <v>Shareholder &amp; Related Parties Loans- Short Term</v>
      </c>
      <c r="G34" s="974"/>
      <c r="H34" s="967">
        <f>+Historical!K41</f>
        <v>2603</v>
      </c>
      <c r="I34" s="1008">
        <f t="shared" si="3"/>
        <v>2.1069246023716053</v>
      </c>
      <c r="J34" s="975">
        <f>+H34+CF!U35</f>
        <v>2593</v>
      </c>
      <c r="K34" s="974"/>
      <c r="L34" s="1070">
        <f t="shared" si="40"/>
        <v>2593</v>
      </c>
      <c r="M34" s="1008">
        <f t="shared" si="4"/>
        <v>0.99876358229881257</v>
      </c>
      <c r="N34" s="977">
        <f>L34+CF!AH35</f>
        <v>2593</v>
      </c>
      <c r="O34" s="1006">
        <f t="shared" si="5"/>
        <v>0.99346817636345519</v>
      </c>
      <c r="P34" s="978">
        <f>N34+CF!AU35</f>
        <v>2593</v>
      </c>
      <c r="Q34" s="1008">
        <f t="shared" si="6"/>
        <v>1.0062217036930561</v>
      </c>
      <c r="R34" s="978">
        <f>P34+CF!BH35</f>
        <v>2593</v>
      </c>
      <c r="S34" s="1008">
        <f t="shared" si="7"/>
        <v>1.0177650733918044</v>
      </c>
      <c r="T34" s="978">
        <f>R34+CF!BU35</f>
        <v>2593</v>
      </c>
      <c r="U34" s="1009">
        <f t="shared" si="8"/>
        <v>0.95472574339101668</v>
      </c>
      <c r="V34" s="952"/>
      <c r="W34" s="964">
        <f t="shared" si="39"/>
        <v>26</v>
      </c>
      <c r="X34" s="965" t="str">
        <f t="shared" si="9"/>
        <v>Shareholder &amp; Related Parties Loans- Short Term</v>
      </c>
      <c r="Y34" s="974"/>
      <c r="Z34" s="978">
        <f>T34+CF!CH35</f>
        <v>2593</v>
      </c>
      <c r="AA34" s="968">
        <f t="shared" si="34"/>
        <v>0.88319594488222242</v>
      </c>
      <c r="AB34" s="978">
        <f>Z34+CF!CU35</f>
        <v>2593</v>
      </c>
      <c r="AC34" s="968">
        <f t="shared" si="11"/>
        <v>0.85686882750865501</v>
      </c>
      <c r="AD34" s="978">
        <f>AB34+CF!DH35</f>
        <v>2593</v>
      </c>
      <c r="AE34" s="968">
        <f t="shared" si="12"/>
        <v>0.84334279997026385</v>
      </c>
      <c r="AF34" s="978">
        <f>AD34+CF!DU35</f>
        <v>2593</v>
      </c>
      <c r="AG34" s="968">
        <f t="shared" si="13"/>
        <v>0.83023716421132443</v>
      </c>
      <c r="AH34" s="978">
        <f>AF34+CF!EH35</f>
        <v>2593</v>
      </c>
      <c r="AI34" s="979">
        <f t="shared" si="14"/>
        <v>0.81753262134129823</v>
      </c>
      <c r="AJ34" s="939"/>
      <c r="AK34" s="939"/>
      <c r="AL34" s="939"/>
      <c r="AM34" s="939"/>
      <c r="AN34" s="939"/>
    </row>
    <row r="35" spans="1:40" ht="15" customHeight="1">
      <c r="A35" s="939"/>
      <c r="B35" s="939"/>
      <c r="C35" s="939"/>
      <c r="D35" s="952"/>
      <c r="E35" s="964">
        <f t="shared" si="38"/>
        <v>27</v>
      </c>
      <c r="F35" s="965" t="str">
        <f>+Historical!C42</f>
        <v>Accrued Expenses</v>
      </c>
      <c r="G35" s="974"/>
      <c r="H35" s="967">
        <f>+Historical!K42</f>
        <v>2703</v>
      </c>
      <c r="I35" s="1006">
        <f t="shared" si="3"/>
        <v>2.1878667691934113</v>
      </c>
      <c r="J35" s="991">
        <f>+H35+CF!U36</f>
        <v>2683</v>
      </c>
      <c r="K35" s="974"/>
      <c r="L35" s="1070">
        <f t="shared" si="40"/>
        <v>2683</v>
      </c>
      <c r="M35" s="1008">
        <f t="shared" si="4"/>
        <v>1.0334294991545367</v>
      </c>
      <c r="N35" s="977">
        <f>L35+CF!AH36</f>
        <v>2683</v>
      </c>
      <c r="O35" s="1006">
        <f t="shared" si="5"/>
        <v>1.0279502958670075</v>
      </c>
      <c r="P35" s="978">
        <f>N35+CF!AU36</f>
        <v>2683</v>
      </c>
      <c r="Q35" s="1008">
        <f t="shared" si="6"/>
        <v>1.0411464832273309</v>
      </c>
      <c r="R35" s="978">
        <f>P35+CF!BH36</f>
        <v>2683</v>
      </c>
      <c r="S35" s="1008">
        <f t="shared" si="7"/>
        <v>1.0530905097995416</v>
      </c>
      <c r="T35" s="978">
        <f>R35+CF!BU36</f>
        <v>2683</v>
      </c>
      <c r="U35" s="1009">
        <f t="shared" si="8"/>
        <v>0.98786315831781624</v>
      </c>
      <c r="V35" s="952"/>
      <c r="W35" s="964">
        <f t="shared" si="39"/>
        <v>27</v>
      </c>
      <c r="X35" s="965" t="str">
        <f t="shared" si="9"/>
        <v>Accrued Expenses</v>
      </c>
      <c r="Y35" s="974"/>
      <c r="Z35" s="978">
        <f>T35+CF!CH36</f>
        <v>2683</v>
      </c>
      <c r="AA35" s="968">
        <f t="shared" si="34"/>
        <v>0.91385064408754446</v>
      </c>
      <c r="AB35" s="978">
        <f>Z35+CF!CU36</f>
        <v>2683</v>
      </c>
      <c r="AC35" s="968">
        <f t="shared" si="11"/>
        <v>0.88660974323398445</v>
      </c>
      <c r="AD35" s="978">
        <f>AB35+CF!DH36</f>
        <v>2683</v>
      </c>
      <c r="AE35" s="968">
        <f t="shared" si="12"/>
        <v>0.87261424308531355</v>
      </c>
      <c r="AF35" s="978">
        <f>AD35+CF!DU36</f>
        <v>2683</v>
      </c>
      <c r="AG35" s="968">
        <f t="shared" si="13"/>
        <v>0.85905372602351826</v>
      </c>
      <c r="AH35" s="978">
        <f>AF35+CF!EH36</f>
        <v>2683</v>
      </c>
      <c r="AI35" s="979">
        <f t="shared" si="14"/>
        <v>0.84590822331612137</v>
      </c>
      <c r="AJ35" s="939"/>
      <c r="AK35" s="939"/>
      <c r="AL35" s="939"/>
      <c r="AM35" s="939"/>
      <c r="AN35" s="939"/>
    </row>
    <row r="36" spans="1:40" ht="15" customHeight="1">
      <c r="A36" s="939"/>
      <c r="B36" s="939"/>
      <c r="C36" s="939"/>
      <c r="D36" s="952"/>
      <c r="E36" s="964">
        <f t="shared" si="38"/>
        <v>28</v>
      </c>
      <c r="F36" s="965" t="str">
        <f>+Historical!C43</f>
        <v>Customer Advances</v>
      </c>
      <c r="G36" s="974"/>
      <c r="H36" s="967">
        <f>+Historical!K43</f>
        <v>2803</v>
      </c>
      <c r="I36" s="1006">
        <f t="shared" si="3"/>
        <v>2.2688089360152168</v>
      </c>
      <c r="J36" s="991">
        <f>+H36+CF!U37</f>
        <v>2773</v>
      </c>
      <c r="K36" s="974"/>
      <c r="L36" s="1070">
        <f t="shared" si="40"/>
        <v>2773</v>
      </c>
      <c r="M36" s="1008">
        <f t="shared" si="4"/>
        <v>1.0680954160102611</v>
      </c>
      <c r="N36" s="977">
        <f>L36+CF!AH37</f>
        <v>2773</v>
      </c>
      <c r="O36" s="1006">
        <f t="shared" si="5"/>
        <v>1.0624324153705595</v>
      </c>
      <c r="P36" s="978">
        <f>N36+CF!AU37</f>
        <v>2773</v>
      </c>
      <c r="Q36" s="1008">
        <f t="shared" si="6"/>
        <v>1.076071262761606</v>
      </c>
      <c r="R36" s="978">
        <f>P36+CF!BH37</f>
        <v>2773</v>
      </c>
      <c r="S36" s="1008">
        <f t="shared" si="7"/>
        <v>1.0884159462072787</v>
      </c>
      <c r="T36" s="978">
        <f>R36+CF!BU37</f>
        <v>2773</v>
      </c>
      <c r="U36" s="1009">
        <f t="shared" si="8"/>
        <v>1.0210005732446159</v>
      </c>
      <c r="V36" s="952"/>
      <c r="W36" s="964">
        <f t="shared" si="39"/>
        <v>28</v>
      </c>
      <c r="X36" s="965" t="str">
        <f t="shared" si="9"/>
        <v>Customer Advances</v>
      </c>
      <c r="Y36" s="974"/>
      <c r="Z36" s="978">
        <f>T36+CF!CH37</f>
        <v>2773</v>
      </c>
      <c r="AA36" s="968">
        <f t="shared" si="34"/>
        <v>0.94450534329286651</v>
      </c>
      <c r="AB36" s="978">
        <f>Z36+CF!CU37</f>
        <v>2773</v>
      </c>
      <c r="AC36" s="968">
        <f t="shared" si="11"/>
        <v>0.91635065895931367</v>
      </c>
      <c r="AD36" s="978">
        <f>AB36+CF!DH37</f>
        <v>2773</v>
      </c>
      <c r="AE36" s="968">
        <f t="shared" si="12"/>
        <v>0.90188568620036325</v>
      </c>
      <c r="AF36" s="978">
        <f>AD36+CF!DU37</f>
        <v>2773</v>
      </c>
      <c r="AG36" s="968">
        <f t="shared" si="13"/>
        <v>0.88787028783571231</v>
      </c>
      <c r="AH36" s="978">
        <f>AF36+CF!EH37</f>
        <v>2773</v>
      </c>
      <c r="AI36" s="979">
        <f t="shared" si="14"/>
        <v>0.87428382529094484</v>
      </c>
      <c r="AJ36" s="939"/>
      <c r="AK36" s="939"/>
      <c r="AL36" s="939"/>
      <c r="AM36" s="939"/>
      <c r="AN36" s="939"/>
    </row>
    <row r="37" spans="1:40" ht="15" customHeight="1">
      <c r="A37" s="939"/>
      <c r="B37" s="939"/>
      <c r="C37" s="939"/>
      <c r="D37" s="952"/>
      <c r="E37" s="964">
        <f t="shared" si="38"/>
        <v>29</v>
      </c>
      <c r="F37" s="965" t="str">
        <f>+Historical!C44</f>
        <v>Deferred Liabilities</v>
      </c>
      <c r="G37" s="974"/>
      <c r="H37" s="967">
        <f>+Historical!K44</f>
        <v>2903</v>
      </c>
      <c r="I37" s="1006">
        <f t="shared" si="3"/>
        <v>2.3497511028370228</v>
      </c>
      <c r="J37" s="991">
        <f>+H37+CF!U38</f>
        <v>2863</v>
      </c>
      <c r="K37" s="974"/>
      <c r="L37" s="1070">
        <f t="shared" si="40"/>
        <v>2863</v>
      </c>
      <c r="M37" s="1008">
        <f t="shared" si="4"/>
        <v>1.1027613328659855</v>
      </c>
      <c r="N37" s="977">
        <f>L37+CF!AH38</f>
        <v>2863</v>
      </c>
      <c r="O37" s="1006">
        <f t="shared" si="5"/>
        <v>1.0969145348741118</v>
      </c>
      <c r="P37" s="978">
        <f>N37+CF!AU38</f>
        <v>2863</v>
      </c>
      <c r="Q37" s="1008">
        <f t="shared" si="6"/>
        <v>1.1109960422958811</v>
      </c>
      <c r="R37" s="978">
        <f>P37+CF!BH38</f>
        <v>2863</v>
      </c>
      <c r="S37" s="1008">
        <f t="shared" si="7"/>
        <v>1.1237413826150158</v>
      </c>
      <c r="T37" s="978">
        <f>R37+CF!BU38</f>
        <v>2863</v>
      </c>
      <c r="U37" s="1009">
        <f t="shared" si="8"/>
        <v>1.0541379881714155</v>
      </c>
      <c r="V37" s="952"/>
      <c r="W37" s="964">
        <f t="shared" si="39"/>
        <v>29</v>
      </c>
      <c r="X37" s="965" t="str">
        <f t="shared" si="9"/>
        <v>Deferred Liabilities</v>
      </c>
      <c r="Y37" s="974"/>
      <c r="Z37" s="978">
        <f>T37+CF!CH38</f>
        <v>2863</v>
      </c>
      <c r="AA37" s="968">
        <f t="shared" si="34"/>
        <v>0.97516004249818844</v>
      </c>
      <c r="AB37" s="978">
        <f>Z37+CF!CU38</f>
        <v>2863</v>
      </c>
      <c r="AC37" s="968">
        <f t="shared" si="11"/>
        <v>0.946091574684643</v>
      </c>
      <c r="AD37" s="978">
        <f>AB37+CF!DH38</f>
        <v>2863</v>
      </c>
      <c r="AE37" s="968">
        <f t="shared" si="12"/>
        <v>0.93115712931541283</v>
      </c>
      <c r="AF37" s="978">
        <f>AD37+CF!DU38</f>
        <v>2863</v>
      </c>
      <c r="AG37" s="968">
        <f t="shared" si="13"/>
        <v>0.91668684964790648</v>
      </c>
      <c r="AH37" s="978">
        <f>AF37+CF!EH38</f>
        <v>2863</v>
      </c>
      <c r="AI37" s="979">
        <f t="shared" si="14"/>
        <v>0.90265942726576798</v>
      </c>
      <c r="AJ37" s="939"/>
      <c r="AK37" s="939"/>
      <c r="AL37" s="939"/>
      <c r="AM37" s="939"/>
      <c r="AN37" s="939"/>
    </row>
    <row r="38" spans="1:40" ht="15" customHeight="1">
      <c r="A38" s="939"/>
      <c r="B38" s="939"/>
      <c r="C38" s="939"/>
      <c r="D38" s="952"/>
      <c r="E38" s="964">
        <f t="shared" si="38"/>
        <v>30</v>
      </c>
      <c r="F38" s="965" t="str">
        <f>+Historical!C45</f>
        <v>Other Current Liabilities</v>
      </c>
      <c r="G38" s="974"/>
      <c r="H38" s="967">
        <f>+Historical!K45</f>
        <v>3003</v>
      </c>
      <c r="I38" s="1006">
        <f t="shared" si="3"/>
        <v>2.4306932696588288</v>
      </c>
      <c r="J38" s="991">
        <f>H38+CF!U50-CF!U71</f>
        <v>2993</v>
      </c>
      <c r="K38" s="974"/>
      <c r="L38" s="1070">
        <f t="shared" si="40"/>
        <v>2993</v>
      </c>
      <c r="M38" s="1008">
        <f t="shared" si="4"/>
        <v>1.1528343238798093</v>
      </c>
      <c r="N38" s="977">
        <f>L38+CF!AH50-CF!AH71</f>
        <v>2993</v>
      </c>
      <c r="O38" s="1006">
        <f t="shared" si="5"/>
        <v>1.1467220408236873</v>
      </c>
      <c r="P38" s="978">
        <f>N38+CF!AJ50-CF!AJ71</f>
        <v>2993</v>
      </c>
      <c r="Q38" s="1008">
        <f t="shared" si="6"/>
        <v>1.1614429460676117</v>
      </c>
      <c r="R38" s="978">
        <f>P38+CF!AL50-CF!AL71</f>
        <v>2993</v>
      </c>
      <c r="S38" s="1008">
        <f t="shared" si="7"/>
        <v>1.1747670129817473</v>
      </c>
      <c r="T38" s="978">
        <f>R38+CF!AN50-CF!AN71</f>
        <v>2993</v>
      </c>
      <c r="U38" s="1009">
        <f t="shared" si="8"/>
        <v>1.1020031430656818</v>
      </c>
      <c r="V38" s="952"/>
      <c r="W38" s="964">
        <f t="shared" si="39"/>
        <v>30</v>
      </c>
      <c r="X38" s="965" t="str">
        <f t="shared" si="9"/>
        <v>Other Current Liabilities</v>
      </c>
      <c r="Y38" s="974"/>
      <c r="Z38" s="978">
        <f>+CF!CU209</f>
        <v>0</v>
      </c>
      <c r="AA38" s="968">
        <f t="shared" si="34"/>
        <v>0</v>
      </c>
      <c r="AB38" s="978">
        <f>+CF!DH209</f>
        <v>0</v>
      </c>
      <c r="AC38" s="968">
        <f t="shared" si="11"/>
        <v>0</v>
      </c>
      <c r="AD38" s="978">
        <f>+CF!DU209</f>
        <v>0</v>
      </c>
      <c r="AE38" s="968">
        <f t="shared" si="12"/>
        <v>0</v>
      </c>
      <c r="AF38" s="978">
        <f>+CF!EH209</f>
        <v>0</v>
      </c>
      <c r="AG38" s="968">
        <f t="shared" si="13"/>
        <v>0</v>
      </c>
      <c r="AH38" s="978">
        <v>0</v>
      </c>
      <c r="AI38" s="979">
        <f t="shared" si="14"/>
        <v>0</v>
      </c>
      <c r="AJ38" s="939"/>
      <c r="AK38" s="939"/>
      <c r="AL38" s="939"/>
      <c r="AM38" s="939"/>
      <c r="AN38" s="939"/>
    </row>
    <row r="39" spans="1:40" ht="15" customHeight="1">
      <c r="A39" s="939"/>
      <c r="B39" s="939"/>
      <c r="C39" s="939"/>
      <c r="D39" s="952"/>
      <c r="E39" s="964">
        <f t="shared" si="38"/>
        <v>31</v>
      </c>
      <c r="F39" s="965" t="str">
        <f>+Historical!C46</f>
        <v>Current Portion of Long - Term Bank Loans - BNI</v>
      </c>
      <c r="G39" s="974"/>
      <c r="H39" s="967">
        <f>+Historical!K46</f>
        <v>3103</v>
      </c>
      <c r="I39" s="1006">
        <f t="shared" si="3"/>
        <v>2.5116354364806344</v>
      </c>
      <c r="J39" s="991">
        <f>+CF!AH77</f>
        <v>0</v>
      </c>
      <c r="K39" s="974"/>
      <c r="L39" s="1070">
        <f t="shared" si="40"/>
        <v>0</v>
      </c>
      <c r="M39" s="1006">
        <f t="shared" si="4"/>
        <v>0</v>
      </c>
      <c r="N39" s="978">
        <f>+CF!AU77</f>
        <v>0</v>
      </c>
      <c r="O39" s="1006">
        <f t="shared" si="5"/>
        <v>0</v>
      </c>
      <c r="P39" s="978">
        <f>+CF!BH77</f>
        <v>0</v>
      </c>
      <c r="Q39" s="1006">
        <f t="shared" si="6"/>
        <v>0</v>
      </c>
      <c r="R39" s="978">
        <f>+CF!BU77</f>
        <v>0</v>
      </c>
      <c r="S39" s="1006">
        <f t="shared" si="7"/>
        <v>0</v>
      </c>
      <c r="T39" s="978">
        <f>+CF!CH77</f>
        <v>0</v>
      </c>
      <c r="U39" s="1009">
        <f t="shared" si="8"/>
        <v>0</v>
      </c>
      <c r="V39" s="952"/>
      <c r="W39" s="964">
        <f t="shared" si="39"/>
        <v>31</v>
      </c>
      <c r="X39" s="965" t="str">
        <f t="shared" si="9"/>
        <v>Current Portion of Long - Term Bank Loans - BNI</v>
      </c>
      <c r="Y39" s="974"/>
      <c r="Z39" s="978">
        <f>+CF!CU73</f>
        <v>0</v>
      </c>
      <c r="AA39" s="968">
        <f t="shared" si="34"/>
        <v>0</v>
      </c>
      <c r="AB39" s="978">
        <f>+CF!DH73</f>
        <v>0</v>
      </c>
      <c r="AC39" s="968">
        <f t="shared" si="11"/>
        <v>0</v>
      </c>
      <c r="AD39" s="978">
        <f>+CF!DU73</f>
        <v>0</v>
      </c>
      <c r="AE39" s="968">
        <f t="shared" si="12"/>
        <v>0</v>
      </c>
      <c r="AF39" s="978">
        <f>+CF!EH73</f>
        <v>0</v>
      </c>
      <c r="AG39" s="968">
        <f t="shared" si="13"/>
        <v>0</v>
      </c>
      <c r="AH39" s="978">
        <v>0</v>
      </c>
      <c r="AI39" s="979">
        <f t="shared" si="14"/>
        <v>0</v>
      </c>
      <c r="AJ39" s="939"/>
      <c r="AK39" s="939"/>
      <c r="AL39" s="939"/>
      <c r="AM39" s="939"/>
      <c r="AN39" s="939"/>
    </row>
    <row r="40" spans="1:40" ht="15" customHeight="1">
      <c r="A40" s="939"/>
      <c r="B40" s="939"/>
      <c r="C40" s="939"/>
      <c r="D40" s="952"/>
      <c r="E40" s="964">
        <f t="shared" si="38"/>
        <v>32</v>
      </c>
      <c r="F40" s="965" t="str">
        <f>+Historical!C47</f>
        <v>Current Portion of Long - Term Bank Loans - Other Banks</v>
      </c>
      <c r="G40" s="1011"/>
      <c r="H40" s="967">
        <f>+Historical!K47</f>
        <v>3203</v>
      </c>
      <c r="I40" s="1006">
        <f t="shared" si="3"/>
        <v>2.5925776033024404</v>
      </c>
      <c r="J40" s="1443">
        <f>CF!AH72</f>
        <v>0</v>
      </c>
      <c r="K40" s="1011"/>
      <c r="L40" s="1070">
        <f t="shared" si="40"/>
        <v>0</v>
      </c>
      <c r="M40" s="1006">
        <f t="shared" si="4"/>
        <v>0</v>
      </c>
      <c r="N40" s="978">
        <f>+CF!AU72</f>
        <v>0</v>
      </c>
      <c r="O40" s="1006">
        <f t="shared" si="5"/>
        <v>0</v>
      </c>
      <c r="P40" s="978">
        <f>+CF!BH72</f>
        <v>0</v>
      </c>
      <c r="Q40" s="1006">
        <f t="shared" si="6"/>
        <v>0</v>
      </c>
      <c r="R40" s="978">
        <f>+CF!BU72</f>
        <v>0</v>
      </c>
      <c r="S40" s="1006">
        <f t="shared" si="7"/>
        <v>0</v>
      </c>
      <c r="T40" s="978">
        <f>+CF!CH72</f>
        <v>0</v>
      </c>
      <c r="U40" s="1009">
        <f t="shared" si="8"/>
        <v>0</v>
      </c>
      <c r="V40" s="952"/>
      <c r="W40" s="964">
        <f t="shared" si="39"/>
        <v>32</v>
      </c>
      <c r="X40" s="965" t="str">
        <f t="shared" ref="X40:X41" si="41">+F40</f>
        <v>Current Portion of Long - Term Bank Loans - Other Banks</v>
      </c>
      <c r="Y40" s="1011"/>
      <c r="Z40" s="1012"/>
      <c r="AA40" s="1013"/>
      <c r="AB40" s="1012"/>
      <c r="AC40" s="1013"/>
      <c r="AD40" s="1012"/>
      <c r="AE40" s="1013"/>
      <c r="AF40" s="1012"/>
      <c r="AG40" s="1013"/>
      <c r="AH40" s="1012"/>
      <c r="AI40" s="1014"/>
      <c r="AJ40" s="939"/>
      <c r="AK40" s="939"/>
      <c r="AL40" s="939"/>
      <c r="AM40" s="939"/>
      <c r="AN40" s="939"/>
    </row>
    <row r="41" spans="1:40" ht="15" customHeight="1">
      <c r="A41" s="939"/>
      <c r="B41" s="939"/>
      <c r="C41" s="939"/>
      <c r="D41" s="952"/>
      <c r="E41" s="964">
        <f t="shared" si="38"/>
        <v>33</v>
      </c>
      <c r="F41" s="965" t="str">
        <f>+Historical!C48</f>
        <v>Current Portion of Lease Liabilities</v>
      </c>
      <c r="G41" s="1011"/>
      <c r="H41" s="967">
        <f>+Historical!K48</f>
        <v>3303</v>
      </c>
      <c r="I41" s="1006">
        <f t="shared" si="3"/>
        <v>2.6735197701242464</v>
      </c>
      <c r="J41" s="1443">
        <f>CF!AH73</f>
        <v>0</v>
      </c>
      <c r="K41" s="1011"/>
      <c r="L41" s="1070">
        <f t="shared" si="40"/>
        <v>0</v>
      </c>
      <c r="M41" s="1006">
        <f t="shared" si="4"/>
        <v>0</v>
      </c>
      <c r="N41" s="978">
        <f>+CF!AU73</f>
        <v>0</v>
      </c>
      <c r="O41" s="1006">
        <f t="shared" si="5"/>
        <v>0</v>
      </c>
      <c r="P41" s="978">
        <f>+CF!BH73</f>
        <v>0</v>
      </c>
      <c r="Q41" s="1006">
        <f t="shared" si="6"/>
        <v>0</v>
      </c>
      <c r="R41" s="978">
        <f>+CF!BU73</f>
        <v>0</v>
      </c>
      <c r="S41" s="1006">
        <f t="shared" si="7"/>
        <v>0</v>
      </c>
      <c r="T41" s="978">
        <f>+CF!CH73</f>
        <v>0</v>
      </c>
      <c r="U41" s="1009">
        <f t="shared" si="8"/>
        <v>0</v>
      </c>
      <c r="V41" s="952"/>
      <c r="W41" s="964">
        <f t="shared" si="39"/>
        <v>33</v>
      </c>
      <c r="X41" s="965" t="str">
        <f t="shared" si="41"/>
        <v>Current Portion of Lease Liabilities</v>
      </c>
      <c r="Y41" s="1011"/>
      <c r="Z41" s="1012"/>
      <c r="AA41" s="1013"/>
      <c r="AB41" s="1012"/>
      <c r="AC41" s="1013"/>
      <c r="AD41" s="1012"/>
      <c r="AE41" s="1013"/>
      <c r="AF41" s="1012"/>
      <c r="AG41" s="1013"/>
      <c r="AH41" s="1012"/>
      <c r="AI41" s="1014"/>
      <c r="AJ41" s="939"/>
      <c r="AK41" s="939"/>
      <c r="AL41" s="939"/>
      <c r="AM41" s="939"/>
      <c r="AN41" s="939"/>
    </row>
    <row r="42" spans="1:40" ht="15" customHeight="1" thickBot="1">
      <c r="A42" s="939"/>
      <c r="B42" s="939"/>
      <c r="C42" s="939"/>
      <c r="D42" s="952"/>
      <c r="E42" s="1015">
        <f>+E41+1</f>
        <v>34</v>
      </c>
      <c r="F42" s="1016" t="str">
        <f>+Historical!C49</f>
        <v>Current Portion of Long-Term Debts inc. Bonds/MTN/Securities</v>
      </c>
      <c r="G42" s="1017"/>
      <c r="H42" s="1018">
        <f>+Historical!K49</f>
        <v>3403</v>
      </c>
      <c r="I42" s="1019">
        <f t="shared" si="3"/>
        <v>2.7544619369460519</v>
      </c>
      <c r="J42" s="1020">
        <f>CF!AH76</f>
        <v>0</v>
      </c>
      <c r="K42" s="1017"/>
      <c r="L42" s="1393">
        <f t="shared" si="40"/>
        <v>0</v>
      </c>
      <c r="M42" s="1021">
        <f t="shared" si="4"/>
        <v>0</v>
      </c>
      <c r="N42" s="978">
        <f>+CF!AU76</f>
        <v>0</v>
      </c>
      <c r="O42" s="1019">
        <f t="shared" si="5"/>
        <v>0</v>
      </c>
      <c r="P42" s="978">
        <f>+CF!BH76</f>
        <v>0</v>
      </c>
      <c r="Q42" s="1021">
        <f t="shared" si="6"/>
        <v>0</v>
      </c>
      <c r="R42" s="978">
        <f>+CF!BU76</f>
        <v>0</v>
      </c>
      <c r="S42" s="1021">
        <f t="shared" si="7"/>
        <v>0</v>
      </c>
      <c r="T42" s="1022">
        <f>+CF!CH76</f>
        <v>0</v>
      </c>
      <c r="U42" s="1023">
        <f t="shared" si="8"/>
        <v>0</v>
      </c>
      <c r="V42" s="952"/>
      <c r="W42" s="1015">
        <f>+W41+1</f>
        <v>34</v>
      </c>
      <c r="X42" s="1016" t="str">
        <f t="shared" si="9"/>
        <v>Current Portion of Long-Term Debts inc. Bonds/MTN/Securities</v>
      </c>
      <c r="Y42" s="1017"/>
      <c r="Z42" s="1022">
        <f>+CF!CU77</f>
        <v>0</v>
      </c>
      <c r="AA42" s="1024">
        <f t="shared" ref="AA42:AA66" si="42">IF(Z$66=0,0,Z42/Z$66*100)</f>
        <v>0</v>
      </c>
      <c r="AB42" s="1022">
        <f>+CF!DH77</f>
        <v>0</v>
      </c>
      <c r="AC42" s="1024">
        <f t="shared" si="11"/>
        <v>0</v>
      </c>
      <c r="AD42" s="1022">
        <f>+CF!DU77</f>
        <v>0</v>
      </c>
      <c r="AE42" s="1024">
        <f t="shared" si="12"/>
        <v>0</v>
      </c>
      <c r="AF42" s="1022">
        <f>+CF!EH77</f>
        <v>0</v>
      </c>
      <c r="AG42" s="1024">
        <f t="shared" si="13"/>
        <v>0</v>
      </c>
      <c r="AH42" s="1022">
        <v>0</v>
      </c>
      <c r="AI42" s="1025">
        <f t="shared" si="14"/>
        <v>0</v>
      </c>
      <c r="AJ42" s="939"/>
      <c r="AK42" s="939"/>
      <c r="AL42" s="939"/>
      <c r="AM42" s="939"/>
      <c r="AN42" s="939"/>
    </row>
    <row r="43" spans="1:40" ht="15" customHeight="1" thickBot="1">
      <c r="A43" s="939"/>
      <c r="B43" s="939"/>
      <c r="C43" s="939"/>
      <c r="D43" s="980"/>
      <c r="E43" s="981">
        <f t="shared" si="38"/>
        <v>35</v>
      </c>
      <c r="F43" s="982" t="str">
        <f>+Historical!C50</f>
        <v>Total Current Liabilities</v>
      </c>
      <c r="G43" s="983"/>
      <c r="H43" s="984">
        <f>SUM(H28:H42)</f>
        <v>40545</v>
      </c>
      <c r="I43" s="993">
        <f t="shared" si="3"/>
        <v>32.818001537901168</v>
      </c>
      <c r="J43" s="1026">
        <f>SUM(J28:J42)</f>
        <v>87642.158964553208</v>
      </c>
      <c r="K43" s="983"/>
      <c r="L43" s="1027">
        <f>SUM(L28:L42)</f>
        <v>87642.158964553208</v>
      </c>
      <c r="M43" s="993">
        <f t="shared" si="4"/>
        <v>33.757731063570823</v>
      </c>
      <c r="N43" s="988">
        <f>SUM(N28:N42)</f>
        <v>76671.052013908804</v>
      </c>
      <c r="O43" s="992">
        <f t="shared" si="5"/>
        <v>29.375337533407482</v>
      </c>
      <c r="P43" s="988">
        <f>SUM(P28:P42)</f>
        <v>57318.268407947246</v>
      </c>
      <c r="Q43" s="993">
        <f t="shared" si="6"/>
        <v>22.242532082599517</v>
      </c>
      <c r="R43" s="988">
        <f>SUM(R28:R42)</f>
        <v>34438.870554283472</v>
      </c>
      <c r="S43" s="993">
        <f t="shared" si="7"/>
        <v>13.517423685773689</v>
      </c>
      <c r="T43" s="988">
        <f>SUM(T28:T42)</f>
        <v>26900.864117181722</v>
      </c>
      <c r="U43" s="994">
        <f t="shared" si="8"/>
        <v>9.9047232904500735</v>
      </c>
      <c r="V43" s="952"/>
      <c r="W43" s="981">
        <f t="shared" si="39"/>
        <v>35</v>
      </c>
      <c r="X43" s="982" t="str">
        <f t="shared" si="9"/>
        <v>Total Current Liabilities</v>
      </c>
      <c r="Y43" s="983"/>
      <c r="Z43" s="988">
        <f>SUM(Z28:Z42)</f>
        <v>44043.884283095795</v>
      </c>
      <c r="AA43" s="985">
        <f t="shared" si="42"/>
        <v>15.001689161470132</v>
      </c>
      <c r="AB43" s="988">
        <f>SUM(AB28:AB42)</f>
        <v>48210.971540762461</v>
      </c>
      <c r="AC43" s="985">
        <f t="shared" si="11"/>
        <v>15.931538240334078</v>
      </c>
      <c r="AD43" s="988">
        <f>SUM(AD28:AD42)</f>
        <v>48210.971540762461</v>
      </c>
      <c r="AE43" s="985">
        <f t="shared" si="12"/>
        <v>15.680052344185622</v>
      </c>
      <c r="AF43" s="988">
        <f>SUM(AF28:AF42)</f>
        <v>48210.971540762468</v>
      </c>
      <c r="AG43" s="985">
        <f t="shared" si="13"/>
        <v>15.436382682559003</v>
      </c>
      <c r="AH43" s="988">
        <f>SUM(AH28:AH42)</f>
        <v>48210.971540762468</v>
      </c>
      <c r="AI43" s="990">
        <f t="shared" si="14"/>
        <v>15.200170436224553</v>
      </c>
      <c r="AJ43" s="939"/>
      <c r="AK43" s="939"/>
      <c r="AL43" s="939"/>
      <c r="AM43" s="939"/>
      <c r="AN43" s="939"/>
    </row>
    <row r="44" spans="1:40" ht="15" customHeight="1">
      <c r="A44" s="939"/>
      <c r="B44" s="939"/>
      <c r="C44" s="939"/>
      <c r="D44" s="952"/>
      <c r="E44" s="953">
        <f t="shared" si="38"/>
        <v>36</v>
      </c>
      <c r="F44" s="954" t="str">
        <f>+Historical!C51</f>
        <v>Long-Term Bank Loans - BNI</v>
      </c>
      <c r="G44" s="955"/>
      <c r="H44" s="956">
        <f>+Historical!K51</f>
        <v>3603</v>
      </c>
      <c r="I44" s="1004">
        <f t="shared" si="3"/>
        <v>2.9163462705896639</v>
      </c>
      <c r="J44" s="1028">
        <f>+IF(J134&lt;0,0,J134)</f>
        <v>66694</v>
      </c>
      <c r="K44" s="955"/>
      <c r="L44" s="1032">
        <f>J44</f>
        <v>66694</v>
      </c>
      <c r="M44" s="1004">
        <f t="shared" si="4"/>
        <v>25.688985097507523</v>
      </c>
      <c r="N44" s="1032">
        <f>SUM(CF!AG103:AG108)-N39</f>
        <v>66694</v>
      </c>
      <c r="O44" s="1002">
        <f t="shared" si="5"/>
        <v>25.552783090776813</v>
      </c>
      <c r="P44" s="1032">
        <f>SUM(CF!AT103:AT108)-P39</f>
        <v>66694</v>
      </c>
      <c r="Q44" s="1004">
        <f t="shared" si="6"/>
        <v>25.880813847321509</v>
      </c>
      <c r="R44" s="1032">
        <f>SUM(CF!BG103:BG108)-R39</f>
        <v>66694</v>
      </c>
      <c r="S44" s="1004">
        <f t="shared" si="7"/>
        <v>26.177718397529119</v>
      </c>
      <c r="T44" s="1032">
        <f>SUM(CF!BT103:BT108)-T39</f>
        <v>66694</v>
      </c>
      <c r="U44" s="1005">
        <f t="shared" si="8"/>
        <v>24.556297234755288</v>
      </c>
      <c r="V44" s="952"/>
      <c r="W44" s="953">
        <f t="shared" si="39"/>
        <v>36</v>
      </c>
      <c r="X44" s="954" t="str">
        <f t="shared" si="9"/>
        <v>Long-Term Bank Loans - BNI</v>
      </c>
      <c r="Y44" s="955"/>
      <c r="Z44" s="1029">
        <f>+SUM(CF!CG103:CG108)-SUM(CF!CI152:CT157)</f>
        <v>66694</v>
      </c>
      <c r="AA44" s="957">
        <f t="shared" si="42"/>
        <v>22.716494542219415</v>
      </c>
      <c r="AB44" s="1030">
        <f>+SUM(CF!CT103:CT108)-SUM(CF!CV152:DG157)</f>
        <v>66694</v>
      </c>
      <c r="AC44" s="957">
        <f t="shared" si="11"/>
        <v>22.039340370945716</v>
      </c>
      <c r="AD44" s="1029">
        <f>+SUM(CF!DG103:DG108)-SUM(CF!DI152:DT157)</f>
        <v>66694</v>
      </c>
      <c r="AE44" s="957">
        <f t="shared" si="12"/>
        <v>21.691440301279126</v>
      </c>
      <c r="AF44" s="1029">
        <f>+SUM(CF!DT103:DT108)-SUM(CF!DV152:EG157)</f>
        <v>66694</v>
      </c>
      <c r="AG44" s="957">
        <f t="shared" si="13"/>
        <v>21.354353038916337</v>
      </c>
      <c r="AH44" s="1029">
        <f>+SUM(CF!EG103:EG108)</f>
        <v>66694</v>
      </c>
      <c r="AI44" s="963">
        <f t="shared" si="14"/>
        <v>21.027582201209619</v>
      </c>
      <c r="AJ44" s="939"/>
      <c r="AK44" s="939"/>
      <c r="AL44" s="939"/>
      <c r="AM44" s="939"/>
      <c r="AN44" s="939"/>
    </row>
    <row r="45" spans="1:40" ht="15" customHeight="1">
      <c r="A45" s="939"/>
      <c r="B45" s="939"/>
      <c r="C45" s="939"/>
      <c r="D45" s="952"/>
      <c r="E45" s="964">
        <f t="shared" si="38"/>
        <v>37</v>
      </c>
      <c r="F45" s="965" t="str">
        <f>+Historical!C52</f>
        <v>Long-Term Bank Loans  - Other Banks</v>
      </c>
      <c r="G45" s="974"/>
      <c r="H45" s="967">
        <f>+Historical!K52</f>
        <v>3703</v>
      </c>
      <c r="I45" s="1008">
        <f t="shared" si="3"/>
        <v>2.9972884374114694</v>
      </c>
      <c r="J45" s="1031">
        <f>+IF(J135&lt;0,0,J135)</f>
        <v>6906</v>
      </c>
      <c r="K45" s="974"/>
      <c r="L45" s="1007">
        <f>J45</f>
        <v>6906</v>
      </c>
      <c r="M45" s="1008">
        <f t="shared" si="4"/>
        <v>2.6600313533959117</v>
      </c>
      <c r="N45" s="1007">
        <f>SUM(CF!AG109:AG118)-N40</f>
        <v>6906</v>
      </c>
      <c r="O45" s="1006">
        <f t="shared" si="5"/>
        <v>2.6459279699059088</v>
      </c>
      <c r="P45" s="1007">
        <f>SUM(CF!AT109:AT118)-P40</f>
        <v>6906</v>
      </c>
      <c r="Q45" s="1008">
        <f t="shared" si="6"/>
        <v>2.6798947495967007</v>
      </c>
      <c r="R45" s="1007">
        <f>SUM(CF!BG109:BG118)-R40</f>
        <v>6906</v>
      </c>
      <c r="S45" s="1008">
        <f t="shared" si="7"/>
        <v>2.710638487020363</v>
      </c>
      <c r="T45" s="1007">
        <f>SUM(CF!BT109:BT118)-T40</f>
        <v>6906</v>
      </c>
      <c r="U45" s="1009">
        <f t="shared" si="8"/>
        <v>2.5427443053830929</v>
      </c>
      <c r="V45" s="952"/>
      <c r="W45" s="964">
        <f t="shared" si="39"/>
        <v>37</v>
      </c>
      <c r="X45" s="965" t="str">
        <f t="shared" si="9"/>
        <v>Long-Term Bank Loans  - Other Banks</v>
      </c>
      <c r="Y45" s="974"/>
      <c r="Z45" s="978">
        <f>+SUM(CF!CG109:CG118)-SUM(CF!CI158:CT167)</f>
        <v>6906</v>
      </c>
      <c r="AA45" s="968">
        <f t="shared" si="42"/>
        <v>2.3522372523550437</v>
      </c>
      <c r="AB45" s="978">
        <f>+SUM(CF!CT109:CT118)-SUM(CF!CV158:DG167)</f>
        <v>6906</v>
      </c>
      <c r="AC45" s="968">
        <f t="shared" si="11"/>
        <v>2.2821195999902706</v>
      </c>
      <c r="AD45" s="978">
        <f>+SUM(CF!DG109:DG118)-SUM(CF!DI158:DT167)</f>
        <v>6906</v>
      </c>
      <c r="AE45" s="968">
        <f t="shared" si="12"/>
        <v>2.2460954016948103</v>
      </c>
      <c r="AF45" s="978">
        <f>+SUM(CF!DT109:DT118)-SUM(CF!DV158:EG167)</f>
        <v>6906</v>
      </c>
      <c r="AG45" s="968">
        <f t="shared" si="13"/>
        <v>2.2111908430556904</v>
      </c>
      <c r="AH45" s="978">
        <f>+SUM(CF!EG109:EG118)</f>
        <v>6906</v>
      </c>
      <c r="AI45" s="979">
        <f t="shared" si="14"/>
        <v>2.1773545248681083</v>
      </c>
      <c r="AJ45" s="939"/>
      <c r="AK45" s="939"/>
      <c r="AL45" s="939"/>
      <c r="AM45" s="939"/>
      <c r="AN45" s="939"/>
    </row>
    <row r="46" spans="1:40" ht="15" customHeight="1">
      <c r="A46" s="939"/>
      <c r="B46" s="939"/>
      <c r="C46" s="939"/>
      <c r="D46" s="952"/>
      <c r="E46" s="964">
        <f t="shared" si="38"/>
        <v>38</v>
      </c>
      <c r="F46" s="965" t="str">
        <f>+Historical!C53</f>
        <v>Lease Liabilities</v>
      </c>
      <c r="G46" s="974"/>
      <c r="H46" s="967">
        <f>+Historical!K53</f>
        <v>3803</v>
      </c>
      <c r="I46" s="1008">
        <f t="shared" si="3"/>
        <v>3.0782306042332754</v>
      </c>
      <c r="J46" s="975">
        <f>+CF!T85-J41</f>
        <v>6806</v>
      </c>
      <c r="K46" s="974"/>
      <c r="L46" s="1007">
        <f t="shared" ref="L46:L51" si="43">J46</f>
        <v>6806</v>
      </c>
      <c r="M46" s="1008">
        <f t="shared" si="4"/>
        <v>2.6215136680006625</v>
      </c>
      <c r="N46" s="1007">
        <f>+CF!AG85-N41</f>
        <v>6806</v>
      </c>
      <c r="O46" s="1006">
        <f t="shared" si="5"/>
        <v>2.6076145037908507</v>
      </c>
      <c r="P46" s="1007">
        <f>+CF!AT85-P41</f>
        <v>6806</v>
      </c>
      <c r="Q46" s="1008">
        <f t="shared" si="6"/>
        <v>2.6410894390030619</v>
      </c>
      <c r="R46" s="1007">
        <f>+CF!BG85-R41</f>
        <v>6806</v>
      </c>
      <c r="S46" s="1008">
        <f t="shared" si="7"/>
        <v>2.6713880021228773</v>
      </c>
      <c r="T46" s="1007">
        <f>+CF!BT85-T41</f>
        <v>6806</v>
      </c>
      <c r="U46" s="1009">
        <f t="shared" si="8"/>
        <v>2.505924955464427</v>
      </c>
      <c r="V46" s="952"/>
      <c r="W46" s="964">
        <f t="shared" si="39"/>
        <v>38</v>
      </c>
      <c r="X46" s="965" t="str">
        <f t="shared" si="9"/>
        <v>Lease Liabilities</v>
      </c>
      <c r="Y46" s="974"/>
      <c r="Z46" s="978">
        <f>+CF!CG85-Z39</f>
        <v>6806</v>
      </c>
      <c r="AA46" s="968">
        <f t="shared" si="42"/>
        <v>2.3181764754602412</v>
      </c>
      <c r="AB46" s="978">
        <f>+CF!CT85-AB39</f>
        <v>6806</v>
      </c>
      <c r="AC46" s="968">
        <f t="shared" si="11"/>
        <v>2.249074138073238</v>
      </c>
      <c r="AD46" s="978">
        <f>+CF!DG85-AD39</f>
        <v>6806</v>
      </c>
      <c r="AE46" s="968">
        <f t="shared" si="12"/>
        <v>2.2135715760114216</v>
      </c>
      <c r="AF46" s="978">
        <f>+CF!DT85-AF39</f>
        <v>6806</v>
      </c>
      <c r="AG46" s="968">
        <f t="shared" si="13"/>
        <v>2.1791724410421418</v>
      </c>
      <c r="AH46" s="978">
        <f>+CF!EG85-AH39</f>
        <v>6806</v>
      </c>
      <c r="AI46" s="979">
        <f t="shared" si="14"/>
        <v>2.1458260782294158</v>
      </c>
      <c r="AJ46" s="939"/>
      <c r="AK46" s="939"/>
      <c r="AL46" s="939"/>
      <c r="AM46" s="939"/>
      <c r="AN46" s="939"/>
    </row>
    <row r="47" spans="1:40" ht="15" customHeight="1">
      <c r="A47" s="939"/>
      <c r="B47" s="939"/>
      <c r="C47" s="939"/>
      <c r="D47" s="952"/>
      <c r="E47" s="964">
        <f t="shared" si="38"/>
        <v>39</v>
      </c>
      <c r="F47" s="965" t="str">
        <f>+Historical!C54</f>
        <v>Long-Term Debts - Bonds/MTN/Securities</v>
      </c>
      <c r="G47" s="974"/>
      <c r="H47" s="967">
        <f>+Historical!K54</f>
        <v>3903</v>
      </c>
      <c r="I47" s="1008">
        <f t="shared" si="3"/>
        <v>3.1591727710550814</v>
      </c>
      <c r="J47" s="975">
        <f>+CF!T119-J42</f>
        <v>7306</v>
      </c>
      <c r="K47" s="974"/>
      <c r="L47" s="1007">
        <f>J47</f>
        <v>7306</v>
      </c>
      <c r="M47" s="1008">
        <f t="shared" si="4"/>
        <v>2.8141020949769087</v>
      </c>
      <c r="N47" s="1007">
        <f>+CF!AG119-N42</f>
        <v>7306</v>
      </c>
      <c r="O47" s="1006">
        <f t="shared" si="5"/>
        <v>2.799181834366141</v>
      </c>
      <c r="P47" s="1007">
        <f>+CF!AT119-P42</f>
        <v>7306</v>
      </c>
      <c r="Q47" s="1008">
        <f t="shared" si="6"/>
        <v>2.8351159919712563</v>
      </c>
      <c r="R47" s="1007">
        <f>+CF!BG119-R42</f>
        <v>7306</v>
      </c>
      <c r="S47" s="1008">
        <f t="shared" si="7"/>
        <v>2.8676404266103064</v>
      </c>
      <c r="T47" s="1007">
        <f>+CF!BT119-T42</f>
        <v>7306</v>
      </c>
      <c r="U47" s="1009">
        <f t="shared" si="8"/>
        <v>2.6900217050577586</v>
      </c>
      <c r="V47" s="952"/>
      <c r="W47" s="964">
        <f t="shared" si="39"/>
        <v>39</v>
      </c>
      <c r="X47" s="965" t="str">
        <f t="shared" si="9"/>
        <v>Long-Term Debts - Bonds/MTN/Securities</v>
      </c>
      <c r="Y47" s="974"/>
      <c r="Z47" s="978">
        <f>+CF!CG119-Z38</f>
        <v>7306</v>
      </c>
      <c r="AA47" s="968">
        <f t="shared" si="42"/>
        <v>2.4884803599342522</v>
      </c>
      <c r="AB47" s="978">
        <f>+CF!CT119-AB38</f>
        <v>7306</v>
      </c>
      <c r="AC47" s="968">
        <f t="shared" si="11"/>
        <v>2.414301447658401</v>
      </c>
      <c r="AD47" s="978">
        <f>+CF!DG119-AD38</f>
        <v>7306</v>
      </c>
      <c r="AE47" s="968">
        <f t="shared" si="12"/>
        <v>2.3761907044283643</v>
      </c>
      <c r="AF47" s="978">
        <f>+CF!DT119-AF38</f>
        <v>7306</v>
      </c>
      <c r="AG47" s="968">
        <f t="shared" si="13"/>
        <v>2.3392644511098863</v>
      </c>
      <c r="AH47" s="978">
        <f>+CF!EG119-AH38</f>
        <v>7306</v>
      </c>
      <c r="AI47" s="979">
        <f t="shared" si="14"/>
        <v>2.3034683114228787</v>
      </c>
      <c r="AJ47" s="939"/>
      <c r="AK47" s="939"/>
      <c r="AL47" s="939"/>
      <c r="AM47" s="939"/>
      <c r="AN47" s="939"/>
    </row>
    <row r="48" spans="1:40" ht="15" customHeight="1">
      <c r="A48" s="939"/>
      <c r="B48" s="939"/>
      <c r="C48" s="939"/>
      <c r="D48" s="952"/>
      <c r="E48" s="964">
        <f t="shared" si="38"/>
        <v>40</v>
      </c>
      <c r="F48" s="965" t="str">
        <f>+Historical!C55</f>
        <v>Employee Benefit Liabilities</v>
      </c>
      <c r="G48" s="974"/>
      <c r="H48" s="967">
        <f>+Historical!K55</f>
        <v>4003</v>
      </c>
      <c r="I48" s="968">
        <f t="shared" si="3"/>
        <v>3.2401149378768865</v>
      </c>
      <c r="J48" s="975">
        <f>+H48+CF!U47-CF!U68</f>
        <v>3993</v>
      </c>
      <c r="K48" s="974"/>
      <c r="L48" s="1007">
        <f t="shared" si="43"/>
        <v>3993</v>
      </c>
      <c r="M48" s="968">
        <f t="shared" si="4"/>
        <v>1.5380111778323018</v>
      </c>
      <c r="N48" s="977">
        <f>+L48+CF!AH47-CF!AH68</f>
        <v>3993</v>
      </c>
      <c r="O48" s="972">
        <f t="shared" si="5"/>
        <v>1.5298567019742679</v>
      </c>
      <c r="P48" s="978">
        <f>+N48+CF!AU47-CF!AU68</f>
        <v>3993</v>
      </c>
      <c r="Q48" s="968">
        <f t="shared" si="6"/>
        <v>1.5494960520040002</v>
      </c>
      <c r="R48" s="978">
        <f>+P48</f>
        <v>3993</v>
      </c>
      <c r="S48" s="968">
        <f t="shared" si="7"/>
        <v>1.5672718619566046</v>
      </c>
      <c r="T48" s="978">
        <f>+R48</f>
        <v>3993</v>
      </c>
      <c r="U48" s="979">
        <f t="shared" si="8"/>
        <v>1.4701966422523445</v>
      </c>
      <c r="V48" s="952"/>
      <c r="W48" s="964">
        <f t="shared" si="39"/>
        <v>40</v>
      </c>
      <c r="X48" s="965" t="str">
        <f t="shared" si="9"/>
        <v>Employee Benefit Liabilities</v>
      </c>
      <c r="Y48" s="974"/>
      <c r="Z48" s="978">
        <f>+T48</f>
        <v>3993</v>
      </c>
      <c r="AA48" s="968">
        <f t="shared" si="42"/>
        <v>1.3600468214094541</v>
      </c>
      <c r="AB48" s="978">
        <f>+Z48</f>
        <v>3993</v>
      </c>
      <c r="AC48" s="968">
        <f t="shared" si="11"/>
        <v>1.3195052943471113</v>
      </c>
      <c r="AD48" s="978">
        <f>+AB48</f>
        <v>3993</v>
      </c>
      <c r="AE48" s="968">
        <f t="shared" si="12"/>
        <v>1.2986763595377029</v>
      </c>
      <c r="AF48" s="978">
        <f>+AD48</f>
        <v>3993</v>
      </c>
      <c r="AG48" s="968">
        <f t="shared" si="13"/>
        <v>1.2784947924010097</v>
      </c>
      <c r="AH48" s="978">
        <f>+AF48</f>
        <v>3993</v>
      </c>
      <c r="AI48" s="979">
        <f t="shared" si="14"/>
        <v>1.2589308742829941</v>
      </c>
      <c r="AJ48" s="939"/>
      <c r="AK48" s="939"/>
      <c r="AL48" s="939"/>
      <c r="AM48" s="939"/>
      <c r="AN48" s="939"/>
    </row>
    <row r="49" spans="1:40" ht="15" customHeight="1">
      <c r="A49" s="939"/>
      <c r="B49" s="939"/>
      <c r="C49" s="939"/>
      <c r="D49" s="952"/>
      <c r="E49" s="964">
        <f t="shared" si="38"/>
        <v>41</v>
      </c>
      <c r="F49" s="965" t="str">
        <f>+Historical!C56</f>
        <v>Long Term Tax Payables</v>
      </c>
      <c r="G49" s="974"/>
      <c r="H49" s="967">
        <f>+Historical!K56</f>
        <v>4103</v>
      </c>
      <c r="I49" s="1008">
        <f t="shared" si="3"/>
        <v>3.321057104698693</v>
      </c>
      <c r="J49" s="975">
        <f>+H49+CF!U48-CF!U69</f>
        <v>4093</v>
      </c>
      <c r="K49" s="974"/>
      <c r="L49" s="1007">
        <f t="shared" si="43"/>
        <v>4093</v>
      </c>
      <c r="M49" s="1008">
        <f t="shared" si="4"/>
        <v>1.5765288632275509</v>
      </c>
      <c r="N49" s="977">
        <f>+L49+CF!AH48-CF!AH69</f>
        <v>4093</v>
      </c>
      <c r="O49" s="1006">
        <f t="shared" si="5"/>
        <v>1.5681701680893259</v>
      </c>
      <c r="P49" s="978">
        <f>+N49+CF!AU48-CF!AU69</f>
        <v>4093</v>
      </c>
      <c r="Q49" s="1008">
        <f t="shared" si="6"/>
        <v>1.5883013625976394</v>
      </c>
      <c r="R49" s="978">
        <f>P49+CF!BH47-CF!BH68</f>
        <v>4093</v>
      </c>
      <c r="S49" s="1008">
        <f t="shared" si="7"/>
        <v>1.6065223468540901</v>
      </c>
      <c r="T49" s="978">
        <f>R49+CF!BU47-CF!BU68</f>
        <v>4093</v>
      </c>
      <c r="U49" s="1009">
        <f t="shared" si="8"/>
        <v>1.5070159921710107</v>
      </c>
      <c r="V49" s="1010"/>
      <c r="W49" s="964">
        <f t="shared" si="39"/>
        <v>41</v>
      </c>
      <c r="X49" s="965" t="str">
        <f t="shared" si="9"/>
        <v>Long Term Tax Payables</v>
      </c>
      <c r="Y49" s="974"/>
      <c r="Z49" s="978">
        <f>T49+CF!CH47-CF!CH68</f>
        <v>4093</v>
      </c>
      <c r="AA49" s="968">
        <f t="shared" si="42"/>
        <v>1.3941075983042561</v>
      </c>
      <c r="AB49" s="978">
        <f>Z49+CF!CU47-CF!CU68</f>
        <v>4093</v>
      </c>
      <c r="AC49" s="968">
        <f t="shared" si="11"/>
        <v>1.3525507562641439</v>
      </c>
      <c r="AD49" s="978">
        <f>AB49+CF!DH47-CF!DH68</f>
        <v>4093</v>
      </c>
      <c r="AE49" s="968">
        <f t="shared" si="12"/>
        <v>1.3312001852210913</v>
      </c>
      <c r="AF49" s="978">
        <f>AD49+CF!DU47-CF!DU68</f>
        <v>4093</v>
      </c>
      <c r="AG49" s="968">
        <f t="shared" si="13"/>
        <v>1.3105131944145585</v>
      </c>
      <c r="AH49" s="978">
        <f>AF49+CF!EH47-CF!EH68</f>
        <v>4093</v>
      </c>
      <c r="AI49" s="979">
        <f t="shared" si="14"/>
        <v>1.2904593209216866</v>
      </c>
      <c r="AJ49" s="939"/>
      <c r="AK49" s="939"/>
      <c r="AL49" s="939"/>
      <c r="AM49" s="939"/>
      <c r="AN49" s="939"/>
    </row>
    <row r="50" spans="1:40" ht="15" customHeight="1">
      <c r="A50" s="939"/>
      <c r="B50" s="939"/>
      <c r="C50" s="939"/>
      <c r="D50" s="952"/>
      <c r="E50" s="964">
        <f t="shared" si="38"/>
        <v>42</v>
      </c>
      <c r="F50" s="965" t="str">
        <f>+Historical!C57</f>
        <v>Shareholders &amp; Related Parties Loan- Long Term</v>
      </c>
      <c r="G50" s="974"/>
      <c r="H50" s="967">
        <f>+Historical!K57</f>
        <v>4203</v>
      </c>
      <c r="I50" s="968">
        <f t="shared" si="3"/>
        <v>3.4019992715204985</v>
      </c>
      <c r="J50" s="975">
        <f>+H50+CF!U49-CF!U70</f>
        <v>4243</v>
      </c>
      <c r="K50" s="974"/>
      <c r="L50" s="1007">
        <f t="shared" si="43"/>
        <v>4243</v>
      </c>
      <c r="M50" s="968">
        <f t="shared" si="4"/>
        <v>1.6343053913204248</v>
      </c>
      <c r="N50" s="977">
        <f>+L50+CF!AH49-CF!AH70</f>
        <v>4243</v>
      </c>
      <c r="O50" s="972">
        <f t="shared" si="5"/>
        <v>1.6256403672619131</v>
      </c>
      <c r="P50" s="978">
        <f>+N50+CF!AU49-CF!AU70</f>
        <v>4243</v>
      </c>
      <c r="Q50" s="968">
        <f t="shared" si="6"/>
        <v>1.6465093284880976</v>
      </c>
      <c r="R50" s="978">
        <f>P50+CF!BH49-CF!BH70</f>
        <v>4243</v>
      </c>
      <c r="S50" s="968">
        <f t="shared" si="7"/>
        <v>1.6653980742003187</v>
      </c>
      <c r="T50" s="978">
        <f>R50+CF!BU49-CF!BU70</f>
        <v>4243</v>
      </c>
      <c r="U50" s="979">
        <f t="shared" si="8"/>
        <v>1.5622450170490103</v>
      </c>
      <c r="V50" s="1010"/>
      <c r="W50" s="964">
        <f t="shared" si="39"/>
        <v>42</v>
      </c>
      <c r="X50" s="965" t="str">
        <f t="shared" si="9"/>
        <v>Shareholders &amp; Related Parties Loan- Long Term</v>
      </c>
      <c r="Y50" s="974"/>
      <c r="Z50" s="978">
        <f>T50+CF!CH49-CF!CH70</f>
        <v>4243</v>
      </c>
      <c r="AA50" s="968">
        <f t="shared" si="42"/>
        <v>1.4451987636464596</v>
      </c>
      <c r="AB50" s="978">
        <f>Z50+CF!CU49-CF!CU70</f>
        <v>4243</v>
      </c>
      <c r="AC50" s="968">
        <f t="shared" si="11"/>
        <v>1.4021189491396928</v>
      </c>
      <c r="AD50" s="978">
        <f>AB50+CF!DH49-CF!DH70</f>
        <v>4243</v>
      </c>
      <c r="AE50" s="968">
        <f t="shared" si="12"/>
        <v>1.3799859237461742</v>
      </c>
      <c r="AF50" s="978">
        <f>AD50+CF!DU49-CF!DU70</f>
        <v>4243</v>
      </c>
      <c r="AG50" s="968">
        <f t="shared" si="13"/>
        <v>1.358540797434882</v>
      </c>
      <c r="AH50" s="978">
        <f>AF50+CF!EH49-CF!EH70</f>
        <v>4243</v>
      </c>
      <c r="AI50" s="979">
        <f t="shared" si="14"/>
        <v>1.3377519908797255</v>
      </c>
      <c r="AJ50" s="939"/>
      <c r="AK50" s="939"/>
      <c r="AL50" s="939"/>
      <c r="AM50" s="939"/>
      <c r="AN50" s="939"/>
    </row>
    <row r="51" spans="1:40" ht="15" customHeight="1">
      <c r="A51" s="939"/>
      <c r="B51" s="939"/>
      <c r="C51" s="939"/>
      <c r="D51" s="952"/>
      <c r="E51" s="964">
        <f t="shared" si="38"/>
        <v>43</v>
      </c>
      <c r="F51" s="965" t="str">
        <f>+Historical!C58</f>
        <v>Other Non-Current Liabilities</v>
      </c>
      <c r="G51" s="974"/>
      <c r="H51" s="967">
        <f>+Historical!K58</f>
        <v>4303</v>
      </c>
      <c r="I51" s="1008">
        <f t="shared" si="3"/>
        <v>3.4829414383423045</v>
      </c>
      <c r="J51" s="975">
        <f>+H51+CF!U50-CF!U71</f>
        <v>4293</v>
      </c>
      <c r="K51" s="974"/>
      <c r="L51" s="1007">
        <f t="shared" si="43"/>
        <v>4293</v>
      </c>
      <c r="M51" s="1008">
        <f t="shared" si="4"/>
        <v>1.6535642340180494</v>
      </c>
      <c r="N51" s="977">
        <f>+L51+CF!AH50-CF!AH71</f>
        <v>4293</v>
      </c>
      <c r="O51" s="1006">
        <f t="shared" si="5"/>
        <v>1.6447971003194419</v>
      </c>
      <c r="P51" s="978">
        <f>+N51+CF!AU50-CF!AU71</f>
        <v>4293</v>
      </c>
      <c r="Q51" s="1008">
        <f t="shared" si="6"/>
        <v>1.6659119837849168</v>
      </c>
      <c r="R51" s="978">
        <f>P51+CF!BH50-CF!BH71</f>
        <v>4293</v>
      </c>
      <c r="S51" s="1008">
        <f t="shared" si="7"/>
        <v>1.6850233166490616</v>
      </c>
      <c r="T51" s="978">
        <f>R51+CF!BU50-CF!BU71</f>
        <v>4293</v>
      </c>
      <c r="U51" s="1009">
        <f t="shared" si="8"/>
        <v>1.5806546920083435</v>
      </c>
      <c r="V51" s="1010"/>
      <c r="W51" s="964">
        <f t="shared" si="39"/>
        <v>43</v>
      </c>
      <c r="X51" s="965" t="str">
        <f t="shared" si="9"/>
        <v>Other Non-Current Liabilities</v>
      </c>
      <c r="Y51" s="974"/>
      <c r="Z51" s="978">
        <f>T51+CF!CH50-CF!CH71</f>
        <v>4293</v>
      </c>
      <c r="AA51" s="968">
        <f t="shared" si="42"/>
        <v>1.4622291520938608</v>
      </c>
      <c r="AB51" s="978">
        <f>Z51+CF!CU50-CF!CU71</f>
        <v>4293</v>
      </c>
      <c r="AC51" s="968">
        <f t="shared" si="11"/>
        <v>1.4186416800982089</v>
      </c>
      <c r="AD51" s="978">
        <f>AB51+CF!DH50-CF!DH71</f>
        <v>4293</v>
      </c>
      <c r="AE51" s="968">
        <f t="shared" si="12"/>
        <v>1.3962478365878683</v>
      </c>
      <c r="AF51" s="978">
        <f>AD51+CF!DU50-CF!DU71</f>
        <v>4293</v>
      </c>
      <c r="AG51" s="968">
        <f t="shared" si="13"/>
        <v>1.3745499984416565</v>
      </c>
      <c r="AH51" s="978">
        <f>AF51+CF!EH50-CF!EH71</f>
        <v>4293</v>
      </c>
      <c r="AI51" s="979">
        <f t="shared" si="14"/>
        <v>1.3535162141990718</v>
      </c>
      <c r="AJ51" s="939"/>
      <c r="AK51" s="939"/>
      <c r="AL51" s="939"/>
      <c r="AM51" s="939"/>
      <c r="AN51" s="939"/>
    </row>
    <row r="52" spans="1:40" ht="15" customHeight="1">
      <c r="A52" s="939"/>
      <c r="B52" s="939"/>
      <c r="C52" s="939"/>
      <c r="D52" s="952"/>
      <c r="E52" s="981">
        <f>E51+1</f>
        <v>44</v>
      </c>
      <c r="F52" s="982" t="str">
        <f>+Historical!C59</f>
        <v>Total Non-Current Liabilities</v>
      </c>
      <c r="G52" s="983"/>
      <c r="H52" s="987">
        <f>SUM(H44:H51)</f>
        <v>31624</v>
      </c>
      <c r="I52" s="993">
        <f t="shared" si="3"/>
        <v>25.597150835727874</v>
      </c>
      <c r="J52" s="1026">
        <f>SUM(J44:J51)</f>
        <v>104334</v>
      </c>
      <c r="K52" s="983"/>
      <c r="L52" s="1027">
        <f>SUM(L44:L51)</f>
        <v>104334</v>
      </c>
      <c r="M52" s="993">
        <f t="shared" si="4"/>
        <v>40.187041880279331</v>
      </c>
      <c r="N52" s="988">
        <f>SUM(N44:N51)</f>
        <v>104334</v>
      </c>
      <c r="O52" s="992">
        <f t="shared" si="5"/>
        <v>39.973971736484664</v>
      </c>
      <c r="P52" s="988">
        <f>SUM(P44:P51)</f>
        <v>104334</v>
      </c>
      <c r="Q52" s="993">
        <f t="shared" si="6"/>
        <v>40.487132754767188</v>
      </c>
      <c r="R52" s="988">
        <f>SUM(R44:R51)</f>
        <v>104334</v>
      </c>
      <c r="S52" s="993">
        <f t="shared" si="7"/>
        <v>40.951600912942745</v>
      </c>
      <c r="T52" s="988">
        <f>SUM(T44:T51)</f>
        <v>104334</v>
      </c>
      <c r="U52" s="994">
        <f t="shared" si="8"/>
        <v>38.415100544141275</v>
      </c>
      <c r="V52" s="1010"/>
      <c r="W52" s="981">
        <f>W51+1</f>
        <v>44</v>
      </c>
      <c r="X52" s="982" t="str">
        <f t="shared" si="9"/>
        <v>Total Non-Current Liabilities</v>
      </c>
      <c r="Y52" s="983"/>
      <c r="Z52" s="988">
        <f>SUM(Z44:Z51)</f>
        <v>104334</v>
      </c>
      <c r="AA52" s="985">
        <f t="shared" si="42"/>
        <v>35.536970965422981</v>
      </c>
      <c r="AB52" s="988">
        <f>SUM(AB44:AB51)</f>
        <v>104334</v>
      </c>
      <c r="AC52" s="985">
        <f t="shared" si="11"/>
        <v>34.477652236516782</v>
      </c>
      <c r="AD52" s="988">
        <f>SUM(AD44:AD51)</f>
        <v>104334</v>
      </c>
      <c r="AE52" s="985">
        <f t="shared" si="12"/>
        <v>33.933408288506563</v>
      </c>
      <c r="AF52" s="988">
        <f>SUM(AF44:AF51)</f>
        <v>104334</v>
      </c>
      <c r="AG52" s="985">
        <f t="shared" si="13"/>
        <v>33.406079556816167</v>
      </c>
      <c r="AH52" s="988">
        <f>SUM(AH44:AH51)</f>
        <v>104334</v>
      </c>
      <c r="AI52" s="990">
        <f t="shared" si="14"/>
        <v>32.8948895160135</v>
      </c>
      <c r="AJ52" s="939"/>
      <c r="AK52" s="939"/>
      <c r="AL52" s="939"/>
      <c r="AM52" s="939"/>
      <c r="AN52" s="939"/>
    </row>
    <row r="53" spans="1:40" ht="15" customHeight="1">
      <c r="A53" s="939"/>
      <c r="B53" s="939"/>
      <c r="C53" s="939"/>
      <c r="D53" s="952"/>
      <c r="E53" s="981">
        <f t="shared" ref="E53:E59" si="44">+E52+1</f>
        <v>45</v>
      </c>
      <c r="F53" s="982" t="str">
        <f>+Historical!C60</f>
        <v>Total Liabilities</v>
      </c>
      <c r="G53" s="983"/>
      <c r="H53" s="987">
        <f>H43+H52</f>
        <v>72169</v>
      </c>
      <c r="I53" s="993">
        <f t="shared" si="3"/>
        <v>58.415152373629041</v>
      </c>
      <c r="J53" s="1026">
        <f>J43+J52</f>
        <v>191976.15896455321</v>
      </c>
      <c r="K53" s="983"/>
      <c r="L53" s="1027">
        <f>L43+L52</f>
        <v>191976.15896455321</v>
      </c>
      <c r="M53" s="993">
        <f t="shared" si="4"/>
        <v>73.944772943850154</v>
      </c>
      <c r="N53" s="988">
        <f>N43+N52</f>
        <v>181005.0520139088</v>
      </c>
      <c r="O53" s="992">
        <f t="shared" si="5"/>
        <v>69.349309269892146</v>
      </c>
      <c r="P53" s="988">
        <f>P43+P52</f>
        <v>161652.26840794724</v>
      </c>
      <c r="Q53" s="993">
        <f t="shared" si="6"/>
        <v>62.729664837366691</v>
      </c>
      <c r="R53" s="988">
        <f>R43+R52</f>
        <v>138772.87055428347</v>
      </c>
      <c r="S53" s="993">
        <f t="shared" si="7"/>
        <v>54.46902459871643</v>
      </c>
      <c r="T53" s="988">
        <f>T43+T52</f>
        <v>131234.86411718171</v>
      </c>
      <c r="U53" s="994">
        <f t="shared" si="8"/>
        <v>48.319823834591347</v>
      </c>
      <c r="V53" s="1010"/>
      <c r="W53" s="981">
        <f t="shared" ref="W53:W59" si="45">+W52+1</f>
        <v>45</v>
      </c>
      <c r="X53" s="982" t="str">
        <f t="shared" si="9"/>
        <v>Total Liabilities</v>
      </c>
      <c r="Y53" s="983"/>
      <c r="Z53" s="988">
        <f>Z43+Z52</f>
        <v>148377.8842830958</v>
      </c>
      <c r="AA53" s="985">
        <f t="shared" si="42"/>
        <v>50.53866012689312</v>
      </c>
      <c r="AB53" s="988">
        <f>AB43+AB52</f>
        <v>152544.97154076246</v>
      </c>
      <c r="AC53" s="985">
        <f t="shared" si="11"/>
        <v>50.40919047685086</v>
      </c>
      <c r="AD53" s="988">
        <f>AD43+AD52</f>
        <v>152544.97154076246</v>
      </c>
      <c r="AE53" s="985">
        <f t="shared" si="12"/>
        <v>49.613460632692181</v>
      </c>
      <c r="AF53" s="988">
        <f>AF43+AF52</f>
        <v>152544.97154076246</v>
      </c>
      <c r="AG53" s="985">
        <f t="shared" si="13"/>
        <v>48.842462239375159</v>
      </c>
      <c r="AH53" s="988">
        <f>AH43+AH52</f>
        <v>152544.97154076246</v>
      </c>
      <c r="AI53" s="990">
        <f t="shared" si="14"/>
        <v>48.095059952238053</v>
      </c>
      <c r="AJ53" s="939"/>
      <c r="AK53" s="939"/>
      <c r="AL53" s="939"/>
      <c r="AM53" s="939"/>
      <c r="AN53" s="939"/>
    </row>
    <row r="54" spans="1:40" ht="15" customHeight="1">
      <c r="A54" s="939"/>
      <c r="B54" s="939"/>
      <c r="C54" s="939"/>
      <c r="D54" s="952"/>
      <c r="E54" s="953">
        <f t="shared" si="44"/>
        <v>46</v>
      </c>
      <c r="F54" s="954" t="str">
        <f>+Historical!C61</f>
        <v>Preference Shares</v>
      </c>
      <c r="G54" s="955"/>
      <c r="H54" s="956">
        <f>+Historical!K61</f>
        <v>4603</v>
      </c>
      <c r="I54" s="1004">
        <f t="shared" si="3"/>
        <v>3.7257679388077216</v>
      </c>
      <c r="J54" s="958">
        <f>+H54</f>
        <v>4603</v>
      </c>
      <c r="K54" s="955"/>
      <c r="L54" s="1032">
        <f>+H54</f>
        <v>4603</v>
      </c>
      <c r="M54" s="1004">
        <f t="shared" si="4"/>
        <v>1.772969058743322</v>
      </c>
      <c r="N54" s="960">
        <f>+L54</f>
        <v>4603</v>
      </c>
      <c r="O54" s="1002">
        <f t="shared" si="5"/>
        <v>1.763568845276122</v>
      </c>
      <c r="P54" s="962">
        <f>+N54</f>
        <v>4603</v>
      </c>
      <c r="Q54" s="1004">
        <f t="shared" si="6"/>
        <v>1.7862084466251975</v>
      </c>
      <c r="R54" s="962">
        <f>+P54</f>
        <v>4603</v>
      </c>
      <c r="S54" s="1004">
        <f t="shared" si="7"/>
        <v>1.8066998198312674</v>
      </c>
      <c r="T54" s="962">
        <f>+R54</f>
        <v>4603</v>
      </c>
      <c r="U54" s="1005">
        <f t="shared" si="8"/>
        <v>1.6947946767562088</v>
      </c>
      <c r="V54" s="1010"/>
      <c r="W54" s="953">
        <f t="shared" si="45"/>
        <v>46</v>
      </c>
      <c r="X54" s="954" t="str">
        <f t="shared" si="9"/>
        <v>Preference Shares</v>
      </c>
      <c r="Y54" s="955"/>
      <c r="Z54" s="962">
        <f>+T54</f>
        <v>4603</v>
      </c>
      <c r="AA54" s="957">
        <f t="shared" si="42"/>
        <v>1.5678175604677478</v>
      </c>
      <c r="AB54" s="962">
        <f>+Z54</f>
        <v>4603</v>
      </c>
      <c r="AC54" s="957">
        <f t="shared" si="11"/>
        <v>1.5210826120410101</v>
      </c>
      <c r="AD54" s="962">
        <f>+AB54</f>
        <v>4603</v>
      </c>
      <c r="AE54" s="957">
        <f t="shared" si="12"/>
        <v>1.4970716962063728</v>
      </c>
      <c r="AF54" s="962">
        <f>+AD54</f>
        <v>4603</v>
      </c>
      <c r="AG54" s="957">
        <f t="shared" si="13"/>
        <v>1.4738070446836582</v>
      </c>
      <c r="AH54" s="962">
        <f>+AF54</f>
        <v>4603</v>
      </c>
      <c r="AI54" s="963">
        <f t="shared" si="14"/>
        <v>1.4512543987790187</v>
      </c>
      <c r="AJ54" s="939"/>
      <c r="AK54" s="939"/>
      <c r="AL54" s="939"/>
      <c r="AM54" s="939"/>
      <c r="AN54" s="939"/>
    </row>
    <row r="55" spans="1:40" ht="15" customHeight="1">
      <c r="A55" s="939"/>
      <c r="B55" s="939"/>
      <c r="C55" s="939"/>
      <c r="D55" s="952"/>
      <c r="E55" s="964">
        <f t="shared" si="44"/>
        <v>47</v>
      </c>
      <c r="F55" s="965" t="str">
        <f>+Historical!C62</f>
        <v>Common Shares</v>
      </c>
      <c r="G55" s="974"/>
      <c r="H55" s="967">
        <f>+Historical!K62</f>
        <v>4703</v>
      </c>
      <c r="I55" s="1008">
        <f t="shared" si="3"/>
        <v>3.8067101056295281</v>
      </c>
      <c r="J55" s="975">
        <f>+H55</f>
        <v>4703</v>
      </c>
      <c r="K55" s="974"/>
      <c r="L55" s="1007">
        <f>+H55</f>
        <v>4703</v>
      </c>
      <c r="M55" s="1008">
        <f t="shared" si="4"/>
        <v>1.8114867441385711</v>
      </c>
      <c r="N55" s="977">
        <f>L55</f>
        <v>4703</v>
      </c>
      <c r="O55" s="1006">
        <f t="shared" si="5"/>
        <v>1.8018823113911799</v>
      </c>
      <c r="P55" s="978">
        <f>N55</f>
        <v>4703</v>
      </c>
      <c r="Q55" s="1008">
        <f t="shared" si="6"/>
        <v>1.8250137572188363</v>
      </c>
      <c r="R55" s="978">
        <f t="shared" ref="R55:R56" si="46">P55</f>
        <v>4703</v>
      </c>
      <c r="S55" s="1008">
        <f t="shared" si="7"/>
        <v>1.8459503047287531</v>
      </c>
      <c r="T55" s="978">
        <f t="shared" ref="T55:T56" si="47">R55</f>
        <v>4703</v>
      </c>
      <c r="U55" s="1009">
        <f t="shared" si="8"/>
        <v>1.7316140266748752</v>
      </c>
      <c r="V55" s="1010"/>
      <c r="W55" s="964">
        <f t="shared" si="45"/>
        <v>47</v>
      </c>
      <c r="X55" s="965" t="str">
        <f t="shared" si="9"/>
        <v>Common Shares</v>
      </c>
      <c r="Y55" s="974"/>
      <c r="Z55" s="978">
        <f t="shared" ref="Z55:Z56" si="48">T55</f>
        <v>4703</v>
      </c>
      <c r="AA55" s="968">
        <f t="shared" si="42"/>
        <v>1.60187833736255</v>
      </c>
      <c r="AB55" s="978">
        <f t="shared" ref="AB55:AB56" si="49">Z55</f>
        <v>4703</v>
      </c>
      <c r="AC55" s="968">
        <f t="shared" si="11"/>
        <v>1.5541280739580428</v>
      </c>
      <c r="AD55" s="978">
        <f t="shared" ref="AD55:AD56" si="50">AB55</f>
        <v>4703</v>
      </c>
      <c r="AE55" s="968">
        <f t="shared" si="12"/>
        <v>1.5295955218897612</v>
      </c>
      <c r="AF55" s="978">
        <f t="shared" ref="AF55:AF56" si="51">AD55</f>
        <v>4703</v>
      </c>
      <c r="AG55" s="968">
        <f t="shared" si="13"/>
        <v>1.5058254466972072</v>
      </c>
      <c r="AH55" s="978">
        <f t="shared" ref="AH55:AH56" si="52">AF55</f>
        <v>4703</v>
      </c>
      <c r="AI55" s="979">
        <f t="shared" si="14"/>
        <v>1.4827828454177112</v>
      </c>
      <c r="AJ55" s="939"/>
      <c r="AK55" s="939"/>
      <c r="AL55" s="939"/>
      <c r="AM55" s="939"/>
      <c r="AN55" s="939"/>
    </row>
    <row r="56" spans="1:40" ht="15" customHeight="1">
      <c r="A56" s="939"/>
      <c r="B56" s="939"/>
      <c r="C56" s="939"/>
      <c r="D56" s="952"/>
      <c r="E56" s="964">
        <f t="shared" si="44"/>
        <v>48</v>
      </c>
      <c r="F56" s="965" t="str">
        <f>+Historical!C63</f>
        <v>Treasury Shares</v>
      </c>
      <c r="G56" s="974"/>
      <c r="H56" s="967">
        <f>+Historical!K63</f>
        <v>4803</v>
      </c>
      <c r="I56" s="1008">
        <f t="shared" si="3"/>
        <v>3.8876522724513336</v>
      </c>
      <c r="J56" s="975">
        <f>+H56</f>
        <v>4803</v>
      </c>
      <c r="K56" s="974"/>
      <c r="L56" s="1007">
        <f>+H56</f>
        <v>4803</v>
      </c>
      <c r="M56" s="1008">
        <f t="shared" si="4"/>
        <v>1.8500044295338205</v>
      </c>
      <c r="N56" s="977">
        <f>+L56</f>
        <v>4803</v>
      </c>
      <c r="O56" s="1006">
        <f t="shared" si="5"/>
        <v>1.8401957775062383</v>
      </c>
      <c r="P56" s="978">
        <f>+N56</f>
        <v>4803</v>
      </c>
      <c r="Q56" s="1008">
        <f t="shared" si="6"/>
        <v>1.8638190678124753</v>
      </c>
      <c r="R56" s="978">
        <f t="shared" si="46"/>
        <v>4803</v>
      </c>
      <c r="S56" s="1008">
        <f t="shared" si="7"/>
        <v>1.8852007896262388</v>
      </c>
      <c r="T56" s="978">
        <f t="shared" si="47"/>
        <v>4803</v>
      </c>
      <c r="U56" s="1009">
        <f t="shared" si="8"/>
        <v>1.7684333765935412</v>
      </c>
      <c r="V56" s="1010"/>
      <c r="W56" s="964">
        <f t="shared" si="45"/>
        <v>48</v>
      </c>
      <c r="X56" s="965" t="str">
        <f t="shared" si="9"/>
        <v>Treasury Shares</v>
      </c>
      <c r="Y56" s="974"/>
      <c r="Z56" s="978">
        <f t="shared" si="48"/>
        <v>4803</v>
      </c>
      <c r="AA56" s="968">
        <f t="shared" si="42"/>
        <v>1.6359391142573521</v>
      </c>
      <c r="AB56" s="978">
        <f t="shared" si="49"/>
        <v>4803</v>
      </c>
      <c r="AC56" s="968">
        <f t="shared" si="11"/>
        <v>1.5871735358750754</v>
      </c>
      <c r="AD56" s="978">
        <f t="shared" si="50"/>
        <v>4803</v>
      </c>
      <c r="AE56" s="968">
        <f t="shared" si="12"/>
        <v>1.5621193475731499</v>
      </c>
      <c r="AF56" s="978">
        <f t="shared" si="51"/>
        <v>4803</v>
      </c>
      <c r="AG56" s="968">
        <f t="shared" si="13"/>
        <v>1.5378438487107562</v>
      </c>
      <c r="AH56" s="978">
        <f t="shared" si="52"/>
        <v>4803</v>
      </c>
      <c r="AI56" s="979">
        <f t="shared" si="14"/>
        <v>1.5143112920564039</v>
      </c>
      <c r="AJ56" s="939"/>
      <c r="AK56" s="939"/>
      <c r="AL56" s="939"/>
      <c r="AM56" s="939"/>
      <c r="AN56" s="939"/>
    </row>
    <row r="57" spans="1:40" ht="15" customHeight="1">
      <c r="A57" s="939"/>
      <c r="B57" s="939"/>
      <c r="C57" s="939"/>
      <c r="D57" s="952"/>
      <c r="E57" s="964">
        <f t="shared" si="44"/>
        <v>49</v>
      </c>
      <c r="F57" s="965" t="str">
        <f>+Historical!C64</f>
        <v>Share Premium (Agio Share)</v>
      </c>
      <c r="G57" s="974"/>
      <c r="H57" s="967">
        <f>+Historical!K64</f>
        <v>4903</v>
      </c>
      <c r="I57" s="1008">
        <f t="shared" si="3"/>
        <v>3.9685944392731396</v>
      </c>
      <c r="J57" s="975">
        <f>+H57</f>
        <v>4903</v>
      </c>
      <c r="K57" s="974"/>
      <c r="L57" s="1007">
        <f>+H57</f>
        <v>4903</v>
      </c>
      <c r="M57" s="1008">
        <f t="shared" si="4"/>
        <v>1.8885221149290699</v>
      </c>
      <c r="N57" s="977">
        <f t="shared" ref="N57" si="53">+L57</f>
        <v>4903</v>
      </c>
      <c r="O57" s="1006">
        <f t="shared" si="5"/>
        <v>1.8785092436212962</v>
      </c>
      <c r="P57" s="978">
        <f t="shared" ref="P57" si="54">+N57</f>
        <v>4903</v>
      </c>
      <c r="Q57" s="1008">
        <f t="shared" si="6"/>
        <v>1.9026243784061141</v>
      </c>
      <c r="R57" s="978">
        <f>+P57</f>
        <v>4903</v>
      </c>
      <c r="S57" s="1008">
        <f t="shared" si="7"/>
        <v>1.9244512745237246</v>
      </c>
      <c r="T57" s="978">
        <f>+R57</f>
        <v>4903</v>
      </c>
      <c r="U57" s="1009">
        <f t="shared" si="8"/>
        <v>1.8052527265122076</v>
      </c>
      <c r="V57" s="1010"/>
      <c r="W57" s="964">
        <f t="shared" si="45"/>
        <v>49</v>
      </c>
      <c r="X57" s="965" t="str">
        <f t="shared" si="9"/>
        <v>Share Premium (Agio Share)</v>
      </c>
      <c r="Y57" s="974"/>
      <c r="Z57" s="978">
        <f>+T57</f>
        <v>4903</v>
      </c>
      <c r="AA57" s="968">
        <f t="shared" si="42"/>
        <v>1.6699998911521543</v>
      </c>
      <c r="AB57" s="978">
        <f>+Z57</f>
        <v>4903</v>
      </c>
      <c r="AC57" s="968">
        <f t="shared" si="11"/>
        <v>1.620218997792108</v>
      </c>
      <c r="AD57" s="978">
        <f>+AB57</f>
        <v>4903</v>
      </c>
      <c r="AE57" s="968">
        <f t="shared" si="12"/>
        <v>1.5946431732565385</v>
      </c>
      <c r="AF57" s="978">
        <f>+AD57</f>
        <v>4903</v>
      </c>
      <c r="AG57" s="968">
        <f t="shared" si="13"/>
        <v>1.5698622507243052</v>
      </c>
      <c r="AH57" s="978">
        <f>+AF57</f>
        <v>4903</v>
      </c>
      <c r="AI57" s="979">
        <f t="shared" si="14"/>
        <v>1.5458397386950964</v>
      </c>
      <c r="AJ57" s="939"/>
      <c r="AK57" s="939"/>
      <c r="AL57" s="939"/>
      <c r="AM57" s="939"/>
      <c r="AN57" s="939"/>
    </row>
    <row r="58" spans="1:40" ht="15" customHeight="1">
      <c r="A58" s="939"/>
      <c r="B58" s="939"/>
      <c r="C58" s="939"/>
      <c r="D58" s="952"/>
      <c r="E58" s="964">
        <f t="shared" si="44"/>
        <v>50</v>
      </c>
      <c r="F58" s="965" t="str">
        <f>+Historical!C65</f>
        <v>Additional Paid-In Capital</v>
      </c>
      <c r="G58" s="974"/>
      <c r="H58" s="967">
        <f>+Historical!K65</f>
        <v>5003</v>
      </c>
      <c r="I58" s="1008">
        <f t="shared" si="3"/>
        <v>4.0495366060949456</v>
      </c>
      <c r="J58" s="975">
        <f>+H58+CF!U53</f>
        <v>21006.2</v>
      </c>
      <c r="K58" s="974"/>
      <c r="L58" s="1007">
        <f>+H58+CF!U53</f>
        <v>21006.2</v>
      </c>
      <c r="M58" s="1008">
        <f t="shared" si="4"/>
        <v>8.0911020294968434</v>
      </c>
      <c r="N58" s="977">
        <f>+L58+CF!AH53</f>
        <v>21006.2</v>
      </c>
      <c r="O58" s="1006">
        <f t="shared" si="5"/>
        <v>8.048203319061324</v>
      </c>
      <c r="P58" s="978">
        <f>+N58+CF!AU53</f>
        <v>21006.2</v>
      </c>
      <c r="Q58" s="1008">
        <f t="shared" si="6"/>
        <v>8.1515211539209691</v>
      </c>
      <c r="R58" s="978">
        <f>+P58+CF!BH53</f>
        <v>21006.2</v>
      </c>
      <c r="S58" s="1008">
        <f t="shared" si="7"/>
        <v>8.2450353585356435</v>
      </c>
      <c r="T58" s="978">
        <f>+R58+CF!BU53</f>
        <v>21006.2</v>
      </c>
      <c r="U58" s="1009">
        <f t="shared" si="8"/>
        <v>7.7343462826148759</v>
      </c>
      <c r="V58" s="1010"/>
      <c r="W58" s="964">
        <f t="shared" si="45"/>
        <v>50</v>
      </c>
      <c r="X58" s="965" t="str">
        <f t="shared" si="9"/>
        <v>Additional Paid-In Capital</v>
      </c>
      <c r="Y58" s="974"/>
      <c r="Z58" s="978">
        <f>+T58+CF!CH53</f>
        <v>21006.2</v>
      </c>
      <c r="AA58" s="968">
        <f t="shared" si="42"/>
        <v>7.1548749160759515</v>
      </c>
      <c r="AB58" s="978">
        <f>+Z58+CF!CU53</f>
        <v>21006.2</v>
      </c>
      <c r="AC58" s="968">
        <f t="shared" si="11"/>
        <v>6.9415958212157003</v>
      </c>
      <c r="AD58" s="978">
        <f>+AB58+CF!DH53</f>
        <v>21006.2</v>
      </c>
      <c r="AE58" s="968">
        <f t="shared" si="12"/>
        <v>6.8320198707039568</v>
      </c>
      <c r="AF58" s="978">
        <f>+AD58+CF!DU53</f>
        <v>21006.2</v>
      </c>
      <c r="AG58" s="968">
        <f t="shared" si="13"/>
        <v>6.7258495637701197</v>
      </c>
      <c r="AH58" s="978">
        <f>+AF58+CF!EH53</f>
        <v>21006.2</v>
      </c>
      <c r="AI58" s="979">
        <f t="shared" si="14"/>
        <v>6.6229285578170369</v>
      </c>
      <c r="AJ58" s="939"/>
      <c r="AK58" s="939"/>
      <c r="AL58" s="939"/>
      <c r="AM58" s="939"/>
      <c r="AN58" s="939"/>
    </row>
    <row r="59" spans="1:40" ht="15" customHeight="1">
      <c r="A59" s="939"/>
      <c r="B59" s="939"/>
      <c r="C59" s="939"/>
      <c r="D59" s="952"/>
      <c r="E59" s="964">
        <f t="shared" si="44"/>
        <v>51</v>
      </c>
      <c r="F59" s="965" t="str">
        <f>+Historical!C66</f>
        <v>Subordinated Shareholders &amp; Related Parties Loan</v>
      </c>
      <c r="G59" s="974"/>
      <c r="H59" s="967">
        <f>+Historical!K66</f>
        <v>5103</v>
      </c>
      <c r="I59" s="1008">
        <f t="shared" si="3"/>
        <v>4.1304787729167503</v>
      </c>
      <c r="J59" s="975">
        <f>+H59+CF!U52</f>
        <v>15105</v>
      </c>
      <c r="K59" s="974"/>
      <c r="L59" s="1007">
        <f>+H59+CF!U52</f>
        <v>15105</v>
      </c>
      <c r="M59" s="1008">
        <f t="shared" si="4"/>
        <v>5.8180963789523963</v>
      </c>
      <c r="N59" s="977">
        <f>L59+CF!AH52</f>
        <v>15105</v>
      </c>
      <c r="O59" s="1006">
        <f t="shared" si="5"/>
        <v>5.7872490566795189</v>
      </c>
      <c r="P59" s="978">
        <f>N59+CF!AU52</f>
        <v>15105</v>
      </c>
      <c r="Q59" s="1008">
        <f t="shared" si="6"/>
        <v>5.8615421651691522</v>
      </c>
      <c r="R59" s="978">
        <f>P59+CF!BH52</f>
        <v>15105</v>
      </c>
      <c r="S59" s="1008">
        <f t="shared" si="7"/>
        <v>5.9287857437652169</v>
      </c>
      <c r="T59" s="978">
        <f>R59+CF!BU52</f>
        <v>15105</v>
      </c>
      <c r="U59" s="1009">
        <f t="shared" si="8"/>
        <v>5.5615628052145416</v>
      </c>
      <c r="V59" s="1010"/>
      <c r="W59" s="964">
        <f t="shared" si="45"/>
        <v>51</v>
      </c>
      <c r="X59" s="965" t="str">
        <f t="shared" si="9"/>
        <v>Subordinated Shareholders &amp; Related Parties Loan</v>
      </c>
      <c r="Y59" s="974"/>
      <c r="Z59" s="978">
        <f>T59</f>
        <v>15105</v>
      </c>
      <c r="AA59" s="968">
        <f t="shared" si="42"/>
        <v>5.1448803499598803</v>
      </c>
      <c r="AB59" s="978">
        <f>Z59</f>
        <v>15105</v>
      </c>
      <c r="AC59" s="968">
        <f t="shared" si="11"/>
        <v>4.9915170225677725</v>
      </c>
      <c r="AD59" s="978">
        <f>AB59</f>
        <v>15105</v>
      </c>
      <c r="AE59" s="968">
        <f t="shared" si="12"/>
        <v>4.9127238694758333</v>
      </c>
      <c r="AF59" s="978">
        <f>AD59</f>
        <v>15105</v>
      </c>
      <c r="AG59" s="968">
        <f t="shared" si="13"/>
        <v>4.8363796241465691</v>
      </c>
      <c r="AH59" s="978">
        <f>AF59</f>
        <v>15105</v>
      </c>
      <c r="AI59" s="979">
        <f t="shared" si="14"/>
        <v>4.7623718647745115</v>
      </c>
      <c r="AJ59" s="939"/>
      <c r="AK59" s="939"/>
      <c r="AL59" s="939"/>
      <c r="AM59" s="939"/>
      <c r="AN59" s="939"/>
    </row>
    <row r="60" spans="1:40" ht="15" customHeight="1">
      <c r="A60" s="939"/>
      <c r="B60" s="939"/>
      <c r="C60" s="939"/>
      <c r="D60" s="952"/>
      <c r="E60" s="964">
        <f t="shared" ref="E60:E62" si="55">E59+1</f>
        <v>52</v>
      </c>
      <c r="F60" s="965" t="str">
        <f>+Historical!C67</f>
        <v>Difference in Corporate Transactions</v>
      </c>
      <c r="G60" s="974"/>
      <c r="H60" s="967">
        <f>+Historical!K67</f>
        <v>5203</v>
      </c>
      <c r="I60" s="1008">
        <f t="shared" si="3"/>
        <v>4.2114209397385567</v>
      </c>
      <c r="J60" s="975">
        <f>+H60</f>
        <v>5203</v>
      </c>
      <c r="K60" s="974"/>
      <c r="L60" s="1007">
        <f>+H60</f>
        <v>5203</v>
      </c>
      <c r="M60" s="1008">
        <f t="shared" si="4"/>
        <v>2.0040751711148173</v>
      </c>
      <c r="N60" s="977">
        <f>+L60</f>
        <v>5203</v>
      </c>
      <c r="O60" s="1006">
        <f t="shared" si="5"/>
        <v>1.9934496419664702</v>
      </c>
      <c r="P60" s="978">
        <f>+N60</f>
        <v>5203</v>
      </c>
      <c r="Q60" s="1008">
        <f t="shared" si="6"/>
        <v>2.0190403101870307</v>
      </c>
      <c r="R60" s="978">
        <f>+P60</f>
        <v>5203</v>
      </c>
      <c r="S60" s="1008">
        <f t="shared" si="7"/>
        <v>2.0422027292161813</v>
      </c>
      <c r="T60" s="978">
        <f>+R60</f>
        <v>5203</v>
      </c>
      <c r="U60" s="1009">
        <f t="shared" si="8"/>
        <v>1.9157107762682064</v>
      </c>
      <c r="V60" s="1010"/>
      <c r="W60" s="964">
        <f t="shared" ref="W60:W62" si="56">W59+1</f>
        <v>52</v>
      </c>
      <c r="X60" s="965" t="str">
        <f t="shared" si="9"/>
        <v>Difference in Corporate Transactions</v>
      </c>
      <c r="Y60" s="974"/>
      <c r="Z60" s="978">
        <f>+T60+CF!CH52</f>
        <v>5203</v>
      </c>
      <c r="AA60" s="968">
        <f t="shared" si="42"/>
        <v>1.7721822218365613</v>
      </c>
      <c r="AB60" s="978">
        <f>+Z60+CF!CU52</f>
        <v>5203</v>
      </c>
      <c r="AC60" s="968">
        <f t="shared" si="11"/>
        <v>1.7193553835432058</v>
      </c>
      <c r="AD60" s="978">
        <f>+AB60+CF!DH52</f>
        <v>5203</v>
      </c>
      <c r="AE60" s="968">
        <f t="shared" si="12"/>
        <v>1.6922146503067039</v>
      </c>
      <c r="AF60" s="978">
        <f>+AD60+CF!DU52</f>
        <v>5203</v>
      </c>
      <c r="AG60" s="968">
        <f t="shared" si="13"/>
        <v>1.665917456764952</v>
      </c>
      <c r="AH60" s="978">
        <f>+AF60+CF!EH52</f>
        <v>5203</v>
      </c>
      <c r="AI60" s="979">
        <f t="shared" si="14"/>
        <v>1.640425078611174</v>
      </c>
      <c r="AJ60" s="939"/>
      <c r="AK60" s="939"/>
      <c r="AL60" s="939"/>
      <c r="AM60" s="939"/>
      <c r="AN60" s="939"/>
    </row>
    <row r="61" spans="1:40" ht="15" customHeight="1">
      <c r="A61" s="939"/>
      <c r="B61" s="939"/>
      <c r="C61" s="939"/>
      <c r="D61" s="952"/>
      <c r="E61" s="964">
        <f t="shared" si="55"/>
        <v>53</v>
      </c>
      <c r="F61" s="965" t="str">
        <f>Historical!C68</f>
        <v>Other Equity</v>
      </c>
      <c r="G61" s="974"/>
      <c r="H61" s="967">
        <f>Historical!K68</f>
        <v>5303</v>
      </c>
      <c r="I61" s="1008">
        <f t="shared" si="3"/>
        <v>4.2923631065603622</v>
      </c>
      <c r="J61" s="975">
        <f>H61</f>
        <v>5303</v>
      </c>
      <c r="K61" s="974"/>
      <c r="L61" s="1007">
        <f>H61</f>
        <v>5303</v>
      </c>
      <c r="M61" s="1008">
        <f t="shared" si="4"/>
        <v>2.0425928565100668</v>
      </c>
      <c r="N61" s="977">
        <f>L61</f>
        <v>5303</v>
      </c>
      <c r="O61" s="1006">
        <f t="shared" si="5"/>
        <v>2.0317631080815284</v>
      </c>
      <c r="P61" s="978">
        <f>N61</f>
        <v>5303</v>
      </c>
      <c r="Q61" s="1008">
        <f t="shared" si="6"/>
        <v>2.0578456207806699</v>
      </c>
      <c r="R61" s="978">
        <f>P61</f>
        <v>5303</v>
      </c>
      <c r="S61" s="1008">
        <f t="shared" si="7"/>
        <v>2.081453214113667</v>
      </c>
      <c r="T61" s="978">
        <f>R61</f>
        <v>5303</v>
      </c>
      <c r="U61" s="1009">
        <f t="shared" si="8"/>
        <v>1.9525301261868726</v>
      </c>
      <c r="V61" s="1010"/>
      <c r="W61" s="964">
        <f t="shared" si="56"/>
        <v>53</v>
      </c>
      <c r="X61" s="965" t="str">
        <f t="shared" si="9"/>
        <v>Other Equity</v>
      </c>
      <c r="Y61" s="974"/>
      <c r="Z61" s="978">
        <f>T61</f>
        <v>5303</v>
      </c>
      <c r="AA61" s="968">
        <f t="shared" si="42"/>
        <v>1.8062429987313635</v>
      </c>
      <c r="AB61" s="978">
        <f>Z61</f>
        <v>5303</v>
      </c>
      <c r="AC61" s="968">
        <f t="shared" si="11"/>
        <v>1.752400845460238</v>
      </c>
      <c r="AD61" s="978">
        <f>AB61</f>
        <v>5303</v>
      </c>
      <c r="AE61" s="968">
        <f t="shared" si="12"/>
        <v>1.7247384759900926</v>
      </c>
      <c r="AF61" s="978">
        <f>AD61</f>
        <v>5303</v>
      </c>
      <c r="AG61" s="968">
        <f t="shared" si="13"/>
        <v>1.6979358587785007</v>
      </c>
      <c r="AH61" s="978">
        <f>AF61</f>
        <v>5303</v>
      </c>
      <c r="AI61" s="979">
        <f t="shared" si="14"/>
        <v>1.6719535252498665</v>
      </c>
      <c r="AJ61" s="939"/>
      <c r="AK61" s="939"/>
      <c r="AL61" s="939"/>
      <c r="AM61" s="939"/>
      <c r="AN61" s="939"/>
    </row>
    <row r="62" spans="1:40" ht="15" customHeight="1">
      <c r="A62" s="939"/>
      <c r="B62" s="939"/>
      <c r="C62" s="939"/>
      <c r="D62" s="952"/>
      <c r="E62" s="964">
        <f t="shared" si="55"/>
        <v>54</v>
      </c>
      <c r="F62" s="965" t="str">
        <f>+Historical!C69</f>
        <v>Previous Retained Earnings</v>
      </c>
      <c r="G62" s="974"/>
      <c r="H62" s="967">
        <f>+Historical!K69</f>
        <v>11668</v>
      </c>
      <c r="I62" s="1008">
        <f t="shared" si="3"/>
        <v>9.4443320247683022</v>
      </c>
      <c r="J62" s="975">
        <f>+H62+H63+H64</f>
        <v>11752</v>
      </c>
      <c r="K62" s="974"/>
      <c r="L62" s="1007">
        <f>+IF(MONTH(H7)=12,(H62+H63+H64),H62)</f>
        <v>11668</v>
      </c>
      <c r="M62" s="1008">
        <f t="shared" si="4"/>
        <v>4.4942435319176797</v>
      </c>
      <c r="N62" s="977">
        <f>+L62+L63+L64</f>
        <v>2015.6410354467989</v>
      </c>
      <c r="O62" s="1006">
        <f t="shared" si="5"/>
        <v>0.77226194511711443</v>
      </c>
      <c r="P62" s="978">
        <f>N62+N63</f>
        <v>14370.585553365661</v>
      </c>
      <c r="Q62" s="1008">
        <f t="shared" si="6"/>
        <v>5.5765503581081424</v>
      </c>
      <c r="R62" s="978">
        <f>P62+P63</f>
        <v>30415.219159327164</v>
      </c>
      <c r="S62" s="1008">
        <f t="shared" si="7"/>
        <v>11.93812100266889</v>
      </c>
      <c r="T62" s="978">
        <f>+R62+R63</f>
        <v>50371.852012990974</v>
      </c>
      <c r="U62" s="1009">
        <f t="shared" si="8"/>
        <v>18.54658845317589</v>
      </c>
      <c r="V62" s="1010"/>
      <c r="W62" s="964">
        <f t="shared" si="56"/>
        <v>54</v>
      </c>
      <c r="X62" s="965" t="str">
        <f t="shared" si="9"/>
        <v>Previous Retained Earnings</v>
      </c>
      <c r="Y62" s="974"/>
      <c r="Z62" s="978">
        <f>T62+T63</f>
        <v>74732.257439009234</v>
      </c>
      <c r="AA62" s="968">
        <f t="shared" si="42"/>
        <v>25.454387474750195</v>
      </c>
      <c r="AB62" s="978">
        <f>Z62+Z63</f>
        <v>79585.749224058396</v>
      </c>
      <c r="AC62" s="968">
        <f t="shared" si="11"/>
        <v>26.299478451221276</v>
      </c>
      <c r="AD62" s="978">
        <f>AB62+AB63</f>
        <v>84439.241009107558</v>
      </c>
      <c r="AE62" s="968">
        <f t="shared" si="12"/>
        <v>27.462871554178442</v>
      </c>
      <c r="AF62" s="978">
        <f>AD62+AD63</f>
        <v>89292.73279415672</v>
      </c>
      <c r="AG62" s="968">
        <f t="shared" si="13"/>
        <v>28.590106154917162</v>
      </c>
      <c r="AH62" s="978">
        <f>AF62+AF63</f>
        <v>94146.224579205882</v>
      </c>
      <c r="AI62" s="979">
        <f t="shared" si="14"/>
        <v>29.682842178798591</v>
      </c>
      <c r="AJ62" s="939"/>
      <c r="AK62" s="939"/>
      <c r="AL62" s="939"/>
      <c r="AM62" s="939"/>
      <c r="AN62" s="939"/>
    </row>
    <row r="63" spans="1:40" ht="15" customHeight="1">
      <c r="A63" s="939"/>
      <c r="B63" s="939"/>
      <c r="C63" s="939"/>
      <c r="D63" s="952"/>
      <c r="E63" s="1033">
        <f t="shared" ref="E63:E64" si="57">+E62+1</f>
        <v>55</v>
      </c>
      <c r="F63" s="1034" t="str">
        <f>+Historical!C70</f>
        <v>Profit / (Loss) for The Year</v>
      </c>
      <c r="G63" s="1011"/>
      <c r="H63" s="1035">
        <f>+Historical!K70</f>
        <v>19105</v>
      </c>
      <c r="I63" s="1036">
        <f t="shared" si="3"/>
        <v>15.464000971306003</v>
      </c>
      <c r="J63" s="1037">
        <f>+J94</f>
        <v>-9756.3589645532011</v>
      </c>
      <c r="K63" s="1011"/>
      <c r="L63" s="1038">
        <f>+L91</f>
        <v>9368.6410354467989</v>
      </c>
      <c r="M63" s="1036">
        <f t="shared" si="4"/>
        <v>3.6085836798436173</v>
      </c>
      <c r="N63" s="1038">
        <f>+N91</f>
        <v>12354.944517918862</v>
      </c>
      <c r="O63" s="1039">
        <f t="shared" si="5"/>
        <v>4.7336074814070646</v>
      </c>
      <c r="P63" s="1038">
        <f>+P91</f>
        <v>16044.633605961501</v>
      </c>
      <c r="Q63" s="1036">
        <f t="shared" si="6"/>
        <v>6.2261699044047214</v>
      </c>
      <c r="R63" s="1038">
        <f>+R91</f>
        <v>19956.632853663814</v>
      </c>
      <c r="S63" s="1036">
        <f t="shared" si="7"/>
        <v>7.8330751642739864</v>
      </c>
      <c r="T63" s="1038">
        <f>+T91</f>
        <v>24360.40542601826</v>
      </c>
      <c r="U63" s="1040">
        <f t="shared" si="8"/>
        <v>8.9693429154114295</v>
      </c>
      <c r="V63" s="1010"/>
      <c r="W63" s="1033">
        <f t="shared" ref="W63:W64" si="58">+W62+1</f>
        <v>55</v>
      </c>
      <c r="X63" s="1034" t="str">
        <f t="shared" si="9"/>
        <v>Profit / (Loss) for The Year</v>
      </c>
      <c r="Y63" s="1011"/>
      <c r="Z63" s="1012">
        <f>Z94</f>
        <v>4853.4917850491584</v>
      </c>
      <c r="AA63" s="1013">
        <f t="shared" si="42"/>
        <v>1.6531370085131492</v>
      </c>
      <c r="AB63" s="1012">
        <f>AB94</f>
        <v>4853.4917850491584</v>
      </c>
      <c r="AC63" s="1013">
        <f t="shared" si="11"/>
        <v>1.6038587794747248</v>
      </c>
      <c r="AD63" s="1012">
        <f>AD94</f>
        <v>4853.4917850491584</v>
      </c>
      <c r="AE63" s="1013">
        <f t="shared" si="12"/>
        <v>1.5785412077269694</v>
      </c>
      <c r="AF63" s="1012">
        <f>AF94</f>
        <v>4853.4917850491584</v>
      </c>
      <c r="AG63" s="1013">
        <f t="shared" si="13"/>
        <v>1.5540105114316127</v>
      </c>
      <c r="AH63" s="1012">
        <f>AH94</f>
        <v>4853.4917850491584</v>
      </c>
      <c r="AI63" s="1014">
        <f t="shared" si="14"/>
        <v>1.5302305675625512</v>
      </c>
      <c r="AJ63" s="939"/>
      <c r="AK63" s="939"/>
      <c r="AL63" s="939"/>
      <c r="AM63" s="939"/>
      <c r="AN63" s="939"/>
    </row>
    <row r="64" spans="1:40" ht="15" customHeight="1">
      <c r="A64" s="939"/>
      <c r="B64" s="939"/>
      <c r="C64" s="939"/>
      <c r="D64" s="952"/>
      <c r="E64" s="1015">
        <f t="shared" si="57"/>
        <v>56</v>
      </c>
      <c r="F64" s="1016" t="str">
        <f>+Historical!C71</f>
        <v>Profit/(Loss) Adjustments</v>
      </c>
      <c r="G64" s="1017"/>
      <c r="H64" s="1018">
        <f>+Historical!K71</f>
        <v>-19021</v>
      </c>
      <c r="I64" s="1021">
        <f t="shared" si="3"/>
        <v>-15.396009551175686</v>
      </c>
      <c r="J64" s="1041">
        <v>0</v>
      </c>
      <c r="K64" s="1400"/>
      <c r="L64" s="1387">
        <f>IF(MONTH(H7)&lt;12,H64,J64)</f>
        <v>-19021</v>
      </c>
      <c r="M64" s="1021">
        <f t="shared" si="4"/>
        <v>-7.3264489390303558</v>
      </c>
      <c r="N64" s="1042">
        <v>0</v>
      </c>
      <c r="O64" s="1019">
        <f t="shared" si="5"/>
        <v>0</v>
      </c>
      <c r="P64" s="1022">
        <f>+N64</f>
        <v>0</v>
      </c>
      <c r="Q64" s="1021">
        <f t="shared" si="6"/>
        <v>0</v>
      </c>
      <c r="R64" s="1022">
        <f>+P64</f>
        <v>0</v>
      </c>
      <c r="S64" s="1021">
        <f t="shared" si="7"/>
        <v>0</v>
      </c>
      <c r="T64" s="1022">
        <f>+R64</f>
        <v>0</v>
      </c>
      <c r="U64" s="1023">
        <f t="shared" si="8"/>
        <v>0</v>
      </c>
      <c r="V64" s="1010"/>
      <c r="W64" s="1015">
        <f t="shared" si="58"/>
        <v>56</v>
      </c>
      <c r="X64" s="1016" t="str">
        <f t="shared" si="9"/>
        <v>Profit/(Loss) Adjustments</v>
      </c>
      <c r="Y64" s="1017"/>
      <c r="Z64" s="1022">
        <f>+T64</f>
        <v>0</v>
      </c>
      <c r="AA64" s="1024">
        <f t="shared" si="42"/>
        <v>0</v>
      </c>
      <c r="AB64" s="1022">
        <f>+Z64</f>
        <v>0</v>
      </c>
      <c r="AC64" s="1024">
        <f t="shared" si="11"/>
        <v>0</v>
      </c>
      <c r="AD64" s="1022">
        <f>+AB64</f>
        <v>0</v>
      </c>
      <c r="AE64" s="1024">
        <f t="shared" si="12"/>
        <v>0</v>
      </c>
      <c r="AF64" s="1022">
        <f>+AD64</f>
        <v>0</v>
      </c>
      <c r="AG64" s="1024">
        <f t="shared" si="13"/>
        <v>0</v>
      </c>
      <c r="AH64" s="1022">
        <f>+AF64</f>
        <v>0</v>
      </c>
      <c r="AI64" s="1025">
        <f t="shared" si="14"/>
        <v>0</v>
      </c>
      <c r="AJ64" s="939"/>
      <c r="AK64" s="939"/>
      <c r="AL64" s="939"/>
      <c r="AM64" s="939"/>
      <c r="AN64" s="939"/>
    </row>
    <row r="65" spans="1:40" ht="15" customHeight="1">
      <c r="A65" s="939"/>
      <c r="B65" s="939"/>
      <c r="C65" s="939"/>
      <c r="D65" s="952"/>
      <c r="E65" s="1043">
        <f>E64+1</f>
        <v>57</v>
      </c>
      <c r="F65" s="982" t="str">
        <f>+Historical!C72</f>
        <v>Total Equity</v>
      </c>
      <c r="G65" s="1044"/>
      <c r="H65" s="987">
        <f>SUM(H54:H64)</f>
        <v>51376</v>
      </c>
      <c r="I65" s="998">
        <f t="shared" si="3"/>
        <v>41.584847626370959</v>
      </c>
      <c r="J65" s="1045">
        <f>SUM(J54:J64)</f>
        <v>67624.841035446792</v>
      </c>
      <c r="K65" s="1044"/>
      <c r="L65" s="1046">
        <f>SUM(L54:L64)</f>
        <v>67644.841035446792</v>
      </c>
      <c r="M65" s="998">
        <f t="shared" si="4"/>
        <v>26.05522705614985</v>
      </c>
      <c r="N65" s="1045">
        <f>SUM(N54:N64)</f>
        <v>79999.785553365655</v>
      </c>
      <c r="O65" s="996">
        <f t="shared" si="5"/>
        <v>30.650690730107854</v>
      </c>
      <c r="P65" s="997">
        <f>SUM(P54:P64)</f>
        <v>96044.419159327153</v>
      </c>
      <c r="Q65" s="998">
        <f t="shared" si="6"/>
        <v>37.270335162633309</v>
      </c>
      <c r="R65" s="1045">
        <f>SUM(R54:R64)</f>
        <v>116001.05201299099</v>
      </c>
      <c r="S65" s="998">
        <f t="shared" si="7"/>
        <v>45.530975401283577</v>
      </c>
      <c r="T65" s="1045">
        <f>SUM(T54:T64)</f>
        <v>140361.45743900922</v>
      </c>
      <c r="U65" s="999">
        <f t="shared" si="8"/>
        <v>51.680176165408639</v>
      </c>
      <c r="V65" s="1047"/>
      <c r="W65" s="1043">
        <f>W64+1</f>
        <v>57</v>
      </c>
      <c r="X65" s="982" t="str">
        <f t="shared" si="9"/>
        <v>Total Equity</v>
      </c>
      <c r="Y65" s="1044"/>
      <c r="Z65" s="997">
        <f>SUM(Z54:Z64)</f>
        <v>145214.94922405836</v>
      </c>
      <c r="AA65" s="1000">
        <f t="shared" si="42"/>
        <v>49.461339873106894</v>
      </c>
      <c r="AB65" s="997">
        <f>SUM(AB54:AB64)</f>
        <v>150068.44100910754</v>
      </c>
      <c r="AC65" s="1000">
        <f t="shared" si="11"/>
        <v>49.590809523149147</v>
      </c>
      <c r="AD65" s="997">
        <f>SUM(AD54:AD64)</f>
        <v>154921.93279415672</v>
      </c>
      <c r="AE65" s="1000">
        <f t="shared" si="12"/>
        <v>50.386539367307812</v>
      </c>
      <c r="AF65" s="997">
        <f>SUM(AF54:AF64)</f>
        <v>159775.42457920586</v>
      </c>
      <c r="AG65" s="1000">
        <f t="shared" si="13"/>
        <v>51.157537760624841</v>
      </c>
      <c r="AH65" s="997">
        <f>SUM(AH54:AH64)</f>
        <v>164628.91636425501</v>
      </c>
      <c r="AI65" s="1001">
        <f t="shared" si="14"/>
        <v>51.904940047761947</v>
      </c>
      <c r="AJ65" s="939"/>
      <c r="AK65" s="939"/>
      <c r="AL65" s="939"/>
      <c r="AM65" s="939"/>
      <c r="AN65" s="939"/>
    </row>
    <row r="66" spans="1:40" ht="15" customHeight="1">
      <c r="A66" s="939"/>
      <c r="B66" s="939"/>
      <c r="C66" s="939"/>
      <c r="D66" s="980"/>
      <c r="E66" s="1043">
        <f>+E65+1</f>
        <v>58</v>
      </c>
      <c r="F66" s="982" t="str">
        <f>+Historical!C73</f>
        <v>TOTAL LIABILITIES &amp; EQUITY</v>
      </c>
      <c r="G66" s="983"/>
      <c r="H66" s="1046">
        <f>H53+H65</f>
        <v>123545</v>
      </c>
      <c r="I66" s="998">
        <f t="shared" si="3"/>
        <v>100</v>
      </c>
      <c r="J66" s="1045">
        <f>J53+J65</f>
        <v>259601</v>
      </c>
      <c r="K66" s="983"/>
      <c r="L66" s="1046">
        <f>L53+L65</f>
        <v>259621</v>
      </c>
      <c r="M66" s="998">
        <f t="shared" si="4"/>
        <v>100</v>
      </c>
      <c r="N66" s="997">
        <f>N53+N65</f>
        <v>261004.83756727446</v>
      </c>
      <c r="O66" s="996">
        <f t="shared" si="5"/>
        <v>100</v>
      </c>
      <c r="P66" s="997">
        <f>P53+P65</f>
        <v>257696.68756727438</v>
      </c>
      <c r="Q66" s="998">
        <f t="shared" si="6"/>
        <v>100</v>
      </c>
      <c r="R66" s="997">
        <f>R53+R65</f>
        <v>254773.92256727445</v>
      </c>
      <c r="S66" s="998">
        <f t="shared" si="7"/>
        <v>100</v>
      </c>
      <c r="T66" s="997">
        <f>T53+T65</f>
        <v>271596.32155619096</v>
      </c>
      <c r="U66" s="999">
        <f t="shared" si="8"/>
        <v>100</v>
      </c>
      <c r="V66" s="1047"/>
      <c r="W66" s="1043">
        <f>+W65+1</f>
        <v>58</v>
      </c>
      <c r="X66" s="982" t="str">
        <f t="shared" si="9"/>
        <v>TOTAL LIABILITIES &amp; EQUITY</v>
      </c>
      <c r="Y66" s="983"/>
      <c r="Z66" s="997">
        <f>Z53+Z65</f>
        <v>293592.83350715414</v>
      </c>
      <c r="AA66" s="1000">
        <f t="shared" si="42"/>
        <v>100</v>
      </c>
      <c r="AB66" s="997">
        <f>AB53+AB65</f>
        <v>302613.41254986997</v>
      </c>
      <c r="AC66" s="1000">
        <f t="shared" si="11"/>
        <v>100</v>
      </c>
      <c r="AD66" s="997">
        <f>AD53+AD65</f>
        <v>307466.90433491918</v>
      </c>
      <c r="AE66" s="1000">
        <f t="shared" si="12"/>
        <v>100</v>
      </c>
      <c r="AF66" s="997">
        <f>AF53+AF65</f>
        <v>312320.39611996833</v>
      </c>
      <c r="AG66" s="1000">
        <f t="shared" si="13"/>
        <v>100</v>
      </c>
      <c r="AH66" s="997">
        <f>AH53+AH65</f>
        <v>317173.88790501747</v>
      </c>
      <c r="AI66" s="1001">
        <f t="shared" si="14"/>
        <v>100</v>
      </c>
      <c r="AJ66" s="939"/>
      <c r="AK66" s="939"/>
      <c r="AL66" s="939"/>
      <c r="AM66" s="939"/>
      <c r="AN66" s="939"/>
    </row>
    <row r="67" spans="1:40" ht="15" customHeight="1">
      <c r="A67" s="939"/>
      <c r="B67" s="939"/>
      <c r="C67" s="939"/>
      <c r="D67" s="939"/>
      <c r="E67" s="1048"/>
      <c r="F67" s="1049" t="s">
        <v>373</v>
      </c>
      <c r="G67" s="983"/>
      <c r="H67" s="1050">
        <f>H66-H27</f>
        <v>0</v>
      </c>
      <c r="I67" s="983"/>
      <c r="J67" s="1050">
        <f>J66-J27</f>
        <v>-10</v>
      </c>
      <c r="K67" s="983"/>
      <c r="L67" s="1402">
        <f>L66-L27</f>
        <v>10</v>
      </c>
      <c r="M67" s="1050"/>
      <c r="N67" s="1050">
        <f>N66-N27</f>
        <v>10</v>
      </c>
      <c r="O67" s="1050"/>
      <c r="P67" s="1050">
        <f>P66-P27</f>
        <v>9.9999999999417923</v>
      </c>
      <c r="Q67" s="1050"/>
      <c r="R67" s="1050">
        <f>R66-R27</f>
        <v>9.9999999999708962</v>
      </c>
      <c r="S67" s="1051"/>
      <c r="T67" s="1050">
        <f>T66-T27</f>
        <v>10</v>
      </c>
      <c r="U67" s="1052"/>
      <c r="V67" s="1053"/>
      <c r="W67" s="1048"/>
      <c r="X67" s="1049" t="s">
        <v>373</v>
      </c>
      <c r="Y67" s="983"/>
      <c r="Z67" s="1050">
        <f>Z66-Z27</f>
        <v>-1670</v>
      </c>
      <c r="AA67" s="1051"/>
      <c r="AB67" s="1050">
        <f>AB66-AB27</f>
        <v>-1670</v>
      </c>
      <c r="AC67" s="1051"/>
      <c r="AD67" s="1050">
        <f>AD66-AD27</f>
        <v>-1669.9999999998836</v>
      </c>
      <c r="AE67" s="1051"/>
      <c r="AF67" s="1050">
        <f>AF66-AF27</f>
        <v>-1669.9999999998254</v>
      </c>
      <c r="AG67" s="1051"/>
      <c r="AH67" s="1050">
        <f>AH66-AH27</f>
        <v>-1669.9999999997672</v>
      </c>
      <c r="AI67" s="1052"/>
      <c r="AJ67" s="939"/>
      <c r="AK67" s="939"/>
      <c r="AL67" s="939"/>
      <c r="AM67" s="939"/>
      <c r="AN67" s="939"/>
    </row>
    <row r="68" spans="1:40" ht="15" customHeight="1">
      <c r="A68" s="939"/>
      <c r="B68" s="947"/>
      <c r="C68" s="939"/>
      <c r="D68" s="939"/>
      <c r="E68" s="939"/>
      <c r="F68" s="939"/>
      <c r="G68" s="939"/>
      <c r="H68" s="939"/>
      <c r="I68" s="939"/>
      <c r="J68" s="939"/>
      <c r="K68" s="939"/>
      <c r="L68" s="939"/>
      <c r="M68" s="939"/>
      <c r="N68" s="939"/>
      <c r="O68" s="939"/>
      <c r="P68" s="939"/>
      <c r="Q68" s="939"/>
      <c r="R68" s="939"/>
      <c r="S68" s="939"/>
      <c r="T68" s="939"/>
      <c r="U68" s="939"/>
      <c r="V68" s="939"/>
      <c r="W68" s="939"/>
      <c r="X68" s="939"/>
      <c r="Y68" s="939"/>
      <c r="Z68" s="939"/>
      <c r="AA68" s="939"/>
      <c r="AB68" s="939"/>
      <c r="AC68" s="939"/>
      <c r="AD68" s="939"/>
      <c r="AE68" s="939"/>
      <c r="AF68" s="939"/>
      <c r="AG68" s="939"/>
      <c r="AH68" s="939"/>
      <c r="AI68" s="939"/>
      <c r="AJ68" s="939"/>
      <c r="AK68" s="939"/>
      <c r="AL68" s="939"/>
      <c r="AM68" s="939"/>
      <c r="AN68" s="939"/>
    </row>
    <row r="69" spans="1:40" ht="15" customHeight="1">
      <c r="A69" s="939"/>
      <c r="B69" s="947"/>
      <c r="C69" s="939"/>
      <c r="D69" s="939"/>
      <c r="E69" s="939"/>
      <c r="F69" s="939"/>
      <c r="G69" s="939"/>
      <c r="H69" s="939"/>
      <c r="I69" s="939"/>
      <c r="J69" s="939"/>
      <c r="K69" s="939"/>
      <c r="L69" s="939"/>
      <c r="M69" s="939"/>
      <c r="N69" s="939"/>
      <c r="O69" s="939"/>
      <c r="P69" s="939"/>
      <c r="Q69" s="939"/>
      <c r="R69" s="939"/>
      <c r="S69" s="939"/>
      <c r="T69" s="939"/>
      <c r="U69" s="939"/>
      <c r="V69" s="939"/>
      <c r="W69" s="939"/>
      <c r="X69" s="939"/>
      <c r="Y69" s="939"/>
      <c r="Z69" s="939"/>
      <c r="AA69" s="939"/>
      <c r="AB69" s="939"/>
      <c r="AC69" s="939"/>
      <c r="AD69" s="939"/>
      <c r="AE69" s="939"/>
      <c r="AF69" s="939"/>
      <c r="AG69" s="939"/>
      <c r="AH69" s="939"/>
      <c r="AI69" s="939"/>
      <c r="AJ69" s="939"/>
      <c r="AK69" s="939"/>
      <c r="AL69" s="939"/>
      <c r="AM69" s="939"/>
      <c r="AN69" s="939"/>
    </row>
    <row r="70" spans="1:40" ht="15" customHeight="1">
      <c r="A70" s="939"/>
      <c r="B70" s="1551"/>
      <c r="C70" s="1552"/>
      <c r="D70" s="1122"/>
      <c r="E70" s="1556" t="s">
        <v>203</v>
      </c>
      <c r="F70" s="1557"/>
      <c r="G70" s="1557"/>
      <c r="H70" s="1557"/>
      <c r="I70" s="1557"/>
      <c r="J70" s="1557"/>
      <c r="K70" s="1557"/>
      <c r="L70" s="1557"/>
      <c r="M70" s="1557"/>
      <c r="N70" s="1557"/>
      <c r="O70" s="1557"/>
      <c r="P70" s="1557"/>
      <c r="Q70" s="1557"/>
      <c r="R70" s="1557"/>
      <c r="S70" s="1557"/>
      <c r="T70" s="1557"/>
      <c r="U70" s="1552"/>
      <c r="V70" s="947"/>
      <c r="W70" s="1556" t="str">
        <f>+E70</f>
        <v>PROFIT &amp; LOSS STATEMENT</v>
      </c>
      <c r="X70" s="1557"/>
      <c r="Y70" s="1557"/>
      <c r="Z70" s="1557"/>
      <c r="AA70" s="1557"/>
      <c r="AB70" s="1557"/>
      <c r="AC70" s="1557"/>
      <c r="AD70" s="1557"/>
      <c r="AE70" s="1557"/>
      <c r="AF70" s="1557"/>
      <c r="AG70" s="1557"/>
      <c r="AH70" s="1557"/>
      <c r="AI70" s="1552"/>
      <c r="AJ70" s="939"/>
      <c r="AK70" s="939"/>
      <c r="AL70" s="939"/>
      <c r="AM70" s="939"/>
      <c r="AN70" s="939"/>
    </row>
    <row r="71" spans="1:40" ht="15" customHeight="1">
      <c r="A71" s="939"/>
      <c r="B71" s="1553"/>
      <c r="C71" s="1552"/>
      <c r="D71" s="917"/>
      <c r="E71" s="1559" t="str">
        <f t="shared" ref="E71:E72" si="59">+E6</f>
        <v>Financial Statement Unit</v>
      </c>
      <c r="F71" s="1560"/>
      <c r="G71" s="1561"/>
      <c r="H71" s="1562" t="str">
        <f t="shared" ref="H71:H72" si="60">+H6</f>
        <v>HISTORICAL</v>
      </c>
      <c r="I71" s="1552"/>
      <c r="J71" s="1403"/>
      <c r="K71" s="1404"/>
      <c r="L71" s="1558" t="str">
        <f t="shared" ref="L71:L72" si="61">+L6</f>
        <v>PROJECTION</v>
      </c>
      <c r="M71" s="1557"/>
      <c r="N71" s="1557"/>
      <c r="O71" s="1557"/>
      <c r="P71" s="1557"/>
      <c r="Q71" s="1557"/>
      <c r="R71" s="1557"/>
      <c r="S71" s="1557"/>
      <c r="T71" s="1557"/>
      <c r="U71" s="1552"/>
      <c r="V71" s="919"/>
      <c r="W71" s="1559" t="str">
        <f t="shared" ref="W71:W72" si="62">+W6</f>
        <v>Financial Statement Unit</v>
      </c>
      <c r="X71" s="1560"/>
      <c r="Y71" s="1560"/>
      <c r="Z71" s="1573" t="str">
        <f>+L71</f>
        <v>PROJECTION</v>
      </c>
      <c r="AA71" s="1574"/>
      <c r="AB71" s="1574"/>
      <c r="AC71" s="1574"/>
      <c r="AD71" s="1574"/>
      <c r="AE71" s="1574"/>
      <c r="AF71" s="1574"/>
      <c r="AG71" s="1574"/>
      <c r="AH71" s="1574"/>
      <c r="AI71" s="1575"/>
      <c r="AJ71" s="939"/>
      <c r="AK71" s="939"/>
      <c r="AL71" s="939"/>
      <c r="AM71" s="939"/>
      <c r="AN71" s="939"/>
    </row>
    <row r="72" spans="1:40" ht="15" customHeight="1">
      <c r="A72" s="939"/>
      <c r="B72" s="920">
        <f>+H7</f>
        <v>45473</v>
      </c>
      <c r="C72" s="921">
        <v>90</v>
      </c>
      <c r="D72" s="918"/>
      <c r="E72" s="1549" t="str">
        <f t="shared" si="59"/>
        <v>IDR Million</v>
      </c>
      <c r="F72" s="1494"/>
      <c r="G72" s="1550"/>
      <c r="H72" s="922">
        <f t="shared" si="60"/>
        <v>45473</v>
      </c>
      <c r="I72" s="921">
        <f>+MONTH(H72)*30</f>
        <v>180</v>
      </c>
      <c r="J72" s="1405"/>
      <c r="K72" s="1406"/>
      <c r="L72" s="1407">
        <f t="shared" si="61"/>
        <v>45657</v>
      </c>
      <c r="M72" s="923">
        <v>360</v>
      </c>
      <c r="N72" s="920">
        <f>+N7</f>
        <v>46022</v>
      </c>
      <c r="O72" s="924">
        <v>360</v>
      </c>
      <c r="P72" s="920">
        <f>+P7</f>
        <v>46387</v>
      </c>
      <c r="Q72" s="923">
        <v>360</v>
      </c>
      <c r="R72" s="920">
        <f>+R7</f>
        <v>46752</v>
      </c>
      <c r="S72" s="924">
        <v>360</v>
      </c>
      <c r="T72" s="920">
        <f>+T7</f>
        <v>47118</v>
      </c>
      <c r="U72" s="921">
        <v>360</v>
      </c>
      <c r="V72" s="925"/>
      <c r="W72" s="1549" t="str">
        <f t="shared" si="62"/>
        <v>IDR Million</v>
      </c>
      <c r="X72" s="1494"/>
      <c r="Y72" s="1494"/>
      <c r="Z72" s="926">
        <f>+Z7</f>
        <v>47483</v>
      </c>
      <c r="AA72" s="927">
        <v>360</v>
      </c>
      <c r="AB72" s="926">
        <f>+AB7</f>
        <v>47848</v>
      </c>
      <c r="AC72" s="927">
        <v>360</v>
      </c>
      <c r="AD72" s="926">
        <f>+AD7</f>
        <v>48213</v>
      </c>
      <c r="AE72" s="927">
        <v>360</v>
      </c>
      <c r="AF72" s="926">
        <f>+AF7</f>
        <v>48579</v>
      </c>
      <c r="AG72" s="927">
        <v>360</v>
      </c>
      <c r="AH72" s="926">
        <f>+AH7</f>
        <v>48944</v>
      </c>
      <c r="AI72" s="928">
        <v>360</v>
      </c>
      <c r="AJ72" s="939"/>
      <c r="AK72" s="939"/>
      <c r="AL72" s="939"/>
      <c r="AM72" s="939"/>
      <c r="AN72" s="939"/>
    </row>
    <row r="73" spans="1:40" ht="15" customHeight="1">
      <c r="A73" s="939"/>
      <c r="B73" s="929" t="s">
        <v>87</v>
      </c>
      <c r="C73" s="930" t="s">
        <v>86</v>
      </c>
      <c r="D73" s="931"/>
      <c r="E73" s="932"/>
      <c r="F73" s="933"/>
      <c r="G73" s="934"/>
      <c r="H73" s="935" t="s">
        <v>650</v>
      </c>
      <c r="I73" s="930" t="s">
        <v>86</v>
      </c>
      <c r="J73" s="1408"/>
      <c r="K73" s="1409"/>
      <c r="L73" s="1410" t="s">
        <v>650</v>
      </c>
      <c r="M73" s="936" t="s">
        <v>86</v>
      </c>
      <c r="N73" s="929" t="s">
        <v>650</v>
      </c>
      <c r="O73" s="937" t="s">
        <v>86</v>
      </c>
      <c r="P73" s="929" t="s">
        <v>650</v>
      </c>
      <c r="Q73" s="936" t="s">
        <v>86</v>
      </c>
      <c r="R73" s="929" t="s">
        <v>650</v>
      </c>
      <c r="S73" s="937" t="s">
        <v>86</v>
      </c>
      <c r="T73" s="929" t="s">
        <v>650</v>
      </c>
      <c r="U73" s="930" t="s">
        <v>86</v>
      </c>
      <c r="V73" s="938"/>
      <c r="W73" s="932"/>
      <c r="X73" s="933"/>
      <c r="Y73" s="933"/>
      <c r="Z73" s="929" t="s">
        <v>87</v>
      </c>
      <c r="AA73" s="936" t="s">
        <v>86</v>
      </c>
      <c r="AB73" s="929" t="s">
        <v>87</v>
      </c>
      <c r="AC73" s="936" t="s">
        <v>86</v>
      </c>
      <c r="AD73" s="929" t="s">
        <v>87</v>
      </c>
      <c r="AE73" s="936" t="s">
        <v>86</v>
      </c>
      <c r="AF73" s="929" t="s">
        <v>87</v>
      </c>
      <c r="AG73" s="936" t="s">
        <v>86</v>
      </c>
      <c r="AH73" s="929" t="s">
        <v>87</v>
      </c>
      <c r="AI73" s="930" t="s">
        <v>86</v>
      </c>
      <c r="AJ73" s="939"/>
      <c r="AK73" s="939"/>
      <c r="AL73" s="939"/>
      <c r="AM73" s="939"/>
      <c r="AN73" s="939"/>
    </row>
    <row r="74" spans="1:40" ht="15" customHeight="1" thickBot="1">
      <c r="A74" s="939"/>
      <c r="B74" s="939"/>
      <c r="C74" s="939"/>
      <c r="D74" s="952"/>
      <c r="E74" s="953">
        <v>1</v>
      </c>
      <c r="F74" s="954" t="str">
        <f>Historical!C105</f>
        <v>Sales</v>
      </c>
      <c r="G74" s="1054"/>
      <c r="H74" s="956">
        <f>+Historical!K105</f>
        <v>130000</v>
      </c>
      <c r="I74" s="1005">
        <f t="shared" ref="I74:I94" si="63">IF(H$74=0,0,H74/H$74*100)</f>
        <v>100</v>
      </c>
      <c r="J74" s="1411">
        <f>+CF!U10</f>
        <v>2000</v>
      </c>
      <c r="K74" s="1412"/>
      <c r="L74" s="1055">
        <f>+IF(MONTH(Historical!$K$13)=12,J74,J74+H74)</f>
        <v>132000</v>
      </c>
      <c r="M74" s="957">
        <f t="shared" ref="M74:M94" si="64">IF(L$74=0,0,L74/L$74*100)</f>
        <v>100</v>
      </c>
      <c r="N74" s="1003">
        <f>CF!AH10</f>
        <v>157300</v>
      </c>
      <c r="O74" s="957">
        <f t="shared" ref="O74:O94" si="65">IF(N$74=0,0,N74/N$74*100)</f>
        <v>100</v>
      </c>
      <c r="P74" s="1003">
        <f>CF!AU10</f>
        <v>173029.99999999997</v>
      </c>
      <c r="Q74" s="957">
        <f t="shared" ref="Q74:Q94" si="66">IF(P$74=0,0,P74/P$74*100)</f>
        <v>100</v>
      </c>
      <c r="R74" s="1003">
        <f>CF!BH10</f>
        <v>190333.00000000006</v>
      </c>
      <c r="S74" s="957">
        <f t="shared" ref="S74:S94" si="67">IF(R$74=0,0,R74/R$74*100)</f>
        <v>100</v>
      </c>
      <c r="T74" s="1003">
        <f>+CF!BU10</f>
        <v>209366.30000000005</v>
      </c>
      <c r="U74" s="963">
        <f t="shared" ref="U74:U94" si="68">IF(T$74=0,0,T74/T$74*100)</f>
        <v>100</v>
      </c>
      <c r="V74" s="1010"/>
      <c r="W74" s="953">
        <v>1</v>
      </c>
      <c r="X74" s="954" t="str">
        <f t="shared" ref="X74:X94" si="69">+F74</f>
        <v>Sales</v>
      </c>
      <c r="Y74" s="1054"/>
      <c r="Z74" s="1003">
        <f>+CF!CH10</f>
        <v>209366.30000000005</v>
      </c>
      <c r="AA74" s="957">
        <f t="shared" ref="AA74:AA94" si="70">IF(Z$74=0,0,Z74/Z$74*100)</f>
        <v>100</v>
      </c>
      <c r="AB74" s="1003">
        <f>+CF!CU10</f>
        <v>209366.30000000005</v>
      </c>
      <c r="AC74" s="957">
        <f t="shared" ref="AC74:AC94" si="71">IF(AB$74=0,0,AB74/AB$74*100)</f>
        <v>100</v>
      </c>
      <c r="AD74" s="1003">
        <f>+CF!DH10</f>
        <v>209366.30000000005</v>
      </c>
      <c r="AE74" s="957">
        <f t="shared" ref="AE74:AE94" si="72">IF(AD$74=0,0,AD74/AD$74*100)</f>
        <v>100</v>
      </c>
      <c r="AF74" s="1003">
        <f>+CF!DU10</f>
        <v>209366.30000000005</v>
      </c>
      <c r="AG74" s="957">
        <f t="shared" ref="AG74:AG94" si="73">IF(AF$74=0,0,AF74/AF$74*100)</f>
        <v>100</v>
      </c>
      <c r="AH74" s="1003">
        <f>+CF!EH10</f>
        <v>209366.30000000005</v>
      </c>
      <c r="AI74" s="963">
        <f t="shared" ref="AI74:AI94" si="74">IF(AH$74=0,0,AH74/AH$74*100)</f>
        <v>100</v>
      </c>
      <c r="AJ74" s="939"/>
      <c r="AK74" s="939"/>
      <c r="AL74" s="939"/>
      <c r="AM74" s="939"/>
      <c r="AN74" s="939"/>
    </row>
    <row r="75" spans="1:40" ht="15" customHeight="1" thickBot="1">
      <c r="A75" s="939"/>
      <c r="B75" s="939"/>
      <c r="C75" s="939"/>
      <c r="D75" s="952"/>
      <c r="E75" s="1015">
        <v>2</v>
      </c>
      <c r="F75" s="1016" t="str">
        <f>Historical!C106</f>
        <v>Cost of Goods Sold (COGS)</v>
      </c>
      <c r="G75" s="1056"/>
      <c r="H75" s="1018">
        <f>+Historical!K106</f>
        <v>90000</v>
      </c>
      <c r="I75" s="1023">
        <f t="shared" si="63"/>
        <v>69.230769230769226</v>
      </c>
      <c r="J75" s="1413">
        <f>+H13+CF!U15-Projection!J13+CF!U22+CF!U23</f>
        <v>5040</v>
      </c>
      <c r="K75" s="1057"/>
      <c r="L75" s="1055">
        <f>+IF(MONTH(Historical!$K$13)=12,J75,J75+H75)</f>
        <v>95040</v>
      </c>
      <c r="M75" s="1024">
        <f t="shared" si="64"/>
        <v>72</v>
      </c>
      <c r="N75" s="1020">
        <f>+L13-N13+CF!AH15+CF!AH22+CF!AH23</f>
        <v>113256</v>
      </c>
      <c r="O75" s="1024">
        <f t="shared" si="65"/>
        <v>72</v>
      </c>
      <c r="P75" s="1020">
        <f>+'Purchase-Expenses-AP Schedule'!O24</f>
        <v>124581.59999999999</v>
      </c>
      <c r="Q75" s="1024">
        <f t="shared" si="66"/>
        <v>72.000000000000014</v>
      </c>
      <c r="R75" s="1020">
        <f>+'Purchase-Expenses-AP Schedule'!Q24</f>
        <v>137039.76</v>
      </c>
      <c r="S75" s="1024">
        <f t="shared" si="67"/>
        <v>71.999999999999986</v>
      </c>
      <c r="T75" s="1020">
        <f>+'Purchase-Expenses-AP Schedule'!S24</f>
        <v>150743.736</v>
      </c>
      <c r="U75" s="1025">
        <f t="shared" si="68"/>
        <v>71.999999999999986</v>
      </c>
      <c r="V75" s="1010"/>
      <c r="W75" s="1015">
        <v>2</v>
      </c>
      <c r="X75" s="1016" t="str">
        <f t="shared" si="69"/>
        <v>Cost of Goods Sold (COGS)</v>
      </c>
      <c r="Y75" s="1056"/>
      <c r="Z75" s="1020">
        <f>+'Purchase-Expenses-AP Schedule'!U24</f>
        <v>189937.10736000002</v>
      </c>
      <c r="AA75" s="1024">
        <f t="shared" si="70"/>
        <v>90.719999999999985</v>
      </c>
      <c r="AB75" s="1020">
        <f>+'Purchase-Expenses-AP Schedule'!W24</f>
        <v>189937.10736000002</v>
      </c>
      <c r="AC75" s="1024">
        <f t="shared" si="71"/>
        <v>90.719999999999985</v>
      </c>
      <c r="AD75" s="1020">
        <f>+'Purchase-Expenses-AP Schedule'!Y24</f>
        <v>189937.10736000002</v>
      </c>
      <c r="AE75" s="1024">
        <f t="shared" si="72"/>
        <v>90.719999999999985</v>
      </c>
      <c r="AF75" s="1020">
        <f>+'Purchase-Expenses-AP Schedule'!AA24</f>
        <v>189937.10736000002</v>
      </c>
      <c r="AG75" s="1024">
        <f t="shared" si="73"/>
        <v>90.719999999999985</v>
      </c>
      <c r="AH75" s="1020">
        <f>+'Purchase-Expenses-AP Schedule'!AC24</f>
        <v>189937.10736000002</v>
      </c>
      <c r="AI75" s="1025">
        <f t="shared" si="74"/>
        <v>90.719999999999985</v>
      </c>
      <c r="AJ75" s="939"/>
      <c r="AK75" s="939"/>
      <c r="AL75" s="939"/>
      <c r="AM75" s="939"/>
      <c r="AN75" s="939"/>
    </row>
    <row r="76" spans="1:40" ht="15" customHeight="1" thickBot="1">
      <c r="A76" s="939"/>
      <c r="B76" s="939"/>
      <c r="C76" s="939"/>
      <c r="D76" s="952"/>
      <c r="E76" s="981">
        <v>3</v>
      </c>
      <c r="F76" s="954" t="str">
        <f>Historical!C107</f>
        <v>Gross Profit</v>
      </c>
      <c r="G76" s="1058"/>
      <c r="H76" s="987">
        <f>H74-H75</f>
        <v>40000</v>
      </c>
      <c r="I76" s="994">
        <f t="shared" si="63"/>
        <v>30.76923076923077</v>
      </c>
      <c r="J76" s="1414">
        <f>+J74-J75</f>
        <v>-3040</v>
      </c>
      <c r="K76" s="1059"/>
      <c r="L76" s="1415">
        <f>L74-L75</f>
        <v>36960</v>
      </c>
      <c r="M76" s="985">
        <f t="shared" si="64"/>
        <v>28.000000000000004</v>
      </c>
      <c r="N76" s="1060">
        <f>N74-N75</f>
        <v>44044</v>
      </c>
      <c r="O76" s="985">
        <f t="shared" si="65"/>
        <v>28.000000000000004</v>
      </c>
      <c r="P76" s="1060">
        <f>P74-P75</f>
        <v>48448.39999999998</v>
      </c>
      <c r="Q76" s="985">
        <f t="shared" si="66"/>
        <v>27.999999999999993</v>
      </c>
      <c r="R76" s="1060">
        <f>R74-R75</f>
        <v>53293.240000000049</v>
      </c>
      <c r="S76" s="985">
        <f t="shared" si="67"/>
        <v>28.000000000000018</v>
      </c>
      <c r="T76" s="1060">
        <f>T74-T75</f>
        <v>58622.564000000042</v>
      </c>
      <c r="U76" s="990">
        <f t="shared" si="68"/>
        <v>28.000000000000014</v>
      </c>
      <c r="V76" s="1010"/>
      <c r="W76" s="981">
        <v>3</v>
      </c>
      <c r="X76" s="954" t="str">
        <f t="shared" si="69"/>
        <v>Gross Profit</v>
      </c>
      <c r="Y76" s="1058"/>
      <c r="Z76" s="1060">
        <f>Z74-Z75</f>
        <v>19429.192640000023</v>
      </c>
      <c r="AA76" s="985">
        <f t="shared" si="70"/>
        <v>9.2800000000000082</v>
      </c>
      <c r="AB76" s="1060">
        <f>AB74-AB75</f>
        <v>19429.192640000023</v>
      </c>
      <c r="AC76" s="985">
        <f t="shared" si="71"/>
        <v>9.2800000000000082</v>
      </c>
      <c r="AD76" s="1060">
        <f>AD74-AD75</f>
        <v>19429.192640000023</v>
      </c>
      <c r="AE76" s="985">
        <f t="shared" si="72"/>
        <v>9.2800000000000082</v>
      </c>
      <c r="AF76" s="1060">
        <f>AF74-AF75</f>
        <v>19429.192640000023</v>
      </c>
      <c r="AG76" s="985">
        <f t="shared" si="73"/>
        <v>9.2800000000000082</v>
      </c>
      <c r="AH76" s="1060">
        <f>AH74-AH75</f>
        <v>19429.192640000023</v>
      </c>
      <c r="AI76" s="990">
        <f t="shared" si="74"/>
        <v>9.2800000000000082</v>
      </c>
      <c r="AJ76" s="939"/>
      <c r="AK76" s="939"/>
      <c r="AL76" s="939"/>
      <c r="AM76" s="939"/>
      <c r="AN76" s="939"/>
    </row>
    <row r="77" spans="1:40" ht="15" customHeight="1" thickBot="1">
      <c r="A77" s="939"/>
      <c r="B77" s="939"/>
      <c r="C77" s="939"/>
      <c r="D77" s="952"/>
      <c r="E77" s="981">
        <v>4</v>
      </c>
      <c r="F77" s="954" t="str">
        <f>Historical!C108</f>
        <v>Selling, General &amp; Administrative Expenses (SG&amp;A)</v>
      </c>
      <c r="G77" s="1058"/>
      <c r="H77" s="987">
        <f>+Historical!K108</f>
        <v>7000</v>
      </c>
      <c r="I77" s="994">
        <f t="shared" si="63"/>
        <v>5.384615384615385</v>
      </c>
      <c r="J77" s="1414">
        <f>+CF!U24</f>
        <v>-400.00000000000006</v>
      </c>
      <c r="K77" s="1059"/>
      <c r="L77" s="1055">
        <f>+IF(MONTH(Historical!$K$13)=12,J77,J77+H77)</f>
        <v>6600</v>
      </c>
      <c r="M77" s="985">
        <f t="shared" si="64"/>
        <v>5</v>
      </c>
      <c r="N77" s="1060">
        <f>CF!AH24</f>
        <v>7865.0000000000009</v>
      </c>
      <c r="O77" s="985">
        <f t="shared" si="65"/>
        <v>5</v>
      </c>
      <c r="P77" s="1060">
        <f>CF!AU24</f>
        <v>8651.4999999999982</v>
      </c>
      <c r="Q77" s="985">
        <f t="shared" si="66"/>
        <v>5</v>
      </c>
      <c r="R77" s="1060">
        <f>CF!BH24</f>
        <v>9516.6500000000015</v>
      </c>
      <c r="S77" s="985">
        <f t="shared" si="67"/>
        <v>4.9999999999999991</v>
      </c>
      <c r="T77" s="1060">
        <f>+CF!BU24</f>
        <v>10468.315000000002</v>
      </c>
      <c r="U77" s="990">
        <f t="shared" si="68"/>
        <v>5</v>
      </c>
      <c r="V77" s="1010"/>
      <c r="W77" s="981">
        <v>4</v>
      </c>
      <c r="X77" s="954" t="str">
        <f t="shared" si="69"/>
        <v>Selling, General &amp; Administrative Expenses (SG&amp;A)</v>
      </c>
      <c r="Y77" s="1058"/>
      <c r="Z77" s="1060">
        <f>+'Purchase-Expenses-AP Schedule'!U25</f>
        <v>3650.940784021343</v>
      </c>
      <c r="AA77" s="985">
        <f t="shared" si="70"/>
        <v>1.7438053707885857</v>
      </c>
      <c r="AB77" s="1060">
        <f>+'Purchase-Expenses-AP Schedule'!W25</f>
        <v>3650.940784021343</v>
      </c>
      <c r="AC77" s="985">
        <f t="shared" si="71"/>
        <v>1.7438053707885857</v>
      </c>
      <c r="AD77" s="1060">
        <f>+'Purchase-Expenses-AP Schedule'!Y25</f>
        <v>3650.940784021343</v>
      </c>
      <c r="AE77" s="985">
        <f t="shared" si="72"/>
        <v>1.7438053707885857</v>
      </c>
      <c r="AF77" s="1060">
        <f>+'Purchase-Expenses-AP Schedule'!AA25</f>
        <v>3650.940784021343</v>
      </c>
      <c r="AG77" s="985">
        <f t="shared" si="73"/>
        <v>1.7438053707885857</v>
      </c>
      <c r="AH77" s="1060">
        <f>+'Purchase-Expenses-AP Schedule'!AC25</f>
        <v>3650.940784021343</v>
      </c>
      <c r="AI77" s="990">
        <f t="shared" si="74"/>
        <v>1.7438053707885857</v>
      </c>
      <c r="AJ77" s="939"/>
      <c r="AK77" s="939"/>
      <c r="AL77" s="939"/>
      <c r="AM77" s="939"/>
      <c r="AN77" s="939"/>
    </row>
    <row r="78" spans="1:40" ht="15" customHeight="1" thickBot="1">
      <c r="A78" s="939"/>
      <c r="B78" s="939"/>
      <c r="C78" s="939"/>
      <c r="D78" s="952"/>
      <c r="E78" s="981">
        <v>5</v>
      </c>
      <c r="F78" s="954" t="str">
        <f>Historical!C109</f>
        <v>Operating Profit</v>
      </c>
      <c r="G78" s="1058"/>
      <c r="H78" s="987">
        <f>H76-H77</f>
        <v>33000</v>
      </c>
      <c r="I78" s="994">
        <f t="shared" si="63"/>
        <v>25.384615384615383</v>
      </c>
      <c r="J78" s="1414">
        <f>+J76-J77</f>
        <v>-2640</v>
      </c>
      <c r="K78" s="1059"/>
      <c r="L78" s="1415">
        <f>L76-L77</f>
        <v>30360</v>
      </c>
      <c r="M78" s="985">
        <f t="shared" si="64"/>
        <v>23</v>
      </c>
      <c r="N78" s="1060">
        <f>N76-N77</f>
        <v>36179</v>
      </c>
      <c r="O78" s="985">
        <f t="shared" si="65"/>
        <v>23</v>
      </c>
      <c r="P78" s="1060">
        <f>P76-P77</f>
        <v>39796.89999999998</v>
      </c>
      <c r="Q78" s="985">
        <f t="shared" si="66"/>
        <v>22.999999999999993</v>
      </c>
      <c r="R78" s="1060">
        <f>R76-R77</f>
        <v>43776.590000000047</v>
      </c>
      <c r="S78" s="985">
        <f t="shared" si="67"/>
        <v>23.000000000000018</v>
      </c>
      <c r="T78" s="1060">
        <f>T76-T77</f>
        <v>48154.24900000004</v>
      </c>
      <c r="U78" s="990">
        <f t="shared" si="68"/>
        <v>23.000000000000014</v>
      </c>
      <c r="V78" s="1010"/>
      <c r="W78" s="981">
        <v>5</v>
      </c>
      <c r="X78" s="954" t="str">
        <f t="shared" si="69"/>
        <v>Operating Profit</v>
      </c>
      <c r="Y78" s="1058"/>
      <c r="Z78" s="1060">
        <f>Z76-Z77</f>
        <v>15778.25185597868</v>
      </c>
      <c r="AA78" s="985">
        <f t="shared" si="70"/>
        <v>7.5361946292114235</v>
      </c>
      <c r="AB78" s="1060">
        <f>AB76-AB77</f>
        <v>15778.25185597868</v>
      </c>
      <c r="AC78" s="985">
        <f t="shared" si="71"/>
        <v>7.5361946292114235</v>
      </c>
      <c r="AD78" s="1060">
        <f>AD76-AD77</f>
        <v>15778.25185597868</v>
      </c>
      <c r="AE78" s="985">
        <f t="shared" si="72"/>
        <v>7.5361946292114235</v>
      </c>
      <c r="AF78" s="1060">
        <f>AF76-AF77</f>
        <v>15778.25185597868</v>
      </c>
      <c r="AG78" s="985">
        <f t="shared" si="73"/>
        <v>7.5361946292114235</v>
      </c>
      <c r="AH78" s="1060">
        <f>AH76-AH77</f>
        <v>15778.25185597868</v>
      </c>
      <c r="AI78" s="990">
        <f t="shared" si="74"/>
        <v>7.5361946292114235</v>
      </c>
      <c r="AJ78" s="939"/>
      <c r="AK78" s="939"/>
      <c r="AL78" s="939"/>
      <c r="AM78" s="939"/>
      <c r="AN78" s="939"/>
    </row>
    <row r="79" spans="1:40" ht="15" customHeight="1">
      <c r="A79" s="939"/>
      <c r="B79" s="939"/>
      <c r="C79" s="939"/>
      <c r="D79" s="952"/>
      <c r="E79" s="953">
        <v>6</v>
      </c>
      <c r="F79" s="954" t="str">
        <f>Historical!C110</f>
        <v>Depreciation</v>
      </c>
      <c r="G79" s="1054"/>
      <c r="H79" s="956">
        <f>+Historical!K110</f>
        <v>2300</v>
      </c>
      <c r="I79" s="1005">
        <f t="shared" si="63"/>
        <v>1.7692307692307692</v>
      </c>
      <c r="J79" s="1444">
        <f>+J124</f>
        <v>2302</v>
      </c>
      <c r="K79" s="1412"/>
      <c r="L79" s="1416">
        <f>+IF(MONTH(Historical!$K$13)=12,J79,J79+H79)</f>
        <v>4602</v>
      </c>
      <c r="M79" s="957">
        <f t="shared" si="64"/>
        <v>3.4863636363636359</v>
      </c>
      <c r="N79" s="962">
        <f>+IF(L19&lt;(IF(MONTH(H72)=12,L79,H79+L79))+10%*CF!AH61+10%*CF!AH62,L19,(IF(MONTH(H72)=12,L79,H79+L79))+10%*CF!AH61+10%*CF!AH62)</f>
        <v>6902</v>
      </c>
      <c r="O79" s="957">
        <f t="shared" si="65"/>
        <v>4.3877940241576603</v>
      </c>
      <c r="P79" s="962">
        <f>+IF(N19&lt;N79+CF!AU61*10%+CF!AU62*10%,N19,N79+CF!AU61*10%+CF!AU62*10%)</f>
        <v>6902</v>
      </c>
      <c r="Q79" s="957">
        <f t="shared" si="66"/>
        <v>3.9889036583251465</v>
      </c>
      <c r="R79" s="962">
        <f>+IF(P19&lt;P79+10%*CF!BH61+10%*CF!BH62,P19,P79+10%*CF!BH61+10%*CF!BH62)</f>
        <v>6902</v>
      </c>
      <c r="S79" s="957">
        <f t="shared" si="67"/>
        <v>3.6262760530228588</v>
      </c>
      <c r="T79" s="962">
        <f>+IF(R19&lt;R79+10%*CF!BU61+10%*CF!BU62,R19,R79+10%*CF!BU61+10%*CF!BU62)</f>
        <v>6902</v>
      </c>
      <c r="U79" s="963">
        <f t="shared" si="68"/>
        <v>3.2966145936571447</v>
      </c>
      <c r="V79" s="1010"/>
      <c r="W79" s="953">
        <v>6</v>
      </c>
      <c r="X79" s="954" t="str">
        <f t="shared" si="69"/>
        <v>Depreciation</v>
      </c>
      <c r="Y79" s="1054"/>
      <c r="Z79" s="962">
        <f>+Z124</f>
        <v>4602</v>
      </c>
      <c r="AA79" s="957">
        <f t="shared" si="70"/>
        <v>2.198061483629409</v>
      </c>
      <c r="AB79" s="962">
        <f>+AB124</f>
        <v>4602</v>
      </c>
      <c r="AC79" s="957">
        <f t="shared" si="71"/>
        <v>2.198061483629409</v>
      </c>
      <c r="AD79" s="962">
        <f>+AD124</f>
        <v>4602</v>
      </c>
      <c r="AE79" s="957">
        <f t="shared" si="72"/>
        <v>2.198061483629409</v>
      </c>
      <c r="AF79" s="962">
        <f>+AF124</f>
        <v>4602</v>
      </c>
      <c r="AG79" s="957">
        <f t="shared" si="73"/>
        <v>2.198061483629409</v>
      </c>
      <c r="AH79" s="962">
        <f>+AH124</f>
        <v>4602</v>
      </c>
      <c r="AI79" s="963">
        <f t="shared" si="74"/>
        <v>2.198061483629409</v>
      </c>
      <c r="AJ79" s="939"/>
      <c r="AK79" s="939"/>
      <c r="AL79" s="939"/>
      <c r="AM79" s="939"/>
      <c r="AN79" s="939"/>
    </row>
    <row r="80" spans="1:40" ht="15" customHeight="1">
      <c r="A80" s="939"/>
      <c r="B80" s="939"/>
      <c r="C80" s="939"/>
      <c r="D80" s="952"/>
      <c r="E80" s="964">
        <v>7</v>
      </c>
      <c r="F80" s="965" t="str">
        <f>Historical!C111</f>
        <v>Amortization</v>
      </c>
      <c r="G80" s="1061"/>
      <c r="H80" s="967">
        <f>+Historical!K111</f>
        <v>130</v>
      </c>
      <c r="I80" s="1009">
        <f t="shared" si="63"/>
        <v>0.1</v>
      </c>
      <c r="J80" s="1445">
        <f>+IF(MONTH(B72)=12,H80,(H80/MONTH(B72))*(12-MONTH(B72)))</f>
        <v>130</v>
      </c>
      <c r="K80" s="1062"/>
      <c r="L80" s="967">
        <f>+IF(MONTH(Historical!$K$13)=12,J80,J80+H80)</f>
        <v>260</v>
      </c>
      <c r="M80" s="968">
        <f t="shared" si="64"/>
        <v>0.19696969696969699</v>
      </c>
      <c r="N80" s="978">
        <f>+L80</f>
        <v>260</v>
      </c>
      <c r="O80" s="968">
        <f t="shared" si="65"/>
        <v>0.16528925619834711</v>
      </c>
      <c r="P80" s="978">
        <f>+N80</f>
        <v>260</v>
      </c>
      <c r="Q80" s="968">
        <f t="shared" si="66"/>
        <v>0.15026296018031557</v>
      </c>
      <c r="R80" s="978">
        <f>+P80</f>
        <v>260</v>
      </c>
      <c r="S80" s="968">
        <f t="shared" si="67"/>
        <v>0.13660269107301409</v>
      </c>
      <c r="T80" s="978">
        <f>+R80</f>
        <v>260</v>
      </c>
      <c r="U80" s="979">
        <f t="shared" si="68"/>
        <v>0.12418426461183101</v>
      </c>
      <c r="V80" s="1010"/>
      <c r="W80" s="964">
        <v>7</v>
      </c>
      <c r="X80" s="965" t="str">
        <f t="shared" si="69"/>
        <v>Amortization</v>
      </c>
      <c r="Y80" s="1061"/>
      <c r="Z80" s="978">
        <f>+T80</f>
        <v>260</v>
      </c>
      <c r="AA80" s="968">
        <f t="shared" si="70"/>
        <v>0.12418426461183101</v>
      </c>
      <c r="AB80" s="978">
        <f>+Z80</f>
        <v>260</v>
      </c>
      <c r="AC80" s="968">
        <f t="shared" si="71"/>
        <v>0.12418426461183101</v>
      </c>
      <c r="AD80" s="978">
        <f>+AB80</f>
        <v>260</v>
      </c>
      <c r="AE80" s="968">
        <f t="shared" si="72"/>
        <v>0.12418426461183101</v>
      </c>
      <c r="AF80" s="978">
        <f>+AD80</f>
        <v>260</v>
      </c>
      <c r="AG80" s="968">
        <f t="shared" si="73"/>
        <v>0.12418426461183101</v>
      </c>
      <c r="AH80" s="978">
        <f>+AF80</f>
        <v>260</v>
      </c>
      <c r="AI80" s="979">
        <f t="shared" si="74"/>
        <v>0.12418426461183101</v>
      </c>
      <c r="AJ80" s="939"/>
      <c r="AK80" s="939"/>
      <c r="AL80" s="939"/>
      <c r="AM80" s="939"/>
      <c r="AN80" s="939"/>
    </row>
    <row r="81" spans="1:40" ht="15" customHeight="1">
      <c r="A81" s="939"/>
      <c r="B81" s="939"/>
      <c r="C81" s="939"/>
      <c r="D81" s="952"/>
      <c r="E81" s="964">
        <v>8</v>
      </c>
      <c r="F81" s="965" t="str">
        <f>Historical!C112</f>
        <v>Share in (Profit) / Loss of Joint Venture</v>
      </c>
      <c r="G81" s="1061"/>
      <c r="H81" s="967">
        <f>+Historical!K112</f>
        <v>-13</v>
      </c>
      <c r="I81" s="1009">
        <f>IF(H$74=0,0,H81/H$74*100)</f>
        <v>-0.01</v>
      </c>
      <c r="J81" s="1389">
        <v>0</v>
      </c>
      <c r="K81" s="1062"/>
      <c r="L81" s="967">
        <f>+IF(MONTH(Historical!$K$13)=12,J81,J81+H81)</f>
        <v>-13</v>
      </c>
      <c r="M81" s="968">
        <f>IF(L$74=0,0,L81/L$74*100)</f>
        <v>-9.8484848484848495E-3</v>
      </c>
      <c r="N81" s="1418">
        <v>0</v>
      </c>
      <c r="O81" s="968">
        <f>IF(N$74=0,0,N81/N$74*100)</f>
        <v>0</v>
      </c>
      <c r="P81" s="1418">
        <v>0</v>
      </c>
      <c r="Q81" s="968">
        <f>IF(P$74=0,0,P81/P$74*100)</f>
        <v>0</v>
      </c>
      <c r="R81" s="1418">
        <v>0</v>
      </c>
      <c r="S81" s="968">
        <f>IF(R$74=0,0,R81/R$74*100)</f>
        <v>0</v>
      </c>
      <c r="T81" s="1418">
        <v>0</v>
      </c>
      <c r="U81" s="968">
        <f>IF(T$74=0,0,T81/T$74*100)</f>
        <v>0</v>
      </c>
      <c r="V81" s="1010"/>
      <c r="W81" s="964"/>
      <c r="X81" s="965"/>
      <c r="Y81" s="1061"/>
      <c r="Z81" s="978"/>
      <c r="AA81" s="968"/>
      <c r="AB81" s="978"/>
      <c r="AC81" s="968"/>
      <c r="AD81" s="978"/>
      <c r="AE81" s="968"/>
      <c r="AF81" s="978"/>
      <c r="AG81" s="968"/>
      <c r="AH81" s="978"/>
      <c r="AI81" s="979"/>
      <c r="AJ81" s="939"/>
      <c r="AK81" s="939"/>
      <c r="AL81" s="939"/>
      <c r="AM81" s="939"/>
      <c r="AN81" s="939"/>
    </row>
    <row r="82" spans="1:40" ht="15" customHeight="1">
      <c r="A82" s="939"/>
      <c r="B82" s="939"/>
      <c r="C82" s="939"/>
      <c r="D82" s="952"/>
      <c r="E82" s="964">
        <v>9</v>
      </c>
      <c r="F82" s="965" t="str">
        <f>Historical!C113</f>
        <v>Share in (Profit) / Loss of Associates</v>
      </c>
      <c r="G82" s="1061"/>
      <c r="H82" s="967">
        <f>+Historical!K113</f>
        <v>-13</v>
      </c>
      <c r="I82" s="1009">
        <f>IF(H$74=0,0,H82/H$74*100)</f>
        <v>-0.01</v>
      </c>
      <c r="J82" s="1389">
        <v>0</v>
      </c>
      <c r="K82" s="1062"/>
      <c r="L82" s="967">
        <f>+IF(MONTH(Historical!$K$13)=12,J82,J82+H82)</f>
        <v>-13</v>
      </c>
      <c r="M82" s="968">
        <f>IF(L$74=0,0,L82/L$74*100)</f>
        <v>-9.8484848484848495E-3</v>
      </c>
      <c r="N82" s="1419">
        <v>0</v>
      </c>
      <c r="O82" s="968">
        <f>IF(N$74=0,0,N82/N$74*100)</f>
        <v>0</v>
      </c>
      <c r="P82" s="1419">
        <v>0</v>
      </c>
      <c r="Q82" s="968">
        <f>IF(P$74=0,0,P82/P$74*100)</f>
        <v>0</v>
      </c>
      <c r="R82" s="1419">
        <v>0</v>
      </c>
      <c r="S82" s="968">
        <f>IF(R$74=0,0,R82/R$74*100)</f>
        <v>0</v>
      </c>
      <c r="T82" s="1419">
        <v>0</v>
      </c>
      <c r="U82" s="968">
        <f>IF(T$74=0,0,T82/T$74*100)</f>
        <v>0</v>
      </c>
      <c r="V82" s="1010"/>
      <c r="W82" s="964"/>
      <c r="X82" s="965"/>
      <c r="Y82" s="1061"/>
      <c r="Z82" s="978"/>
      <c r="AA82" s="968"/>
      <c r="AB82" s="978"/>
      <c r="AC82" s="968"/>
      <c r="AD82" s="978"/>
      <c r="AE82" s="968"/>
      <c r="AF82" s="978"/>
      <c r="AG82" s="968"/>
      <c r="AH82" s="978"/>
      <c r="AI82" s="979"/>
      <c r="AJ82" s="939"/>
      <c r="AK82" s="939"/>
      <c r="AL82" s="939"/>
      <c r="AM82" s="939"/>
      <c r="AN82" s="939"/>
    </row>
    <row r="83" spans="1:40" ht="15" customHeight="1">
      <c r="A83" s="939"/>
      <c r="B83" s="939"/>
      <c r="C83" s="939"/>
      <c r="D83" s="952"/>
      <c r="E83" s="964">
        <v>10</v>
      </c>
      <c r="F83" s="965" t="str">
        <f>Historical!C114</f>
        <v>Non-Cash Expenses / Loss on Foreign Exchange</v>
      </c>
      <c r="G83" s="1061"/>
      <c r="H83" s="967">
        <f>+Historical!K114</f>
        <v>-13</v>
      </c>
      <c r="I83" s="1009">
        <f t="shared" si="63"/>
        <v>-0.01</v>
      </c>
      <c r="J83" s="1445">
        <v>0</v>
      </c>
      <c r="K83" s="1062"/>
      <c r="L83" s="967">
        <f>+IF(MONTH(Historical!$K$13)=12,J83,J83+H83)</f>
        <v>-13</v>
      </c>
      <c r="M83" s="968">
        <f t="shared" si="64"/>
        <v>-9.8484848484848495E-3</v>
      </c>
      <c r="N83" s="978">
        <v>0</v>
      </c>
      <c r="O83" s="968">
        <f t="shared" si="65"/>
        <v>0</v>
      </c>
      <c r="P83" s="978">
        <v>0</v>
      </c>
      <c r="Q83" s="968">
        <f t="shared" si="66"/>
        <v>0</v>
      </c>
      <c r="R83" s="978">
        <v>0</v>
      </c>
      <c r="S83" s="968">
        <f t="shared" si="67"/>
        <v>0</v>
      </c>
      <c r="T83" s="978">
        <v>0</v>
      </c>
      <c r="U83" s="979">
        <f t="shared" si="68"/>
        <v>0</v>
      </c>
      <c r="V83" s="1010"/>
      <c r="W83" s="964">
        <v>8</v>
      </c>
      <c r="X83" s="965" t="str">
        <f t="shared" si="69"/>
        <v>Non-Cash Expenses / Loss on Foreign Exchange</v>
      </c>
      <c r="Y83" s="1061"/>
      <c r="Z83" s="978">
        <v>0</v>
      </c>
      <c r="AA83" s="968">
        <f t="shared" si="70"/>
        <v>0</v>
      </c>
      <c r="AB83" s="978">
        <v>0</v>
      </c>
      <c r="AC83" s="968">
        <f t="shared" si="71"/>
        <v>0</v>
      </c>
      <c r="AD83" s="978">
        <v>0</v>
      </c>
      <c r="AE83" s="968">
        <f t="shared" si="72"/>
        <v>0</v>
      </c>
      <c r="AF83" s="978">
        <v>0</v>
      </c>
      <c r="AG83" s="968">
        <f t="shared" si="73"/>
        <v>0</v>
      </c>
      <c r="AH83" s="978">
        <v>0</v>
      </c>
      <c r="AI83" s="979">
        <f t="shared" si="74"/>
        <v>0</v>
      </c>
      <c r="AJ83" s="939"/>
      <c r="AK83" s="939"/>
      <c r="AL83" s="939"/>
      <c r="AM83" s="939"/>
      <c r="AN83" s="939"/>
    </row>
    <row r="84" spans="1:40" ht="15" customHeight="1">
      <c r="A84" s="939"/>
      <c r="B84" s="939"/>
      <c r="C84" s="939"/>
      <c r="D84" s="952"/>
      <c r="E84" s="964">
        <v>11</v>
      </c>
      <c r="F84" s="965" t="str">
        <f>Historical!C115</f>
        <v>Other Expense/(Income)</v>
      </c>
      <c r="G84" s="1061"/>
      <c r="H84" s="967">
        <f>+Historical!K115</f>
        <v>-13</v>
      </c>
      <c r="I84" s="979">
        <f t="shared" si="63"/>
        <v>-0.01</v>
      </c>
      <c r="J84" s="1445">
        <f>-CF!U13</f>
        <v>-10</v>
      </c>
      <c r="K84" s="1062"/>
      <c r="L84" s="967">
        <f>+IF(MONTH(Historical!$K$13)=12,J84,J84+H84)</f>
        <v>-23</v>
      </c>
      <c r="M84" s="968">
        <f t="shared" si="64"/>
        <v>-1.7424242424242425E-2</v>
      </c>
      <c r="N84" s="978">
        <f>-CF!AH13</f>
        <v>-786.5</v>
      </c>
      <c r="O84" s="968">
        <f t="shared" si="65"/>
        <v>-0.5</v>
      </c>
      <c r="P84" s="978">
        <f>-CF!AU13</f>
        <v>-865.15</v>
      </c>
      <c r="Q84" s="968">
        <f t="shared" si="66"/>
        <v>-0.50000000000000011</v>
      </c>
      <c r="R84" s="978">
        <f>-CF!BH13</f>
        <v>-951.66500000000019</v>
      </c>
      <c r="S84" s="968">
        <f t="shared" si="67"/>
        <v>-0.49999999999999994</v>
      </c>
      <c r="T84" s="978">
        <f>-CF!BU13</f>
        <v>-1046.8315000000002</v>
      </c>
      <c r="U84" s="979">
        <f t="shared" si="68"/>
        <v>-0.5</v>
      </c>
      <c r="V84" s="1010"/>
      <c r="W84" s="964">
        <v>9</v>
      </c>
      <c r="X84" s="965" t="str">
        <f t="shared" si="69"/>
        <v>Other Expense/(Income)</v>
      </c>
      <c r="Y84" s="1061"/>
      <c r="Z84" s="978">
        <f>-CF!CH13</f>
        <v>-889.09858255848474</v>
      </c>
      <c r="AA84" s="968">
        <f t="shared" si="70"/>
        <v>-0.42466174477864133</v>
      </c>
      <c r="AB84" s="978">
        <f>-CF!CU13</f>
        <v>-889.09858255848474</v>
      </c>
      <c r="AC84" s="968">
        <f t="shared" si="71"/>
        <v>-0.42466174477864133</v>
      </c>
      <c r="AD84" s="978">
        <f>-CF!DH13</f>
        <v>-889.09858255848474</v>
      </c>
      <c r="AE84" s="968">
        <f t="shared" si="72"/>
        <v>-0.42466174477864133</v>
      </c>
      <c r="AF84" s="978">
        <f>-CF!DU13</f>
        <v>-889.09858255848474</v>
      </c>
      <c r="AG84" s="968">
        <f t="shared" si="73"/>
        <v>-0.42466174477864133</v>
      </c>
      <c r="AH84" s="978">
        <f>-CF!EH13</f>
        <v>-889.09858255848474</v>
      </c>
      <c r="AI84" s="979">
        <f t="shared" si="74"/>
        <v>-0.42466174477864133</v>
      </c>
      <c r="AJ84" s="939"/>
      <c r="AK84" s="939"/>
      <c r="AL84" s="939"/>
      <c r="AM84" s="939"/>
      <c r="AN84" s="939"/>
    </row>
    <row r="85" spans="1:40" ht="15" customHeight="1" thickBot="1">
      <c r="A85" s="939"/>
      <c r="B85" s="939"/>
      <c r="C85" s="939"/>
      <c r="D85" s="952"/>
      <c r="E85" s="1015">
        <f t="shared" ref="E85:E89" si="75">E84+1</f>
        <v>12</v>
      </c>
      <c r="F85" s="1016" t="str">
        <f>Historical!C116</f>
        <v>Non-Cash Income (-) / Gain on Foreign Exchange (-)</v>
      </c>
      <c r="G85" s="1056"/>
      <c r="H85" s="1018">
        <f>+Historical!K116</f>
        <v>-13</v>
      </c>
      <c r="I85" s="1023">
        <f t="shared" si="63"/>
        <v>-0.01</v>
      </c>
      <c r="J85" s="1446">
        <v>0</v>
      </c>
      <c r="K85" s="1057"/>
      <c r="L85" s="1071">
        <f>+IF(MONTH(Historical!$K$13)=12,J85,J85+H85)</f>
        <v>-13</v>
      </c>
      <c r="M85" s="1024">
        <f t="shared" si="64"/>
        <v>-9.8484848484848495E-3</v>
      </c>
      <c r="N85" s="1022">
        <v>0</v>
      </c>
      <c r="O85" s="1024">
        <f t="shared" si="65"/>
        <v>0</v>
      </c>
      <c r="P85" s="1022">
        <v>0</v>
      </c>
      <c r="Q85" s="1024">
        <f t="shared" si="66"/>
        <v>0</v>
      </c>
      <c r="R85" s="1022">
        <v>0</v>
      </c>
      <c r="S85" s="1024">
        <f t="shared" si="67"/>
        <v>0</v>
      </c>
      <c r="T85" s="1022">
        <v>0</v>
      </c>
      <c r="U85" s="1025">
        <f t="shared" si="68"/>
        <v>0</v>
      </c>
      <c r="V85" s="1010"/>
      <c r="W85" s="1015">
        <f t="shared" ref="W85:W89" si="76">W84+1</f>
        <v>10</v>
      </c>
      <c r="X85" s="1016" t="str">
        <f t="shared" si="69"/>
        <v>Non-Cash Income (-) / Gain on Foreign Exchange (-)</v>
      </c>
      <c r="Y85" s="1056"/>
      <c r="Z85" s="1022">
        <v>0</v>
      </c>
      <c r="AA85" s="1024">
        <f t="shared" si="70"/>
        <v>0</v>
      </c>
      <c r="AB85" s="1022">
        <v>0</v>
      </c>
      <c r="AC85" s="1024">
        <f t="shared" si="71"/>
        <v>0</v>
      </c>
      <c r="AD85" s="1022">
        <v>0</v>
      </c>
      <c r="AE85" s="1024">
        <f t="shared" si="72"/>
        <v>0</v>
      </c>
      <c r="AF85" s="1022">
        <v>0</v>
      </c>
      <c r="AG85" s="1024">
        <f t="shared" si="73"/>
        <v>0</v>
      </c>
      <c r="AH85" s="1022">
        <v>0</v>
      </c>
      <c r="AI85" s="1025">
        <f t="shared" si="74"/>
        <v>0</v>
      </c>
      <c r="AJ85" s="939"/>
      <c r="AK85" s="939"/>
      <c r="AL85" s="939"/>
      <c r="AM85" s="939"/>
      <c r="AN85" s="939"/>
    </row>
    <row r="86" spans="1:40" ht="15" customHeight="1" thickBot="1">
      <c r="A86" s="939"/>
      <c r="B86" s="939"/>
      <c r="C86" s="939"/>
      <c r="D86" s="952"/>
      <c r="E86" s="981">
        <f t="shared" si="75"/>
        <v>13</v>
      </c>
      <c r="F86" s="954" t="str">
        <f>Historical!C117</f>
        <v>Earnings Before Interest and Taxes (EBIT)</v>
      </c>
      <c r="G86" s="1058"/>
      <c r="H86" s="1390">
        <f>H78-SUM(H79:H85)</f>
        <v>30635</v>
      </c>
      <c r="I86" s="990">
        <f t="shared" si="63"/>
        <v>23.565384615384616</v>
      </c>
      <c r="J86" s="1390">
        <f>J78-SUM(J79:J85)</f>
        <v>-5062</v>
      </c>
      <c r="K86" s="1059"/>
      <c r="L86" s="1390">
        <f>L78-SUM(L79:L85)</f>
        <v>25573</v>
      </c>
      <c r="M86" s="985">
        <f t="shared" si="64"/>
        <v>19.37348484848485</v>
      </c>
      <c r="N86" s="1390">
        <f>N78-SUM(N79:N85)</f>
        <v>29803.5</v>
      </c>
      <c r="O86" s="985">
        <f t="shared" si="65"/>
        <v>18.94691671964399</v>
      </c>
      <c r="P86" s="1390">
        <f>P78-SUM(P79:P85)</f>
        <v>33500.049999999981</v>
      </c>
      <c r="Q86" s="985">
        <f t="shared" si="66"/>
        <v>19.36083338149453</v>
      </c>
      <c r="R86" s="1390">
        <f>R78-SUM(R79:R85)</f>
        <v>37566.255000000048</v>
      </c>
      <c r="S86" s="985">
        <f t="shared" si="67"/>
        <v>19.737121255904142</v>
      </c>
      <c r="T86" s="1390">
        <f>T78-SUM(T79:T85)</f>
        <v>42039.08050000004</v>
      </c>
      <c r="U86" s="990">
        <f t="shared" si="68"/>
        <v>20.079201141731037</v>
      </c>
      <c r="V86" s="1010"/>
      <c r="W86" s="981">
        <f t="shared" si="76"/>
        <v>11</v>
      </c>
      <c r="X86" s="954" t="str">
        <f t="shared" si="69"/>
        <v>Earnings Before Interest and Taxes (EBIT)</v>
      </c>
      <c r="Y86" s="1058"/>
      <c r="Z86" s="1060">
        <f>Z78-Z79-Z80-Z83-Z84-Z85</f>
        <v>11805.350438537165</v>
      </c>
      <c r="AA86" s="985">
        <f t="shared" si="70"/>
        <v>5.6386106257488251</v>
      </c>
      <c r="AB86" s="1060">
        <f>AB78-AB79-AB80-AB83-AB84-AB85</f>
        <v>11805.350438537165</v>
      </c>
      <c r="AC86" s="985">
        <f t="shared" si="71"/>
        <v>5.6386106257488251</v>
      </c>
      <c r="AD86" s="1060">
        <f>AD78-AD79-AD80-AD83-AD84-AD85</f>
        <v>11805.350438537165</v>
      </c>
      <c r="AE86" s="985">
        <f t="shared" si="72"/>
        <v>5.6386106257488251</v>
      </c>
      <c r="AF86" s="1060">
        <f>AF78-AF79-AF80-AF83-AF84-AF85</f>
        <v>11805.350438537165</v>
      </c>
      <c r="AG86" s="985">
        <f t="shared" si="73"/>
        <v>5.6386106257488251</v>
      </c>
      <c r="AH86" s="1060">
        <f>AH78-AH79-AH80-AH83-AH84-AH85</f>
        <v>11805.350438537165</v>
      </c>
      <c r="AI86" s="990">
        <f t="shared" si="74"/>
        <v>5.6386106257488251</v>
      </c>
      <c r="AJ86" s="939"/>
      <c r="AK86" s="939"/>
      <c r="AL86" s="939"/>
      <c r="AM86" s="939"/>
      <c r="AN86" s="939"/>
    </row>
    <row r="87" spans="1:40" ht="15" customHeight="1" thickBot="1">
      <c r="A87" s="939"/>
      <c r="B87" s="939"/>
      <c r="C87" s="939"/>
      <c r="D87" s="952"/>
      <c r="E87" s="981">
        <f t="shared" si="75"/>
        <v>14</v>
      </c>
      <c r="F87" s="954" t="str">
        <f>Historical!C118</f>
        <v>Interest Expense</v>
      </c>
      <c r="G87" s="1058"/>
      <c r="H87" s="987">
        <f>+Historical!K118</f>
        <v>2000</v>
      </c>
      <c r="I87" s="990">
        <f t="shared" si="63"/>
        <v>1.5384615384615385</v>
      </c>
      <c r="J87" s="1447">
        <f>+SUM(CF!U25:U29)</f>
        <v>4674.358964553202</v>
      </c>
      <c r="K87" s="1059"/>
      <c r="L87" s="1055">
        <f>+IF(MONTH(Historical!$K$13)=12,J87,J87+H87)</f>
        <v>6674.358964553202</v>
      </c>
      <c r="M87" s="985">
        <f t="shared" si="64"/>
        <v>5.0563325489039412</v>
      </c>
      <c r="N87" s="1060">
        <f>+SUM(CF!AH25:AH29)</f>
        <v>10795.893049355596</v>
      </c>
      <c r="O87" s="985">
        <f t="shared" si="65"/>
        <v>6.8632505081726611</v>
      </c>
      <c r="P87" s="1060">
        <f>+SUM(CF!AU25:AU29)</f>
        <v>8815.9982985207498</v>
      </c>
      <c r="Q87" s="985">
        <f t="shared" si="66"/>
        <v>5.0950692356936669</v>
      </c>
      <c r="R87" s="1060">
        <f>+SUM(CF!BH25:BH29)</f>
        <v>6863.7429174403387</v>
      </c>
      <c r="S87" s="985">
        <f t="shared" si="67"/>
        <v>3.606175974444966</v>
      </c>
      <c r="T87" s="1060">
        <f>+SUM(CF!BU25:BU29)</f>
        <v>4561.5336907411775</v>
      </c>
      <c r="U87" s="990">
        <f t="shared" si="68"/>
        <v>2.1787334880260945</v>
      </c>
      <c r="V87" s="1010"/>
      <c r="W87" s="981">
        <f t="shared" si="76"/>
        <v>12</v>
      </c>
      <c r="X87" s="954" t="str">
        <f t="shared" si="69"/>
        <v>Interest Expense</v>
      </c>
      <c r="Y87" s="1058"/>
      <c r="Z87" s="1060">
        <f>+SUM(CF!CH25:CH29)</f>
        <v>4338.4399999999996</v>
      </c>
      <c r="AA87" s="985">
        <f t="shared" si="70"/>
        <v>2.0721768498559694</v>
      </c>
      <c r="AB87" s="1060">
        <f>+SUM(CF!CU25:CU29)</f>
        <v>4338.4399999999996</v>
      </c>
      <c r="AC87" s="985">
        <f t="shared" si="71"/>
        <v>2.0721768498559694</v>
      </c>
      <c r="AD87" s="1060">
        <f>+SUM(CF!DH25:DH29)</f>
        <v>4338.4399999999996</v>
      </c>
      <c r="AE87" s="985">
        <f t="shared" si="72"/>
        <v>2.0721768498559694</v>
      </c>
      <c r="AF87" s="1060">
        <f>+SUM(CF!DU25:DU29)</f>
        <v>4338.4399999999996</v>
      </c>
      <c r="AG87" s="985">
        <f t="shared" si="73"/>
        <v>2.0721768498559694</v>
      </c>
      <c r="AH87" s="1060">
        <f>+SUM(CF!EH25:EH28)</f>
        <v>4338.4399999999996</v>
      </c>
      <c r="AI87" s="990">
        <f t="shared" si="74"/>
        <v>2.0721768498559694</v>
      </c>
      <c r="AJ87" s="939"/>
      <c r="AK87" s="939"/>
      <c r="AL87" s="939"/>
      <c r="AM87" s="939"/>
      <c r="AN87" s="939"/>
    </row>
    <row r="88" spans="1:40" ht="15" customHeight="1" thickBot="1">
      <c r="A88" s="939"/>
      <c r="B88" s="939"/>
      <c r="C88" s="939"/>
      <c r="D88" s="952"/>
      <c r="E88" s="981">
        <f t="shared" si="75"/>
        <v>15</v>
      </c>
      <c r="F88" s="954" t="str">
        <f>Historical!C119</f>
        <v>Earnings Before Tax (EBT)</v>
      </c>
      <c r="G88" s="1058"/>
      <c r="H88" s="987">
        <f>H86-H87</f>
        <v>28635</v>
      </c>
      <c r="I88" s="994">
        <f t="shared" si="63"/>
        <v>22.026923076923076</v>
      </c>
      <c r="J88" s="1447">
        <f>+J86-J87</f>
        <v>-9736.3589645532011</v>
      </c>
      <c r="K88" s="1059"/>
      <c r="L88" s="987">
        <f>L86-L87</f>
        <v>18898.641035446799</v>
      </c>
      <c r="M88" s="985">
        <f t="shared" si="64"/>
        <v>14.317152299580908</v>
      </c>
      <c r="N88" s="1060">
        <f>N86-N87</f>
        <v>19007.606950644404</v>
      </c>
      <c r="O88" s="985">
        <f t="shared" si="65"/>
        <v>12.08366621147133</v>
      </c>
      <c r="P88" s="1060">
        <f>P86-P87</f>
        <v>24684.051701479231</v>
      </c>
      <c r="Q88" s="985">
        <f t="shared" si="66"/>
        <v>14.265764145800864</v>
      </c>
      <c r="R88" s="1060">
        <f>R86-R87</f>
        <v>30702.512082559711</v>
      </c>
      <c r="S88" s="985">
        <f t="shared" si="67"/>
        <v>16.13094528145918</v>
      </c>
      <c r="T88" s="1060">
        <f>T86-T87</f>
        <v>37477.546809258864</v>
      </c>
      <c r="U88" s="990">
        <f t="shared" si="68"/>
        <v>17.900467653704943</v>
      </c>
      <c r="V88" s="1010"/>
      <c r="W88" s="981">
        <f t="shared" si="76"/>
        <v>13</v>
      </c>
      <c r="X88" s="954" t="str">
        <f t="shared" si="69"/>
        <v>Earnings Before Tax (EBT)</v>
      </c>
      <c r="Y88" s="1058"/>
      <c r="Z88" s="1060">
        <f>Z86-Z87</f>
        <v>7466.9104385371656</v>
      </c>
      <c r="AA88" s="985">
        <f t="shared" si="70"/>
        <v>3.5664337758928557</v>
      </c>
      <c r="AB88" s="1060">
        <f>AB86-AB87</f>
        <v>7466.9104385371656</v>
      </c>
      <c r="AC88" s="985">
        <f t="shared" si="71"/>
        <v>3.5664337758928557</v>
      </c>
      <c r="AD88" s="1060">
        <f>AD86-AD87</f>
        <v>7466.9104385371656</v>
      </c>
      <c r="AE88" s="985">
        <f t="shared" si="72"/>
        <v>3.5664337758928557</v>
      </c>
      <c r="AF88" s="1060">
        <f>AF86-AF87</f>
        <v>7466.9104385371656</v>
      </c>
      <c r="AG88" s="985">
        <f t="shared" si="73"/>
        <v>3.5664337758928557</v>
      </c>
      <c r="AH88" s="1060">
        <f>AH86-AH87</f>
        <v>7466.9104385371656</v>
      </c>
      <c r="AI88" s="990">
        <f t="shared" si="74"/>
        <v>3.5664337758928557</v>
      </c>
      <c r="AJ88" s="939"/>
      <c r="AK88" s="939"/>
      <c r="AL88" s="939"/>
      <c r="AM88" s="939"/>
      <c r="AN88" s="939"/>
    </row>
    <row r="89" spans="1:40" ht="15" customHeight="1">
      <c r="A89" s="939"/>
      <c r="B89" s="939"/>
      <c r="C89" s="939"/>
      <c r="D89" s="952"/>
      <c r="E89" s="953">
        <f t="shared" si="75"/>
        <v>16</v>
      </c>
      <c r="F89" s="954" t="str">
        <f>Historical!C120</f>
        <v>Taxes</v>
      </c>
      <c r="G89" s="1054"/>
      <c r="H89" s="956">
        <f>+Historical!K120</f>
        <v>9000</v>
      </c>
      <c r="I89" s="1005">
        <f t="shared" si="63"/>
        <v>6.9230769230769234</v>
      </c>
      <c r="J89" s="1444">
        <f>+IF(J88&lt;0,0,Assumption!$G$340*J88)</f>
        <v>0</v>
      </c>
      <c r="K89" s="1412"/>
      <c r="L89" s="1055">
        <f>+IF(MONTH(Historical!$K$13)=12,J89,J89+H89)</f>
        <v>9000</v>
      </c>
      <c r="M89" s="961">
        <f t="shared" si="64"/>
        <v>6.8181818181818175</v>
      </c>
      <c r="N89" s="1063">
        <f>+IF(N88&lt;0,0,Assumption!$G$340*N88)</f>
        <v>6652.6624327255413</v>
      </c>
      <c r="O89" s="957">
        <f t="shared" si="65"/>
        <v>4.2292831740149657</v>
      </c>
      <c r="P89" s="1063">
        <f>+IF(P88&lt;0,0,Assumption!$G$340*P88)</f>
        <v>8639.4180955177308</v>
      </c>
      <c r="Q89" s="957">
        <f t="shared" si="66"/>
        <v>4.993017451030302</v>
      </c>
      <c r="R89" s="1063">
        <f>+IF(R88&lt;0,0,Assumption!$G$340*R88)</f>
        <v>10745.879228895898</v>
      </c>
      <c r="S89" s="957">
        <f t="shared" si="67"/>
        <v>5.6458308485107125</v>
      </c>
      <c r="T89" s="1063">
        <f>+IF(T88&lt;0,0,Assumption!$G$340*T88)</f>
        <v>13117.141383240601</v>
      </c>
      <c r="U89" s="963">
        <f t="shared" si="68"/>
        <v>6.2651636787967302</v>
      </c>
      <c r="V89" s="1010"/>
      <c r="W89" s="953">
        <f t="shared" si="76"/>
        <v>14</v>
      </c>
      <c r="X89" s="954" t="str">
        <f t="shared" si="69"/>
        <v>Taxes</v>
      </c>
      <c r="Y89" s="1054"/>
      <c r="Z89" s="1063">
        <f>+IF(Z88&lt;0,0,Assumption!$G$340*Z88)</f>
        <v>2613.4186534880077</v>
      </c>
      <c r="AA89" s="957">
        <f t="shared" si="70"/>
        <v>1.2482518215624994</v>
      </c>
      <c r="AB89" s="1063">
        <f>+IF(AB88&lt;0,0,Assumption!$G$340*AB88)</f>
        <v>2613.4186534880077</v>
      </c>
      <c r="AC89" s="957">
        <f t="shared" si="71"/>
        <v>1.2482518215624994</v>
      </c>
      <c r="AD89" s="1063">
        <f>+IF(AD88&lt;0,0,Assumption!$G$340*AD88)</f>
        <v>2613.4186534880077</v>
      </c>
      <c r="AE89" s="957">
        <f t="shared" si="72"/>
        <v>1.2482518215624994</v>
      </c>
      <c r="AF89" s="1063">
        <f>+IF(AF88&lt;0,0,Assumption!$G$340*AF88)</f>
        <v>2613.4186534880077</v>
      </c>
      <c r="AG89" s="957">
        <f t="shared" si="73"/>
        <v>1.2482518215624994</v>
      </c>
      <c r="AH89" s="1063">
        <f>+IF(AH88&lt;0,0,Assumption!$G$340*AH88)</f>
        <v>2613.4186534880077</v>
      </c>
      <c r="AI89" s="963">
        <f t="shared" si="74"/>
        <v>1.2482518215624994</v>
      </c>
      <c r="AJ89" s="939"/>
      <c r="AK89" s="939"/>
      <c r="AL89" s="939"/>
      <c r="AM89" s="939"/>
      <c r="AN89" s="939"/>
    </row>
    <row r="90" spans="1:40" ht="15" customHeight="1">
      <c r="A90" s="939"/>
      <c r="B90" s="939"/>
      <c r="C90" s="939"/>
      <c r="D90" s="952"/>
      <c r="E90" s="1033">
        <f t="shared" ref="E90:E93" si="77">+E89+1</f>
        <v>17</v>
      </c>
      <c r="F90" s="1034" t="str">
        <f>Historical!C121</f>
        <v>Non-Tax (Income) / Expenses</v>
      </c>
      <c r="G90" s="1064"/>
      <c r="H90" s="1035">
        <f>+Historical!K121</f>
        <v>530</v>
      </c>
      <c r="I90" s="1040">
        <f t="shared" si="63"/>
        <v>0.40769230769230769</v>
      </c>
      <c r="J90" s="1420">
        <v>0</v>
      </c>
      <c r="K90" s="1421"/>
      <c r="L90" s="1422">
        <f>+IF(MONTH(Historical!$K$13)=12,0,0+H90)</f>
        <v>530</v>
      </c>
      <c r="M90" s="1013">
        <f t="shared" si="64"/>
        <v>0.40151515151515149</v>
      </c>
      <c r="N90" s="1012"/>
      <c r="O90" s="1013">
        <f t="shared" si="65"/>
        <v>0</v>
      </c>
      <c r="P90" s="1012"/>
      <c r="Q90" s="1013">
        <f t="shared" si="66"/>
        <v>0</v>
      </c>
      <c r="R90" s="1012"/>
      <c r="S90" s="1013">
        <f t="shared" si="67"/>
        <v>0</v>
      </c>
      <c r="T90" s="1012"/>
      <c r="U90" s="1014">
        <f t="shared" si="68"/>
        <v>0</v>
      </c>
      <c r="V90" s="1010"/>
      <c r="W90" s="1033">
        <f t="shared" ref="W90:W91" si="78">+W89+1</f>
        <v>15</v>
      </c>
      <c r="X90" s="1034" t="str">
        <f t="shared" si="69"/>
        <v>Non-Tax (Income) / Expenses</v>
      </c>
      <c r="Y90" s="1064"/>
      <c r="Z90" s="1012"/>
      <c r="AA90" s="1013">
        <f t="shared" si="70"/>
        <v>0</v>
      </c>
      <c r="AB90" s="1012"/>
      <c r="AC90" s="1013">
        <f t="shared" si="71"/>
        <v>0</v>
      </c>
      <c r="AD90" s="1012"/>
      <c r="AE90" s="1013">
        <f t="shared" si="72"/>
        <v>0</v>
      </c>
      <c r="AF90" s="1012"/>
      <c r="AG90" s="1013">
        <f t="shared" si="73"/>
        <v>0</v>
      </c>
      <c r="AH90" s="1012"/>
      <c r="AI90" s="1014">
        <f t="shared" si="74"/>
        <v>0</v>
      </c>
      <c r="AJ90" s="939"/>
      <c r="AK90" s="939"/>
      <c r="AL90" s="939"/>
      <c r="AM90" s="939"/>
      <c r="AN90" s="939"/>
    </row>
    <row r="91" spans="1:40" ht="15" customHeight="1" thickBot="1">
      <c r="A91" s="939"/>
      <c r="B91" s="939"/>
      <c r="C91" s="939"/>
      <c r="D91" s="952"/>
      <c r="E91" s="981">
        <f t="shared" si="77"/>
        <v>18</v>
      </c>
      <c r="F91" s="1065" t="str">
        <f>Historical!C122</f>
        <v>Earnings After Tax (EAT)</v>
      </c>
      <c r="G91" s="1058"/>
      <c r="H91" s="987">
        <f>+H88-H89-H90</f>
        <v>19105</v>
      </c>
      <c r="I91" s="994">
        <f t="shared" si="63"/>
        <v>14.696153846153845</v>
      </c>
      <c r="J91" s="1414">
        <f>+J88-J89-J90</f>
        <v>-9736.3589645532011</v>
      </c>
      <c r="K91" s="1059"/>
      <c r="L91" s="987">
        <f>+L88-L89-L90</f>
        <v>9368.6410354467989</v>
      </c>
      <c r="M91" s="985">
        <f t="shared" si="64"/>
        <v>7.097455329883938</v>
      </c>
      <c r="N91" s="1060">
        <f>+N88-N89-N90</f>
        <v>12354.944517918862</v>
      </c>
      <c r="O91" s="985">
        <f t="shared" si="65"/>
        <v>7.8543830374563655</v>
      </c>
      <c r="P91" s="1060">
        <f>+P88-P89-P90</f>
        <v>16044.633605961501</v>
      </c>
      <c r="Q91" s="985">
        <f t="shared" si="66"/>
        <v>9.2727466947705608</v>
      </c>
      <c r="R91" s="1060">
        <f>+R88-R89-R90</f>
        <v>19956.632853663814</v>
      </c>
      <c r="S91" s="985">
        <f t="shared" si="67"/>
        <v>10.485114432948468</v>
      </c>
      <c r="T91" s="1060">
        <f>+T88-T89-T90</f>
        <v>24360.40542601826</v>
      </c>
      <c r="U91" s="990">
        <f t="shared" si="68"/>
        <v>11.635303974908213</v>
      </c>
      <c r="V91" s="1010"/>
      <c r="W91" s="981">
        <f t="shared" si="78"/>
        <v>16</v>
      </c>
      <c r="X91" s="1065" t="str">
        <f t="shared" si="69"/>
        <v>Earnings After Tax (EAT)</v>
      </c>
      <c r="Y91" s="1066"/>
      <c r="Z91" s="1060">
        <f>+Z88-Z89-Z90</f>
        <v>4853.4917850491584</v>
      </c>
      <c r="AA91" s="985">
        <f t="shared" si="70"/>
        <v>2.3181819543303566</v>
      </c>
      <c r="AB91" s="1060">
        <f>+AB88-AB89-AB90</f>
        <v>4853.4917850491584</v>
      </c>
      <c r="AC91" s="985">
        <f t="shared" si="71"/>
        <v>2.3181819543303566</v>
      </c>
      <c r="AD91" s="1060">
        <f>+AD88-AD89-AD90</f>
        <v>4853.4917850491584</v>
      </c>
      <c r="AE91" s="985">
        <f t="shared" si="72"/>
        <v>2.3181819543303566</v>
      </c>
      <c r="AF91" s="1060">
        <f>+AF88-AF89-AF90</f>
        <v>4853.4917850491584</v>
      </c>
      <c r="AG91" s="985">
        <f t="shared" si="73"/>
        <v>2.3181819543303566</v>
      </c>
      <c r="AH91" s="1060">
        <f>+AH88-AH89-AH90</f>
        <v>4853.4917850491584</v>
      </c>
      <c r="AI91" s="990">
        <f t="shared" si="74"/>
        <v>2.3181819543303566</v>
      </c>
      <c r="AJ91" s="939"/>
      <c r="AK91" s="939"/>
      <c r="AL91" s="939"/>
      <c r="AM91" s="939"/>
      <c r="AN91" s="939"/>
    </row>
    <row r="92" spans="1:40" ht="15" customHeight="1" thickBot="1">
      <c r="A92" s="939"/>
      <c r="B92" s="939"/>
      <c r="C92" s="939"/>
      <c r="D92" s="952"/>
      <c r="E92" s="1067">
        <f t="shared" si="77"/>
        <v>19</v>
      </c>
      <c r="F92" s="1068" t="str">
        <f>Historical!C123</f>
        <v>Dividend Payments</v>
      </c>
      <c r="G92" s="1069"/>
      <c r="H92" s="1070">
        <f>+Historical!K123</f>
        <v>500</v>
      </c>
      <c r="I92" s="1423">
        <f t="shared" si="63"/>
        <v>0.38461538461538464</v>
      </c>
      <c r="J92" s="1424">
        <f>+CF!U78</f>
        <v>20</v>
      </c>
      <c r="K92" s="1425"/>
      <c r="L92" s="1388">
        <f>+IF(MONTH(Historical!$M$13)=12,J92,J92+H92)</f>
        <v>520</v>
      </c>
      <c r="M92" s="1072">
        <f t="shared" si="64"/>
        <v>0.39393939393939398</v>
      </c>
      <c r="N92" s="973">
        <f>+CF!AH78</f>
        <v>0</v>
      </c>
      <c r="O92" s="1072">
        <f t="shared" si="65"/>
        <v>0</v>
      </c>
      <c r="P92" s="973">
        <f>+CF!AU78</f>
        <v>0</v>
      </c>
      <c r="Q92" s="1072">
        <f t="shared" si="66"/>
        <v>0</v>
      </c>
      <c r="R92" s="973">
        <f>+CF!BH78</f>
        <v>0</v>
      </c>
      <c r="S92" s="1072">
        <f t="shared" si="67"/>
        <v>0</v>
      </c>
      <c r="T92" s="973">
        <f>+CF!BU78</f>
        <v>0</v>
      </c>
      <c r="U92" s="1073">
        <f t="shared" si="68"/>
        <v>0</v>
      </c>
      <c r="V92" s="1010"/>
      <c r="W92" s="1067">
        <f>+W90+1</f>
        <v>16</v>
      </c>
      <c r="X92" s="1068" t="str">
        <f t="shared" si="69"/>
        <v>Dividend Payments</v>
      </c>
      <c r="Y92" s="1069"/>
      <c r="Z92" s="973">
        <f>+CF!CH78</f>
        <v>0</v>
      </c>
      <c r="AA92" s="1072">
        <f t="shared" si="70"/>
        <v>0</v>
      </c>
      <c r="AB92" s="973">
        <f>+CF!CU78</f>
        <v>0</v>
      </c>
      <c r="AC92" s="1072">
        <f t="shared" si="71"/>
        <v>0</v>
      </c>
      <c r="AD92" s="973">
        <f>+CF!DH78</f>
        <v>0</v>
      </c>
      <c r="AE92" s="1072">
        <f t="shared" si="72"/>
        <v>0</v>
      </c>
      <c r="AF92" s="973">
        <f>+CF!DU78</f>
        <v>0</v>
      </c>
      <c r="AG92" s="1072">
        <f t="shared" si="73"/>
        <v>0</v>
      </c>
      <c r="AH92" s="973">
        <f>+CF!EH78</f>
        <v>0</v>
      </c>
      <c r="AI92" s="1073">
        <f t="shared" si="74"/>
        <v>0</v>
      </c>
      <c r="AJ92" s="939"/>
      <c r="AK92" s="939"/>
      <c r="AL92" s="939"/>
      <c r="AM92" s="939"/>
      <c r="AN92" s="939"/>
    </row>
    <row r="93" spans="1:40" ht="15" customHeight="1" thickBot="1">
      <c r="A93" s="939"/>
      <c r="B93" s="939"/>
      <c r="C93" s="939"/>
      <c r="D93" s="952"/>
      <c r="E93" s="1015">
        <f t="shared" si="77"/>
        <v>20</v>
      </c>
      <c r="F93" s="1016" t="str">
        <f>Historical!C124</f>
        <v>Adjustments</v>
      </c>
      <c r="G93" s="1056"/>
      <c r="H93" s="1018">
        <f>+Historical!K124</f>
        <v>18521</v>
      </c>
      <c r="I93" s="1023">
        <f t="shared" si="63"/>
        <v>14.246923076923077</v>
      </c>
      <c r="J93" s="1413">
        <v>0</v>
      </c>
      <c r="K93" s="1057"/>
      <c r="L93" s="1388">
        <f>+IF(MONTH(Historical!$M$13)=12,J93,J93+H93)</f>
        <v>18521</v>
      </c>
      <c r="M93" s="1024">
        <f t="shared" si="64"/>
        <v>14.031060606060604</v>
      </c>
      <c r="N93" s="1022">
        <v>0</v>
      </c>
      <c r="O93" s="1024">
        <f t="shared" si="65"/>
        <v>0</v>
      </c>
      <c r="P93" s="1022">
        <v>0</v>
      </c>
      <c r="Q93" s="1024">
        <f t="shared" si="66"/>
        <v>0</v>
      </c>
      <c r="R93" s="1022">
        <v>0</v>
      </c>
      <c r="S93" s="1024">
        <f t="shared" si="67"/>
        <v>0</v>
      </c>
      <c r="T93" s="1022">
        <v>0</v>
      </c>
      <c r="U93" s="1025">
        <f t="shared" si="68"/>
        <v>0</v>
      </c>
      <c r="V93" s="1010"/>
      <c r="W93" s="1015">
        <f>+W92+1</f>
        <v>17</v>
      </c>
      <c r="X93" s="1016" t="str">
        <f t="shared" si="69"/>
        <v>Adjustments</v>
      </c>
      <c r="Y93" s="1056"/>
      <c r="Z93" s="1022">
        <v>0</v>
      </c>
      <c r="AA93" s="1024">
        <f t="shared" si="70"/>
        <v>0</v>
      </c>
      <c r="AB93" s="1022">
        <v>0</v>
      </c>
      <c r="AC93" s="1024">
        <f t="shared" si="71"/>
        <v>0</v>
      </c>
      <c r="AD93" s="1022">
        <v>0</v>
      </c>
      <c r="AE93" s="1024">
        <f t="shared" si="72"/>
        <v>0</v>
      </c>
      <c r="AF93" s="1022">
        <v>0</v>
      </c>
      <c r="AG93" s="1024">
        <f t="shared" si="73"/>
        <v>0</v>
      </c>
      <c r="AH93" s="1022">
        <v>0</v>
      </c>
      <c r="AI93" s="1025">
        <f t="shared" si="74"/>
        <v>0</v>
      </c>
      <c r="AJ93" s="939"/>
      <c r="AK93" s="939"/>
      <c r="AL93" s="939"/>
      <c r="AM93" s="939"/>
      <c r="AN93" s="939"/>
    </row>
    <row r="94" spans="1:40" ht="15" customHeight="1" thickBot="1">
      <c r="A94" s="939"/>
      <c r="B94" s="939"/>
      <c r="C94" s="939"/>
      <c r="D94" s="952"/>
      <c r="E94" s="981">
        <f>E93+1</f>
        <v>21</v>
      </c>
      <c r="F94" s="1065" t="str">
        <f>Historical!C125</f>
        <v>Additional Retained Earnings</v>
      </c>
      <c r="G94" s="1058"/>
      <c r="H94" s="1426">
        <f>+H91-H92-H93</f>
        <v>84</v>
      </c>
      <c r="I94" s="990">
        <f t="shared" si="63"/>
        <v>6.4615384615384616E-2</v>
      </c>
      <c r="J94" s="1426">
        <f>J88-J89-J90-J92-J93</f>
        <v>-9756.3589645532011</v>
      </c>
      <c r="K94" s="1059"/>
      <c r="L94" s="987">
        <f>+L91-L92-L93</f>
        <v>-9672.3589645532011</v>
      </c>
      <c r="M94" s="985">
        <f t="shared" si="64"/>
        <v>-7.3275446701160609</v>
      </c>
      <c r="N94" s="1060">
        <f>+N91-N92-N93</f>
        <v>12354.944517918862</v>
      </c>
      <c r="O94" s="985">
        <f t="shared" si="65"/>
        <v>7.8543830374563655</v>
      </c>
      <c r="P94" s="1060">
        <f>+P91-P92-P93</f>
        <v>16044.633605961501</v>
      </c>
      <c r="Q94" s="985">
        <f t="shared" si="66"/>
        <v>9.2727466947705608</v>
      </c>
      <c r="R94" s="1060">
        <f>+R91-R92-R93</f>
        <v>19956.632853663814</v>
      </c>
      <c r="S94" s="985">
        <f t="shared" si="67"/>
        <v>10.485114432948468</v>
      </c>
      <c r="T94" s="1060">
        <f>+T91-T92-T93</f>
        <v>24360.40542601826</v>
      </c>
      <c r="U94" s="990">
        <f t="shared" si="68"/>
        <v>11.635303974908213</v>
      </c>
      <c r="V94" s="1010"/>
      <c r="W94" s="981">
        <f>W93+1</f>
        <v>18</v>
      </c>
      <c r="X94" s="1065" t="str">
        <f t="shared" si="69"/>
        <v>Additional Retained Earnings</v>
      </c>
      <c r="Y94" s="1058"/>
      <c r="Z94" s="1060">
        <f>+Z91-Z92-Z93</f>
        <v>4853.4917850491584</v>
      </c>
      <c r="AA94" s="985">
        <f t="shared" si="70"/>
        <v>2.3181819543303566</v>
      </c>
      <c r="AB94" s="1060">
        <f>+AB91-AB92-AB93</f>
        <v>4853.4917850491584</v>
      </c>
      <c r="AC94" s="985">
        <f t="shared" si="71"/>
        <v>2.3181819543303566</v>
      </c>
      <c r="AD94" s="1060">
        <f>+AD91-AD92-AD93</f>
        <v>4853.4917850491584</v>
      </c>
      <c r="AE94" s="985">
        <f t="shared" si="72"/>
        <v>2.3181819543303566</v>
      </c>
      <c r="AF94" s="1060">
        <f>+AF91-AF92-AF93</f>
        <v>4853.4917850491584</v>
      </c>
      <c r="AG94" s="985">
        <f t="shared" si="73"/>
        <v>2.3181819543303566</v>
      </c>
      <c r="AH94" s="1060">
        <f>+AH91-AH92-AH93</f>
        <v>4853.4917850491584</v>
      </c>
      <c r="AI94" s="990">
        <f t="shared" si="74"/>
        <v>2.3181819543303566</v>
      </c>
      <c r="AJ94" s="939"/>
      <c r="AK94" s="939"/>
      <c r="AL94" s="939"/>
      <c r="AM94" s="939"/>
      <c r="AN94" s="939"/>
    </row>
    <row r="95" spans="1:40" ht="15" customHeight="1">
      <c r="A95" s="939"/>
      <c r="B95" s="939"/>
      <c r="C95" s="939"/>
      <c r="D95" s="952"/>
      <c r="E95" s="1074"/>
      <c r="F95" s="1075"/>
      <c r="G95" s="947"/>
      <c r="H95" s="1427"/>
      <c r="I95" s="1076"/>
      <c r="J95" s="1428"/>
      <c r="K95" s="1429"/>
      <c r="L95" s="1427"/>
      <c r="M95" s="1077"/>
      <c r="N95" s="1078"/>
      <c r="O95" s="1077"/>
      <c r="P95" s="1078"/>
      <c r="Q95" s="1077"/>
      <c r="R95" s="1078"/>
      <c r="S95" s="1077"/>
      <c r="T95" s="1078"/>
      <c r="U95" s="1076"/>
      <c r="V95" s="1010"/>
      <c r="W95" s="1074"/>
      <c r="X95" s="1075"/>
      <c r="Y95" s="947"/>
      <c r="Z95" s="1078"/>
      <c r="AA95" s="1077"/>
      <c r="AB95" s="1078"/>
      <c r="AC95" s="1077"/>
      <c r="AD95" s="1078"/>
      <c r="AE95" s="1077"/>
      <c r="AF95" s="1078"/>
      <c r="AG95" s="1077"/>
      <c r="AH95" s="1078"/>
      <c r="AI95" s="1076"/>
      <c r="AJ95" s="939"/>
      <c r="AK95" s="939"/>
      <c r="AL95" s="939"/>
      <c r="AM95" s="939"/>
      <c r="AN95" s="939"/>
    </row>
    <row r="96" spans="1:40" ht="15" customHeight="1">
      <c r="A96" s="939"/>
      <c r="B96" s="939"/>
      <c r="C96" s="939"/>
      <c r="D96" s="1079"/>
      <c r="E96" s="1067"/>
      <c r="F96" s="1068" t="s">
        <v>232</v>
      </c>
      <c r="G96" s="1069"/>
      <c r="H96" s="1430">
        <f>+Historical!K129</f>
        <v>116.66666666666666</v>
      </c>
      <c r="I96" s="1080" t="s">
        <v>86</v>
      </c>
      <c r="J96" s="1424"/>
      <c r="K96" s="1425"/>
      <c r="L96" s="1431">
        <f>+Assumption!I15*100</f>
        <v>10</v>
      </c>
      <c r="M96" s="1081" t="s">
        <v>86</v>
      </c>
      <c r="N96" s="1072">
        <f>IF(L74=0,0,(N74/L74-1)*100)</f>
        <v>19.166666666666664</v>
      </c>
      <c r="O96" s="1081" t="s">
        <v>86</v>
      </c>
      <c r="P96" s="1072">
        <f>IF(N74=0,0,(P74/N74-1)*100)</f>
        <v>9.9999999999999858</v>
      </c>
      <c r="Q96" s="1081" t="s">
        <v>86</v>
      </c>
      <c r="R96" s="1072">
        <f>IF(P74=0,0,(R74/P74-1)*100)</f>
        <v>10.000000000000053</v>
      </c>
      <c r="S96" s="1081" t="s">
        <v>86</v>
      </c>
      <c r="T96" s="1072">
        <f>IF(R74=0,0,(T74/R74-1)*100)</f>
        <v>9.9999999999999858</v>
      </c>
      <c r="U96" s="1080" t="s">
        <v>86</v>
      </c>
      <c r="V96" s="1082"/>
      <c r="W96" s="1067"/>
      <c r="X96" s="1068" t="str">
        <f t="shared" ref="X96:X112" si="79">+F96</f>
        <v>Sales Growth</v>
      </c>
      <c r="Y96" s="1069"/>
      <c r="Z96" s="1072">
        <f>IF(T74=0,0,(Z74/T74-1)*100)</f>
        <v>0</v>
      </c>
      <c r="AA96" s="1081" t="s">
        <v>86</v>
      </c>
      <c r="AB96" s="1072">
        <f>IF(Z74=0,0,(AB74/Z74-1)*100)</f>
        <v>0</v>
      </c>
      <c r="AC96" s="1081" t="s">
        <v>86</v>
      </c>
      <c r="AD96" s="1072">
        <f>IF(AB74=0,0,(AD74/AB74-1)*100)</f>
        <v>0</v>
      </c>
      <c r="AE96" s="1081" t="s">
        <v>86</v>
      </c>
      <c r="AF96" s="1072">
        <f>IF(AD74=0,0,(AF74/AD74-1)*100)</f>
        <v>0</v>
      </c>
      <c r="AG96" s="1081" t="s">
        <v>86</v>
      </c>
      <c r="AH96" s="1072">
        <f>IF(AF74=0,0,(AH74/AF74-1)*100)</f>
        <v>0</v>
      </c>
      <c r="AI96" s="1080" t="s">
        <v>86</v>
      </c>
      <c r="AJ96" s="939"/>
      <c r="AK96" s="939"/>
      <c r="AL96" s="939"/>
      <c r="AM96" s="939"/>
      <c r="AN96" s="939"/>
    </row>
    <row r="97" spans="1:40" ht="15" customHeight="1">
      <c r="A97" s="939"/>
      <c r="B97" s="939"/>
      <c r="C97" s="939"/>
      <c r="D97" s="1079"/>
      <c r="E97" s="964"/>
      <c r="F97" s="965" t="s">
        <v>233</v>
      </c>
      <c r="G97" s="1061"/>
      <c r="H97" s="1432">
        <f>+Historical!K130</f>
        <v>30.76923076923077</v>
      </c>
      <c r="I97" s="1083" t="s">
        <v>86</v>
      </c>
      <c r="J97" s="1417"/>
      <c r="K97" s="1062"/>
      <c r="L97" s="1008">
        <f>IF(L74=0,0,L76/L74*100)</f>
        <v>28.000000000000004</v>
      </c>
      <c r="M97" s="1084" t="s">
        <v>86</v>
      </c>
      <c r="N97" s="968">
        <f>IF(N74=0,0,N76/N74*100)</f>
        <v>28.000000000000004</v>
      </c>
      <c r="O97" s="1084" t="s">
        <v>86</v>
      </c>
      <c r="P97" s="968">
        <f>IF(P74=0,0,P76/P74*100)</f>
        <v>27.999999999999993</v>
      </c>
      <c r="Q97" s="1084" t="s">
        <v>86</v>
      </c>
      <c r="R97" s="968">
        <f>IF(R74=0,0,R76/R74*100)</f>
        <v>28.000000000000018</v>
      </c>
      <c r="S97" s="1084" t="s">
        <v>86</v>
      </c>
      <c r="T97" s="968">
        <f>IF(T74=0,0,T76/T74*100)</f>
        <v>28.000000000000014</v>
      </c>
      <c r="U97" s="1083" t="s">
        <v>86</v>
      </c>
      <c r="V97" s="1082"/>
      <c r="W97" s="964"/>
      <c r="X97" s="1068" t="str">
        <f t="shared" si="79"/>
        <v>Gross Margin</v>
      </c>
      <c r="Y97" s="1061"/>
      <c r="Z97" s="968">
        <f>IF(Z74=0,0,Z76/Z74*100)</f>
        <v>9.2800000000000082</v>
      </c>
      <c r="AA97" s="1084" t="s">
        <v>86</v>
      </c>
      <c r="AB97" s="968">
        <f>IF(AB74=0,0,AB76/AB74*100)</f>
        <v>9.2800000000000082</v>
      </c>
      <c r="AC97" s="1084" t="s">
        <v>86</v>
      </c>
      <c r="AD97" s="968">
        <f>IF(AD74=0,0,AD76/AD74*100)</f>
        <v>9.2800000000000082</v>
      </c>
      <c r="AE97" s="1084" t="s">
        <v>86</v>
      </c>
      <c r="AF97" s="968">
        <f>IF(AF74=0,0,AF76/AF74*100)</f>
        <v>9.2800000000000082</v>
      </c>
      <c r="AG97" s="1084" t="s">
        <v>86</v>
      </c>
      <c r="AH97" s="968">
        <f>IF(AH74=0,0,AH76/AH74*100)</f>
        <v>9.2800000000000082</v>
      </c>
      <c r="AI97" s="1083" t="s">
        <v>86</v>
      </c>
      <c r="AJ97" s="939"/>
      <c r="AK97" s="939"/>
      <c r="AL97" s="939"/>
      <c r="AM97" s="939"/>
      <c r="AN97" s="939"/>
    </row>
    <row r="98" spans="1:40" ht="15" customHeight="1">
      <c r="A98" s="939"/>
      <c r="B98" s="939"/>
      <c r="C98" s="939"/>
      <c r="D98" s="1079"/>
      <c r="E98" s="964"/>
      <c r="F98" s="965" t="s">
        <v>235</v>
      </c>
      <c r="G98" s="1061"/>
      <c r="H98" s="1432">
        <f>+Historical!K131</f>
        <v>25.384615384615383</v>
      </c>
      <c r="I98" s="1083" t="s">
        <v>86</v>
      </c>
      <c r="J98" s="1417"/>
      <c r="K98" s="1062"/>
      <c r="L98" s="1008">
        <f>IF(L74=0,0,L78/L74*100)</f>
        <v>23</v>
      </c>
      <c r="M98" s="1084" t="s">
        <v>86</v>
      </c>
      <c r="N98" s="968">
        <f>IF(N74=0,0,N78/N74*100)</f>
        <v>23</v>
      </c>
      <c r="O98" s="1084" t="s">
        <v>86</v>
      </c>
      <c r="P98" s="968">
        <f>IF(P74=0,0,P78/P74*100)</f>
        <v>22.999999999999993</v>
      </c>
      <c r="Q98" s="1084" t="s">
        <v>86</v>
      </c>
      <c r="R98" s="968">
        <f>IF(R74=0,0,R78/R74*100)</f>
        <v>23.000000000000018</v>
      </c>
      <c r="S98" s="1084" t="s">
        <v>86</v>
      </c>
      <c r="T98" s="968">
        <f>IF(T74=0,0,T78/T74*100)</f>
        <v>23.000000000000014</v>
      </c>
      <c r="U98" s="1083" t="s">
        <v>86</v>
      </c>
      <c r="V98" s="1082"/>
      <c r="W98" s="964"/>
      <c r="X98" s="1068" t="str">
        <f t="shared" si="79"/>
        <v>Operating Profit Margin</v>
      </c>
      <c r="Y98" s="1061"/>
      <c r="Z98" s="968">
        <f>IF(Z74=0,0,Z78/Z74*100)</f>
        <v>7.5361946292114235</v>
      </c>
      <c r="AA98" s="1084" t="s">
        <v>86</v>
      </c>
      <c r="AB98" s="968">
        <f>IF(AB74=0,0,AB78/AB74*100)</f>
        <v>7.5361946292114235</v>
      </c>
      <c r="AC98" s="1084" t="s">
        <v>86</v>
      </c>
      <c r="AD98" s="968">
        <f>IF(AD74=0,0,AD78/AD74*100)</f>
        <v>7.5361946292114235</v>
      </c>
      <c r="AE98" s="1084" t="s">
        <v>86</v>
      </c>
      <c r="AF98" s="968">
        <f>IF(AF74=0,0,AF78/AF74*100)</f>
        <v>7.5361946292114235</v>
      </c>
      <c r="AG98" s="1084" t="s">
        <v>86</v>
      </c>
      <c r="AH98" s="968">
        <f>IF(AH74=0,0,AH78/AH74*100)</f>
        <v>7.5361946292114235</v>
      </c>
      <c r="AI98" s="1083" t="s">
        <v>86</v>
      </c>
      <c r="AJ98" s="939"/>
      <c r="AK98" s="939"/>
      <c r="AL98" s="939"/>
      <c r="AM98" s="939"/>
      <c r="AN98" s="939"/>
    </row>
    <row r="99" spans="1:40" ht="15" customHeight="1">
      <c r="A99" s="939"/>
      <c r="B99" s="939"/>
      <c r="C99" s="939"/>
      <c r="D99" s="1079"/>
      <c r="E99" s="964"/>
      <c r="F99" s="965" t="s">
        <v>237</v>
      </c>
      <c r="G99" s="1061"/>
      <c r="H99" s="1432">
        <f>+Historical!K132</f>
        <v>14.696153846153845</v>
      </c>
      <c r="I99" s="1083" t="s">
        <v>86</v>
      </c>
      <c r="J99" s="1417"/>
      <c r="K99" s="1062"/>
      <c r="L99" s="1008">
        <f>IF(L74=0,0,L91/L74*100)</f>
        <v>7.097455329883938</v>
      </c>
      <c r="M99" s="1084" t="s">
        <v>86</v>
      </c>
      <c r="N99" s="968">
        <f>IF(N74=0,0,N91/N74*100)</f>
        <v>7.8543830374563655</v>
      </c>
      <c r="O99" s="1084" t="s">
        <v>86</v>
      </c>
      <c r="P99" s="968">
        <f>IF(P74=0,0,P91/P74*100)</f>
        <v>9.2727466947705608</v>
      </c>
      <c r="Q99" s="1084" t="s">
        <v>86</v>
      </c>
      <c r="R99" s="968">
        <f>IF(R74=0,0,R91/R74*100)</f>
        <v>10.485114432948468</v>
      </c>
      <c r="S99" s="1084" t="s">
        <v>86</v>
      </c>
      <c r="T99" s="968">
        <f>IF(T74=0,0,T91/T74*100)</f>
        <v>11.635303974908213</v>
      </c>
      <c r="U99" s="1083" t="s">
        <v>86</v>
      </c>
      <c r="V99" s="1082"/>
      <c r="W99" s="964"/>
      <c r="X99" s="1068" t="str">
        <f t="shared" si="79"/>
        <v>Profit After Tax Margin</v>
      </c>
      <c r="Y99" s="1061"/>
      <c r="Z99" s="968">
        <f>IF(Z74=0,0,Z91/Z74*100)</f>
        <v>2.3181819543303566</v>
      </c>
      <c r="AA99" s="1084" t="s">
        <v>86</v>
      </c>
      <c r="AB99" s="968">
        <f>IF(AB74=0,0,AB91/AB74*100)</f>
        <v>2.3181819543303566</v>
      </c>
      <c r="AC99" s="1084" t="s">
        <v>86</v>
      </c>
      <c r="AD99" s="968">
        <f>IF(AD74=0,0,AD91/AD74*100)</f>
        <v>2.3181819543303566</v>
      </c>
      <c r="AE99" s="1084" t="s">
        <v>86</v>
      </c>
      <c r="AF99" s="968">
        <f>IF(AF74=0,0,AF91/AF74*100)</f>
        <v>2.3181819543303566</v>
      </c>
      <c r="AG99" s="1084" t="s">
        <v>86</v>
      </c>
      <c r="AH99" s="968">
        <f>IF(AH74=0,0,AH91/AH74*100)</f>
        <v>2.3181819543303566</v>
      </c>
      <c r="AI99" s="1083" t="s">
        <v>86</v>
      </c>
      <c r="AJ99" s="939"/>
      <c r="AK99" s="939"/>
      <c r="AL99" s="939"/>
      <c r="AM99" s="939"/>
      <c r="AN99" s="939"/>
    </row>
    <row r="100" spans="1:40" ht="15" customHeight="1">
      <c r="A100" s="939"/>
      <c r="B100" s="939"/>
      <c r="C100" s="939"/>
      <c r="D100" s="1079"/>
      <c r="E100" s="964"/>
      <c r="F100" s="965" t="str">
        <f>+Historical!C91</f>
        <v>Current Ratio (CR)</v>
      </c>
      <c r="G100" s="1061"/>
      <c r="H100" s="1432">
        <f>+Historical!K91</f>
        <v>0.11165371809100999</v>
      </c>
      <c r="I100" s="1083" t="str">
        <f>+Historical!F91</f>
        <v>times</v>
      </c>
      <c r="J100" s="1417"/>
      <c r="K100" s="1062"/>
      <c r="L100" s="1008">
        <f>IF(L43=0,0,L18/L43)</f>
        <v>0.49057440514888834</v>
      </c>
      <c r="M100" s="1084" t="str">
        <f t="shared" ref="M100:Q103" si="80">+I100</f>
        <v>times</v>
      </c>
      <c r="N100" s="968">
        <f>IF(N43=0,0,N18/N43)</f>
        <v>0.6722333424866076</v>
      </c>
      <c r="O100" s="1084" t="str">
        <f t="shared" ref="O100:O102" si="81">+I100</f>
        <v>times</v>
      </c>
      <c r="P100" s="968">
        <f>IF(P43=0,0,P18/P43)</f>
        <v>0.96644035323987409</v>
      </c>
      <c r="Q100" s="1084" t="str">
        <f t="shared" ref="Q100:Q102" si="82">+M100</f>
        <v>times</v>
      </c>
      <c r="R100" s="968">
        <f>IF(R43=0,0,R18/R43)</f>
        <v>1.7315876394168581</v>
      </c>
      <c r="S100" s="1084" t="str">
        <f t="shared" ref="S100:S102" si="83">+O100</f>
        <v>times</v>
      </c>
      <c r="T100" s="968">
        <f>IF(T43=0,0,T18/T43)</f>
        <v>3.1083879384671329</v>
      </c>
      <c r="U100" s="1083" t="str">
        <f t="shared" ref="U100:U102" si="84">+Q100</f>
        <v>times</v>
      </c>
      <c r="V100" s="1082"/>
      <c r="W100" s="964"/>
      <c r="X100" s="1068" t="str">
        <f t="shared" si="79"/>
        <v>Current Ratio (CR)</v>
      </c>
      <c r="Y100" s="1061"/>
      <c r="Z100" s="968">
        <f>+IF(Z43=0,0,Z18/Z43)</f>
        <v>2.5762903375600845</v>
      </c>
      <c r="AA100" s="1084" t="str">
        <f t="shared" ref="AA100:AA102" si="85">+S100</f>
        <v>times</v>
      </c>
      <c r="AB100" s="968">
        <f>+IF(AB43=0,0,AB18/AB43)</f>
        <v>2.6415649483892532</v>
      </c>
      <c r="AC100" s="1084" t="str">
        <f t="shared" ref="AC100:AC102" si="86">+U100</f>
        <v>times</v>
      </c>
      <c r="AD100" s="968">
        <f>+IF(AD43=0,0,AD18/AD43)</f>
        <v>2.8430852968608589</v>
      </c>
      <c r="AE100" s="1084" t="str">
        <f t="shared" ref="AE100:AE102" si="87">+AA100</f>
        <v>times</v>
      </c>
      <c r="AF100" s="968">
        <f>+IF(AF43=0,0,AF18/AF43)</f>
        <v>3.0446056453324637</v>
      </c>
      <c r="AG100" s="1084" t="str">
        <f t="shared" ref="AG100:AG102" si="88">+AC100</f>
        <v>times</v>
      </c>
      <c r="AH100" s="968">
        <f>+IF(AH43=0,0,AH18/AH43)</f>
        <v>3.2461259938040685</v>
      </c>
      <c r="AI100" s="1083" t="str">
        <f t="shared" ref="AI100:AI102" si="89">+AE100</f>
        <v>times</v>
      </c>
      <c r="AJ100" s="939"/>
      <c r="AK100" s="939"/>
      <c r="AL100" s="939"/>
      <c r="AM100" s="939"/>
      <c r="AN100" s="939"/>
    </row>
    <row r="101" spans="1:40" ht="15" customHeight="1">
      <c r="A101" s="939"/>
      <c r="B101" s="939"/>
      <c r="C101" s="939"/>
      <c r="D101" s="1079"/>
      <c r="E101" s="964"/>
      <c r="F101" s="965" t="str">
        <f>+Historical!C92</f>
        <v>Current Ratio (CR) excl CPLTD</v>
      </c>
      <c r="G101" s="1061"/>
      <c r="H101" s="1432">
        <f>+Historical!K92</f>
        <v>0.16442087676606254</v>
      </c>
      <c r="I101" s="1083" t="str">
        <f>+Historical!F92</f>
        <v>times</v>
      </c>
      <c r="J101" s="1417"/>
      <c r="K101" s="1062"/>
      <c r="L101" s="1008">
        <f>+IF(L43-SUM(L39:L42)=0,0,L18/(L43-SUM(L39:L42)))</f>
        <v>0.49057440514888834</v>
      </c>
      <c r="M101" s="1084" t="str">
        <f t="shared" si="80"/>
        <v>times</v>
      </c>
      <c r="N101" s="1008">
        <f>+IF(N43-SUM(N39:N42)=0,0,N18/(N43-SUM(N39:N42)))</f>
        <v>0.6722333424866076</v>
      </c>
      <c r="O101" s="1084">
        <f t="shared" si="80"/>
        <v>0</v>
      </c>
      <c r="P101" s="968">
        <f>+IF(P43-SUM(P39:P42)=0,0,P18/(P43-SUM(P39:P42)))</f>
        <v>0.96644035323987409</v>
      </c>
      <c r="Q101" s="1084" t="str">
        <f t="shared" si="80"/>
        <v>times</v>
      </c>
      <c r="R101" s="968">
        <f>+IF(R43-SUM(R39:R42)=0,0,R18/(R43-SUM(R39:R42)))</f>
        <v>1.7315876394168581</v>
      </c>
      <c r="S101" s="1084">
        <f t="shared" si="83"/>
        <v>0</v>
      </c>
      <c r="T101" s="968">
        <f>+IF(T43-SUM(T39:T42)=0,0,T18/(T43-SUM(T39:T42)))</f>
        <v>3.1083879384671329</v>
      </c>
      <c r="U101" s="1083" t="str">
        <f t="shared" si="84"/>
        <v>times</v>
      </c>
      <c r="V101" s="1082"/>
      <c r="W101" s="964"/>
      <c r="X101" s="1068"/>
      <c r="Y101" s="1061"/>
      <c r="Z101" s="968"/>
      <c r="AA101" s="1084"/>
      <c r="AB101" s="968"/>
      <c r="AC101" s="1084"/>
      <c r="AD101" s="968"/>
      <c r="AE101" s="1084"/>
      <c r="AF101" s="968"/>
      <c r="AG101" s="1084"/>
      <c r="AH101" s="968"/>
      <c r="AI101" s="1083"/>
      <c r="AJ101" s="939"/>
      <c r="AK101" s="939"/>
      <c r="AL101" s="939"/>
      <c r="AM101" s="939"/>
      <c r="AN101" s="939"/>
    </row>
    <row r="102" spans="1:40" ht="15" customHeight="1">
      <c r="A102" s="939"/>
      <c r="B102" s="939"/>
      <c r="C102" s="939"/>
      <c r="D102" s="1079"/>
      <c r="E102" s="964"/>
      <c r="F102" s="965" t="str">
        <f>+Historical!C93</f>
        <v>Debt to Equity Ratio (DER)</v>
      </c>
      <c r="G102" s="1061"/>
      <c r="H102" s="1432">
        <f>+Historical!K93</f>
        <v>1.404722049205855</v>
      </c>
      <c r="I102" s="1083" t="str">
        <f>+Historical!F93</f>
        <v>times</v>
      </c>
      <c r="J102" s="1417"/>
      <c r="K102" s="1062"/>
      <c r="L102" s="1008">
        <f>+IF(L65=0,0,L53/L65)</f>
        <v>2.8380014798756812</v>
      </c>
      <c r="M102" s="1084" t="str">
        <f t="shared" si="80"/>
        <v>times</v>
      </c>
      <c r="N102" s="1008">
        <f>+IF(N65=0,0,N53/N65)</f>
        <v>2.2625692151782748</v>
      </c>
      <c r="O102" s="1084">
        <f t="shared" si="80"/>
        <v>0</v>
      </c>
      <c r="P102" s="968">
        <f>+IF(P65=0,0,P53/P65)</f>
        <v>1.6830990267095463</v>
      </c>
      <c r="Q102" s="1084" t="str">
        <f t="shared" si="80"/>
        <v>times</v>
      </c>
      <c r="R102" s="968">
        <f>+IF(R65=0,0,R53/R65)</f>
        <v>1.1963070002049832</v>
      </c>
      <c r="S102" s="1084">
        <f t="shared" si="83"/>
        <v>0</v>
      </c>
      <c r="T102" s="968">
        <f>+IF(T65=0,0,T53/T65)</f>
        <v>0.93497792422258619</v>
      </c>
      <c r="U102" s="1083" t="str">
        <f t="shared" si="84"/>
        <v>times</v>
      </c>
      <c r="V102" s="1082"/>
      <c r="W102" s="964"/>
      <c r="X102" s="1068" t="str">
        <f t="shared" si="79"/>
        <v>Debt to Equity Ratio (DER)</v>
      </c>
      <c r="Y102" s="1061"/>
      <c r="Z102" s="968">
        <f>+IF(Z65=0,0,Z53/Z65)</f>
        <v>1.0217810568122516</v>
      </c>
      <c r="AA102" s="1084">
        <f t="shared" si="85"/>
        <v>0</v>
      </c>
      <c r="AB102" s="968">
        <f>+IF(AB65=0,0,AB53/AB65)</f>
        <v>1.0165026738133744</v>
      </c>
      <c r="AC102" s="1084" t="str">
        <f t="shared" si="86"/>
        <v>times</v>
      </c>
      <c r="AD102" s="968">
        <f>+IF(AD65=0,0,AD53/AD65)</f>
        <v>0.98465703848045516</v>
      </c>
      <c r="AE102" s="1084">
        <f t="shared" si="87"/>
        <v>0</v>
      </c>
      <c r="AF102" s="968">
        <f>+IF(AF65=0,0,AF53/AF65)</f>
        <v>0.95474615037020893</v>
      </c>
      <c r="AG102" s="1084" t="str">
        <f t="shared" si="88"/>
        <v>times</v>
      </c>
      <c r="AH102" s="968">
        <f>+IF(AH65=0,0,AH53/AH65)</f>
        <v>0.92659889228235071</v>
      </c>
      <c r="AI102" s="1083">
        <f t="shared" si="89"/>
        <v>0</v>
      </c>
      <c r="AJ102" s="939"/>
      <c r="AK102" s="939"/>
      <c r="AL102" s="939"/>
      <c r="AM102" s="939"/>
      <c r="AN102" s="939"/>
    </row>
    <row r="103" spans="1:40" ht="15" customHeight="1">
      <c r="A103" s="939"/>
      <c r="B103" s="939"/>
      <c r="C103" s="939"/>
      <c r="D103" s="1079"/>
      <c r="E103" s="964"/>
      <c r="F103" s="965" t="s">
        <v>238</v>
      </c>
      <c r="G103" s="1061"/>
      <c r="H103" s="1433">
        <f>Historical!K133</f>
        <v>33065</v>
      </c>
      <c r="I103" s="1083" t="str">
        <f>+E72</f>
        <v>IDR Million</v>
      </c>
      <c r="J103" s="1417"/>
      <c r="K103" s="1062"/>
      <c r="L103" s="1434">
        <f>L86+L79+L80</f>
        <v>30435</v>
      </c>
      <c r="M103" s="1084" t="str">
        <f t="shared" si="80"/>
        <v>IDR Million</v>
      </c>
      <c r="N103" s="1434">
        <f>N86+N79+N80</f>
        <v>36965.5</v>
      </c>
      <c r="O103" s="1084">
        <f t="shared" si="80"/>
        <v>0</v>
      </c>
      <c r="P103" s="1434">
        <f>P86+P79+P80</f>
        <v>40662.049999999981</v>
      </c>
      <c r="Q103" s="1084" t="str">
        <f t="shared" si="80"/>
        <v>IDR Million</v>
      </c>
      <c r="R103" s="1434">
        <f>R86+R79+R80</f>
        <v>44728.255000000048</v>
      </c>
      <c r="S103" s="1084" t="str">
        <f>+Q103</f>
        <v>IDR Million</v>
      </c>
      <c r="T103" s="1434">
        <f>T86+T79+T80</f>
        <v>49201.08050000004</v>
      </c>
      <c r="U103" s="1083" t="str">
        <f>+S103</f>
        <v>IDR Million</v>
      </c>
      <c r="V103" s="1082"/>
      <c r="W103" s="964"/>
      <c r="X103" s="1068" t="str">
        <f t="shared" si="79"/>
        <v>EBITDA</v>
      </c>
      <c r="Y103" s="1061"/>
      <c r="Z103" s="991">
        <f>+Z78</f>
        <v>15778.25185597868</v>
      </c>
      <c r="AA103" s="1084" t="str">
        <f>+U103</f>
        <v>IDR Million</v>
      </c>
      <c r="AB103" s="991">
        <f>+AB78</f>
        <v>15778.25185597868</v>
      </c>
      <c r="AC103" s="1084" t="str">
        <f>+AA103</f>
        <v>IDR Million</v>
      </c>
      <c r="AD103" s="991">
        <f>+AD78</f>
        <v>15778.25185597868</v>
      </c>
      <c r="AE103" s="1084" t="str">
        <f>+AC103</f>
        <v>IDR Million</v>
      </c>
      <c r="AF103" s="991">
        <f>+AF78</f>
        <v>15778.25185597868</v>
      </c>
      <c r="AG103" s="1084" t="str">
        <f>+AE103</f>
        <v>IDR Million</v>
      </c>
      <c r="AH103" s="991">
        <f>+AH78</f>
        <v>15778.25185597868</v>
      </c>
      <c r="AI103" s="1083" t="str">
        <f>+AG103</f>
        <v>IDR Million</v>
      </c>
      <c r="AJ103" s="939"/>
      <c r="AK103" s="939"/>
      <c r="AL103" s="939"/>
      <c r="AM103" s="939"/>
      <c r="AN103" s="939"/>
    </row>
    <row r="104" spans="1:40" ht="15" customHeight="1">
      <c r="A104" s="939"/>
      <c r="B104" s="939"/>
      <c r="C104" s="939"/>
      <c r="D104" s="1079"/>
      <c r="E104" s="964"/>
      <c r="F104" s="965" t="s">
        <v>240</v>
      </c>
      <c r="G104" s="1061"/>
      <c r="H104" s="1432">
        <f>Historical!K134</f>
        <v>101.98533903481982</v>
      </c>
      <c r="I104" s="1083" t="s">
        <v>86</v>
      </c>
      <c r="J104" s="1417"/>
      <c r="K104" s="1062"/>
      <c r="L104" s="1435" cm="1">
        <f t="array" ref="L104">_xlfn.IFS(H103=0,0,AND(H103&lt;0,L103&gt;H103),(ABS((L103/M72)/(H103/I72)-1)*100),AND(H103&lt;0,L103&lt;H103),(-((L103/M72)/(H103/I72)-1)*100),H103&gt;0,(((L103/M72)/(H103/I72)-1))*100)</f>
        <v>-53.977014970512627</v>
      </c>
      <c r="M104" s="1084" t="s">
        <v>86</v>
      </c>
      <c r="N104" s="1435" cm="1">
        <f t="array" ref="N104">_xlfn.IFS(L103=0,0,AND(L103&lt;0,N103&gt;L103),(ABS((N103/O72)/(L103/M72)-1)*100),AND(L103&lt;0,N103&lt;L103),(-((N103/O72)/(L103/M72)-1)*100),L103&gt;0,(((N103/O72)/(L103/M72)-1))*100)</f>
        <v>21.457203877115163</v>
      </c>
      <c r="O104" s="1084" t="s">
        <v>86</v>
      </c>
      <c r="P104" s="1435" cm="1">
        <f t="array" ref="P104">_xlfn.IFS(N103=0,0,AND(N103&lt;0,P103&gt;N103),(ABS((P103/Q72)/(N103/O72)-1)*100),AND(N103&lt;0,P103&lt;N103),(-((P103/Q72)/(N103/O72)-1)*100),N103&gt;0,(((P103/Q72)/(N103/O72)-1))*100)</f>
        <v>9.9999999999999432</v>
      </c>
      <c r="Q104" s="1084" t="s">
        <v>86</v>
      </c>
      <c r="R104" s="1435" cm="1">
        <f t="array" ref="R104">_xlfn.IFS(P103=0,0,AND(P103&lt;0,R103&gt;P103),(ABS((R103/S72)/(P103/Q72)-1)*100),AND(P103&lt;0,R103&lt;P103),(-((R103/S72)/(P103/Q72)-1)*100),P103&gt;0,(((R103/S72)/(P103/Q72)-1))*100)</f>
        <v>10.000000000000187</v>
      </c>
      <c r="S104" s="1084" t="s">
        <v>86</v>
      </c>
      <c r="T104" s="1435" cm="1">
        <f t="array" ref="T104">_xlfn.IFS(R103=0,0,AND(R103&lt;0,T103&gt;R103),(ABS((T103/U72)/(R103/S72)-1)*100),AND(R103&lt;0,T103&lt;R103),(-((T103/U72)/(R103/S72)-1)*100),R103&gt;0,(((T103/U72)/(R103/S72)-1))*100)</f>
        <v>9.9999999999999645</v>
      </c>
      <c r="U104" s="1083" t="s">
        <v>86</v>
      </c>
      <c r="V104" s="1082"/>
      <c r="W104" s="964"/>
      <c r="X104" s="1068"/>
      <c r="Y104" s="1061"/>
      <c r="Z104" s="991"/>
      <c r="AA104" s="1084"/>
      <c r="AB104" s="991"/>
      <c r="AC104" s="1084"/>
      <c r="AD104" s="991"/>
      <c r="AE104" s="1084"/>
      <c r="AF104" s="991"/>
      <c r="AG104" s="1084"/>
      <c r="AH104" s="991"/>
      <c r="AI104" s="1083"/>
      <c r="AJ104" s="939"/>
      <c r="AK104" s="939"/>
      <c r="AL104" s="939"/>
      <c r="AM104" s="939"/>
      <c r="AN104" s="939"/>
    </row>
    <row r="105" spans="1:40" ht="15" customHeight="1">
      <c r="A105" s="939"/>
      <c r="B105" s="939"/>
      <c r="C105" s="939"/>
      <c r="D105" s="1079"/>
      <c r="E105" s="964"/>
      <c r="F105" s="965" t="s">
        <v>241</v>
      </c>
      <c r="G105" s="1061"/>
      <c r="H105" s="1432">
        <f>Historical!K135</f>
        <v>16.532499999999999</v>
      </c>
      <c r="I105" s="1083" t="s">
        <v>186</v>
      </c>
      <c r="J105" s="1417"/>
      <c r="K105" s="1062"/>
      <c r="L105" s="1008">
        <f>IF(L87=0,0,L103/L87)</f>
        <v>4.559988481536128</v>
      </c>
      <c r="M105" s="1084" t="s">
        <v>186</v>
      </c>
      <c r="N105" s="1008">
        <f>IF(N87=0,0,N103/N87)</f>
        <v>3.4240335497030938</v>
      </c>
      <c r="O105" s="1084" t="s">
        <v>186</v>
      </c>
      <c r="P105" s="1008">
        <f>IF(P87=0,0,P103/P87)</f>
        <v>4.6123023874474578</v>
      </c>
      <c r="Q105" s="1084" t="s">
        <v>186</v>
      </c>
      <c r="R105" s="1008">
        <f>IF(R87=0,0,R103/R87)</f>
        <v>6.5165982377265861</v>
      </c>
      <c r="S105" s="1084" t="s">
        <v>186</v>
      </c>
      <c r="T105" s="1008">
        <f>IF(T87=0,0,T103/T87)</f>
        <v>10.786082891345616</v>
      </c>
      <c r="U105" s="1083" t="s">
        <v>186</v>
      </c>
      <c r="V105" s="1082"/>
      <c r="W105" s="964"/>
      <c r="X105" s="1068" t="str">
        <f t="shared" si="79"/>
        <v>EBITDA to Interest</v>
      </c>
      <c r="Y105" s="1061"/>
      <c r="Z105" s="968">
        <f>IF(Z87=0,0,Z78/Z87*100)</f>
        <v>363.68491568348719</v>
      </c>
      <c r="AA105" s="1084" t="s">
        <v>86</v>
      </c>
      <c r="AB105" s="968">
        <f>IF(AB87=0,0,AB78/AB87*100)</f>
        <v>363.68491568348719</v>
      </c>
      <c r="AC105" s="1084" t="s">
        <v>86</v>
      </c>
      <c r="AD105" s="968">
        <f>IF(AD87=0,0,AD78/AD87*100)</f>
        <v>363.68491568348719</v>
      </c>
      <c r="AE105" s="1084" t="s">
        <v>86</v>
      </c>
      <c r="AF105" s="968">
        <f>IF(AF87=0,0,AF78/AF87*100)</f>
        <v>363.68491568348719</v>
      </c>
      <c r="AG105" s="1084" t="s">
        <v>86</v>
      </c>
      <c r="AH105" s="968">
        <f>IF(AH87=0,0,AH78/AH87*100)</f>
        <v>363.68491568348719</v>
      </c>
      <c r="AI105" s="1083" t="s">
        <v>86</v>
      </c>
      <c r="AJ105" s="939"/>
      <c r="AK105" s="939"/>
      <c r="AL105" s="939"/>
      <c r="AM105" s="939"/>
      <c r="AN105" s="939"/>
    </row>
    <row r="106" spans="1:40" ht="15" customHeight="1">
      <c r="A106" s="939"/>
      <c r="B106" s="939"/>
      <c r="C106" s="939"/>
      <c r="D106" s="1079"/>
      <c r="E106" s="964"/>
      <c r="F106" s="965" t="s">
        <v>243</v>
      </c>
      <c r="G106" s="1061"/>
      <c r="H106" s="1432">
        <f>Historical!K136</f>
        <v>0.85580805466404386</v>
      </c>
      <c r="I106" s="1083" t="s">
        <v>186</v>
      </c>
      <c r="J106" s="1417"/>
      <c r="K106" s="1062"/>
      <c r="L106" s="1008">
        <f>IF(L53+L59=0,0,L103*(360/M7)/(L53+L59))</f>
        <v>0.14697136210836864</v>
      </c>
      <c r="M106" s="1084" t="s">
        <v>186</v>
      </c>
      <c r="N106" s="1008">
        <f>IF(N53+N59=0,0,N103*(360/O7)/(N53+N59))</f>
        <v>0.18849365252005684</v>
      </c>
      <c r="O106" s="1084" t="s">
        <v>186</v>
      </c>
      <c r="P106" s="1008">
        <f>IF(P53+P59=0,0,P103*(360/Q7)/(P53+P59))</f>
        <v>0.23004457110161905</v>
      </c>
      <c r="Q106" s="1084" t="s">
        <v>186</v>
      </c>
      <c r="R106" s="1008">
        <f>IF(R53+R59=0,0,R103*(360/S7)/(R53+R59))</f>
        <v>0.29067373260940255</v>
      </c>
      <c r="S106" s="1084" t="s">
        <v>186</v>
      </c>
      <c r="T106" s="1008">
        <f>IF(T53+T59=0,0,T103*(360/U7)/(T53+T59))</f>
        <v>0.33621105771016879</v>
      </c>
      <c r="U106" s="1083" t="s">
        <v>186</v>
      </c>
      <c r="V106" s="1082"/>
      <c r="W106" s="964"/>
      <c r="X106" s="1068" t="str">
        <f t="shared" si="79"/>
        <v>EBITDA to Debt</v>
      </c>
      <c r="Y106" s="1061"/>
      <c r="Z106" s="968">
        <f>IF(Z53=0,0,Z78/Z53*100)</f>
        <v>10.633829921630877</v>
      </c>
      <c r="AA106" s="1084" t="s">
        <v>86</v>
      </c>
      <c r="AB106" s="968">
        <f>IF(AB53=0,0,AB78/AB53*100)</f>
        <v>10.343344455482415</v>
      </c>
      <c r="AC106" s="1084" t="s">
        <v>86</v>
      </c>
      <c r="AD106" s="968">
        <f>IF(AD53=0,0,AD78/AD53*100)</f>
        <v>10.343344455482415</v>
      </c>
      <c r="AE106" s="1084" t="s">
        <v>86</v>
      </c>
      <c r="AF106" s="968">
        <f>IF(AF53=0,0,AF78/AF53*100)</f>
        <v>10.343344455482415</v>
      </c>
      <c r="AG106" s="1084" t="s">
        <v>86</v>
      </c>
      <c r="AH106" s="968">
        <f>IF(AH53=0,0,AH78/AH53*100)</f>
        <v>10.343344455482415</v>
      </c>
      <c r="AI106" s="1083" t="s">
        <v>86</v>
      </c>
      <c r="AJ106" s="939"/>
      <c r="AK106" s="939"/>
      <c r="AL106" s="939"/>
      <c r="AM106" s="939"/>
      <c r="AN106" s="939"/>
    </row>
    <row r="107" spans="1:40" ht="15" customHeight="1">
      <c r="A107" s="939"/>
      <c r="B107" s="939"/>
      <c r="C107" s="939"/>
      <c r="D107" s="1079"/>
      <c r="E107" s="1033"/>
      <c r="F107" s="1034" t="s">
        <v>245</v>
      </c>
      <c r="G107" s="1064"/>
      <c r="H107" s="1432">
        <f>Historical!K137</f>
        <v>1.1684863148344171</v>
      </c>
      <c r="I107" s="1083" t="s">
        <v>186</v>
      </c>
      <c r="J107" s="1420"/>
      <c r="K107" s="1421"/>
      <c r="L107" s="1436">
        <f>IF(L103*(360/M72)=0,0,(L53)/(L103*(360/M72)))</f>
        <v>6.3077430249565696</v>
      </c>
      <c r="M107" s="1084" t="s">
        <v>186</v>
      </c>
      <c r="N107" s="1436">
        <f>IF(N103*(360/O72)=0,0,(N53)/(N103*(360/O72)))</f>
        <v>4.8965941760265332</v>
      </c>
      <c r="O107" s="1084" t="s">
        <v>186</v>
      </c>
      <c r="P107" s="1436">
        <f>IF(P103*(360/Q72)=0,0,(P53)/(P103*(360/Q72)))</f>
        <v>3.9755070983373271</v>
      </c>
      <c r="Q107" s="1084" t="s">
        <v>186</v>
      </c>
      <c r="R107" s="1436">
        <f>IF(R103*(360/S72)=0,0,(R53)/(R103*(360/S72)))</f>
        <v>3.1025773429856209</v>
      </c>
      <c r="S107" s="1084" t="s">
        <v>186</v>
      </c>
      <c r="T107" s="1436">
        <f>IF(T103*(360/U72)=0,0,(T53)/(T103*(360/U72)))</f>
        <v>2.6673167089731211</v>
      </c>
      <c r="U107" s="1083" t="s">
        <v>186</v>
      </c>
      <c r="V107" s="1082"/>
      <c r="W107" s="1033"/>
      <c r="X107" s="1085"/>
      <c r="Y107" s="1064"/>
      <c r="Z107" s="1013"/>
      <c r="AA107" s="1086"/>
      <c r="AB107" s="1013"/>
      <c r="AC107" s="1086"/>
      <c r="AD107" s="1013"/>
      <c r="AE107" s="1086"/>
      <c r="AF107" s="1013"/>
      <c r="AG107" s="1086"/>
      <c r="AH107" s="1013"/>
      <c r="AI107" s="1087"/>
      <c r="AJ107" s="939"/>
      <c r="AK107" s="939"/>
      <c r="AL107" s="939"/>
      <c r="AM107" s="939"/>
      <c r="AN107" s="939"/>
    </row>
    <row r="108" spans="1:40" ht="15" customHeight="1">
      <c r="A108" s="939"/>
      <c r="B108" s="939"/>
      <c r="C108" s="939"/>
      <c r="D108" s="1079"/>
      <c r="E108" s="1033"/>
      <c r="F108" s="1034" t="s">
        <v>248</v>
      </c>
      <c r="G108" s="1064"/>
      <c r="H108" s="1432">
        <f>Historical!K140</f>
        <v>0.7325268410706185</v>
      </c>
      <c r="I108" s="1087" t="s">
        <v>186</v>
      </c>
      <c r="J108" s="1420"/>
      <c r="K108" s="1062"/>
      <c r="L108" s="1437">
        <f>IF((L103*(360/M7))=0,0,(SUM(L28:L31)+SUM(L39:L42)+SUM(L44:L47)+L34+L50+L59-L9)/(L103*(360/M7)))</f>
        <v>5.9588346044611606</v>
      </c>
      <c r="M108" s="1086" t="s">
        <v>186</v>
      </c>
      <c r="N108" s="1437">
        <f>IF((N103*(360/O7))=0,0,(SUM(N28:N31)+SUM(N39:N42)+SUM(N44:N47)+N34+N50+N59-N9)/(N103*(360/O7)))</f>
        <v>4.6071035248337537</v>
      </c>
      <c r="O108" s="1086" t="s">
        <v>186</v>
      </c>
      <c r="P108" s="1437">
        <f>IF((P103*(360/Q7))=0,0,(SUM(P28:P31)+SUM(P39:P42)+SUM(P44:P47)+P34+P50+P59-P9)/(P103*(360/Q7)))</f>
        <v>3.6599973704839881</v>
      </c>
      <c r="Q108" s="1086" t="s">
        <v>186</v>
      </c>
      <c r="R108" s="1437">
        <f>IF((R103*(360/S7))=0,0,(SUM(R28:R31)+SUM(R39:R42)+SUM(R44:R47)+R34+R50+R59-R9)/(R103*(360/S7)))</f>
        <v>2.7647285910165658</v>
      </c>
      <c r="S108" s="1086" t="s">
        <v>186</v>
      </c>
      <c r="T108" s="1437">
        <f>IF((T103*(360/U7))=0,0,(SUM(T28:T31)+SUM(T39:T42)+SUM(T44:T47)+T34+T50+T59-T9)/(T103*(360/U7)))</f>
        <v>1.9153595521359217</v>
      </c>
      <c r="U108" s="1087" t="s">
        <v>186</v>
      </c>
      <c r="V108" s="1082"/>
      <c r="W108" s="1033"/>
      <c r="X108" s="1085"/>
      <c r="Y108" s="1064"/>
      <c r="Z108" s="1013"/>
      <c r="AA108" s="1086"/>
      <c r="AB108" s="1013"/>
      <c r="AC108" s="1086"/>
      <c r="AD108" s="1013"/>
      <c r="AE108" s="1086"/>
      <c r="AF108" s="1013"/>
      <c r="AG108" s="1086"/>
      <c r="AH108" s="1013"/>
      <c r="AI108" s="1087"/>
      <c r="AJ108" s="939"/>
      <c r="AK108" s="939"/>
      <c r="AL108" s="939"/>
      <c r="AM108" s="939"/>
      <c r="AN108" s="939"/>
    </row>
    <row r="109" spans="1:40" ht="15" customHeight="1">
      <c r="A109" s="939"/>
      <c r="B109" s="939"/>
      <c r="C109" s="939"/>
      <c r="D109" s="1079"/>
      <c r="E109" s="1033"/>
      <c r="F109" s="1034" t="s">
        <v>249</v>
      </c>
      <c r="G109" s="1064"/>
      <c r="H109" s="1432">
        <f>Historical!K141</f>
        <v>1.0468739869902535</v>
      </c>
      <c r="I109" s="1087" t="s">
        <v>186</v>
      </c>
      <c r="J109" s="1420"/>
      <c r="K109" s="1439"/>
      <c r="L109" s="1438">
        <f>IF(L65-L59=0,0,(SUM(L28:L31)+SUM(L39:L42)+SUM(L44:L47)+L34+L50+L59-L9)/(L65-L59))</f>
        <v>3.4518020536914094</v>
      </c>
      <c r="M109" s="1086" t="s">
        <v>186</v>
      </c>
      <c r="N109" s="1437">
        <f>IF(N65-N59=0,0,(SUM(N28:N31)+SUM(N39:N42)+SUM(N44:N47)+N34+N50+N59-N9)/(N65-N59))</f>
        <v>2.6243076989166445</v>
      </c>
      <c r="O109" s="1086" t="s">
        <v>186</v>
      </c>
      <c r="P109" s="1437">
        <f>IF(P65-P59=0,0,(SUM(P28:P31)+SUM(P39:P42)+SUM(P44:P47)+P34+P50+P59-P9)/(P65-P59))</f>
        <v>1.8386961214230382</v>
      </c>
      <c r="Q109" s="1086" t="s">
        <v>186</v>
      </c>
      <c r="R109" s="1437">
        <f>IF(R65-R59=0,0,(SUM(R28:R31)+SUM(R39:R42)+SUM(R44:R47)+R34+R50+R59-R9)/(R65-R59))</f>
        <v>1.2256325491195394</v>
      </c>
      <c r="S109" s="1086" t="s">
        <v>186</v>
      </c>
      <c r="T109" s="1437">
        <f>IF(T65-T59=0,0,(SUM(T28:T31)+SUM(T39:T42)+SUM(T44:T47)+T34+T50+T59-T9)/(T65-T59))</f>
        <v>0.7523584926307727</v>
      </c>
      <c r="U109" s="1087" t="s">
        <v>186</v>
      </c>
      <c r="V109" s="1082"/>
      <c r="W109" s="1033"/>
      <c r="X109" s="1085"/>
      <c r="Y109" s="1064"/>
      <c r="Z109" s="1013"/>
      <c r="AA109" s="1086"/>
      <c r="AB109" s="1013"/>
      <c r="AC109" s="1086"/>
      <c r="AD109" s="1013"/>
      <c r="AE109" s="1086"/>
      <c r="AF109" s="1013"/>
      <c r="AG109" s="1086"/>
      <c r="AH109" s="1013"/>
      <c r="AI109" s="1087"/>
      <c r="AJ109" s="939"/>
      <c r="AK109" s="939"/>
      <c r="AL109" s="939"/>
      <c r="AM109" s="939"/>
      <c r="AN109" s="939"/>
    </row>
    <row r="110" spans="1:40" ht="15" customHeight="1">
      <c r="A110" s="939"/>
      <c r="B110" s="939"/>
      <c r="C110" s="939"/>
      <c r="D110" s="1079"/>
      <c r="E110" s="1033"/>
      <c r="F110" s="1034" t="s">
        <v>246</v>
      </c>
      <c r="G110" s="1064"/>
      <c r="H110" s="1432">
        <f>Historical!K138</f>
        <v>1.1669287766520491</v>
      </c>
      <c r="I110" s="1087" t="s">
        <v>186</v>
      </c>
      <c r="J110" s="1420"/>
      <c r="K110" s="1439"/>
      <c r="L110" s="1438">
        <f>IF(L103*(360/M72)=0,0,(L53-L9+L59)/(L103*(360/M72)))</f>
        <v>6.787618168705543</v>
      </c>
      <c r="M110" s="1086" t="s">
        <v>186</v>
      </c>
      <c r="N110" s="1437">
        <f>IF(N103*(360/O72)=0,0,(N53-N9+N59)/(N103*(360/O72)))</f>
        <v>5.2916923080685718</v>
      </c>
      <c r="O110" s="1086" t="s">
        <v>186</v>
      </c>
      <c r="P110" s="1437">
        <f>IF(P103*(360/Q72)=0,0,(P53-P9+P59)/(P103*(360/Q72)))</f>
        <v>4.3346872183755449</v>
      </c>
      <c r="Q110" s="1086" t="s">
        <v>186</v>
      </c>
      <c r="R110" s="1437">
        <f>IF(R103*(360/S72)=0,0,(R53-R9+R59)/(R103*(360/S72)))</f>
        <v>3.4291047248385453</v>
      </c>
      <c r="S110" s="1086" t="s">
        <v>186</v>
      </c>
      <c r="T110" s="1437">
        <f>IF(T103*(360/U72)=0,0,(T53-T9+T59)/(T103*(360/U72)))</f>
        <v>2.5714602675903655</v>
      </c>
      <c r="U110" s="1087" t="s">
        <v>186</v>
      </c>
      <c r="V110" s="1082"/>
      <c r="W110" s="1033"/>
      <c r="X110" s="1085"/>
      <c r="Y110" s="1064"/>
      <c r="Z110" s="1013"/>
      <c r="AA110" s="1086"/>
      <c r="AB110" s="1013"/>
      <c r="AC110" s="1086"/>
      <c r="AD110" s="1013"/>
      <c r="AE110" s="1086"/>
      <c r="AF110" s="1013"/>
      <c r="AG110" s="1086"/>
      <c r="AH110" s="1013"/>
      <c r="AI110" s="1087"/>
      <c r="AJ110" s="939"/>
      <c r="AK110" s="939"/>
      <c r="AL110" s="939"/>
      <c r="AM110" s="939"/>
      <c r="AN110" s="939"/>
    </row>
    <row r="111" spans="1:40" ht="15" customHeight="1">
      <c r="A111" s="939"/>
      <c r="B111" s="939"/>
      <c r="C111" s="939"/>
      <c r="D111" s="1079"/>
      <c r="E111" s="1033"/>
      <c r="F111" s="1034" t="s">
        <v>247</v>
      </c>
      <c r="G111" s="1064"/>
      <c r="H111" s="1432">
        <f>Historical!K139</f>
        <v>1.6676895813973591</v>
      </c>
      <c r="I111" s="1087" t="s">
        <v>186</v>
      </c>
      <c r="J111" s="1420"/>
      <c r="K111" s="1439"/>
      <c r="L111" s="1438">
        <f>IF((L65-L59)=0,0,(L53-L9)/(L65-L59))</f>
        <v>3.6443992823535751</v>
      </c>
      <c r="M111" s="1086" t="s">
        <v>186</v>
      </c>
      <c r="N111" s="1437">
        <f>IF((N65-N59)=0,0,(N53-N9)/(N65-N59))</f>
        <v>2.7815031743262648</v>
      </c>
      <c r="O111" s="1086" t="s">
        <v>186</v>
      </c>
      <c r="P111" s="1437">
        <f>IF((P65-P59)=0,0,(P53-P9)/(P65-P59))</f>
        <v>1.9910232873147158</v>
      </c>
      <c r="Q111" s="1086" t="s">
        <v>186</v>
      </c>
      <c r="R111" s="1437">
        <f>IF((R65-R59)=0,0,(R53-R9)/(R65-R59))</f>
        <v>1.370448771736678</v>
      </c>
      <c r="S111" s="1086" t="s">
        <v>186</v>
      </c>
      <c r="T111" s="1437">
        <f>IF((T65-T59)=0,0,(T53-T9)/(T65-T59))</f>
        <v>0.88948407057189494</v>
      </c>
      <c r="U111" s="1087" t="s">
        <v>186</v>
      </c>
      <c r="V111" s="1082"/>
      <c r="W111" s="1033"/>
      <c r="X111" s="1085"/>
      <c r="Y111" s="1064"/>
      <c r="Z111" s="1013"/>
      <c r="AA111" s="1086"/>
      <c r="AB111" s="1013"/>
      <c r="AC111" s="1086"/>
      <c r="AD111" s="1013"/>
      <c r="AE111" s="1086"/>
      <c r="AF111" s="1013"/>
      <c r="AG111" s="1086"/>
      <c r="AH111" s="1013"/>
      <c r="AI111" s="1087"/>
      <c r="AJ111" s="939"/>
      <c r="AK111" s="939"/>
      <c r="AL111" s="939"/>
      <c r="AM111" s="939"/>
      <c r="AN111" s="939"/>
    </row>
    <row r="112" spans="1:40" ht="15" customHeight="1">
      <c r="A112" s="939"/>
      <c r="B112" s="939"/>
      <c r="C112" s="939"/>
      <c r="D112" s="1079"/>
      <c r="E112" s="1033"/>
      <c r="F112" s="1088" t="s">
        <v>250</v>
      </c>
      <c r="G112" s="1064"/>
      <c r="H112" s="1438">
        <f>+Historical!K142</f>
        <v>388.81702728127937</v>
      </c>
      <c r="I112" s="1087" t="s">
        <v>86</v>
      </c>
      <c r="J112" s="1420"/>
      <c r="K112" s="1421"/>
      <c r="L112" s="1036">
        <f>IF((H39+H40+H41+H42+L87*(360/M7))=0,0,((L103*(360/M7)/(H39+H40+H41+H42+L87*(360/M7)))*100))</f>
        <v>154.5994363650513</v>
      </c>
      <c r="M112" s="1086" t="s">
        <v>86</v>
      </c>
      <c r="N112" s="1036">
        <f>IF((L39+L40+L41+L42+N87*(360/O7))=0,0,((N103*(360/O7)/(L39+L40+L41+L42+N87*(360/O7)))*100))</f>
        <v>342.40335497030941</v>
      </c>
      <c r="O112" s="1086" t="s">
        <v>86</v>
      </c>
      <c r="P112" s="1036">
        <f>IF((N39+N40+N41+N42+P87*(360/Q7))=0,0,((P103*(360/Q7)/(N39+N40+N41+N42+P87*(360/Q7)))*100))</f>
        <v>461.2302387447458</v>
      </c>
      <c r="Q112" s="1086" t="s">
        <v>86</v>
      </c>
      <c r="R112" s="1036">
        <f>IF((P39+P40+P41+P42+R87*(360/S7))=0,0,((R103*(360/S7)/(P39+P40+P41+P42+R87*(360/S7)))*100))</f>
        <v>651.65982377265857</v>
      </c>
      <c r="S112" s="1086" t="s">
        <v>86</v>
      </c>
      <c r="T112" s="1036">
        <f>IF((R39+R40+R41+R42+T87*(360/U7))=0,0,((T103*(360/U7)/(R39+R40+R41+R42+T87*(360/U7)))*100))</f>
        <v>1078.6082891345616</v>
      </c>
      <c r="U112" s="1087" t="s">
        <v>86</v>
      </c>
      <c r="V112" s="1082"/>
      <c r="W112" s="1033"/>
      <c r="X112" s="1034" t="str">
        <f t="shared" si="79"/>
        <v>Debt Service Coverage (DSC)</v>
      </c>
      <c r="Y112" s="1064"/>
      <c r="Z112" s="1013">
        <f>IF((T39+T40+T41+T42+Z87)=0,0,(Z78/(T39+T40+T41+T42+Z87))*100)</f>
        <v>363.68491568348719</v>
      </c>
      <c r="AA112" s="1086" t="s">
        <v>86</v>
      </c>
      <c r="AB112" s="1013">
        <f>IF((Z39+Z42+AB87)=0,0,(AB78/(Z39+Z42+AB87))*100)</f>
        <v>363.68491568348719</v>
      </c>
      <c r="AC112" s="1086" t="s">
        <v>86</v>
      </c>
      <c r="AD112" s="1013">
        <f>IF((AB39+AB42+AD87)=0,0,(AD78/(AB39+AB42+AD87))*100)</f>
        <v>363.68491568348719</v>
      </c>
      <c r="AE112" s="1086" t="s">
        <v>86</v>
      </c>
      <c r="AF112" s="1013">
        <f>IF((AD39+AD42+AF87)=0,0,(AF78/(AD39+AD42+AF87))*100)</f>
        <v>363.68491568348719</v>
      </c>
      <c r="AG112" s="1086" t="s">
        <v>86</v>
      </c>
      <c r="AH112" s="1013">
        <f>IF((AF39+AF42+AH87)=0,0,(AH78/(AF39+AF42+AH87))*100)</f>
        <v>363.68491568348719</v>
      </c>
      <c r="AI112" s="1087" t="s">
        <v>86</v>
      </c>
      <c r="AJ112" s="939"/>
      <c r="AK112" s="939"/>
      <c r="AL112" s="939"/>
      <c r="AM112" s="939"/>
      <c r="AN112" s="939"/>
    </row>
    <row r="113" spans="1:40" ht="15" customHeight="1">
      <c r="A113" s="939"/>
      <c r="B113" s="939"/>
      <c r="C113" s="939"/>
      <c r="D113" s="1079"/>
      <c r="E113" s="1074"/>
      <c r="F113" s="1089" t="s">
        <v>651</v>
      </c>
      <c r="G113" s="1090"/>
      <c r="H113" s="1438">
        <f>+Historical!K143</f>
        <v>15.464000971306003</v>
      </c>
      <c r="I113" s="1087" t="s">
        <v>86</v>
      </c>
      <c r="J113" s="1428"/>
      <c r="K113" s="1429"/>
      <c r="L113" s="1440">
        <f>IF(L27=0,0,L91/L27*100)</f>
        <v>3.6087226794884653</v>
      </c>
      <c r="M113" s="1086" t="s">
        <v>86</v>
      </c>
      <c r="N113" s="1440">
        <f>IF(N27=0,0,N91/N27*100)</f>
        <v>4.7337888492657374</v>
      </c>
      <c r="O113" s="1086" t="s">
        <v>86</v>
      </c>
      <c r="P113" s="1440">
        <f>IF(P27=0,0,P91/P27*100)</f>
        <v>6.2264115222377248</v>
      </c>
      <c r="Q113" s="1086" t="s">
        <v>86</v>
      </c>
      <c r="R113" s="1440">
        <f>IF(R27=0,0,R91/R27*100)</f>
        <v>7.8333826283405363</v>
      </c>
      <c r="S113" s="1086" t="s">
        <v>86</v>
      </c>
      <c r="T113" s="1440">
        <f>IF(T27=0,0,T91/T27*100)</f>
        <v>8.9696731729466403</v>
      </c>
      <c r="U113" s="1087" t="s">
        <v>86</v>
      </c>
      <c r="V113" s="1082"/>
      <c r="W113" s="1074"/>
      <c r="X113" s="1085"/>
      <c r="Y113" s="1090"/>
      <c r="Z113" s="1091"/>
      <c r="AA113" s="1092"/>
      <c r="AB113" s="1091"/>
      <c r="AC113" s="1092"/>
      <c r="AD113" s="1091"/>
      <c r="AE113" s="1092"/>
      <c r="AF113" s="1091"/>
      <c r="AG113" s="1092"/>
      <c r="AH113" s="1091"/>
      <c r="AI113" s="1093"/>
      <c r="AJ113" s="939"/>
      <c r="AK113" s="939"/>
      <c r="AL113" s="939"/>
      <c r="AM113" s="939"/>
      <c r="AN113" s="939"/>
    </row>
    <row r="114" spans="1:40" ht="15" customHeight="1">
      <c r="A114" s="939"/>
      <c r="B114" s="939"/>
      <c r="C114" s="939"/>
      <c r="D114" s="1079"/>
      <c r="E114" s="1074"/>
      <c r="F114" s="1089" t="s">
        <v>652</v>
      </c>
      <c r="G114" s="1090"/>
      <c r="H114" s="1438">
        <f>+Historical!K144</f>
        <v>41.287575908197006</v>
      </c>
      <c r="I114" s="1087" t="s">
        <v>86</v>
      </c>
      <c r="J114" s="1428"/>
      <c r="K114" s="1429"/>
      <c r="L114" s="1440">
        <f>IF((L65-L59)=0,0,L91/(L65-L59)*100)</f>
        <v>17.831498631916499</v>
      </c>
      <c r="M114" s="1086" t="s">
        <v>86</v>
      </c>
      <c r="N114" s="1440">
        <f>IF((N65-N59)=0,0,N91/(N65-N59)*100)</f>
        <v>19.038424139269068</v>
      </c>
      <c r="O114" s="1086" t="s">
        <v>86</v>
      </c>
      <c r="P114" s="1440">
        <f>IF((P65-P59)=0,0,P91/(P65-P59)*100)</f>
        <v>19.823015500491863</v>
      </c>
      <c r="Q114" s="1086" t="s">
        <v>86</v>
      </c>
      <c r="R114" s="1440">
        <f>IF((R65-R59)=0,0,R91/(R65-R59)*100)</f>
        <v>19.779399149427842</v>
      </c>
      <c r="S114" s="1086" t="s">
        <v>86</v>
      </c>
      <c r="T114" s="1440">
        <f>IF((T65-T59)=0,0,T91/(T65-T59)*100)</f>
        <v>19.448422799183831</v>
      </c>
      <c r="U114" s="1087" t="s">
        <v>86</v>
      </c>
      <c r="V114" s="1082"/>
      <c r="W114" s="1074"/>
      <c r="X114" s="1085"/>
      <c r="Y114" s="1090"/>
      <c r="Z114" s="1091"/>
      <c r="AA114" s="1092"/>
      <c r="AB114" s="1091"/>
      <c r="AC114" s="1092"/>
      <c r="AD114" s="1091"/>
      <c r="AE114" s="1092"/>
      <c r="AF114" s="1091"/>
      <c r="AG114" s="1092"/>
      <c r="AH114" s="1091"/>
      <c r="AI114" s="1093"/>
      <c r="AJ114" s="939"/>
      <c r="AK114" s="939"/>
      <c r="AL114" s="939"/>
      <c r="AM114" s="939"/>
      <c r="AN114" s="939"/>
    </row>
    <row r="115" spans="1:40" ht="15" customHeight="1">
      <c r="A115" s="939"/>
      <c r="B115" s="939"/>
      <c r="C115" s="939"/>
      <c r="D115" s="1079"/>
      <c r="E115" s="1074"/>
      <c r="F115" s="1094" t="s">
        <v>190</v>
      </c>
      <c r="G115" s="947"/>
      <c r="H115" s="1441">
        <f>Historical!K94</f>
        <v>0.55799999999999994</v>
      </c>
      <c r="I115" s="1092" t="s">
        <v>191</v>
      </c>
      <c r="J115" s="1428"/>
      <c r="K115" s="1429"/>
      <c r="L115" s="1441">
        <f>+L12/L74*M72</f>
        <v>45</v>
      </c>
      <c r="M115" s="1092" t="s">
        <v>191</v>
      </c>
      <c r="N115" s="1441">
        <f>+N12/N74*O72</f>
        <v>45</v>
      </c>
      <c r="O115" s="1092" t="s">
        <v>191</v>
      </c>
      <c r="P115" s="1441">
        <f>+P12/P74*Q72</f>
        <v>45</v>
      </c>
      <c r="Q115" s="1092" t="s">
        <v>191</v>
      </c>
      <c r="R115" s="1441">
        <f>+R12/R74*S72</f>
        <v>45</v>
      </c>
      <c r="S115" s="1096" t="s">
        <v>191</v>
      </c>
      <c r="T115" s="1441">
        <f>+T12/T74*U72</f>
        <v>45</v>
      </c>
      <c r="U115" s="1099" t="s">
        <v>191</v>
      </c>
      <c r="V115" s="1097"/>
      <c r="W115" s="1074"/>
      <c r="X115" s="1098"/>
      <c r="Y115" s="947"/>
      <c r="Z115" s="1095"/>
      <c r="AA115" s="1096"/>
      <c r="AB115" s="1095"/>
      <c r="AC115" s="1096"/>
      <c r="AD115" s="1095"/>
      <c r="AE115" s="1096"/>
      <c r="AF115" s="1095"/>
      <c r="AG115" s="1096"/>
      <c r="AH115" s="1095"/>
      <c r="AI115" s="1099"/>
      <c r="AJ115" s="939"/>
      <c r="AK115" s="939"/>
      <c r="AL115" s="939"/>
      <c r="AM115" s="939"/>
      <c r="AN115" s="939"/>
    </row>
    <row r="116" spans="1:40" ht="15" customHeight="1">
      <c r="A116" s="939"/>
      <c r="B116" s="939"/>
      <c r="C116" s="939"/>
      <c r="D116" s="1079"/>
      <c r="E116" s="1074"/>
      <c r="F116" s="1094" t="s">
        <v>192</v>
      </c>
      <c r="G116" s="947"/>
      <c r="H116" s="1441">
        <f>Historical!K95</f>
        <v>1.006</v>
      </c>
      <c r="I116" s="1092" t="s">
        <v>191</v>
      </c>
      <c r="J116" s="1428"/>
      <c r="K116" s="1429"/>
      <c r="L116" s="1441">
        <f>+L13/L75*M72</f>
        <v>60</v>
      </c>
      <c r="M116" s="1092" t="s">
        <v>191</v>
      </c>
      <c r="N116" s="1441">
        <f>+N13/N75*O72</f>
        <v>60</v>
      </c>
      <c r="O116" s="1092" t="s">
        <v>191</v>
      </c>
      <c r="P116" s="1441">
        <f>+P13/P75*Q72</f>
        <v>60</v>
      </c>
      <c r="Q116" s="1092" t="s">
        <v>191</v>
      </c>
      <c r="R116" s="1441">
        <f>+R13/R75*S72</f>
        <v>60</v>
      </c>
      <c r="S116" s="1092" t="s">
        <v>191</v>
      </c>
      <c r="T116" s="1441">
        <f>+T13/T75*U72</f>
        <v>60</v>
      </c>
      <c r="U116" s="1093" t="s">
        <v>191</v>
      </c>
      <c r="V116" s="1082"/>
      <c r="W116" s="1074"/>
      <c r="X116" s="1098"/>
      <c r="Y116" s="947"/>
      <c r="Z116" s="1091"/>
      <c r="AA116" s="1092"/>
      <c r="AB116" s="1091"/>
      <c r="AC116" s="1092"/>
      <c r="AD116" s="1091"/>
      <c r="AE116" s="1092"/>
      <c r="AF116" s="1091"/>
      <c r="AG116" s="1092"/>
      <c r="AH116" s="1091"/>
      <c r="AI116" s="1093"/>
      <c r="AJ116" s="939"/>
      <c r="AK116" s="939"/>
      <c r="AL116" s="939"/>
      <c r="AM116" s="939"/>
      <c r="AN116" s="939"/>
    </row>
    <row r="117" spans="1:40" ht="15" customHeight="1">
      <c r="A117" s="939"/>
      <c r="B117" s="939"/>
      <c r="C117" s="939"/>
      <c r="D117" s="1079"/>
      <c r="E117" s="1074"/>
      <c r="F117" s="1094" t="s">
        <v>194</v>
      </c>
      <c r="G117" s="947"/>
      <c r="H117" s="1441">
        <f>Historical!K96</f>
        <v>4.806</v>
      </c>
      <c r="I117" s="1092" t="s">
        <v>191</v>
      </c>
      <c r="J117" s="1428"/>
      <c r="K117" s="1429"/>
      <c r="L117" s="1441">
        <f>+L32/L75*M72</f>
        <v>5.8069234006734005</v>
      </c>
      <c r="M117" s="1092" t="s">
        <v>191</v>
      </c>
      <c r="N117" s="1441">
        <f>+N32/N75*O72</f>
        <v>5.134032634032633</v>
      </c>
      <c r="O117" s="1092" t="s">
        <v>191</v>
      </c>
      <c r="P117" s="1441">
        <f>+P32/P75*Q72</f>
        <v>5.0757575757575744</v>
      </c>
      <c r="Q117" s="1092" t="s">
        <v>191</v>
      </c>
      <c r="R117" s="1441">
        <f>+R32/R75*S72</f>
        <v>5.0757575757575744</v>
      </c>
      <c r="S117" s="1092" t="s">
        <v>191</v>
      </c>
      <c r="T117" s="1441">
        <f>+T32/T75*U72</f>
        <v>5.0757575757575761</v>
      </c>
      <c r="U117" s="1093" t="s">
        <v>191</v>
      </c>
      <c r="V117" s="1082"/>
      <c r="W117" s="1074"/>
      <c r="X117" s="1098"/>
      <c r="Y117" s="947"/>
      <c r="Z117" s="1091"/>
      <c r="AA117" s="1092"/>
      <c r="AB117" s="1091"/>
      <c r="AC117" s="1092"/>
      <c r="AD117" s="1091"/>
      <c r="AE117" s="1092"/>
      <c r="AF117" s="1091"/>
      <c r="AG117" s="1092"/>
      <c r="AH117" s="1091"/>
      <c r="AI117" s="1093"/>
      <c r="AJ117" s="939"/>
      <c r="AK117" s="939"/>
      <c r="AL117" s="939"/>
      <c r="AM117" s="939"/>
      <c r="AN117" s="939"/>
    </row>
    <row r="118" spans="1:40" ht="15" customHeight="1">
      <c r="A118" s="939"/>
      <c r="B118" s="939"/>
      <c r="C118" s="939"/>
      <c r="D118" s="1079"/>
      <c r="E118" s="1074"/>
      <c r="F118" s="1094" t="s">
        <v>196</v>
      </c>
      <c r="G118" s="1090"/>
      <c r="H118" s="1441">
        <f>Historical!K97</f>
        <v>-3.242</v>
      </c>
      <c r="I118" s="1082" t="s">
        <v>191</v>
      </c>
      <c r="J118" s="1428"/>
      <c r="K118" s="1429"/>
      <c r="L118" s="1442">
        <f>L115+L116-L117</f>
        <v>99.193076599326602</v>
      </c>
      <c r="M118" s="1092" t="s">
        <v>191</v>
      </c>
      <c r="N118" s="1448">
        <f>N115+N116-N117</f>
        <v>99.865967365967364</v>
      </c>
      <c r="O118" s="1092" t="s">
        <v>191</v>
      </c>
      <c r="P118" s="1448">
        <f>P115+P116-P117</f>
        <v>99.924242424242422</v>
      </c>
      <c r="Q118" s="1092" t="s">
        <v>191</v>
      </c>
      <c r="R118" s="1450">
        <f>R115+R116-R117</f>
        <v>99.924242424242422</v>
      </c>
      <c r="S118" s="1082" t="s">
        <v>191</v>
      </c>
      <c r="T118" s="1450">
        <f>T115+T116-T117</f>
        <v>99.924242424242422</v>
      </c>
      <c r="U118" s="1093" t="s">
        <v>191</v>
      </c>
      <c r="V118" s="1082"/>
      <c r="W118" s="1074"/>
      <c r="X118" s="1098"/>
      <c r="Y118" s="947"/>
      <c r="Z118" s="1091"/>
      <c r="AA118" s="1092"/>
      <c r="AB118" s="1091"/>
      <c r="AC118" s="1092"/>
      <c r="AD118" s="1091"/>
      <c r="AE118" s="1092"/>
      <c r="AF118" s="1091"/>
      <c r="AG118" s="1092"/>
      <c r="AH118" s="1091"/>
      <c r="AI118" s="1093"/>
      <c r="AJ118" s="939"/>
      <c r="AK118" s="939"/>
      <c r="AL118" s="939"/>
      <c r="AM118" s="939"/>
      <c r="AN118" s="939"/>
    </row>
    <row r="119" spans="1:40" s="1124" customFormat="1" ht="15" customHeight="1">
      <c r="A119" s="1100"/>
      <c r="B119" s="1100"/>
      <c r="C119" s="1100"/>
      <c r="D119" s="1100"/>
      <c r="E119" s="1101"/>
      <c r="F119" s="1102" t="s">
        <v>653</v>
      </c>
      <c r="G119" s="948"/>
      <c r="H119" s="1103">
        <f>Historical!K98</f>
        <v>-36018</v>
      </c>
      <c r="I119" s="1104" t="str">
        <f>+E72</f>
        <v>IDR Million</v>
      </c>
      <c r="J119" s="1105"/>
      <c r="K119" s="1106"/>
      <c r="L119" s="1401">
        <f>L18-L43</f>
        <v>-44647.158964553208</v>
      </c>
      <c r="M119" s="1449" t="str">
        <f>I119</f>
        <v>IDR Million</v>
      </c>
      <c r="N119" s="1401">
        <f>N18-N43</f>
        <v>-25130.214446634345</v>
      </c>
      <c r="O119" s="1449">
        <f>K119</f>
        <v>0</v>
      </c>
      <c r="P119" s="1401">
        <f>P18-P43</f>
        <v>-1923.5808406727956</v>
      </c>
      <c r="Q119" s="1449" t="str">
        <f>M119</f>
        <v>IDR Million</v>
      </c>
      <c r="R119" s="1401">
        <f>R18-R43</f>
        <v>25195.052012990993</v>
      </c>
      <c r="S119" s="1449" t="str">
        <f>Q119</f>
        <v>IDR Million</v>
      </c>
      <c r="T119" s="1401">
        <f>T18-T43</f>
        <v>56717.457439009238</v>
      </c>
      <c r="U119" s="1104" t="str">
        <f>S119</f>
        <v>IDR Million</v>
      </c>
      <c r="V119" s="1107"/>
      <c r="W119" s="1101"/>
      <c r="X119" s="1108"/>
      <c r="Y119" s="948"/>
      <c r="Z119" s="1109"/>
      <c r="AA119" s="1109"/>
      <c r="AB119" s="1109"/>
      <c r="AC119" s="1109"/>
      <c r="AD119" s="1109"/>
      <c r="AE119" s="1109"/>
      <c r="AF119" s="1109"/>
      <c r="AG119" s="1109"/>
      <c r="AH119" s="1109"/>
      <c r="AI119" s="1110"/>
      <c r="AJ119" s="1100"/>
      <c r="AK119" s="1100"/>
      <c r="AL119" s="1100"/>
      <c r="AM119" s="1100"/>
      <c r="AN119" s="1100"/>
    </row>
    <row r="120" spans="1:40" ht="15" customHeight="1">
      <c r="A120" s="939"/>
      <c r="B120" s="939"/>
      <c r="C120" s="939"/>
      <c r="D120" s="939"/>
      <c r="E120" s="939"/>
      <c r="F120" s="939"/>
      <c r="G120" s="939"/>
      <c r="H120" s="1111"/>
      <c r="I120" s="1111"/>
      <c r="J120" s="939"/>
      <c r="K120" s="939"/>
      <c r="L120" s="939"/>
      <c r="M120" s="939"/>
      <c r="N120" s="939"/>
      <c r="O120" s="939"/>
      <c r="P120" s="939"/>
      <c r="Q120" s="939"/>
      <c r="R120" s="939"/>
      <c r="S120" s="939"/>
      <c r="T120" s="939"/>
      <c r="U120" s="939"/>
      <c r="V120" s="939"/>
      <c r="W120" s="939"/>
      <c r="X120" s="939"/>
      <c r="Y120" s="939"/>
      <c r="Z120" s="939"/>
      <c r="AA120" s="939"/>
      <c r="AB120" s="939"/>
      <c r="AC120" s="939"/>
      <c r="AD120" s="939"/>
      <c r="AE120" s="939"/>
      <c r="AF120" s="939"/>
      <c r="AG120" s="939"/>
      <c r="AH120" s="939"/>
      <c r="AI120" s="939"/>
      <c r="AJ120" s="939"/>
      <c r="AK120" s="939"/>
      <c r="AL120" s="939"/>
      <c r="AM120" s="939"/>
      <c r="AN120" s="939"/>
    </row>
    <row r="121" spans="1:40" ht="15" customHeight="1">
      <c r="A121" s="939"/>
      <c r="B121" s="939"/>
      <c r="C121" s="939"/>
      <c r="D121" s="917"/>
      <c r="E121" s="939"/>
      <c r="F121" s="939"/>
      <c r="G121" s="939"/>
      <c r="H121" s="939"/>
      <c r="I121" s="939"/>
      <c r="J121" s="1112">
        <f>+IF(MONTH(H72)=12,H124+10%*CF!U61,H124*(12-MONTH(H72))/MONTH(H72)+10%*CF!U61)</f>
        <v>2302</v>
      </c>
      <c r="K121" s="939">
        <f>(+IF(MONTH(H72)=12,H79+10%*CF!U61,H79*(12-MONTH(H72))/MONTH(H72)+10%*CF!U61))</f>
        <v>2302</v>
      </c>
      <c r="L121" s="939"/>
      <c r="M121" s="939"/>
      <c r="N121" s="939"/>
      <c r="O121" s="939"/>
      <c r="P121" s="939"/>
      <c r="Q121" s="939"/>
      <c r="R121" s="939"/>
      <c r="S121" s="939"/>
      <c r="T121" s="939"/>
      <c r="U121" s="939"/>
      <c r="V121" s="939"/>
      <c r="W121" s="939"/>
      <c r="X121" s="939"/>
      <c r="Y121" s="939"/>
      <c r="Z121" s="939"/>
      <c r="AA121" s="939"/>
      <c r="AB121" s="939"/>
      <c r="AC121" s="939"/>
      <c r="AD121" s="939"/>
      <c r="AE121" s="939"/>
      <c r="AF121" s="939"/>
      <c r="AG121" s="939"/>
      <c r="AH121" s="939"/>
      <c r="AI121" s="939"/>
      <c r="AJ121" s="939"/>
      <c r="AK121" s="939"/>
      <c r="AL121" s="939"/>
      <c r="AM121" s="939"/>
      <c r="AN121" s="939"/>
    </row>
    <row r="122" spans="1:40" ht="15" customHeight="1">
      <c r="A122" s="939"/>
      <c r="B122" s="939"/>
      <c r="C122" s="939"/>
      <c r="D122" s="917"/>
      <c r="E122" s="939"/>
      <c r="F122" s="939"/>
      <c r="G122" s="939"/>
      <c r="H122" s="939"/>
      <c r="I122" s="939"/>
      <c r="J122" s="939"/>
      <c r="K122" s="939"/>
      <c r="L122" s="939"/>
      <c r="M122" s="939"/>
      <c r="N122" s="939"/>
      <c r="O122" s="939"/>
      <c r="P122" s="939"/>
      <c r="Q122" s="939"/>
      <c r="R122" s="939"/>
      <c r="S122" s="939"/>
      <c r="T122" s="939"/>
      <c r="U122" s="939"/>
      <c r="V122" s="939"/>
      <c r="W122" s="939"/>
      <c r="X122" s="939"/>
      <c r="Y122" s="939"/>
      <c r="Z122" s="939"/>
      <c r="AA122" s="939"/>
      <c r="AB122" s="939"/>
      <c r="AC122" s="939"/>
      <c r="AD122" s="939"/>
      <c r="AE122" s="939"/>
      <c r="AF122" s="939"/>
      <c r="AG122" s="939"/>
      <c r="AH122" s="939"/>
      <c r="AI122" s="939"/>
      <c r="AJ122" s="939"/>
      <c r="AK122" s="939"/>
      <c r="AL122" s="939"/>
      <c r="AM122" s="939"/>
      <c r="AN122" s="939"/>
    </row>
    <row r="123" spans="1:40" ht="15" customHeight="1">
      <c r="A123" s="939"/>
      <c r="B123" s="939"/>
      <c r="C123" s="939"/>
      <c r="D123" s="918"/>
      <c r="E123" s="939"/>
      <c r="F123" s="939"/>
      <c r="G123" s="939"/>
      <c r="H123" s="939"/>
      <c r="I123" s="939"/>
      <c r="J123" s="939"/>
      <c r="K123" s="939"/>
      <c r="L123" s="939"/>
      <c r="M123" s="939"/>
      <c r="N123" s="939"/>
      <c r="O123" s="939"/>
      <c r="P123" s="939"/>
      <c r="Q123" s="939"/>
      <c r="R123" s="939"/>
      <c r="S123" s="939"/>
      <c r="T123" s="939"/>
      <c r="U123" s="939"/>
      <c r="V123" s="939"/>
      <c r="W123" s="939"/>
      <c r="X123" s="939"/>
      <c r="Y123" s="939"/>
      <c r="Z123" s="939"/>
      <c r="AA123" s="939"/>
      <c r="AB123" s="939"/>
      <c r="AC123" s="939"/>
      <c r="AD123" s="939"/>
      <c r="AE123" s="939"/>
      <c r="AF123" s="939"/>
      <c r="AG123" s="939"/>
      <c r="AH123" s="939"/>
      <c r="AI123" s="939"/>
      <c r="AJ123" s="939"/>
      <c r="AK123" s="939"/>
      <c r="AL123" s="939"/>
      <c r="AM123" s="939"/>
      <c r="AN123" s="939"/>
    </row>
    <row r="124" spans="1:40" ht="15" customHeight="1">
      <c r="A124" s="939"/>
      <c r="B124" s="939"/>
      <c r="C124" s="939"/>
      <c r="D124" s="939"/>
      <c r="E124" s="939"/>
      <c r="F124" s="939"/>
      <c r="G124" s="939"/>
      <c r="H124" s="1113">
        <f>+H79</f>
        <v>2300</v>
      </c>
      <c r="I124" s="939"/>
      <c r="J124" s="1114">
        <f>+IF(H126&lt;J121,H126,J121)</f>
        <v>2302</v>
      </c>
      <c r="K124" s="939">
        <f>+(IF(H19&lt;(+IF(MONTH(H72)=12,H79+10%*CF!U61,H79*(12-MONTH(H72))/MONTH(H72)+10%*CF!U61)),H19,(+IF(MONTH(H72)=12,H79+10%*CF!U61,H79*(12-MONTH(H72))/MONTH(H72)+10%*CF!U61))))</f>
        <v>2302</v>
      </c>
      <c r="L124" s="939">
        <f>+IF(MONTH(H72)=12,J124,H124+J124)</f>
        <v>4602</v>
      </c>
      <c r="M124" s="1115">
        <f>+IF(MONTH(H72)=12,L79,H79+L79)</f>
        <v>6902</v>
      </c>
      <c r="N124" s="1114">
        <f>+IF(L126&lt;L124+10%*CF!AH61,L126,L124+10%*CF!AH61)</f>
        <v>4602</v>
      </c>
      <c r="O124" s="1116">
        <f>+IF(L19&lt;(IF(MONTH(H72)=12,L79,H79+L79))+10%*CF!AH61,L19,(IF(MONTH(H72)=12,L79,H79+L79))+10%*CF!AH61)</f>
        <v>6902</v>
      </c>
      <c r="P124" s="939">
        <f>+IF(N126&lt;N124+CF!AU61*10%,N126,N124+CF!AU61*10%)</f>
        <v>4602</v>
      </c>
      <c r="Q124" s="1117">
        <f>+IF(N19&lt;N79+CF!AU61*10%,N19,N79+CF!AU61*10%)</f>
        <v>6902</v>
      </c>
      <c r="R124" s="939">
        <f>+IF(P126&lt;P124+10%*CF!BH61,P126,P124+10%*CF!BH61)</f>
        <v>4602</v>
      </c>
      <c r="S124" s="1117">
        <f>+IF(P19&lt;P79+10%*CF!BH61,P19,P79+10%*CF!BH61)</f>
        <v>6902</v>
      </c>
      <c r="T124" s="939">
        <f>+IF(R126&lt;R124+10%*CF!BU61,R126,R124+10%*CF!BU61)</f>
        <v>4602</v>
      </c>
      <c r="U124" s="1117">
        <f>+IF(R19&lt;R79+10%*CF!BU61,R19,R79+10%*CF!BU61)</f>
        <v>6902</v>
      </c>
      <c r="V124" s="939"/>
      <c r="W124" s="939"/>
      <c r="X124" s="939"/>
      <c r="Y124" s="939"/>
      <c r="Z124" s="939">
        <f>+IF(T126&lt;T124+10%*CF!CH61,T126,T124+10%*CF!CH61)</f>
        <v>4602</v>
      </c>
      <c r="AA124" s="939"/>
      <c r="AB124" s="939">
        <f>+IF(Z126&lt;Z124+10%*CF!CJ61,Z126,Z124+10%*CF!CJ61)</f>
        <v>4602</v>
      </c>
      <c r="AC124" s="939"/>
      <c r="AD124" s="939">
        <f>+IF(AB126&lt;AB124+10%*CF!CL61,AB126,AB124+10%*CF!CL61)</f>
        <v>4602</v>
      </c>
      <c r="AE124" s="939"/>
      <c r="AF124" s="939">
        <f>+IF(AD126&lt;AD124+10%*CF!CN61,AD126,AD124+10%*CF!CN61)</f>
        <v>4602</v>
      </c>
      <c r="AG124" s="939"/>
      <c r="AH124" s="939">
        <f>+IF(AF126&lt;AF124+10%*CF!CP61,AF126,AF124+10%*CF!CP61)</f>
        <v>4602</v>
      </c>
      <c r="AI124" s="939"/>
      <c r="AJ124" s="939"/>
      <c r="AK124" s="939"/>
      <c r="AL124" s="939"/>
      <c r="AM124" s="939"/>
      <c r="AN124" s="939"/>
    </row>
    <row r="125" spans="1:40" ht="15" customHeight="1">
      <c r="A125" s="939"/>
      <c r="B125" s="939"/>
      <c r="C125" s="939"/>
      <c r="D125" s="939"/>
      <c r="E125" s="939"/>
      <c r="F125" s="939"/>
      <c r="G125" s="939"/>
      <c r="H125" s="939"/>
      <c r="I125" s="939"/>
      <c r="J125" s="939"/>
      <c r="K125" s="939"/>
      <c r="L125" s="939"/>
      <c r="M125" s="939"/>
      <c r="N125" s="939"/>
      <c r="O125" s="939"/>
      <c r="P125" s="939"/>
      <c r="Q125" s="939"/>
      <c r="R125" s="939"/>
      <c r="S125" s="939"/>
      <c r="T125" s="939"/>
      <c r="U125" s="939"/>
      <c r="V125" s="939"/>
      <c r="W125" s="939"/>
      <c r="X125" s="939"/>
      <c r="Y125" s="939"/>
      <c r="Z125" s="939"/>
      <c r="AA125" s="939"/>
      <c r="AB125" s="939"/>
      <c r="AC125" s="939"/>
      <c r="AD125" s="939"/>
      <c r="AE125" s="939"/>
      <c r="AF125" s="939"/>
      <c r="AG125" s="939"/>
      <c r="AH125" s="939"/>
      <c r="AI125" s="939"/>
      <c r="AJ125" s="939"/>
      <c r="AK125" s="939"/>
      <c r="AL125" s="939"/>
      <c r="AM125" s="939"/>
      <c r="AN125" s="939"/>
    </row>
    <row r="126" spans="1:40" ht="15" customHeight="1">
      <c r="A126" s="939"/>
      <c r="B126" s="939"/>
      <c r="C126" s="939"/>
      <c r="D126" s="1100"/>
      <c r="E126" s="939"/>
      <c r="F126" s="939"/>
      <c r="G126" s="939"/>
      <c r="H126" s="1112">
        <f>+H19</f>
        <v>110300</v>
      </c>
      <c r="I126" s="939"/>
      <c r="J126" s="939">
        <f>+J19</f>
        <v>208028</v>
      </c>
      <c r="K126" s="939"/>
      <c r="L126" s="939">
        <f>+L19</f>
        <v>208028</v>
      </c>
      <c r="M126" s="939"/>
      <c r="N126" s="939">
        <f>+N19</f>
        <v>201126</v>
      </c>
      <c r="O126" s="939"/>
      <c r="P126" s="939">
        <f>+P19</f>
        <v>194224</v>
      </c>
      <c r="Q126" s="939"/>
      <c r="R126" s="939">
        <f>+R19</f>
        <v>187322</v>
      </c>
      <c r="S126" s="939"/>
      <c r="T126" s="939">
        <f>+T19</f>
        <v>180420</v>
      </c>
      <c r="U126" s="939"/>
      <c r="V126" s="939"/>
      <c r="W126" s="939"/>
      <c r="X126" s="939"/>
      <c r="Y126" s="939"/>
      <c r="Z126" s="939">
        <f>+Z19</f>
        <v>175818</v>
      </c>
      <c r="AA126" s="939"/>
      <c r="AB126" s="939">
        <f>+AB19</f>
        <v>171216</v>
      </c>
      <c r="AC126" s="939"/>
      <c r="AD126" s="939">
        <f>+AD19</f>
        <v>166614</v>
      </c>
      <c r="AE126" s="939"/>
      <c r="AF126" s="939">
        <f>+AF19</f>
        <v>162012</v>
      </c>
      <c r="AG126" s="939"/>
      <c r="AH126" s="939">
        <f>+AH19</f>
        <v>157410</v>
      </c>
      <c r="AI126" s="939"/>
      <c r="AJ126" s="939"/>
      <c r="AK126" s="939"/>
      <c r="AL126" s="939"/>
      <c r="AM126" s="939"/>
      <c r="AN126" s="939"/>
    </row>
    <row r="127" spans="1:40" ht="15" customHeight="1">
      <c r="A127" s="939"/>
      <c r="B127" s="939"/>
      <c r="C127" s="939"/>
      <c r="D127" s="939"/>
      <c r="E127" s="939"/>
      <c r="F127" s="939"/>
      <c r="G127" s="939"/>
      <c r="H127" s="939"/>
      <c r="I127" s="939"/>
      <c r="J127" s="939"/>
      <c r="K127" s="939"/>
      <c r="L127" s="939"/>
      <c r="M127" s="939"/>
      <c r="N127" s="939"/>
      <c r="O127" s="939"/>
      <c r="P127" s="939"/>
      <c r="Q127" s="939"/>
      <c r="R127" s="939"/>
      <c r="S127" s="939"/>
      <c r="T127" s="939"/>
      <c r="U127" s="939"/>
      <c r="V127" s="939"/>
      <c r="W127" s="939"/>
      <c r="X127" s="939"/>
      <c r="Y127" s="939"/>
      <c r="Z127" s="939"/>
      <c r="AA127" s="939"/>
      <c r="AB127" s="939"/>
      <c r="AC127" s="939"/>
      <c r="AD127" s="939"/>
      <c r="AE127" s="939"/>
      <c r="AF127" s="939"/>
      <c r="AG127" s="939"/>
      <c r="AH127" s="939"/>
      <c r="AI127" s="939"/>
      <c r="AJ127" s="939"/>
      <c r="AK127" s="939"/>
      <c r="AL127" s="939"/>
      <c r="AM127" s="939"/>
      <c r="AN127" s="939"/>
    </row>
    <row r="128" spans="1:40" ht="15" customHeight="1">
      <c r="A128" s="939"/>
      <c r="B128" s="939"/>
      <c r="C128" s="939"/>
      <c r="D128" s="939"/>
      <c r="E128" s="939"/>
      <c r="F128" s="939"/>
      <c r="G128" s="939" t="s">
        <v>379</v>
      </c>
      <c r="H128" s="939"/>
      <c r="I128" s="939"/>
      <c r="J128" s="939"/>
      <c r="K128" s="939"/>
      <c r="L128" s="939"/>
      <c r="M128" s="939"/>
      <c r="N128" s="939"/>
      <c r="O128" s="939"/>
      <c r="P128" s="939"/>
      <c r="Q128" s="939"/>
      <c r="R128" s="939"/>
      <c r="S128" s="939"/>
      <c r="T128" s="939"/>
      <c r="U128" s="939"/>
      <c r="V128" s="939"/>
      <c r="W128" s="939"/>
      <c r="X128" s="939"/>
      <c r="Y128" s="939"/>
      <c r="Z128" s="939"/>
      <c r="AA128" s="939"/>
      <c r="AB128" s="939"/>
      <c r="AC128" s="939"/>
      <c r="AD128" s="939"/>
      <c r="AE128" s="939"/>
      <c r="AF128" s="939"/>
      <c r="AG128" s="939"/>
      <c r="AH128" s="939"/>
      <c r="AI128" s="939"/>
      <c r="AJ128" s="939"/>
      <c r="AK128" s="939"/>
      <c r="AL128" s="939"/>
      <c r="AM128" s="939"/>
      <c r="AN128" s="939"/>
    </row>
    <row r="129" spans="1:40" ht="15" customHeight="1">
      <c r="A129" s="939"/>
      <c r="B129" s="939"/>
      <c r="C129" s="939"/>
      <c r="D129" s="939"/>
      <c r="E129" s="939"/>
      <c r="F129" s="939"/>
      <c r="G129" s="939" t="s">
        <v>465</v>
      </c>
      <c r="H129" s="1120">
        <f>IF(Historical!K110&lt;&gt;0,Projection!I135,IF(Historical!I110&lt;&gt;0,Projection!H135,IF(Historical!G110&lt;&gt;0,Historical!BL340,Historical!BJ340)))</f>
        <v>0</v>
      </c>
      <c r="I129" s="1118">
        <f>IF(H132=0,0,+H129/$H$132)</f>
        <v>0</v>
      </c>
      <c r="J129" s="939"/>
      <c r="K129" s="939"/>
      <c r="L129" s="939">
        <f>+L79*I129</f>
        <v>0</v>
      </c>
      <c r="M129" s="939"/>
      <c r="N129" s="939"/>
      <c r="O129" s="939"/>
      <c r="P129" s="939"/>
      <c r="Q129" s="939"/>
      <c r="R129" s="939"/>
      <c r="S129" s="939"/>
      <c r="T129" s="939"/>
      <c r="U129" s="939"/>
      <c r="V129" s="939"/>
      <c r="W129" s="939"/>
      <c r="X129" s="939"/>
      <c r="Y129" s="939"/>
      <c r="Z129" s="939"/>
      <c r="AA129" s="939"/>
      <c r="AB129" s="939"/>
      <c r="AC129" s="939"/>
      <c r="AD129" s="939"/>
      <c r="AE129" s="939"/>
      <c r="AF129" s="939"/>
      <c r="AG129" s="939"/>
      <c r="AH129" s="939"/>
      <c r="AI129" s="939"/>
      <c r="AJ129" s="939"/>
      <c r="AK129" s="939"/>
      <c r="AL129" s="939"/>
      <c r="AM129" s="939"/>
      <c r="AN129" s="939"/>
    </row>
    <row r="130" spans="1:40" ht="15" customHeight="1">
      <c r="A130" s="939"/>
      <c r="B130" s="939"/>
      <c r="C130" s="939"/>
      <c r="D130" s="939"/>
      <c r="E130" s="939"/>
      <c r="F130" s="939"/>
      <c r="G130" s="939"/>
      <c r="H130" s="939"/>
      <c r="I130" s="1118"/>
      <c r="J130" s="1119">
        <f>+H33+J89-CF!U30</f>
        <v>-6497</v>
      </c>
      <c r="K130" s="939"/>
      <c r="L130" s="939"/>
      <c r="M130" s="939"/>
      <c r="N130" s="1114">
        <f>(L33-CF!AH30+N89)</f>
        <v>-2347.3375672744587</v>
      </c>
      <c r="O130" s="939"/>
      <c r="P130" s="939">
        <f>N33-CF!AU30+P89</f>
        <v>1986.7556627921895</v>
      </c>
      <c r="Q130" s="939"/>
      <c r="R130" s="939"/>
      <c r="S130" s="939"/>
      <c r="T130" s="939"/>
      <c r="U130" s="939"/>
      <c r="V130" s="939"/>
      <c r="W130" s="939"/>
      <c r="X130" s="939"/>
      <c r="Y130" s="939"/>
      <c r="Z130" s="939"/>
      <c r="AA130" s="939"/>
      <c r="AB130" s="939"/>
      <c r="AC130" s="939"/>
      <c r="AD130" s="939"/>
      <c r="AE130" s="939"/>
      <c r="AF130" s="939"/>
      <c r="AG130" s="939"/>
      <c r="AH130" s="939"/>
      <c r="AI130" s="939"/>
      <c r="AJ130" s="939"/>
      <c r="AK130" s="939"/>
      <c r="AL130" s="939"/>
      <c r="AM130" s="939"/>
      <c r="AN130" s="939"/>
    </row>
    <row r="131" spans="1:40" ht="15" customHeight="1">
      <c r="A131" s="939"/>
      <c r="B131" s="939"/>
      <c r="C131" s="939"/>
      <c r="D131" s="939"/>
      <c r="E131" s="939"/>
      <c r="F131" s="939"/>
      <c r="G131" s="939" t="s">
        <v>654</v>
      </c>
      <c r="H131" s="1120">
        <f>IF(Historical!K110&lt;&gt;0,Projection!I136,IF(Historical!I110&lt;&gt;0,Projection!H136,IF(Historical!G110&lt;&gt;0,Historical!BZ357,Historical!BX357)))</f>
        <v>1994.100265</v>
      </c>
      <c r="I131" s="1118">
        <f>IF(H132=0,0,H131/$H$132)</f>
        <v>1</v>
      </c>
      <c r="J131" s="939"/>
      <c r="K131" s="939"/>
      <c r="L131" s="939">
        <f>+L79-L129</f>
        <v>4602</v>
      </c>
      <c r="M131" s="939"/>
      <c r="N131" s="939"/>
      <c r="O131" s="939"/>
      <c r="P131" s="939"/>
      <c r="Q131" s="939"/>
      <c r="R131" s="939"/>
      <c r="S131" s="939"/>
      <c r="T131" s="939"/>
      <c r="U131" s="939"/>
      <c r="V131" s="939"/>
      <c r="W131" s="939"/>
      <c r="X131" s="939"/>
      <c r="Y131" s="939"/>
      <c r="Z131" s="939"/>
      <c r="AA131" s="939"/>
      <c r="AB131" s="939"/>
      <c r="AC131" s="939"/>
      <c r="AD131" s="939"/>
      <c r="AE131" s="939"/>
      <c r="AF131" s="939"/>
      <c r="AG131" s="939"/>
      <c r="AH131" s="939"/>
      <c r="AI131" s="939"/>
      <c r="AJ131" s="939"/>
      <c r="AK131" s="939"/>
      <c r="AL131" s="939"/>
      <c r="AM131" s="939"/>
      <c r="AN131" s="939"/>
    </row>
    <row r="132" spans="1:40" ht="15" customHeight="1">
      <c r="A132" s="939"/>
      <c r="B132" s="939"/>
      <c r="C132" s="939"/>
      <c r="D132" s="1100"/>
      <c r="E132" s="939"/>
      <c r="F132" s="939"/>
      <c r="G132" s="939"/>
      <c r="H132" s="1120">
        <f>SUM(H129:H131)</f>
        <v>1994.100265</v>
      </c>
      <c r="I132" s="1118">
        <f>IF(H132=0,0,+H132/$H$132)</f>
        <v>1</v>
      </c>
      <c r="J132" s="939"/>
      <c r="K132" s="939"/>
      <c r="L132" s="939"/>
      <c r="M132" s="939"/>
      <c r="N132" s="939"/>
      <c r="O132" s="939"/>
      <c r="P132" s="939"/>
      <c r="Q132" s="939"/>
      <c r="R132" s="939"/>
      <c r="S132" s="939"/>
      <c r="T132" s="939"/>
      <c r="U132" s="939"/>
      <c r="V132" s="939"/>
      <c r="W132" s="939"/>
      <c r="X132" s="939"/>
      <c r="Y132" s="939"/>
      <c r="Z132" s="939"/>
      <c r="AA132" s="939"/>
      <c r="AB132" s="939"/>
      <c r="AC132" s="939"/>
      <c r="AD132" s="939"/>
      <c r="AE132" s="939"/>
      <c r="AF132" s="939"/>
      <c r="AG132" s="939"/>
      <c r="AH132" s="939"/>
      <c r="AI132" s="939"/>
      <c r="AJ132" s="939"/>
      <c r="AK132" s="939"/>
      <c r="AL132" s="939"/>
      <c r="AM132" s="939"/>
      <c r="AN132" s="939"/>
    </row>
    <row r="133" spans="1:40" ht="15" customHeight="1">
      <c r="A133" s="939"/>
      <c r="B133" s="939"/>
      <c r="C133" s="939"/>
      <c r="D133" s="939"/>
      <c r="E133" s="939"/>
      <c r="F133" s="939"/>
      <c r="G133" s="939"/>
      <c r="H133" s="939"/>
      <c r="I133" s="939"/>
      <c r="J133" s="939"/>
      <c r="K133" s="939"/>
      <c r="L133" s="939"/>
      <c r="M133" s="939"/>
      <c r="N133" s="939"/>
      <c r="O133" s="939"/>
      <c r="P133" s="939"/>
      <c r="Q133" s="939"/>
      <c r="R133" s="939"/>
      <c r="S133" s="939"/>
      <c r="T133" s="939"/>
      <c r="U133" s="939"/>
      <c r="V133" s="939"/>
      <c r="W133" s="939"/>
      <c r="X133" s="939"/>
      <c r="Y133" s="939"/>
      <c r="Z133" s="939"/>
      <c r="AA133" s="939"/>
      <c r="AB133" s="939"/>
      <c r="AC133" s="939"/>
      <c r="AD133" s="939"/>
      <c r="AE133" s="939"/>
      <c r="AF133" s="939"/>
      <c r="AG133" s="939"/>
      <c r="AH133" s="939"/>
      <c r="AI133" s="939"/>
      <c r="AJ133" s="939"/>
      <c r="AK133" s="939"/>
      <c r="AL133" s="939"/>
      <c r="AM133" s="939"/>
      <c r="AN133" s="939"/>
    </row>
    <row r="134" spans="1:40" ht="15" customHeight="1">
      <c r="A134" s="939"/>
      <c r="B134" s="939"/>
      <c r="C134" s="939"/>
      <c r="D134" s="939"/>
      <c r="E134" s="939"/>
      <c r="F134" s="939"/>
      <c r="G134" s="939"/>
      <c r="H134" s="1121">
        <f>Historical!I13</f>
        <v>45291</v>
      </c>
      <c r="I134" s="1121">
        <f>H7</f>
        <v>45473</v>
      </c>
      <c r="J134" s="1114">
        <f>+SUM(CF!T103:T108)-SUM(CF!V152:AG157)</f>
        <v>66694</v>
      </c>
      <c r="K134" s="939"/>
      <c r="L134" s="1121">
        <f>L7</f>
        <v>45657</v>
      </c>
      <c r="M134" s="939"/>
      <c r="N134" s="1121">
        <f>N7</f>
        <v>46022</v>
      </c>
      <c r="O134" s="939"/>
      <c r="P134" s="1121">
        <f>P7</f>
        <v>46387</v>
      </c>
      <c r="Q134" s="939"/>
      <c r="R134" s="1121">
        <f>R7</f>
        <v>46752</v>
      </c>
      <c r="S134" s="939"/>
      <c r="T134" s="1121">
        <f>T7</f>
        <v>47118</v>
      </c>
      <c r="U134" s="939"/>
      <c r="V134" s="939"/>
      <c r="W134" s="939"/>
      <c r="X134" s="939"/>
      <c r="Y134" s="939"/>
      <c r="Z134" s="1121">
        <f>Z7</f>
        <v>47483</v>
      </c>
      <c r="AA134" s="939"/>
      <c r="AB134" s="1121">
        <f>AB7</f>
        <v>47848</v>
      </c>
      <c r="AC134" s="939"/>
      <c r="AD134" s="1121">
        <f>AD7</f>
        <v>48213</v>
      </c>
      <c r="AE134" s="939"/>
      <c r="AF134" s="1121">
        <f>AF7</f>
        <v>48579</v>
      </c>
      <c r="AG134" s="939"/>
      <c r="AH134" s="1121">
        <f>AH7</f>
        <v>48944</v>
      </c>
      <c r="AI134" s="939"/>
      <c r="AJ134" s="939"/>
      <c r="AK134" s="939"/>
      <c r="AL134" s="939"/>
      <c r="AM134" s="939"/>
      <c r="AN134" s="939"/>
    </row>
    <row r="135" spans="1:40" ht="15" customHeight="1">
      <c r="A135" s="939"/>
      <c r="B135" s="939"/>
      <c r="C135" s="939"/>
      <c r="D135" s="939"/>
      <c r="E135" s="939"/>
      <c r="F135" s="939"/>
      <c r="G135" s="939" t="s">
        <v>655</v>
      </c>
      <c r="H135" s="1120">
        <v>0</v>
      </c>
      <c r="I135" s="1120">
        <v>0</v>
      </c>
      <c r="J135" s="1114">
        <f>+SUM(CF!T109:T118)-SUM(CF!V158:AG167)</f>
        <v>6906</v>
      </c>
      <c r="K135" s="939"/>
      <c r="L135" s="939"/>
      <c r="M135" s="939"/>
      <c r="N135" s="939"/>
      <c r="O135" s="939"/>
      <c r="P135" s="939"/>
      <c r="Q135" s="939"/>
      <c r="R135" s="939"/>
      <c r="S135" s="939"/>
      <c r="T135" s="939"/>
      <c r="U135" s="939"/>
      <c r="V135" s="939"/>
      <c r="W135" s="939"/>
      <c r="X135" s="939"/>
      <c r="Y135" s="939"/>
      <c r="Z135" s="939"/>
      <c r="AA135" s="939"/>
      <c r="AB135" s="939"/>
      <c r="AC135" s="939"/>
      <c r="AD135" s="939"/>
      <c r="AE135" s="939"/>
      <c r="AF135" s="939"/>
      <c r="AG135" s="939"/>
      <c r="AH135" s="939"/>
      <c r="AI135" s="939"/>
      <c r="AJ135" s="939"/>
      <c r="AK135" s="939"/>
      <c r="AL135" s="939"/>
      <c r="AM135" s="939"/>
      <c r="AN135" s="939"/>
    </row>
    <row r="136" spans="1:40" ht="15" customHeight="1">
      <c r="A136" s="939"/>
      <c r="B136" s="939"/>
      <c r="C136" s="939"/>
      <c r="D136" s="939"/>
      <c r="E136" s="939"/>
      <c r="F136" s="939"/>
      <c r="G136" s="939" t="s">
        <v>656</v>
      </c>
      <c r="H136" s="1120">
        <v>1789.304944</v>
      </c>
      <c r="I136" s="1120">
        <v>1994.100265</v>
      </c>
      <c r="J136" s="939"/>
      <c r="K136" s="939"/>
      <c r="L136" s="939"/>
      <c r="M136" s="939"/>
      <c r="N136" s="939"/>
      <c r="O136" s="939"/>
      <c r="P136" s="939"/>
      <c r="Q136" s="939"/>
      <c r="R136" s="939"/>
      <c r="S136" s="939"/>
      <c r="T136" s="939"/>
      <c r="U136" s="939"/>
      <c r="V136" s="939"/>
      <c r="W136" s="939"/>
      <c r="X136" s="939"/>
      <c r="Y136" s="939"/>
      <c r="Z136" s="939"/>
      <c r="AA136" s="939"/>
      <c r="AB136" s="939"/>
      <c r="AC136" s="939"/>
      <c r="AD136" s="939"/>
      <c r="AE136" s="939"/>
      <c r="AF136" s="939"/>
      <c r="AG136" s="939"/>
      <c r="AH136" s="939"/>
      <c r="AI136" s="939"/>
      <c r="AJ136" s="939"/>
      <c r="AK136" s="939"/>
      <c r="AL136" s="939"/>
      <c r="AM136" s="939"/>
      <c r="AN136" s="939"/>
    </row>
    <row r="137" spans="1:40" ht="15" customHeight="1">
      <c r="A137" s="939"/>
      <c r="B137" s="939"/>
      <c r="C137" s="939"/>
      <c r="D137" s="939"/>
      <c r="E137" s="939"/>
      <c r="F137" s="939"/>
      <c r="G137" s="939" t="s">
        <v>655</v>
      </c>
      <c r="H137" s="939"/>
      <c r="I137" s="939"/>
      <c r="J137" s="939">
        <f>+SUM(CF!T103:T108)</f>
        <v>66694</v>
      </c>
      <c r="K137" s="939"/>
      <c r="L137" s="939">
        <f>IF(AND($I$129=0,$I$131=0),L$79,L$79*$I$129)</f>
        <v>0</v>
      </c>
      <c r="M137" s="939"/>
      <c r="N137" s="939">
        <f>IF(AND($I$129=0,$I$131=0),N$79,N$79*$I$129)</f>
        <v>0</v>
      </c>
      <c r="O137" s="939"/>
      <c r="P137" s="939">
        <f>IF(AND($I$129=0,$I$131=0),P$79,P$79*$I$129)</f>
        <v>0</v>
      </c>
      <c r="Q137" s="939"/>
      <c r="R137" s="939">
        <f>IF(AND($I$129=0,$I$131=0),R$79,R$79*$I$129)</f>
        <v>0</v>
      </c>
      <c r="S137" s="939"/>
      <c r="T137" s="939">
        <f>IF(AND($I$129=0,$I$131=0),T$79,T$79*$I$129)</f>
        <v>0</v>
      </c>
      <c r="U137" s="939"/>
      <c r="V137" s="939"/>
      <c r="W137" s="939"/>
      <c r="X137" s="939"/>
      <c r="Y137" s="939"/>
      <c r="Z137" s="939">
        <f>IF(AND($I$129=0,$I$131=0),Z$79,Z$79*$I$129)</f>
        <v>0</v>
      </c>
      <c r="AA137" s="939"/>
      <c r="AB137" s="939">
        <f>IF(AND($I$129=0,$I$131=0),AB$79,AB$79*$I$129)</f>
        <v>0</v>
      </c>
      <c r="AC137" s="939"/>
      <c r="AD137" s="939">
        <f>IF(AND($I$129=0,$I$131=0),AD$79,AD$79*$I$129)</f>
        <v>0</v>
      </c>
      <c r="AE137" s="939"/>
      <c r="AF137" s="939">
        <f>IF(AND($I$129=0,$I$131=0),AF$79,AF$79*$I$129)</f>
        <v>0</v>
      </c>
      <c r="AG137" s="939"/>
      <c r="AH137" s="939">
        <f>IF(AND($I$129=0,$I$131=0),AH$79,AH$79*$I$129)</f>
        <v>0</v>
      </c>
      <c r="AI137" s="939"/>
      <c r="AJ137" s="939"/>
      <c r="AK137" s="939"/>
      <c r="AL137" s="939"/>
      <c r="AM137" s="939"/>
      <c r="AN137" s="939"/>
    </row>
    <row r="138" spans="1:40" ht="15" customHeight="1">
      <c r="A138" s="939"/>
      <c r="B138" s="939"/>
      <c r="C138" s="939"/>
      <c r="D138" s="939"/>
      <c r="E138" s="939"/>
      <c r="F138" s="939"/>
      <c r="G138" s="939"/>
      <c r="H138" s="939"/>
      <c r="I138" s="939"/>
      <c r="J138" s="939">
        <f>+SUM(CF!T109:T118)</f>
        <v>6906</v>
      </c>
      <c r="K138" s="939"/>
      <c r="L138" s="939"/>
      <c r="M138" s="939"/>
      <c r="N138" s="939"/>
      <c r="O138" s="939"/>
      <c r="P138" s="939"/>
      <c r="Q138" s="939"/>
      <c r="R138" s="939"/>
      <c r="S138" s="939"/>
      <c r="T138" s="939"/>
      <c r="U138" s="939"/>
      <c r="V138" s="939"/>
      <c r="W138" s="939"/>
      <c r="X138" s="939"/>
      <c r="Y138" s="939"/>
      <c r="Z138" s="939"/>
      <c r="AA138" s="939"/>
      <c r="AB138" s="939"/>
      <c r="AC138" s="939"/>
      <c r="AD138" s="939"/>
      <c r="AE138" s="939"/>
      <c r="AF138" s="939"/>
      <c r="AG138" s="939"/>
      <c r="AH138" s="939"/>
      <c r="AI138" s="939"/>
      <c r="AJ138" s="939"/>
      <c r="AK138" s="939"/>
      <c r="AL138" s="939"/>
      <c r="AM138" s="939"/>
      <c r="AN138" s="939"/>
    </row>
    <row r="139" spans="1:40" ht="15" customHeight="1">
      <c r="A139" s="939"/>
      <c r="B139" s="939"/>
      <c r="C139" s="939"/>
      <c r="D139" s="939"/>
      <c r="E139" s="939"/>
      <c r="F139" s="939"/>
      <c r="G139" s="939" t="s">
        <v>656</v>
      </c>
      <c r="H139" s="939"/>
      <c r="I139" s="939"/>
      <c r="J139" s="939"/>
      <c r="K139" s="939"/>
      <c r="L139" s="939">
        <f>L$79-L$137</f>
        <v>4602</v>
      </c>
      <c r="M139" s="939"/>
      <c r="N139" s="939">
        <f>N$79-N$137</f>
        <v>6902</v>
      </c>
      <c r="O139" s="939"/>
      <c r="P139" s="939">
        <f>P$79-P$137</f>
        <v>6902</v>
      </c>
      <c r="Q139" s="939"/>
      <c r="R139" s="939">
        <f>R$79-R$137</f>
        <v>6902</v>
      </c>
      <c r="S139" s="939"/>
      <c r="T139" s="939">
        <f>T$79-T$137</f>
        <v>6902</v>
      </c>
      <c r="U139" s="939"/>
      <c r="V139" s="939"/>
      <c r="W139" s="939"/>
      <c r="X139" s="939"/>
      <c r="Y139" s="939"/>
      <c r="Z139" s="939">
        <f>Z$79-Z$137</f>
        <v>4602</v>
      </c>
      <c r="AA139" s="939"/>
      <c r="AB139" s="939">
        <f>AB$79-AB$137</f>
        <v>4602</v>
      </c>
      <c r="AC139" s="939"/>
      <c r="AD139" s="939">
        <f>AD$79-AD$137</f>
        <v>4602</v>
      </c>
      <c r="AE139" s="939"/>
      <c r="AF139" s="939">
        <f>AF$79-AF$137</f>
        <v>4602</v>
      </c>
      <c r="AG139" s="939"/>
      <c r="AH139" s="939">
        <f>AH$79-AH$137</f>
        <v>4602</v>
      </c>
      <c r="AI139" s="939"/>
      <c r="AJ139" s="939"/>
      <c r="AK139" s="939"/>
      <c r="AL139" s="939"/>
      <c r="AM139" s="939"/>
      <c r="AN139" s="939"/>
    </row>
    <row r="140" spans="1:40" ht="15" customHeight="1">
      <c r="A140" s="939"/>
      <c r="B140" s="939"/>
      <c r="C140" s="939"/>
      <c r="D140" s="939"/>
      <c r="E140" s="939"/>
      <c r="F140" s="939"/>
      <c r="G140" s="939"/>
      <c r="H140" s="939"/>
      <c r="I140" s="939"/>
      <c r="J140" s="939">
        <f>+SUM(CF!V152:AG157)</f>
        <v>0</v>
      </c>
      <c r="K140" s="939"/>
      <c r="L140" s="939"/>
      <c r="M140" s="939"/>
      <c r="N140" s="939"/>
      <c r="O140" s="939"/>
      <c r="P140" s="939"/>
      <c r="Q140" s="939"/>
      <c r="R140" s="939"/>
      <c r="S140" s="939"/>
      <c r="T140" s="939"/>
      <c r="U140" s="939"/>
      <c r="V140" s="939"/>
      <c r="W140" s="939"/>
      <c r="X140" s="939"/>
      <c r="Y140" s="939"/>
      <c r="Z140" s="939"/>
      <c r="AA140" s="939"/>
      <c r="AB140" s="939"/>
      <c r="AC140" s="939"/>
      <c r="AD140" s="939"/>
      <c r="AE140" s="939"/>
      <c r="AF140" s="939"/>
      <c r="AG140" s="939"/>
      <c r="AH140" s="939"/>
      <c r="AI140" s="939"/>
      <c r="AJ140" s="939"/>
      <c r="AK140" s="939"/>
      <c r="AL140" s="939"/>
      <c r="AM140" s="939"/>
      <c r="AN140" s="939"/>
    </row>
    <row r="141" spans="1:40" ht="15" customHeight="1">
      <c r="A141" s="939"/>
      <c r="B141" s="939"/>
      <c r="C141" s="939"/>
      <c r="D141" s="1100"/>
      <c r="E141" s="939"/>
      <c r="F141" s="939"/>
      <c r="G141" s="939"/>
      <c r="H141" s="939"/>
      <c r="I141" s="939"/>
      <c r="J141" s="939">
        <f>+SUM(CF!V158:AG167)</f>
        <v>0</v>
      </c>
      <c r="K141" s="939"/>
      <c r="L141" s="939"/>
      <c r="M141" s="939"/>
      <c r="N141" s="939"/>
      <c r="O141" s="939"/>
      <c r="P141" s="939"/>
      <c r="Q141" s="939"/>
      <c r="R141" s="939"/>
      <c r="S141" s="939"/>
      <c r="T141" s="939"/>
      <c r="U141" s="939"/>
      <c r="V141" s="939"/>
      <c r="W141" s="939"/>
      <c r="X141" s="939"/>
      <c r="Y141" s="939"/>
      <c r="Z141" s="939"/>
      <c r="AA141" s="939"/>
      <c r="AB141" s="939"/>
      <c r="AC141" s="939"/>
      <c r="AD141" s="939"/>
      <c r="AE141" s="939"/>
      <c r="AF141" s="939"/>
      <c r="AG141" s="939"/>
      <c r="AH141" s="939"/>
      <c r="AI141" s="939"/>
      <c r="AJ141" s="939"/>
      <c r="AK141" s="939"/>
      <c r="AL141" s="939"/>
      <c r="AM141" s="939"/>
      <c r="AN141" s="939"/>
    </row>
    <row r="142" spans="1:40" ht="15" customHeight="1">
      <c r="A142" s="939"/>
      <c r="B142" s="939"/>
      <c r="C142" s="939"/>
      <c r="D142" s="939"/>
      <c r="E142" s="939"/>
      <c r="F142" s="939"/>
      <c r="G142" s="939"/>
      <c r="H142" s="939"/>
      <c r="I142" s="939"/>
      <c r="J142" s="939"/>
      <c r="K142" s="939"/>
      <c r="L142" s="939"/>
      <c r="M142" s="939"/>
      <c r="N142" s="939"/>
      <c r="O142" s="939"/>
      <c r="P142" s="939"/>
      <c r="Q142" s="939"/>
      <c r="R142" s="939"/>
      <c r="S142" s="939"/>
      <c r="T142" s="939"/>
      <c r="U142" s="939"/>
      <c r="V142" s="939"/>
      <c r="W142" s="939"/>
      <c r="X142" s="939"/>
      <c r="Y142" s="939"/>
      <c r="Z142" s="939"/>
      <c r="AA142" s="939"/>
      <c r="AB142" s="939"/>
      <c r="AC142" s="939"/>
      <c r="AD142" s="939"/>
      <c r="AE142" s="939"/>
      <c r="AF142" s="939"/>
      <c r="AG142" s="939"/>
      <c r="AH142" s="939"/>
      <c r="AI142" s="939"/>
      <c r="AJ142" s="939"/>
      <c r="AK142" s="939"/>
      <c r="AL142" s="939"/>
      <c r="AM142" s="939"/>
      <c r="AN142" s="939"/>
    </row>
    <row r="143" spans="1:40" ht="15" customHeight="1">
      <c r="A143" s="939"/>
      <c r="B143" s="939"/>
      <c r="C143" s="939"/>
      <c r="D143" s="939"/>
      <c r="E143" s="939"/>
      <c r="F143" s="939"/>
      <c r="G143" s="939"/>
      <c r="H143" s="939"/>
      <c r="I143" s="939"/>
      <c r="J143" s="939"/>
      <c r="K143" s="939"/>
      <c r="L143" s="939"/>
      <c r="M143" s="939"/>
      <c r="N143" s="939"/>
      <c r="O143" s="939"/>
      <c r="P143" s="939"/>
      <c r="Q143" s="939"/>
      <c r="R143" s="939"/>
      <c r="S143" s="939"/>
      <c r="T143" s="939"/>
      <c r="U143" s="939"/>
      <c r="V143" s="939"/>
      <c r="W143" s="939"/>
      <c r="X143" s="939"/>
      <c r="Y143" s="939"/>
      <c r="Z143" s="939"/>
      <c r="AA143" s="939"/>
      <c r="AB143" s="939"/>
      <c r="AC143" s="939"/>
      <c r="AD143" s="939"/>
      <c r="AE143" s="939"/>
      <c r="AF143" s="939"/>
      <c r="AG143" s="939"/>
      <c r="AH143" s="939"/>
      <c r="AI143" s="939"/>
      <c r="AJ143" s="939"/>
      <c r="AK143" s="939"/>
      <c r="AL143" s="939"/>
      <c r="AM143" s="939"/>
      <c r="AN143" s="939"/>
    </row>
    <row r="144" spans="1:40" ht="15" customHeight="1">
      <c r="A144" s="939"/>
      <c r="B144" s="939"/>
      <c r="C144" s="939"/>
      <c r="D144" s="939"/>
      <c r="E144" s="939"/>
      <c r="F144" s="939"/>
      <c r="G144" s="939"/>
      <c r="H144" s="939"/>
      <c r="I144" s="939"/>
      <c r="J144" s="939"/>
      <c r="K144" s="939"/>
      <c r="L144" s="939"/>
      <c r="M144" s="939"/>
      <c r="N144" s="939"/>
      <c r="O144" s="939"/>
      <c r="P144" s="939"/>
      <c r="Q144" s="939"/>
      <c r="R144" s="939"/>
      <c r="S144" s="939"/>
      <c r="T144" s="939"/>
      <c r="U144" s="939"/>
      <c r="V144" s="939"/>
      <c r="W144" s="939"/>
      <c r="X144" s="939"/>
      <c r="Y144" s="939"/>
      <c r="Z144" s="939"/>
      <c r="AA144" s="939"/>
      <c r="AB144" s="939"/>
      <c r="AC144" s="939"/>
      <c r="AD144" s="939"/>
      <c r="AE144" s="939"/>
      <c r="AF144" s="939"/>
      <c r="AG144" s="939"/>
      <c r="AH144" s="939"/>
      <c r="AI144" s="939"/>
      <c r="AJ144" s="939"/>
      <c r="AK144" s="939"/>
      <c r="AL144" s="939"/>
      <c r="AM144" s="939"/>
      <c r="AN144" s="939"/>
    </row>
    <row r="145" spans="1:40" ht="15" customHeight="1">
      <c r="A145" s="939"/>
      <c r="B145" s="939"/>
      <c r="C145" s="939"/>
      <c r="D145" s="939"/>
      <c r="E145" s="939"/>
      <c r="F145" s="939"/>
      <c r="G145" s="939"/>
      <c r="H145" s="939"/>
      <c r="I145" s="939"/>
      <c r="J145" s="939"/>
      <c r="K145" s="939"/>
      <c r="L145" s="939"/>
      <c r="M145" s="939"/>
      <c r="N145" s="939"/>
      <c r="O145" s="939"/>
      <c r="P145" s="939"/>
      <c r="Q145" s="939"/>
      <c r="R145" s="939"/>
      <c r="S145" s="939"/>
      <c r="T145" s="939"/>
      <c r="U145" s="939"/>
      <c r="V145" s="939"/>
      <c r="W145" s="939"/>
      <c r="X145" s="939"/>
      <c r="Y145" s="939"/>
      <c r="Z145" s="939"/>
      <c r="AA145" s="939"/>
      <c r="AB145" s="939"/>
      <c r="AC145" s="939"/>
      <c r="AD145" s="939"/>
      <c r="AE145" s="939"/>
      <c r="AF145" s="939"/>
      <c r="AG145" s="939"/>
      <c r="AH145" s="939"/>
      <c r="AI145" s="939"/>
      <c r="AJ145" s="939"/>
      <c r="AK145" s="939"/>
      <c r="AL145" s="939"/>
      <c r="AM145" s="939"/>
      <c r="AN145" s="939"/>
    </row>
    <row r="146" spans="1:40" ht="15" customHeight="1">
      <c r="A146" s="939"/>
      <c r="B146" s="939"/>
      <c r="C146" s="939"/>
      <c r="D146" s="939"/>
      <c r="E146" s="939"/>
      <c r="F146" s="939"/>
      <c r="G146" s="939"/>
      <c r="H146" s="939"/>
      <c r="I146" s="939"/>
      <c r="J146" s="939"/>
      <c r="K146" s="939"/>
      <c r="L146" s="939"/>
      <c r="M146" s="939"/>
      <c r="N146" s="939"/>
      <c r="O146" s="939"/>
      <c r="P146" s="939"/>
      <c r="Q146" s="939"/>
      <c r="R146" s="939"/>
      <c r="S146" s="939"/>
      <c r="T146" s="939"/>
      <c r="U146" s="939"/>
      <c r="V146" s="939"/>
      <c r="W146" s="939"/>
      <c r="X146" s="939"/>
      <c r="Y146" s="939"/>
      <c r="Z146" s="939"/>
      <c r="AA146" s="939"/>
      <c r="AB146" s="939"/>
      <c r="AC146" s="939"/>
      <c r="AD146" s="939"/>
      <c r="AE146" s="939"/>
      <c r="AF146" s="939"/>
      <c r="AG146" s="939"/>
      <c r="AH146" s="939"/>
      <c r="AI146" s="939"/>
      <c r="AJ146" s="939"/>
      <c r="AK146" s="939"/>
      <c r="AL146" s="939"/>
      <c r="AM146" s="939"/>
      <c r="AN146" s="939"/>
    </row>
    <row r="147" spans="1:40" ht="15" customHeight="1">
      <c r="A147" s="939"/>
      <c r="B147" s="939"/>
      <c r="C147" s="939"/>
      <c r="D147" s="939"/>
      <c r="E147" s="939"/>
      <c r="F147" s="939"/>
      <c r="G147" s="939"/>
      <c r="H147" s="939"/>
      <c r="I147" s="939"/>
      <c r="J147" s="939"/>
      <c r="K147" s="939"/>
      <c r="L147" s="939"/>
      <c r="M147" s="939"/>
      <c r="N147" s="939"/>
      <c r="O147" s="939"/>
      <c r="P147" s="939"/>
      <c r="Q147" s="939"/>
      <c r="R147" s="939"/>
      <c r="S147" s="939"/>
      <c r="T147" s="939"/>
      <c r="U147" s="939"/>
      <c r="V147" s="939"/>
      <c r="W147" s="939"/>
      <c r="X147" s="939"/>
      <c r="Y147" s="939"/>
      <c r="Z147" s="939"/>
      <c r="AA147" s="939"/>
      <c r="AB147" s="939"/>
      <c r="AC147" s="939"/>
      <c r="AD147" s="939"/>
      <c r="AE147" s="939"/>
      <c r="AF147" s="939"/>
      <c r="AG147" s="939"/>
      <c r="AH147" s="939"/>
      <c r="AI147" s="939"/>
      <c r="AJ147" s="939"/>
      <c r="AK147" s="939"/>
      <c r="AL147" s="939"/>
      <c r="AM147" s="939"/>
      <c r="AN147" s="939"/>
    </row>
    <row r="148" spans="1:40" ht="15" customHeight="1">
      <c r="A148" s="939"/>
      <c r="B148" s="939"/>
      <c r="C148" s="939"/>
      <c r="D148" s="939"/>
      <c r="E148" s="939"/>
      <c r="F148" s="939"/>
      <c r="G148" s="939"/>
      <c r="H148" s="939"/>
      <c r="I148" s="939"/>
      <c r="J148" s="939"/>
      <c r="K148" s="939"/>
      <c r="L148" s="939"/>
      <c r="M148" s="939"/>
      <c r="N148" s="939"/>
      <c r="O148" s="939"/>
      <c r="P148" s="939"/>
      <c r="Q148" s="939"/>
      <c r="R148" s="939"/>
      <c r="S148" s="939"/>
      <c r="T148" s="939"/>
      <c r="U148" s="939"/>
      <c r="V148" s="939"/>
      <c r="W148" s="939"/>
      <c r="X148" s="939"/>
      <c r="Y148" s="939"/>
      <c r="Z148" s="939"/>
      <c r="AA148" s="939"/>
      <c r="AB148" s="939"/>
      <c r="AC148" s="939"/>
      <c r="AD148" s="939"/>
      <c r="AE148" s="939"/>
      <c r="AF148" s="939"/>
      <c r="AG148" s="939"/>
      <c r="AH148" s="939"/>
      <c r="AI148" s="939"/>
      <c r="AJ148" s="939"/>
      <c r="AK148" s="939"/>
      <c r="AL148" s="939"/>
      <c r="AM148" s="939"/>
      <c r="AN148" s="939"/>
    </row>
    <row r="149" spans="1:40" ht="15" customHeight="1">
      <c r="A149" s="939"/>
      <c r="B149" s="939"/>
      <c r="C149" s="939"/>
      <c r="D149" s="939"/>
      <c r="E149" s="939"/>
      <c r="F149" s="939"/>
      <c r="G149" s="939"/>
      <c r="H149" s="939"/>
      <c r="I149" s="939"/>
      <c r="J149" s="939"/>
      <c r="K149" s="939"/>
      <c r="L149" s="939"/>
      <c r="M149" s="939"/>
      <c r="N149" s="939"/>
      <c r="O149" s="939"/>
      <c r="P149" s="939"/>
      <c r="Q149" s="939"/>
      <c r="R149" s="939"/>
      <c r="S149" s="939"/>
      <c r="T149" s="939"/>
      <c r="U149" s="939"/>
      <c r="V149" s="939"/>
      <c r="W149" s="939"/>
      <c r="X149" s="939"/>
      <c r="Y149" s="939"/>
      <c r="Z149" s="939"/>
      <c r="AA149" s="939"/>
      <c r="AB149" s="939"/>
      <c r="AC149" s="939"/>
      <c r="AD149" s="939"/>
      <c r="AE149" s="939"/>
      <c r="AF149" s="939"/>
      <c r="AG149" s="939"/>
      <c r="AH149" s="939"/>
      <c r="AI149" s="939"/>
      <c r="AJ149" s="939"/>
      <c r="AK149" s="939"/>
      <c r="AL149" s="939"/>
      <c r="AM149" s="939"/>
      <c r="AN149" s="939"/>
    </row>
    <row r="150" spans="1:40" ht="15" customHeight="1">
      <c r="A150" s="939"/>
      <c r="B150" s="939"/>
      <c r="C150" s="939"/>
      <c r="D150" s="939"/>
      <c r="E150" s="939"/>
      <c r="F150" s="939"/>
      <c r="G150" s="939"/>
      <c r="H150" s="939"/>
      <c r="I150" s="939"/>
      <c r="J150" s="939"/>
      <c r="K150" s="939"/>
      <c r="L150" s="939"/>
      <c r="M150" s="939"/>
      <c r="N150" s="939"/>
      <c r="O150" s="939"/>
      <c r="P150" s="939"/>
      <c r="Q150" s="939"/>
      <c r="R150" s="939"/>
      <c r="S150" s="939"/>
      <c r="T150" s="939"/>
      <c r="U150" s="939"/>
      <c r="V150" s="939"/>
      <c r="W150" s="939"/>
      <c r="X150" s="939"/>
      <c r="Y150" s="939"/>
      <c r="Z150" s="939"/>
      <c r="AA150" s="939"/>
      <c r="AB150" s="939"/>
      <c r="AC150" s="939"/>
      <c r="AD150" s="939"/>
      <c r="AE150" s="939"/>
      <c r="AF150" s="939"/>
      <c r="AG150" s="939"/>
      <c r="AH150" s="939"/>
      <c r="AI150" s="939"/>
      <c r="AJ150" s="939"/>
      <c r="AK150" s="939"/>
      <c r="AL150" s="939"/>
      <c r="AM150" s="939"/>
      <c r="AN150" s="939"/>
    </row>
    <row r="151" spans="1:40" ht="15" customHeight="1">
      <c r="A151" s="939"/>
      <c r="B151" s="939"/>
      <c r="C151" s="939"/>
      <c r="D151" s="939"/>
      <c r="E151" s="939"/>
      <c r="F151" s="939"/>
      <c r="G151" s="939"/>
      <c r="H151" s="939"/>
      <c r="I151" s="939"/>
      <c r="J151" s="939"/>
      <c r="K151" s="939"/>
      <c r="L151" s="939"/>
      <c r="M151" s="939"/>
      <c r="N151" s="939"/>
      <c r="O151" s="939"/>
      <c r="P151" s="939"/>
      <c r="Q151" s="939"/>
      <c r="R151" s="939"/>
      <c r="S151" s="939"/>
      <c r="T151" s="939"/>
      <c r="U151" s="939"/>
      <c r="V151" s="939"/>
      <c r="W151" s="939"/>
      <c r="X151" s="939"/>
      <c r="Y151" s="939"/>
      <c r="Z151" s="939"/>
      <c r="AA151" s="939"/>
      <c r="AB151" s="939"/>
      <c r="AC151" s="939"/>
      <c r="AD151" s="939"/>
      <c r="AE151" s="939"/>
      <c r="AF151" s="939"/>
      <c r="AG151" s="939"/>
      <c r="AH151" s="939"/>
      <c r="AI151" s="939"/>
      <c r="AJ151" s="939"/>
      <c r="AK151" s="939"/>
      <c r="AL151" s="939"/>
      <c r="AM151" s="939"/>
      <c r="AN151" s="939"/>
    </row>
    <row r="152" spans="1:40" ht="15" customHeight="1">
      <c r="A152" s="939"/>
      <c r="B152" s="939"/>
      <c r="C152" s="939"/>
      <c r="D152" s="1100"/>
      <c r="E152" s="939"/>
      <c r="F152" s="939"/>
      <c r="G152" s="939"/>
      <c r="H152" s="939"/>
      <c r="I152" s="939"/>
      <c r="J152" s="939"/>
      <c r="K152" s="939"/>
      <c r="L152" s="939"/>
      <c r="M152" s="939"/>
      <c r="N152" s="939"/>
      <c r="O152" s="939"/>
      <c r="P152" s="939"/>
      <c r="Q152" s="939"/>
      <c r="R152" s="939"/>
      <c r="S152" s="939"/>
      <c r="T152" s="939"/>
      <c r="U152" s="939"/>
      <c r="V152" s="939"/>
      <c r="W152" s="939"/>
      <c r="X152" s="939"/>
      <c r="Y152" s="939"/>
      <c r="Z152" s="939"/>
      <c r="AA152" s="939"/>
      <c r="AB152" s="939"/>
      <c r="AC152" s="939"/>
      <c r="AD152" s="939"/>
      <c r="AE152" s="939"/>
      <c r="AF152" s="939"/>
      <c r="AG152" s="939"/>
      <c r="AH152" s="939"/>
      <c r="AI152" s="939"/>
      <c r="AJ152" s="939"/>
      <c r="AK152" s="939"/>
      <c r="AL152" s="939"/>
      <c r="AM152" s="939"/>
      <c r="AN152" s="939"/>
    </row>
    <row r="153" spans="1:40" ht="15" customHeight="1">
      <c r="A153" s="939"/>
      <c r="B153" s="939"/>
      <c r="C153" s="939"/>
      <c r="D153" s="939"/>
      <c r="E153" s="939"/>
      <c r="F153" s="939"/>
      <c r="G153" s="939"/>
      <c r="H153" s="939"/>
      <c r="I153" s="939"/>
      <c r="J153" s="939"/>
      <c r="K153" s="939"/>
      <c r="L153" s="939"/>
      <c r="M153" s="939"/>
      <c r="N153" s="939"/>
      <c r="O153" s="939"/>
      <c r="P153" s="939"/>
      <c r="Q153" s="939"/>
      <c r="R153" s="939"/>
      <c r="S153" s="939"/>
      <c r="T153" s="939"/>
      <c r="U153" s="939"/>
      <c r="V153" s="939"/>
      <c r="W153" s="939"/>
      <c r="X153" s="939"/>
      <c r="Y153" s="939"/>
      <c r="Z153" s="939"/>
      <c r="AA153" s="939"/>
      <c r="AB153" s="939"/>
      <c r="AC153" s="939"/>
      <c r="AD153" s="939"/>
      <c r="AE153" s="939"/>
      <c r="AF153" s="939"/>
      <c r="AG153" s="939"/>
      <c r="AH153" s="939"/>
      <c r="AI153" s="939"/>
      <c r="AJ153" s="939"/>
      <c r="AK153" s="939"/>
      <c r="AL153" s="939"/>
      <c r="AM153" s="939"/>
      <c r="AN153" s="939"/>
    </row>
    <row r="154" spans="1:40" ht="15" customHeight="1">
      <c r="A154" s="939"/>
      <c r="B154" s="939"/>
      <c r="C154" s="939"/>
      <c r="D154" s="939"/>
      <c r="E154" s="939"/>
      <c r="F154" s="939"/>
      <c r="G154" s="939"/>
      <c r="H154" s="939"/>
      <c r="I154" s="939"/>
      <c r="J154" s="939"/>
      <c r="K154" s="939"/>
      <c r="L154" s="939"/>
      <c r="M154" s="939"/>
      <c r="N154" s="939"/>
      <c r="O154" s="939"/>
      <c r="P154" s="939"/>
      <c r="Q154" s="939"/>
      <c r="R154" s="939"/>
      <c r="S154" s="939"/>
      <c r="T154" s="939"/>
      <c r="U154" s="939"/>
      <c r="V154" s="939"/>
      <c r="W154" s="939"/>
      <c r="X154" s="939"/>
      <c r="Y154" s="939"/>
      <c r="Z154" s="939"/>
      <c r="AA154" s="939"/>
      <c r="AB154" s="939"/>
      <c r="AC154" s="939"/>
      <c r="AD154" s="939"/>
      <c r="AE154" s="939"/>
      <c r="AF154" s="939"/>
      <c r="AG154" s="939"/>
      <c r="AH154" s="939"/>
      <c r="AI154" s="939"/>
      <c r="AJ154" s="939"/>
      <c r="AK154" s="939"/>
      <c r="AL154" s="939"/>
      <c r="AM154" s="939"/>
      <c r="AN154" s="939"/>
    </row>
    <row r="155" spans="1:40" ht="15" customHeight="1">
      <c r="A155" s="939"/>
      <c r="B155" s="939"/>
      <c r="C155" s="939"/>
      <c r="D155" s="939"/>
      <c r="E155" s="939"/>
      <c r="F155" s="939"/>
      <c r="G155" s="939"/>
      <c r="H155" s="939"/>
      <c r="I155" s="939"/>
      <c r="J155" s="939"/>
      <c r="K155" s="939"/>
      <c r="L155" s="939"/>
      <c r="M155" s="939"/>
      <c r="N155" s="939"/>
      <c r="O155" s="939"/>
      <c r="P155" s="939"/>
      <c r="Q155" s="939"/>
      <c r="R155" s="939"/>
      <c r="S155" s="939"/>
      <c r="T155" s="939"/>
      <c r="U155" s="939"/>
      <c r="V155" s="939"/>
      <c r="W155" s="939"/>
      <c r="X155" s="939"/>
      <c r="Y155" s="939"/>
      <c r="Z155" s="939"/>
      <c r="AA155" s="939"/>
      <c r="AB155" s="939"/>
      <c r="AC155" s="939"/>
      <c r="AD155" s="939"/>
      <c r="AE155" s="939"/>
      <c r="AF155" s="939"/>
      <c r="AG155" s="939"/>
      <c r="AH155" s="939"/>
      <c r="AI155" s="939"/>
      <c r="AJ155" s="939"/>
      <c r="AK155" s="939"/>
      <c r="AL155" s="939"/>
      <c r="AM155" s="939"/>
      <c r="AN155" s="939"/>
    </row>
    <row r="156" spans="1:40" ht="15" customHeight="1">
      <c r="A156" s="939"/>
      <c r="B156" s="939"/>
      <c r="C156" s="939"/>
      <c r="D156" s="939"/>
      <c r="E156" s="939"/>
      <c r="F156" s="939"/>
      <c r="G156" s="939"/>
      <c r="H156" s="939"/>
      <c r="I156" s="939"/>
      <c r="J156" s="939"/>
      <c r="K156" s="939"/>
      <c r="L156" s="939"/>
      <c r="M156" s="939"/>
      <c r="N156" s="939"/>
      <c r="O156" s="939"/>
      <c r="P156" s="939"/>
      <c r="Q156" s="939"/>
      <c r="R156" s="939"/>
      <c r="S156" s="939"/>
      <c r="T156" s="939"/>
      <c r="U156" s="939"/>
      <c r="V156" s="939"/>
      <c r="W156" s="939"/>
      <c r="X156" s="939"/>
      <c r="Y156" s="939"/>
      <c r="Z156" s="939"/>
      <c r="AA156" s="939"/>
      <c r="AB156" s="939"/>
      <c r="AC156" s="939"/>
      <c r="AD156" s="939"/>
      <c r="AE156" s="939"/>
      <c r="AF156" s="939"/>
      <c r="AG156" s="939"/>
      <c r="AH156" s="939"/>
      <c r="AI156" s="939"/>
      <c r="AJ156" s="939"/>
      <c r="AK156" s="939"/>
      <c r="AL156" s="939"/>
      <c r="AM156" s="939"/>
      <c r="AN156" s="939"/>
    </row>
    <row r="157" spans="1:40" ht="15" customHeight="1">
      <c r="A157" s="939"/>
      <c r="B157" s="939"/>
      <c r="C157" s="939"/>
      <c r="D157" s="939"/>
      <c r="E157" s="939"/>
      <c r="F157" s="939"/>
      <c r="G157" s="939"/>
      <c r="H157" s="939"/>
      <c r="I157" s="939"/>
      <c r="J157" s="939"/>
      <c r="K157" s="939"/>
      <c r="L157" s="939"/>
      <c r="M157" s="939"/>
      <c r="N157" s="939"/>
      <c r="O157" s="939"/>
      <c r="P157" s="939"/>
      <c r="Q157" s="939"/>
      <c r="R157" s="939"/>
      <c r="S157" s="939"/>
      <c r="T157" s="939"/>
      <c r="U157" s="939"/>
      <c r="V157" s="939"/>
      <c r="W157" s="939"/>
      <c r="X157" s="939"/>
      <c r="Y157" s="939"/>
      <c r="Z157" s="939"/>
      <c r="AA157" s="939"/>
      <c r="AB157" s="939"/>
      <c r="AC157" s="939"/>
      <c r="AD157" s="939"/>
      <c r="AE157" s="939"/>
      <c r="AF157" s="939"/>
      <c r="AG157" s="939"/>
      <c r="AH157" s="939"/>
      <c r="AI157" s="939"/>
      <c r="AJ157" s="939"/>
      <c r="AK157" s="939"/>
      <c r="AL157" s="939"/>
      <c r="AM157" s="939"/>
      <c r="AN157" s="939"/>
    </row>
    <row r="158" spans="1:40" ht="15" customHeight="1">
      <c r="A158" s="939"/>
      <c r="B158" s="939"/>
      <c r="C158" s="939"/>
      <c r="D158" s="939"/>
      <c r="E158" s="939"/>
      <c r="F158" s="939"/>
      <c r="G158" s="939"/>
      <c r="H158" s="939"/>
      <c r="I158" s="939"/>
      <c r="J158" s="939"/>
      <c r="K158" s="939"/>
      <c r="L158" s="939"/>
      <c r="M158" s="939"/>
      <c r="N158" s="939"/>
      <c r="O158" s="939"/>
      <c r="P158" s="939"/>
      <c r="Q158" s="939"/>
      <c r="R158" s="939"/>
      <c r="S158" s="939"/>
      <c r="T158" s="939"/>
      <c r="U158" s="939"/>
      <c r="V158" s="939"/>
      <c r="W158" s="939"/>
      <c r="X158" s="939"/>
      <c r="Y158" s="939"/>
      <c r="Z158" s="939"/>
      <c r="AA158" s="939"/>
      <c r="AB158" s="939"/>
      <c r="AC158" s="939"/>
      <c r="AD158" s="939"/>
      <c r="AE158" s="939"/>
      <c r="AF158" s="939"/>
      <c r="AG158" s="939"/>
      <c r="AH158" s="939"/>
      <c r="AI158" s="939"/>
      <c r="AJ158" s="939"/>
      <c r="AK158" s="939"/>
      <c r="AL158" s="939"/>
      <c r="AM158" s="939"/>
      <c r="AN158" s="939"/>
    </row>
    <row r="159" spans="1:40" ht="15" customHeight="1">
      <c r="A159" s="939"/>
      <c r="B159" s="939"/>
      <c r="C159" s="939"/>
      <c r="D159" s="939"/>
      <c r="E159" s="939"/>
      <c r="F159" s="939"/>
      <c r="G159" s="939"/>
      <c r="H159" s="939"/>
      <c r="I159" s="939"/>
      <c r="J159" s="939"/>
      <c r="K159" s="939"/>
      <c r="L159" s="939"/>
      <c r="M159" s="939"/>
      <c r="N159" s="939"/>
      <c r="O159" s="939"/>
      <c r="P159" s="939"/>
      <c r="Q159" s="939"/>
      <c r="R159" s="939"/>
      <c r="S159" s="939"/>
      <c r="T159" s="939"/>
      <c r="U159" s="939"/>
      <c r="V159" s="939"/>
      <c r="W159" s="939"/>
      <c r="X159" s="939"/>
      <c r="Y159" s="939"/>
      <c r="Z159" s="939"/>
      <c r="AA159" s="939"/>
      <c r="AB159" s="939"/>
      <c r="AC159" s="939"/>
      <c r="AD159" s="939"/>
      <c r="AE159" s="939"/>
      <c r="AF159" s="939"/>
      <c r="AG159" s="939"/>
      <c r="AH159" s="939"/>
      <c r="AI159" s="939"/>
      <c r="AJ159" s="939"/>
      <c r="AK159" s="939"/>
      <c r="AL159" s="939"/>
      <c r="AM159" s="939"/>
      <c r="AN159" s="939"/>
    </row>
    <row r="160" spans="1:40" ht="15" customHeight="1">
      <c r="A160" s="939"/>
      <c r="B160" s="939"/>
      <c r="C160" s="939"/>
      <c r="D160" s="939"/>
      <c r="E160" s="939"/>
      <c r="F160" s="939"/>
      <c r="G160" s="939"/>
      <c r="H160" s="939"/>
      <c r="I160" s="939"/>
      <c r="J160" s="939"/>
      <c r="K160" s="939"/>
      <c r="L160" s="939"/>
      <c r="M160" s="939"/>
      <c r="N160" s="939"/>
      <c r="O160" s="939"/>
      <c r="P160" s="939"/>
      <c r="Q160" s="939"/>
      <c r="R160" s="939"/>
      <c r="S160" s="939"/>
      <c r="T160" s="939"/>
      <c r="U160" s="939"/>
      <c r="V160" s="939"/>
      <c r="W160" s="939"/>
      <c r="X160" s="939"/>
      <c r="Y160" s="939"/>
      <c r="Z160" s="939"/>
      <c r="AA160" s="939"/>
      <c r="AB160" s="939"/>
      <c r="AC160" s="939"/>
      <c r="AD160" s="939"/>
      <c r="AE160" s="939"/>
      <c r="AF160" s="939"/>
      <c r="AG160" s="939"/>
      <c r="AH160" s="939"/>
      <c r="AI160" s="939"/>
      <c r="AJ160" s="939"/>
      <c r="AK160" s="939"/>
      <c r="AL160" s="939"/>
      <c r="AM160" s="939"/>
      <c r="AN160" s="939"/>
    </row>
    <row r="161" spans="1:40" ht="15" customHeight="1">
      <c r="A161" s="939"/>
      <c r="B161" s="939"/>
      <c r="C161" s="939"/>
      <c r="D161" s="939"/>
      <c r="E161" s="939"/>
      <c r="F161" s="939"/>
      <c r="G161" s="939"/>
      <c r="H161" s="939"/>
      <c r="I161" s="939"/>
      <c r="J161" s="939"/>
      <c r="K161" s="939"/>
      <c r="L161" s="939"/>
      <c r="M161" s="939"/>
      <c r="N161" s="939"/>
      <c r="O161" s="939"/>
      <c r="P161" s="939"/>
      <c r="Q161" s="939"/>
      <c r="R161" s="939"/>
      <c r="S161" s="939"/>
      <c r="T161" s="939"/>
      <c r="U161" s="939"/>
      <c r="V161" s="939"/>
      <c r="W161" s="939"/>
      <c r="X161" s="939"/>
      <c r="Y161" s="939"/>
      <c r="Z161" s="939"/>
      <c r="AA161" s="939"/>
      <c r="AB161" s="939"/>
      <c r="AC161" s="939"/>
      <c r="AD161" s="939"/>
      <c r="AE161" s="939"/>
      <c r="AF161" s="939"/>
      <c r="AG161" s="939"/>
      <c r="AH161" s="939"/>
      <c r="AI161" s="939"/>
      <c r="AJ161" s="939"/>
      <c r="AK161" s="939"/>
      <c r="AL161" s="939"/>
      <c r="AM161" s="939"/>
      <c r="AN161" s="939"/>
    </row>
    <row r="162" spans="1:40" ht="15" customHeight="1">
      <c r="A162" s="939"/>
      <c r="B162" s="939"/>
      <c r="C162" s="939"/>
      <c r="D162" s="939"/>
      <c r="E162" s="939"/>
      <c r="F162" s="939"/>
      <c r="G162" s="939"/>
      <c r="H162" s="939"/>
      <c r="I162" s="939"/>
      <c r="J162" s="939"/>
      <c r="K162" s="939"/>
      <c r="L162" s="939"/>
      <c r="M162" s="939"/>
      <c r="N162" s="939"/>
      <c r="O162" s="939"/>
      <c r="P162" s="939"/>
      <c r="Q162" s="939"/>
      <c r="R162" s="939"/>
      <c r="S162" s="939"/>
      <c r="T162" s="939"/>
      <c r="U162" s="939"/>
      <c r="V162" s="939"/>
      <c r="W162" s="939"/>
      <c r="X162" s="939"/>
      <c r="Y162" s="939"/>
      <c r="Z162" s="939"/>
      <c r="AA162" s="939"/>
      <c r="AB162" s="939"/>
      <c r="AC162" s="939"/>
      <c r="AD162" s="939"/>
      <c r="AE162" s="939"/>
      <c r="AF162" s="939"/>
      <c r="AG162" s="939"/>
      <c r="AH162" s="939"/>
      <c r="AI162" s="939"/>
      <c r="AJ162" s="939"/>
      <c r="AK162" s="939"/>
      <c r="AL162" s="939"/>
      <c r="AM162" s="939"/>
      <c r="AN162" s="939"/>
    </row>
    <row r="163" spans="1:40" ht="15" customHeight="1">
      <c r="A163" s="939"/>
      <c r="B163" s="939"/>
      <c r="C163" s="939"/>
      <c r="D163" s="939"/>
      <c r="E163" s="939"/>
      <c r="F163" s="939"/>
      <c r="G163" s="939"/>
      <c r="H163" s="939"/>
      <c r="I163" s="939"/>
      <c r="J163" s="939"/>
      <c r="K163" s="939"/>
      <c r="L163" s="939"/>
      <c r="M163" s="939"/>
      <c r="N163" s="939"/>
      <c r="O163" s="939"/>
      <c r="P163" s="939"/>
      <c r="Q163" s="939"/>
      <c r="R163" s="939"/>
      <c r="S163" s="939"/>
      <c r="T163" s="939"/>
      <c r="U163" s="939"/>
      <c r="V163" s="939"/>
      <c r="W163" s="939"/>
      <c r="X163" s="939"/>
      <c r="Y163" s="939"/>
      <c r="Z163" s="939"/>
      <c r="AA163" s="939"/>
      <c r="AB163" s="939"/>
      <c r="AC163" s="939"/>
      <c r="AD163" s="939"/>
      <c r="AE163" s="939"/>
      <c r="AF163" s="939"/>
      <c r="AG163" s="939"/>
      <c r="AH163" s="939"/>
      <c r="AI163" s="939"/>
      <c r="AJ163" s="939"/>
      <c r="AK163" s="939"/>
      <c r="AL163" s="939"/>
      <c r="AM163" s="939"/>
      <c r="AN163" s="939"/>
    </row>
    <row r="164" spans="1:40" ht="15" customHeight="1">
      <c r="A164" s="939"/>
      <c r="B164" s="939"/>
      <c r="C164" s="939"/>
      <c r="D164" s="939"/>
      <c r="E164" s="939"/>
      <c r="F164" s="939"/>
      <c r="G164" s="939"/>
      <c r="H164" s="939"/>
      <c r="I164" s="939"/>
      <c r="J164" s="939"/>
      <c r="K164" s="939"/>
      <c r="L164" s="939"/>
      <c r="M164" s="939"/>
      <c r="N164" s="939"/>
      <c r="O164" s="939"/>
      <c r="P164" s="939"/>
      <c r="Q164" s="939"/>
      <c r="R164" s="939"/>
      <c r="S164" s="939"/>
      <c r="T164" s="939"/>
      <c r="U164" s="939"/>
      <c r="V164" s="939"/>
      <c r="W164" s="939"/>
      <c r="X164" s="939"/>
      <c r="Y164" s="939"/>
      <c r="Z164" s="939"/>
      <c r="AA164" s="939"/>
      <c r="AB164" s="939"/>
      <c r="AC164" s="939"/>
      <c r="AD164" s="939"/>
      <c r="AE164" s="939"/>
      <c r="AF164" s="939"/>
      <c r="AG164" s="939"/>
      <c r="AH164" s="939"/>
      <c r="AI164" s="939"/>
      <c r="AJ164" s="939"/>
      <c r="AK164" s="939"/>
      <c r="AL164" s="939"/>
      <c r="AM164" s="939"/>
      <c r="AN164" s="939"/>
    </row>
    <row r="165" spans="1:40" ht="15" customHeight="1">
      <c r="A165" s="939"/>
      <c r="B165" s="939"/>
      <c r="C165" s="939"/>
      <c r="D165" s="939"/>
      <c r="E165" s="939"/>
      <c r="F165" s="939"/>
      <c r="G165" s="939"/>
      <c r="H165" s="939"/>
      <c r="I165" s="939"/>
      <c r="J165" s="939"/>
      <c r="K165" s="939"/>
      <c r="L165" s="939"/>
      <c r="M165" s="939"/>
      <c r="N165" s="939"/>
      <c r="O165" s="939"/>
      <c r="P165" s="939"/>
      <c r="Q165" s="939"/>
      <c r="R165" s="939"/>
      <c r="S165" s="939"/>
      <c r="T165" s="939"/>
      <c r="U165" s="939"/>
      <c r="V165" s="939"/>
      <c r="W165" s="939"/>
      <c r="X165" s="939"/>
      <c r="Y165" s="939"/>
      <c r="Z165" s="939"/>
      <c r="AA165" s="939"/>
      <c r="AB165" s="939"/>
      <c r="AC165" s="939"/>
      <c r="AD165" s="939"/>
      <c r="AE165" s="939"/>
      <c r="AF165" s="939"/>
      <c r="AG165" s="939"/>
      <c r="AH165" s="939"/>
      <c r="AI165" s="939"/>
      <c r="AJ165" s="939"/>
      <c r="AK165" s="939"/>
      <c r="AL165" s="939"/>
      <c r="AM165" s="939"/>
      <c r="AN165" s="939"/>
    </row>
    <row r="166" spans="1:40" ht="15" customHeight="1">
      <c r="A166" s="939"/>
      <c r="B166" s="939"/>
      <c r="C166" s="939"/>
      <c r="D166" s="1100"/>
      <c r="E166" s="939"/>
      <c r="F166" s="939"/>
      <c r="G166" s="939"/>
      <c r="H166" s="939"/>
      <c r="I166" s="939"/>
      <c r="J166" s="939"/>
      <c r="K166" s="939"/>
      <c r="L166" s="939"/>
      <c r="M166" s="939"/>
      <c r="N166" s="939"/>
      <c r="O166" s="939"/>
      <c r="P166" s="939"/>
      <c r="Q166" s="939"/>
      <c r="R166" s="939"/>
      <c r="S166" s="939"/>
      <c r="T166" s="939"/>
      <c r="U166" s="939"/>
      <c r="V166" s="939"/>
      <c r="W166" s="939"/>
      <c r="X166" s="939"/>
      <c r="Y166" s="939"/>
      <c r="Z166" s="939"/>
      <c r="AA166" s="939"/>
      <c r="AB166" s="939"/>
      <c r="AC166" s="939"/>
      <c r="AD166" s="939"/>
      <c r="AE166" s="939"/>
      <c r="AF166" s="939"/>
      <c r="AG166" s="939"/>
      <c r="AH166" s="939"/>
      <c r="AI166" s="939"/>
      <c r="AJ166" s="939"/>
      <c r="AK166" s="939"/>
      <c r="AL166" s="939"/>
      <c r="AM166" s="939"/>
      <c r="AN166" s="939"/>
    </row>
    <row r="167" spans="1:40" ht="15" customHeight="1">
      <c r="A167" s="939"/>
      <c r="B167" s="939"/>
      <c r="C167" s="939"/>
      <c r="D167" s="1100"/>
      <c r="E167" s="939"/>
      <c r="F167" s="939"/>
      <c r="G167" s="939"/>
      <c r="H167" s="939"/>
      <c r="I167" s="939"/>
      <c r="J167" s="939"/>
      <c r="K167" s="939"/>
      <c r="L167" s="939"/>
      <c r="M167" s="939"/>
      <c r="N167" s="939"/>
      <c r="O167" s="939"/>
      <c r="P167" s="939"/>
      <c r="Q167" s="939"/>
      <c r="R167" s="939"/>
      <c r="S167" s="939"/>
      <c r="T167" s="939"/>
      <c r="U167" s="939"/>
      <c r="V167" s="939"/>
      <c r="W167" s="939"/>
      <c r="X167" s="939"/>
      <c r="Y167" s="939"/>
      <c r="Z167" s="939"/>
      <c r="AA167" s="939"/>
      <c r="AB167" s="939"/>
      <c r="AC167" s="939"/>
      <c r="AD167" s="939"/>
      <c r="AE167" s="939"/>
      <c r="AF167" s="939"/>
      <c r="AG167" s="939"/>
      <c r="AH167" s="939"/>
      <c r="AI167" s="939"/>
      <c r="AJ167" s="939"/>
      <c r="AK167" s="939"/>
      <c r="AL167" s="939"/>
      <c r="AM167" s="939"/>
      <c r="AN167" s="939"/>
    </row>
    <row r="168" spans="1:40" ht="15" customHeight="1">
      <c r="A168" s="939"/>
      <c r="B168" s="939"/>
      <c r="C168" s="939"/>
      <c r="D168" s="939"/>
      <c r="E168" s="939"/>
      <c r="F168" s="939"/>
      <c r="G168" s="939"/>
      <c r="H168" s="939"/>
      <c r="I168" s="939"/>
      <c r="J168" s="939"/>
      <c r="K168" s="939"/>
      <c r="L168" s="939"/>
      <c r="M168" s="939"/>
      <c r="N168" s="939"/>
      <c r="O168" s="939"/>
      <c r="P168" s="939"/>
      <c r="Q168" s="939"/>
      <c r="R168" s="939"/>
      <c r="S168" s="939"/>
      <c r="T168" s="939"/>
      <c r="U168" s="939"/>
      <c r="V168" s="939"/>
      <c r="W168" s="939"/>
      <c r="X168" s="939"/>
      <c r="Y168" s="939"/>
      <c r="Z168" s="939"/>
      <c r="AA168" s="939"/>
      <c r="AB168" s="939"/>
      <c r="AC168" s="939"/>
      <c r="AD168" s="939"/>
      <c r="AE168" s="939"/>
      <c r="AF168" s="939"/>
      <c r="AG168" s="939"/>
      <c r="AH168" s="939"/>
      <c r="AI168" s="939"/>
      <c r="AJ168" s="939"/>
      <c r="AK168" s="939"/>
      <c r="AL168" s="939"/>
      <c r="AM168" s="939"/>
      <c r="AN168" s="939"/>
    </row>
    <row r="169" spans="1:40" ht="15" customHeight="1">
      <c r="A169" s="939"/>
      <c r="B169" s="939"/>
      <c r="C169" s="939"/>
      <c r="D169" s="939"/>
      <c r="E169" s="939"/>
      <c r="F169" s="939"/>
      <c r="G169" s="939"/>
      <c r="H169" s="939"/>
      <c r="I169" s="939"/>
      <c r="J169" s="939"/>
      <c r="K169" s="939"/>
      <c r="L169" s="939"/>
      <c r="M169" s="939"/>
      <c r="N169" s="939"/>
      <c r="O169" s="939"/>
      <c r="P169" s="939"/>
      <c r="Q169" s="939"/>
      <c r="R169" s="939"/>
      <c r="S169" s="939"/>
      <c r="T169" s="939"/>
      <c r="U169" s="939"/>
      <c r="V169" s="939"/>
      <c r="W169" s="939"/>
      <c r="X169" s="939"/>
      <c r="Y169" s="939"/>
      <c r="Z169" s="939"/>
      <c r="AA169" s="939"/>
      <c r="AB169" s="939"/>
      <c r="AC169" s="939"/>
      <c r="AD169" s="939"/>
      <c r="AE169" s="939"/>
      <c r="AF169" s="939"/>
      <c r="AG169" s="939"/>
      <c r="AH169" s="939"/>
      <c r="AI169" s="939"/>
      <c r="AJ169" s="939"/>
      <c r="AK169" s="939"/>
      <c r="AL169" s="939"/>
      <c r="AM169" s="939"/>
      <c r="AN169" s="939"/>
    </row>
    <row r="170" spans="1:40" ht="15" customHeight="1">
      <c r="A170" s="939"/>
      <c r="B170" s="939"/>
      <c r="C170" s="939"/>
      <c r="D170" s="939"/>
      <c r="E170" s="939"/>
      <c r="F170" s="939"/>
      <c r="G170" s="939"/>
      <c r="H170" s="939"/>
      <c r="I170" s="939"/>
      <c r="J170" s="939"/>
      <c r="K170" s="939"/>
      <c r="L170" s="939"/>
      <c r="M170" s="939"/>
      <c r="N170" s="939"/>
      <c r="O170" s="939"/>
      <c r="P170" s="939"/>
      <c r="Q170" s="939"/>
      <c r="R170" s="939"/>
      <c r="S170" s="939"/>
      <c r="T170" s="939"/>
      <c r="U170" s="939"/>
      <c r="V170" s="939"/>
      <c r="W170" s="939"/>
      <c r="X170" s="939"/>
      <c r="Y170" s="939"/>
      <c r="Z170" s="939"/>
      <c r="AA170" s="939"/>
      <c r="AB170" s="939"/>
      <c r="AC170" s="939"/>
      <c r="AD170" s="939"/>
      <c r="AE170" s="939"/>
      <c r="AF170" s="939"/>
      <c r="AG170" s="939"/>
      <c r="AH170" s="939"/>
      <c r="AI170" s="939"/>
      <c r="AJ170" s="939"/>
      <c r="AK170" s="939"/>
      <c r="AL170" s="939"/>
      <c r="AM170" s="939"/>
      <c r="AN170" s="939"/>
    </row>
    <row r="171" spans="1:40" ht="15" customHeight="1">
      <c r="A171" s="939"/>
      <c r="B171" s="939"/>
      <c r="C171" s="939"/>
      <c r="D171" s="939"/>
      <c r="E171" s="939"/>
      <c r="F171" s="939"/>
      <c r="G171" s="939"/>
      <c r="H171" s="939"/>
      <c r="I171" s="939"/>
      <c r="J171" s="939"/>
      <c r="K171" s="939"/>
      <c r="L171" s="939"/>
      <c r="M171" s="939"/>
      <c r="N171" s="939"/>
      <c r="O171" s="939"/>
      <c r="P171" s="939"/>
      <c r="Q171" s="939"/>
      <c r="R171" s="939"/>
      <c r="S171" s="939"/>
      <c r="T171" s="939"/>
      <c r="U171" s="939"/>
      <c r="V171" s="939"/>
      <c r="W171" s="939"/>
      <c r="X171" s="939"/>
      <c r="Y171" s="939"/>
      <c r="Z171" s="939"/>
      <c r="AA171" s="939"/>
      <c r="AB171" s="939"/>
      <c r="AC171" s="939"/>
      <c r="AD171" s="939"/>
      <c r="AE171" s="939"/>
      <c r="AF171" s="939"/>
      <c r="AG171" s="939"/>
      <c r="AH171" s="939"/>
      <c r="AI171" s="939"/>
      <c r="AJ171" s="939"/>
      <c r="AK171" s="939"/>
      <c r="AL171" s="939"/>
      <c r="AM171" s="939"/>
      <c r="AN171" s="939"/>
    </row>
    <row r="172" spans="1:40" ht="15" customHeight="1">
      <c r="A172" s="939"/>
      <c r="B172" s="939"/>
      <c r="C172" s="939"/>
      <c r="D172" s="939"/>
      <c r="E172" s="939"/>
      <c r="F172" s="939"/>
      <c r="G172" s="939"/>
      <c r="H172" s="939"/>
      <c r="I172" s="939"/>
      <c r="J172" s="939"/>
      <c r="K172" s="939"/>
      <c r="L172" s="939"/>
      <c r="M172" s="939"/>
      <c r="N172" s="939"/>
      <c r="O172" s="939"/>
      <c r="P172" s="939"/>
      <c r="Q172" s="939"/>
      <c r="R172" s="939"/>
      <c r="S172" s="939"/>
      <c r="T172" s="939"/>
      <c r="U172" s="939"/>
      <c r="V172" s="939"/>
      <c r="W172" s="939"/>
      <c r="X172" s="939"/>
      <c r="Y172" s="939"/>
      <c r="Z172" s="939"/>
      <c r="AA172" s="939"/>
      <c r="AB172" s="939"/>
      <c r="AC172" s="939"/>
      <c r="AD172" s="939"/>
      <c r="AE172" s="939"/>
      <c r="AF172" s="939"/>
      <c r="AG172" s="939"/>
      <c r="AH172" s="939"/>
      <c r="AI172" s="939"/>
      <c r="AJ172" s="939"/>
      <c r="AK172" s="939"/>
      <c r="AL172" s="939"/>
      <c r="AM172" s="939"/>
      <c r="AN172" s="939"/>
    </row>
    <row r="173" spans="1:40" ht="15" customHeight="1">
      <c r="A173" s="939"/>
      <c r="B173" s="947"/>
      <c r="C173" s="939"/>
      <c r="D173" s="939"/>
      <c r="E173" s="939"/>
      <c r="F173" s="939"/>
      <c r="G173" s="939"/>
      <c r="H173" s="939"/>
      <c r="I173" s="939"/>
      <c r="J173" s="939"/>
      <c r="K173" s="939"/>
      <c r="L173" s="939"/>
      <c r="M173" s="939"/>
      <c r="N173" s="939"/>
      <c r="O173" s="939"/>
      <c r="P173" s="939"/>
      <c r="Q173" s="939"/>
      <c r="R173" s="939"/>
      <c r="S173" s="939"/>
      <c r="T173" s="939"/>
      <c r="U173" s="939"/>
      <c r="V173" s="939"/>
      <c r="W173" s="939"/>
      <c r="X173" s="939"/>
      <c r="Y173" s="939"/>
      <c r="Z173" s="939"/>
      <c r="AA173" s="939"/>
      <c r="AB173" s="939"/>
      <c r="AC173" s="939"/>
      <c r="AD173" s="939"/>
      <c r="AE173" s="939"/>
      <c r="AF173" s="939"/>
      <c r="AG173" s="939"/>
      <c r="AH173" s="939"/>
      <c r="AI173" s="939"/>
      <c r="AJ173" s="939"/>
      <c r="AK173" s="939"/>
      <c r="AL173" s="939"/>
      <c r="AM173" s="939"/>
      <c r="AN173" s="939"/>
    </row>
    <row r="174" spans="1:40" ht="15" customHeight="1">
      <c r="A174" s="939"/>
      <c r="B174" s="947"/>
      <c r="C174" s="939"/>
      <c r="D174" s="939"/>
      <c r="E174" s="939"/>
      <c r="F174" s="939"/>
      <c r="G174" s="939"/>
      <c r="H174" s="939"/>
      <c r="I174" s="939"/>
      <c r="J174" s="939"/>
      <c r="K174" s="939"/>
      <c r="L174" s="939"/>
      <c r="M174" s="939"/>
      <c r="N174" s="939"/>
      <c r="O174" s="939"/>
      <c r="P174" s="939"/>
      <c r="Q174" s="939"/>
      <c r="R174" s="939"/>
      <c r="S174" s="939"/>
      <c r="T174" s="939"/>
      <c r="U174" s="939"/>
      <c r="V174" s="939"/>
      <c r="W174" s="939"/>
      <c r="X174" s="939"/>
      <c r="Y174" s="939"/>
      <c r="Z174" s="939"/>
      <c r="AA174" s="939"/>
      <c r="AB174" s="939"/>
      <c r="AC174" s="939"/>
      <c r="AD174" s="939"/>
      <c r="AE174" s="939"/>
      <c r="AF174" s="939"/>
      <c r="AG174" s="939"/>
      <c r="AH174" s="939"/>
      <c r="AI174" s="939"/>
      <c r="AJ174" s="939"/>
      <c r="AK174" s="939"/>
      <c r="AL174" s="939"/>
      <c r="AM174" s="939"/>
      <c r="AN174" s="939"/>
    </row>
    <row r="175" spans="1:40" ht="15" customHeight="1">
      <c r="A175" s="939"/>
      <c r="B175" s="947"/>
      <c r="C175" s="939"/>
      <c r="D175" s="939"/>
      <c r="E175" s="939"/>
      <c r="F175" s="939"/>
      <c r="G175" s="939"/>
      <c r="H175" s="939"/>
      <c r="I175" s="939"/>
      <c r="J175" s="939"/>
      <c r="K175" s="939"/>
      <c r="L175" s="939"/>
      <c r="M175" s="939"/>
      <c r="N175" s="939"/>
      <c r="O175" s="939"/>
      <c r="P175" s="939"/>
      <c r="Q175" s="939"/>
      <c r="R175" s="939"/>
      <c r="S175" s="939"/>
      <c r="T175" s="939"/>
      <c r="U175" s="939"/>
      <c r="V175" s="939"/>
      <c r="W175" s="939"/>
      <c r="X175" s="939"/>
      <c r="Y175" s="939"/>
      <c r="Z175" s="939"/>
      <c r="AA175" s="939"/>
      <c r="AB175" s="939"/>
      <c r="AC175" s="939"/>
      <c r="AD175" s="939"/>
      <c r="AE175" s="939"/>
      <c r="AF175" s="939"/>
      <c r="AG175" s="939"/>
      <c r="AH175" s="939"/>
      <c r="AI175" s="939"/>
      <c r="AJ175" s="939"/>
      <c r="AK175" s="939"/>
      <c r="AL175" s="939"/>
      <c r="AM175" s="939"/>
      <c r="AN175" s="939"/>
    </row>
    <row r="176" spans="1:40" ht="15" customHeight="1">
      <c r="A176" s="939"/>
      <c r="B176" s="947"/>
      <c r="C176" s="939"/>
      <c r="D176" s="939"/>
      <c r="E176" s="939"/>
      <c r="F176" s="939"/>
      <c r="G176" s="939"/>
      <c r="H176" s="939"/>
      <c r="I176" s="939"/>
      <c r="J176" s="939"/>
      <c r="K176" s="939"/>
      <c r="L176" s="939"/>
      <c r="M176" s="939"/>
      <c r="N176" s="939"/>
      <c r="O176" s="939"/>
      <c r="P176" s="939"/>
      <c r="Q176" s="939"/>
      <c r="R176" s="939"/>
      <c r="S176" s="939"/>
      <c r="T176" s="939"/>
      <c r="U176" s="939"/>
      <c r="V176" s="939"/>
      <c r="W176" s="939"/>
      <c r="X176" s="939"/>
      <c r="Y176" s="939"/>
      <c r="Z176" s="939"/>
      <c r="AA176" s="939"/>
      <c r="AB176" s="939"/>
      <c r="AC176" s="939"/>
      <c r="AD176" s="939"/>
      <c r="AE176" s="939"/>
      <c r="AF176" s="939"/>
      <c r="AG176" s="939"/>
      <c r="AH176" s="939"/>
      <c r="AI176" s="939"/>
      <c r="AJ176" s="939"/>
      <c r="AK176" s="939"/>
      <c r="AL176" s="939"/>
      <c r="AM176" s="939"/>
      <c r="AN176" s="939"/>
    </row>
    <row r="177" spans="1:40" ht="15" customHeight="1">
      <c r="A177" s="939"/>
      <c r="B177" s="947"/>
      <c r="C177" s="939"/>
      <c r="D177" s="939"/>
      <c r="E177" s="939"/>
      <c r="F177" s="939"/>
      <c r="G177" s="939"/>
      <c r="H177" s="939"/>
      <c r="I177" s="939"/>
      <c r="J177" s="939"/>
      <c r="K177" s="939"/>
      <c r="L177" s="939"/>
      <c r="M177" s="939"/>
      <c r="N177" s="939"/>
      <c r="O177" s="939"/>
      <c r="P177" s="939"/>
      <c r="Q177" s="939"/>
      <c r="R177" s="939"/>
      <c r="S177" s="939"/>
      <c r="T177" s="939"/>
      <c r="U177" s="939"/>
      <c r="V177" s="939"/>
      <c r="W177" s="939"/>
      <c r="X177" s="939"/>
      <c r="Y177" s="939"/>
      <c r="Z177" s="939"/>
      <c r="AA177" s="939"/>
      <c r="AB177" s="939"/>
      <c r="AC177" s="939"/>
      <c r="AD177" s="939"/>
      <c r="AE177" s="939"/>
      <c r="AF177" s="939"/>
      <c r="AG177" s="939"/>
      <c r="AH177" s="939"/>
      <c r="AI177" s="939"/>
      <c r="AJ177" s="939"/>
      <c r="AK177" s="939"/>
      <c r="AL177" s="939"/>
      <c r="AM177" s="939"/>
      <c r="AN177" s="939"/>
    </row>
    <row r="178" spans="1:40" ht="15" customHeight="1">
      <c r="A178" s="939"/>
      <c r="B178" s="947"/>
      <c r="C178" s="939"/>
      <c r="D178" s="939"/>
      <c r="E178" s="939"/>
      <c r="F178" s="939"/>
      <c r="G178" s="939"/>
      <c r="H178" s="939"/>
      <c r="I178" s="939"/>
      <c r="J178" s="939"/>
      <c r="K178" s="939"/>
      <c r="L178" s="939"/>
      <c r="M178" s="939"/>
      <c r="N178" s="939"/>
      <c r="O178" s="939"/>
      <c r="P178" s="939"/>
      <c r="Q178" s="939"/>
      <c r="R178" s="939"/>
      <c r="S178" s="939"/>
      <c r="T178" s="939"/>
      <c r="U178" s="939"/>
      <c r="V178" s="939"/>
      <c r="W178" s="939"/>
      <c r="X178" s="939"/>
      <c r="Y178" s="939"/>
      <c r="Z178" s="939"/>
      <c r="AA178" s="939"/>
      <c r="AB178" s="939"/>
      <c r="AC178" s="939"/>
      <c r="AD178" s="939"/>
      <c r="AE178" s="939"/>
      <c r="AF178" s="939"/>
      <c r="AG178" s="939"/>
      <c r="AH178" s="939"/>
      <c r="AI178" s="939"/>
      <c r="AJ178" s="939"/>
      <c r="AK178" s="939"/>
      <c r="AL178" s="939"/>
      <c r="AM178" s="939"/>
      <c r="AN178" s="939"/>
    </row>
    <row r="179" spans="1:40" ht="15" customHeight="1">
      <c r="A179" s="939"/>
      <c r="B179" s="947"/>
      <c r="C179" s="939"/>
      <c r="D179" s="939"/>
      <c r="E179" s="939"/>
      <c r="F179" s="939"/>
      <c r="G179" s="939"/>
      <c r="H179" s="939"/>
      <c r="I179" s="939"/>
      <c r="J179" s="939"/>
      <c r="K179" s="939"/>
      <c r="L179" s="939"/>
      <c r="M179" s="939"/>
      <c r="N179" s="939"/>
      <c r="O179" s="939"/>
      <c r="P179" s="939"/>
      <c r="Q179" s="939"/>
      <c r="R179" s="939"/>
      <c r="S179" s="939"/>
      <c r="T179" s="939"/>
      <c r="U179" s="939"/>
      <c r="V179" s="939"/>
      <c r="W179" s="939"/>
      <c r="X179" s="939"/>
      <c r="Y179" s="939"/>
      <c r="Z179" s="939"/>
      <c r="AA179" s="939"/>
      <c r="AB179" s="939"/>
      <c r="AC179" s="939"/>
      <c r="AD179" s="939"/>
      <c r="AE179" s="939"/>
      <c r="AF179" s="939"/>
      <c r="AG179" s="939"/>
      <c r="AH179" s="939"/>
      <c r="AI179" s="939"/>
      <c r="AJ179" s="939"/>
      <c r="AK179" s="939"/>
      <c r="AL179" s="939"/>
      <c r="AM179" s="939"/>
      <c r="AN179" s="939"/>
    </row>
    <row r="180" spans="1:40" ht="15" customHeight="1">
      <c r="A180" s="939"/>
      <c r="B180" s="947"/>
      <c r="C180" s="939"/>
      <c r="D180" s="939"/>
      <c r="E180" s="939"/>
      <c r="F180" s="939"/>
      <c r="G180" s="939"/>
      <c r="H180" s="939"/>
      <c r="I180" s="939"/>
      <c r="J180" s="939"/>
      <c r="K180" s="939"/>
      <c r="L180" s="939"/>
      <c r="M180" s="939"/>
      <c r="N180" s="939"/>
      <c r="O180" s="939"/>
      <c r="P180" s="939"/>
      <c r="Q180" s="939"/>
      <c r="R180" s="939"/>
      <c r="S180" s="939"/>
      <c r="T180" s="939"/>
      <c r="U180" s="939"/>
      <c r="V180" s="939"/>
      <c r="W180" s="939"/>
      <c r="X180" s="939"/>
      <c r="Y180" s="939"/>
      <c r="Z180" s="939"/>
      <c r="AA180" s="939"/>
      <c r="AB180" s="939"/>
      <c r="AC180" s="939"/>
      <c r="AD180" s="939"/>
      <c r="AE180" s="939"/>
      <c r="AF180" s="939"/>
      <c r="AG180" s="939"/>
      <c r="AH180" s="939"/>
      <c r="AI180" s="939"/>
      <c r="AJ180" s="939"/>
      <c r="AK180" s="939"/>
      <c r="AL180" s="939"/>
      <c r="AM180" s="939"/>
      <c r="AN180" s="939"/>
    </row>
    <row r="181" spans="1:40" ht="15" customHeight="1">
      <c r="A181" s="939"/>
      <c r="B181" s="947"/>
      <c r="C181" s="939"/>
      <c r="D181" s="939"/>
      <c r="E181" s="939"/>
      <c r="F181" s="939"/>
      <c r="G181" s="939"/>
      <c r="H181" s="939"/>
      <c r="I181" s="939"/>
      <c r="J181" s="939"/>
      <c r="K181" s="939"/>
      <c r="L181" s="939"/>
      <c r="M181" s="939"/>
      <c r="N181" s="939"/>
      <c r="O181" s="939"/>
      <c r="P181" s="939"/>
      <c r="Q181" s="939"/>
      <c r="R181" s="939"/>
      <c r="S181" s="939"/>
      <c r="T181" s="939"/>
      <c r="U181" s="939"/>
      <c r="V181" s="939"/>
      <c r="W181" s="939"/>
      <c r="X181" s="939"/>
      <c r="Y181" s="939"/>
      <c r="Z181" s="939"/>
      <c r="AA181" s="939"/>
      <c r="AB181" s="939"/>
      <c r="AC181" s="939"/>
      <c r="AD181" s="939"/>
      <c r="AE181" s="939"/>
      <c r="AF181" s="939"/>
      <c r="AG181" s="939"/>
      <c r="AH181" s="939"/>
      <c r="AI181" s="939"/>
      <c r="AJ181" s="939"/>
      <c r="AK181" s="939"/>
      <c r="AL181" s="939"/>
      <c r="AM181" s="939"/>
      <c r="AN181" s="939"/>
    </row>
    <row r="182" spans="1:40" ht="15" customHeight="1">
      <c r="A182" s="939"/>
      <c r="B182" s="947"/>
      <c r="C182" s="939"/>
      <c r="D182" s="939"/>
      <c r="E182" s="939"/>
      <c r="F182" s="939"/>
      <c r="G182" s="939"/>
      <c r="H182" s="939"/>
      <c r="I182" s="939"/>
      <c r="J182" s="939"/>
      <c r="K182" s="939"/>
      <c r="L182" s="939"/>
      <c r="M182" s="939"/>
      <c r="N182" s="939"/>
      <c r="O182" s="939"/>
      <c r="P182" s="939"/>
      <c r="Q182" s="939"/>
      <c r="R182" s="939"/>
      <c r="S182" s="939"/>
      <c r="T182" s="939"/>
      <c r="U182" s="939"/>
      <c r="V182" s="939"/>
      <c r="W182" s="939"/>
      <c r="X182" s="939"/>
      <c r="Y182" s="939"/>
      <c r="Z182" s="939"/>
      <c r="AA182" s="939"/>
      <c r="AB182" s="939"/>
      <c r="AC182" s="939"/>
      <c r="AD182" s="939"/>
      <c r="AE182" s="939"/>
      <c r="AF182" s="939"/>
      <c r="AG182" s="939"/>
      <c r="AH182" s="939"/>
      <c r="AI182" s="939"/>
      <c r="AJ182" s="939"/>
      <c r="AK182" s="939"/>
      <c r="AL182" s="939"/>
      <c r="AM182" s="939"/>
      <c r="AN182" s="939"/>
    </row>
    <row r="183" spans="1:40" ht="15" customHeight="1">
      <c r="A183" s="939"/>
      <c r="B183" s="947"/>
      <c r="C183" s="939"/>
      <c r="D183" s="939"/>
      <c r="E183" s="939"/>
      <c r="F183" s="939"/>
      <c r="G183" s="939"/>
      <c r="H183" s="939"/>
      <c r="I183" s="939"/>
      <c r="J183" s="939"/>
      <c r="K183" s="939"/>
      <c r="L183" s="939"/>
      <c r="M183" s="939"/>
      <c r="N183" s="939"/>
      <c r="O183" s="939"/>
      <c r="P183" s="939"/>
      <c r="Q183" s="939"/>
      <c r="R183" s="939"/>
      <c r="S183" s="939"/>
      <c r="T183" s="939"/>
      <c r="U183" s="939"/>
      <c r="V183" s="939"/>
      <c r="W183" s="939"/>
      <c r="X183" s="939"/>
      <c r="Y183" s="939"/>
      <c r="Z183" s="939"/>
      <c r="AA183" s="939"/>
      <c r="AB183" s="939"/>
      <c r="AC183" s="939"/>
      <c r="AD183" s="939"/>
      <c r="AE183" s="939"/>
      <c r="AF183" s="939"/>
      <c r="AG183" s="939"/>
      <c r="AH183" s="939"/>
      <c r="AI183" s="939"/>
      <c r="AJ183" s="939"/>
      <c r="AK183" s="939"/>
      <c r="AL183" s="939"/>
      <c r="AM183" s="939"/>
      <c r="AN183" s="939"/>
    </row>
    <row r="184" spans="1:40" ht="15" customHeight="1">
      <c r="A184" s="939"/>
      <c r="B184" s="947"/>
      <c r="C184" s="939"/>
      <c r="D184" s="939"/>
      <c r="E184" s="939"/>
      <c r="F184" s="939"/>
      <c r="G184" s="939"/>
      <c r="H184" s="939"/>
      <c r="I184" s="939"/>
      <c r="J184" s="939"/>
      <c r="K184" s="939"/>
      <c r="L184" s="939"/>
      <c r="M184" s="939"/>
      <c r="N184" s="939"/>
      <c r="O184" s="939"/>
      <c r="P184" s="939"/>
      <c r="Q184" s="939"/>
      <c r="R184" s="939"/>
      <c r="S184" s="939"/>
      <c r="T184" s="939"/>
      <c r="U184" s="939"/>
      <c r="V184" s="939"/>
      <c r="W184" s="939"/>
      <c r="X184" s="939"/>
      <c r="Y184" s="939"/>
      <c r="Z184" s="939"/>
      <c r="AA184" s="939"/>
      <c r="AB184" s="939"/>
      <c r="AC184" s="939"/>
      <c r="AD184" s="939"/>
      <c r="AE184" s="939"/>
      <c r="AF184" s="939"/>
      <c r="AG184" s="939"/>
      <c r="AH184" s="939"/>
      <c r="AI184" s="939"/>
      <c r="AJ184" s="939"/>
      <c r="AK184" s="939"/>
      <c r="AL184" s="939"/>
      <c r="AM184" s="939"/>
      <c r="AN184" s="939"/>
    </row>
    <row r="185" spans="1:40" ht="15" customHeight="1">
      <c r="A185" s="939"/>
      <c r="B185" s="947"/>
      <c r="C185" s="939"/>
      <c r="D185" s="939"/>
      <c r="E185" s="939"/>
      <c r="F185" s="939"/>
      <c r="G185" s="939"/>
      <c r="H185" s="939"/>
      <c r="I185" s="939"/>
      <c r="J185" s="939"/>
      <c r="K185" s="939"/>
      <c r="L185" s="939"/>
      <c r="M185" s="939"/>
      <c r="N185" s="939"/>
      <c r="O185" s="939"/>
      <c r="P185" s="939"/>
      <c r="Q185" s="939"/>
      <c r="R185" s="939"/>
      <c r="S185" s="939"/>
      <c r="T185" s="939"/>
      <c r="U185" s="939"/>
      <c r="V185" s="939"/>
      <c r="W185" s="939"/>
      <c r="X185" s="939"/>
      <c r="Y185" s="939"/>
      <c r="Z185" s="939"/>
      <c r="AA185" s="939"/>
      <c r="AB185" s="939"/>
      <c r="AC185" s="939"/>
      <c r="AD185" s="939"/>
      <c r="AE185" s="939"/>
      <c r="AF185" s="939"/>
      <c r="AG185" s="939"/>
      <c r="AH185" s="939"/>
      <c r="AI185" s="939"/>
      <c r="AJ185" s="939"/>
      <c r="AK185" s="939"/>
      <c r="AL185" s="939"/>
      <c r="AM185" s="939"/>
      <c r="AN185" s="939"/>
    </row>
    <row r="186" spans="1:40" ht="15" customHeight="1">
      <c r="A186" s="939"/>
      <c r="B186" s="947"/>
      <c r="C186" s="939"/>
      <c r="D186" s="939"/>
      <c r="E186" s="939"/>
      <c r="F186" s="939"/>
      <c r="G186" s="939"/>
      <c r="H186" s="939"/>
      <c r="I186" s="939"/>
      <c r="J186" s="939"/>
      <c r="K186" s="939"/>
      <c r="L186" s="939"/>
      <c r="M186" s="939"/>
      <c r="N186" s="939"/>
      <c r="O186" s="939"/>
      <c r="P186" s="939"/>
      <c r="Q186" s="939"/>
      <c r="R186" s="939"/>
      <c r="S186" s="939"/>
      <c r="T186" s="939"/>
      <c r="U186" s="939"/>
      <c r="V186" s="939"/>
      <c r="W186" s="939"/>
      <c r="X186" s="939"/>
      <c r="Y186" s="939"/>
      <c r="Z186" s="939"/>
      <c r="AA186" s="939"/>
      <c r="AB186" s="939"/>
      <c r="AC186" s="939"/>
      <c r="AD186" s="939"/>
      <c r="AE186" s="939"/>
      <c r="AF186" s="939"/>
      <c r="AG186" s="939"/>
      <c r="AH186" s="939"/>
      <c r="AI186" s="939"/>
      <c r="AJ186" s="939"/>
      <c r="AK186" s="939"/>
      <c r="AL186" s="939"/>
      <c r="AM186" s="939"/>
      <c r="AN186" s="939"/>
    </row>
    <row r="187" spans="1:40" ht="15" customHeight="1">
      <c r="A187" s="939"/>
      <c r="B187" s="947"/>
      <c r="C187" s="939"/>
      <c r="D187" s="939"/>
      <c r="E187" s="939"/>
      <c r="F187" s="939"/>
      <c r="G187" s="939"/>
      <c r="H187" s="939"/>
      <c r="I187" s="939"/>
      <c r="J187" s="939"/>
      <c r="K187" s="939"/>
      <c r="L187" s="939"/>
      <c r="M187" s="939"/>
      <c r="N187" s="939"/>
      <c r="O187" s="939"/>
      <c r="P187" s="939"/>
      <c r="Q187" s="939"/>
      <c r="R187" s="939"/>
      <c r="S187" s="939"/>
      <c r="T187" s="939"/>
      <c r="U187" s="939"/>
      <c r="V187" s="939"/>
      <c r="W187" s="939"/>
      <c r="X187" s="939"/>
      <c r="Y187" s="939"/>
      <c r="Z187" s="939"/>
      <c r="AA187" s="939"/>
      <c r="AB187" s="939"/>
      <c r="AC187" s="939"/>
      <c r="AD187" s="939"/>
      <c r="AE187" s="939"/>
      <c r="AF187" s="939"/>
      <c r="AG187" s="939"/>
      <c r="AH187" s="939"/>
      <c r="AI187" s="939"/>
      <c r="AJ187" s="939"/>
      <c r="AK187" s="939"/>
      <c r="AL187" s="939"/>
      <c r="AM187" s="939"/>
      <c r="AN187" s="939"/>
    </row>
    <row r="188" spans="1:40" ht="15" customHeight="1">
      <c r="A188" s="939"/>
      <c r="B188" s="947"/>
      <c r="C188" s="939"/>
      <c r="D188" s="939"/>
      <c r="E188" s="939"/>
      <c r="F188" s="939"/>
      <c r="G188" s="939"/>
      <c r="H188" s="939"/>
      <c r="I188" s="939"/>
      <c r="J188" s="939"/>
      <c r="K188" s="939"/>
      <c r="L188" s="939"/>
      <c r="M188" s="939"/>
      <c r="N188" s="939"/>
      <c r="O188" s="939"/>
      <c r="P188" s="939"/>
      <c r="Q188" s="939"/>
      <c r="R188" s="939"/>
      <c r="S188" s="939"/>
      <c r="T188" s="939"/>
      <c r="U188" s="939"/>
      <c r="V188" s="939"/>
      <c r="W188" s="939"/>
      <c r="X188" s="939"/>
      <c r="Y188" s="939"/>
      <c r="Z188" s="939"/>
      <c r="AA188" s="939"/>
      <c r="AB188" s="939"/>
      <c r="AC188" s="939"/>
      <c r="AD188" s="939"/>
      <c r="AE188" s="939"/>
      <c r="AF188" s="939"/>
      <c r="AG188" s="939"/>
      <c r="AH188" s="939"/>
      <c r="AI188" s="939"/>
      <c r="AJ188" s="939"/>
      <c r="AK188" s="939"/>
      <c r="AL188" s="939"/>
      <c r="AM188" s="939"/>
      <c r="AN188" s="939"/>
    </row>
    <row r="189" spans="1:40" ht="15" customHeight="1">
      <c r="A189" s="939"/>
      <c r="B189" s="947"/>
      <c r="C189" s="939"/>
      <c r="D189" s="939"/>
      <c r="E189" s="939"/>
      <c r="F189" s="939"/>
      <c r="G189" s="939"/>
      <c r="H189" s="939"/>
      <c r="I189" s="939"/>
      <c r="J189" s="939"/>
      <c r="K189" s="939"/>
      <c r="L189" s="939"/>
      <c r="M189" s="939"/>
      <c r="N189" s="939"/>
      <c r="O189" s="939"/>
      <c r="P189" s="939"/>
      <c r="Q189" s="939"/>
      <c r="R189" s="939"/>
      <c r="S189" s="939"/>
      <c r="T189" s="939"/>
      <c r="U189" s="939"/>
      <c r="V189" s="939"/>
      <c r="W189" s="939"/>
      <c r="X189" s="939"/>
      <c r="Y189" s="939"/>
      <c r="Z189" s="939"/>
      <c r="AA189" s="939"/>
      <c r="AB189" s="939"/>
      <c r="AC189" s="939"/>
      <c r="AD189" s="939"/>
      <c r="AE189" s="939"/>
      <c r="AF189" s="939"/>
      <c r="AG189" s="939"/>
      <c r="AH189" s="939"/>
      <c r="AI189" s="939"/>
      <c r="AJ189" s="939"/>
      <c r="AK189" s="939"/>
      <c r="AL189" s="939"/>
      <c r="AM189" s="939"/>
      <c r="AN189" s="939"/>
    </row>
    <row r="190" spans="1:40" ht="15" customHeight="1">
      <c r="A190" s="939"/>
      <c r="B190" s="947"/>
      <c r="C190" s="939"/>
      <c r="D190" s="939"/>
      <c r="E190" s="939"/>
      <c r="F190" s="939"/>
      <c r="G190" s="939"/>
      <c r="H190" s="939"/>
      <c r="I190" s="939"/>
      <c r="J190" s="939"/>
      <c r="K190" s="939"/>
      <c r="L190" s="939"/>
      <c r="M190" s="939"/>
      <c r="N190" s="939"/>
      <c r="O190" s="939"/>
      <c r="P190" s="939"/>
      <c r="Q190" s="939"/>
      <c r="R190" s="939"/>
      <c r="S190" s="939"/>
      <c r="T190" s="939"/>
      <c r="U190" s="939"/>
      <c r="V190" s="939"/>
      <c r="W190" s="939"/>
      <c r="X190" s="939"/>
      <c r="Y190" s="939"/>
      <c r="Z190" s="939"/>
      <c r="AA190" s="939"/>
      <c r="AB190" s="939"/>
      <c r="AC190" s="939"/>
      <c r="AD190" s="939"/>
      <c r="AE190" s="939"/>
      <c r="AF190" s="939"/>
      <c r="AG190" s="939"/>
      <c r="AH190" s="939"/>
      <c r="AI190" s="939"/>
      <c r="AJ190" s="939"/>
      <c r="AK190" s="939"/>
      <c r="AL190" s="939"/>
      <c r="AM190" s="939"/>
      <c r="AN190" s="939"/>
    </row>
    <row r="191" spans="1:40" ht="15" customHeight="1">
      <c r="A191" s="939"/>
      <c r="B191" s="947"/>
      <c r="C191" s="939"/>
      <c r="D191" s="939"/>
      <c r="E191" s="939"/>
      <c r="F191" s="939"/>
      <c r="G191" s="939"/>
      <c r="H191" s="939"/>
      <c r="I191" s="939"/>
      <c r="J191" s="939"/>
      <c r="K191" s="939"/>
      <c r="L191" s="939"/>
      <c r="M191" s="939"/>
      <c r="N191" s="939"/>
      <c r="O191" s="939"/>
      <c r="P191" s="939"/>
      <c r="Q191" s="939"/>
      <c r="R191" s="939"/>
      <c r="S191" s="939"/>
      <c r="T191" s="939"/>
      <c r="U191" s="939"/>
      <c r="V191" s="939"/>
      <c r="W191" s="939"/>
      <c r="X191" s="939"/>
      <c r="Y191" s="939"/>
      <c r="Z191" s="939"/>
      <c r="AA191" s="939"/>
      <c r="AB191" s="939"/>
      <c r="AC191" s="939"/>
      <c r="AD191" s="939"/>
      <c r="AE191" s="939"/>
      <c r="AF191" s="939"/>
      <c r="AG191" s="939"/>
      <c r="AH191" s="939"/>
      <c r="AI191" s="939"/>
      <c r="AJ191" s="939"/>
      <c r="AK191" s="939"/>
      <c r="AL191" s="939"/>
      <c r="AM191" s="939"/>
      <c r="AN191" s="939"/>
    </row>
    <row r="192" spans="1:40" ht="15" customHeight="1">
      <c r="A192" s="939"/>
      <c r="B192" s="947"/>
      <c r="C192" s="939"/>
      <c r="D192" s="939"/>
      <c r="E192" s="939"/>
      <c r="F192" s="939"/>
      <c r="G192" s="939"/>
      <c r="H192" s="939"/>
      <c r="I192" s="939"/>
      <c r="J192" s="939"/>
      <c r="K192" s="939"/>
      <c r="L192" s="939"/>
      <c r="M192" s="939"/>
      <c r="N192" s="939"/>
      <c r="O192" s="939"/>
      <c r="P192" s="939"/>
      <c r="Q192" s="939"/>
      <c r="R192" s="939"/>
      <c r="S192" s="939"/>
      <c r="T192" s="939"/>
      <c r="U192" s="939"/>
      <c r="V192" s="939"/>
      <c r="W192" s="939"/>
      <c r="X192" s="939"/>
      <c r="Y192" s="939"/>
      <c r="Z192" s="939"/>
      <c r="AA192" s="939"/>
      <c r="AB192" s="939"/>
      <c r="AC192" s="939"/>
      <c r="AD192" s="939"/>
      <c r="AE192" s="939"/>
      <c r="AF192" s="939"/>
      <c r="AG192" s="939"/>
      <c r="AH192" s="939"/>
      <c r="AI192" s="939"/>
      <c r="AJ192" s="939"/>
      <c r="AK192" s="939"/>
      <c r="AL192" s="939"/>
      <c r="AM192" s="939"/>
      <c r="AN192" s="939"/>
    </row>
    <row r="193" spans="1:40" ht="15" customHeight="1">
      <c r="A193" s="939"/>
      <c r="B193" s="947"/>
      <c r="C193" s="939"/>
      <c r="D193" s="939"/>
      <c r="E193" s="939"/>
      <c r="F193" s="939"/>
      <c r="G193" s="939"/>
      <c r="H193" s="939"/>
      <c r="I193" s="939"/>
      <c r="J193" s="939"/>
      <c r="K193" s="939"/>
      <c r="L193" s="939"/>
      <c r="M193" s="939"/>
      <c r="N193" s="939"/>
      <c r="O193" s="939"/>
      <c r="P193" s="939"/>
      <c r="Q193" s="939"/>
      <c r="R193" s="939"/>
      <c r="S193" s="939"/>
      <c r="T193" s="939"/>
      <c r="U193" s="939"/>
      <c r="V193" s="939"/>
      <c r="W193" s="939"/>
      <c r="X193" s="939"/>
      <c r="Y193" s="939"/>
      <c r="Z193" s="939"/>
      <c r="AA193" s="939"/>
      <c r="AB193" s="939"/>
      <c r="AC193" s="939"/>
      <c r="AD193" s="939"/>
      <c r="AE193" s="939"/>
      <c r="AF193" s="939"/>
      <c r="AG193" s="939"/>
      <c r="AH193" s="939"/>
      <c r="AI193" s="939"/>
      <c r="AJ193" s="939"/>
      <c r="AK193" s="939"/>
      <c r="AL193" s="939"/>
      <c r="AM193" s="939"/>
      <c r="AN193" s="939"/>
    </row>
    <row r="194" spans="1:40" ht="15" customHeight="1">
      <c r="A194" s="939"/>
      <c r="B194" s="947"/>
      <c r="C194" s="939"/>
      <c r="D194" s="939"/>
      <c r="E194" s="939"/>
      <c r="F194" s="939"/>
      <c r="G194" s="939"/>
      <c r="H194" s="939"/>
      <c r="I194" s="939"/>
      <c r="J194" s="939"/>
      <c r="K194" s="939"/>
      <c r="L194" s="939"/>
      <c r="M194" s="939"/>
      <c r="N194" s="939"/>
      <c r="O194" s="939"/>
      <c r="P194" s="939"/>
      <c r="Q194" s="939"/>
      <c r="R194" s="939"/>
      <c r="S194" s="939"/>
      <c r="T194" s="939"/>
      <c r="U194" s="939"/>
      <c r="V194" s="939"/>
      <c r="W194" s="939"/>
      <c r="X194" s="939"/>
      <c r="Y194" s="939"/>
      <c r="Z194" s="939"/>
      <c r="AA194" s="939"/>
      <c r="AB194" s="939"/>
      <c r="AC194" s="939"/>
      <c r="AD194" s="939"/>
      <c r="AE194" s="939"/>
      <c r="AF194" s="939"/>
      <c r="AG194" s="939"/>
      <c r="AH194" s="939"/>
      <c r="AI194" s="939"/>
      <c r="AJ194" s="939"/>
      <c r="AK194" s="939"/>
      <c r="AL194" s="939"/>
      <c r="AM194" s="939"/>
      <c r="AN194" s="939"/>
    </row>
    <row r="195" spans="1:40" ht="15" customHeight="1">
      <c r="A195" s="939"/>
      <c r="B195" s="947"/>
      <c r="C195" s="939"/>
      <c r="D195" s="939"/>
      <c r="E195" s="939"/>
      <c r="F195" s="939"/>
      <c r="G195" s="939"/>
      <c r="H195" s="939"/>
      <c r="I195" s="939"/>
      <c r="J195" s="939"/>
      <c r="K195" s="939"/>
      <c r="L195" s="939"/>
      <c r="M195" s="939"/>
      <c r="N195" s="939"/>
      <c r="O195" s="939"/>
      <c r="P195" s="939"/>
      <c r="Q195" s="939"/>
      <c r="R195" s="939"/>
      <c r="S195" s="939"/>
      <c r="T195" s="939"/>
      <c r="U195" s="939"/>
      <c r="V195" s="939"/>
      <c r="W195" s="939"/>
      <c r="X195" s="939"/>
      <c r="Y195" s="939"/>
      <c r="Z195" s="939"/>
      <c r="AA195" s="939"/>
      <c r="AB195" s="939"/>
      <c r="AC195" s="939"/>
      <c r="AD195" s="939"/>
      <c r="AE195" s="939"/>
      <c r="AF195" s="939"/>
      <c r="AG195" s="939"/>
      <c r="AH195" s="939"/>
      <c r="AI195" s="939"/>
      <c r="AJ195" s="939"/>
      <c r="AK195" s="939"/>
      <c r="AL195" s="939"/>
      <c r="AM195" s="939"/>
      <c r="AN195" s="939"/>
    </row>
    <row r="196" spans="1:40" ht="15" customHeight="1">
      <c r="A196" s="939"/>
      <c r="B196" s="939"/>
      <c r="C196" s="939"/>
      <c r="D196" s="939"/>
      <c r="E196" s="939"/>
      <c r="F196" s="939"/>
      <c r="G196" s="939"/>
      <c r="H196" s="939"/>
      <c r="I196" s="939"/>
      <c r="J196" s="939"/>
      <c r="K196" s="939"/>
      <c r="L196" s="939"/>
      <c r="M196" s="939"/>
      <c r="N196" s="939"/>
      <c r="O196" s="939"/>
      <c r="P196" s="939"/>
      <c r="Q196" s="939"/>
      <c r="R196" s="939"/>
      <c r="S196" s="939"/>
      <c r="T196" s="939"/>
      <c r="U196" s="939"/>
      <c r="V196" s="939"/>
      <c r="W196" s="939"/>
      <c r="X196" s="939"/>
      <c r="Y196" s="939"/>
      <c r="Z196" s="939"/>
      <c r="AA196" s="939"/>
      <c r="AB196" s="939"/>
      <c r="AC196" s="939"/>
      <c r="AD196" s="939"/>
      <c r="AE196" s="939"/>
      <c r="AF196" s="939"/>
      <c r="AG196" s="939"/>
      <c r="AH196" s="939"/>
      <c r="AI196" s="939"/>
      <c r="AJ196" s="939"/>
      <c r="AK196" s="939"/>
      <c r="AL196" s="939"/>
      <c r="AM196" s="939"/>
      <c r="AN196" s="939"/>
    </row>
    <row r="197" spans="1:40" ht="15" customHeight="1">
      <c r="A197" s="939"/>
      <c r="B197" s="939"/>
      <c r="C197" s="939"/>
      <c r="D197" s="939"/>
      <c r="E197" s="939"/>
      <c r="F197" s="939"/>
      <c r="G197" s="939"/>
      <c r="H197" s="939"/>
      <c r="I197" s="939"/>
      <c r="J197" s="939"/>
      <c r="K197" s="939"/>
      <c r="L197" s="939"/>
      <c r="M197" s="939"/>
      <c r="N197" s="939"/>
      <c r="O197" s="939"/>
      <c r="P197" s="939"/>
      <c r="Q197" s="939"/>
      <c r="R197" s="939"/>
      <c r="S197" s="939"/>
      <c r="T197" s="939"/>
      <c r="U197" s="939"/>
      <c r="V197" s="939"/>
      <c r="W197" s="939"/>
      <c r="X197" s="939"/>
      <c r="Y197" s="939"/>
      <c r="Z197" s="939"/>
      <c r="AA197" s="939"/>
      <c r="AB197" s="939"/>
      <c r="AC197" s="939"/>
      <c r="AD197" s="939"/>
      <c r="AE197" s="939"/>
      <c r="AF197" s="939"/>
      <c r="AG197" s="939"/>
      <c r="AH197" s="939"/>
      <c r="AI197" s="939"/>
      <c r="AJ197" s="939"/>
      <c r="AK197" s="939"/>
      <c r="AL197" s="939"/>
      <c r="AM197" s="939"/>
      <c r="AN197" s="939"/>
    </row>
    <row r="198" spans="1:40" ht="15" customHeight="1">
      <c r="A198" s="939"/>
      <c r="B198" s="939"/>
      <c r="C198" s="939"/>
      <c r="D198" s="939"/>
      <c r="E198" s="939"/>
      <c r="F198" s="939"/>
      <c r="G198" s="939"/>
      <c r="H198" s="939"/>
      <c r="I198" s="939"/>
      <c r="J198" s="939"/>
      <c r="K198" s="939"/>
      <c r="L198" s="939"/>
      <c r="M198" s="939"/>
      <c r="N198" s="939"/>
      <c r="O198" s="939"/>
      <c r="P198" s="939"/>
      <c r="Q198" s="939"/>
      <c r="R198" s="939"/>
      <c r="S198" s="939"/>
      <c r="T198" s="939"/>
      <c r="U198" s="939"/>
      <c r="V198" s="939"/>
      <c r="W198" s="939"/>
      <c r="X198" s="939"/>
      <c r="Y198" s="939"/>
      <c r="Z198" s="939"/>
      <c r="AA198" s="939"/>
      <c r="AB198" s="939"/>
      <c r="AC198" s="939"/>
      <c r="AD198" s="939"/>
      <c r="AE198" s="939"/>
      <c r="AF198" s="939"/>
      <c r="AG198" s="939"/>
      <c r="AH198" s="939"/>
      <c r="AI198" s="939"/>
      <c r="AJ198" s="939"/>
      <c r="AK198" s="939"/>
      <c r="AL198" s="939"/>
      <c r="AM198" s="939"/>
      <c r="AN198" s="939"/>
    </row>
    <row r="199" spans="1:40" ht="15" customHeight="1">
      <c r="A199" s="939"/>
      <c r="B199" s="939"/>
      <c r="C199" s="939"/>
      <c r="D199" s="939"/>
      <c r="E199" s="939"/>
      <c r="F199" s="939"/>
      <c r="G199" s="939"/>
      <c r="H199" s="939"/>
      <c r="I199" s="939"/>
      <c r="J199" s="939"/>
      <c r="K199" s="939"/>
      <c r="L199" s="939"/>
      <c r="M199" s="939"/>
      <c r="N199" s="939"/>
      <c r="O199" s="939"/>
      <c r="P199" s="939"/>
      <c r="Q199" s="939"/>
      <c r="R199" s="939"/>
      <c r="S199" s="939"/>
      <c r="T199" s="939"/>
      <c r="U199" s="939"/>
      <c r="V199" s="939"/>
      <c r="W199" s="939"/>
      <c r="X199" s="939"/>
      <c r="Y199" s="939"/>
      <c r="Z199" s="939"/>
      <c r="AA199" s="939"/>
      <c r="AB199" s="939"/>
      <c r="AC199" s="939"/>
      <c r="AD199" s="939"/>
      <c r="AE199" s="939"/>
      <c r="AF199" s="939"/>
      <c r="AG199" s="939"/>
      <c r="AH199" s="939"/>
      <c r="AI199" s="939"/>
      <c r="AJ199" s="939"/>
      <c r="AK199" s="939"/>
      <c r="AL199" s="939"/>
      <c r="AM199" s="939"/>
      <c r="AN199" s="939"/>
    </row>
    <row r="200" spans="1:40" ht="15" customHeight="1">
      <c r="A200" s="939"/>
      <c r="B200" s="939"/>
      <c r="C200" s="939"/>
      <c r="D200" s="939"/>
      <c r="E200" s="939"/>
      <c r="F200" s="939"/>
      <c r="G200" s="939"/>
      <c r="H200" s="939"/>
      <c r="I200" s="939"/>
      <c r="J200" s="939"/>
      <c r="K200" s="939"/>
      <c r="L200" s="939"/>
      <c r="M200" s="939"/>
      <c r="N200" s="939"/>
      <c r="O200" s="939"/>
      <c r="P200" s="939"/>
      <c r="Q200" s="939"/>
      <c r="R200" s="939"/>
      <c r="S200" s="939"/>
      <c r="T200" s="939"/>
      <c r="U200" s="939"/>
      <c r="V200" s="939"/>
      <c r="W200" s="939"/>
      <c r="X200" s="939"/>
      <c r="Y200" s="939"/>
      <c r="Z200" s="939"/>
      <c r="AA200" s="939"/>
      <c r="AB200" s="939"/>
      <c r="AC200" s="939"/>
      <c r="AD200" s="939"/>
      <c r="AE200" s="939"/>
      <c r="AF200" s="939"/>
      <c r="AG200" s="939"/>
      <c r="AH200" s="939"/>
      <c r="AI200" s="939"/>
      <c r="AJ200" s="939"/>
      <c r="AK200" s="939"/>
      <c r="AL200" s="939"/>
      <c r="AM200" s="939"/>
      <c r="AN200" s="939"/>
    </row>
    <row r="201" spans="1:40" ht="15" customHeight="1">
      <c r="A201" s="939"/>
      <c r="B201" s="939"/>
      <c r="C201" s="939"/>
      <c r="D201" s="939"/>
      <c r="E201" s="939"/>
      <c r="F201" s="939"/>
      <c r="G201" s="939"/>
      <c r="H201" s="939"/>
      <c r="I201" s="939"/>
      <c r="J201" s="939"/>
      <c r="K201" s="939"/>
      <c r="L201" s="939"/>
      <c r="M201" s="939"/>
      <c r="N201" s="939"/>
      <c r="O201" s="939"/>
      <c r="P201" s="939"/>
      <c r="Q201" s="939"/>
      <c r="R201" s="939"/>
      <c r="S201" s="939"/>
      <c r="T201" s="939"/>
      <c r="U201" s="939"/>
      <c r="V201" s="939"/>
      <c r="W201" s="939"/>
      <c r="X201" s="939"/>
      <c r="Y201" s="939"/>
      <c r="Z201" s="939"/>
      <c r="AA201" s="939"/>
      <c r="AB201" s="939"/>
      <c r="AC201" s="939"/>
      <c r="AD201" s="939"/>
      <c r="AE201" s="939"/>
      <c r="AF201" s="939"/>
      <c r="AG201" s="939"/>
      <c r="AH201" s="939"/>
      <c r="AI201" s="939"/>
      <c r="AJ201" s="939"/>
      <c r="AK201" s="939"/>
      <c r="AL201" s="939"/>
      <c r="AM201" s="939"/>
      <c r="AN201" s="939"/>
    </row>
    <row r="202" spans="1:40" ht="15" customHeight="1">
      <c r="A202" s="939"/>
      <c r="B202" s="939"/>
      <c r="C202" s="939"/>
      <c r="D202" s="939"/>
      <c r="E202" s="939"/>
      <c r="F202" s="939"/>
      <c r="G202" s="939"/>
      <c r="H202" s="939"/>
      <c r="I202" s="939"/>
      <c r="J202" s="939"/>
      <c r="K202" s="939"/>
      <c r="L202" s="939"/>
      <c r="M202" s="939"/>
      <c r="N202" s="939"/>
      <c r="O202" s="939"/>
      <c r="P202" s="939"/>
      <c r="Q202" s="939"/>
      <c r="R202" s="939"/>
      <c r="S202" s="939"/>
      <c r="T202" s="939"/>
      <c r="U202" s="939"/>
      <c r="V202" s="939"/>
      <c r="W202" s="939"/>
      <c r="X202" s="939"/>
      <c r="Y202" s="939"/>
      <c r="Z202" s="939"/>
      <c r="AA202" s="939"/>
      <c r="AB202" s="939"/>
      <c r="AC202" s="939"/>
      <c r="AD202" s="939"/>
      <c r="AE202" s="939"/>
      <c r="AF202" s="939"/>
      <c r="AG202" s="939"/>
      <c r="AH202" s="939"/>
      <c r="AI202" s="939"/>
      <c r="AJ202" s="939"/>
      <c r="AK202" s="939"/>
      <c r="AL202" s="939"/>
      <c r="AM202" s="939"/>
      <c r="AN202" s="939"/>
    </row>
    <row r="203" spans="1:40" ht="15" customHeight="1">
      <c r="A203" s="939"/>
      <c r="B203" s="939"/>
      <c r="C203" s="939"/>
      <c r="D203" s="939"/>
      <c r="E203" s="939"/>
      <c r="F203" s="939"/>
      <c r="G203" s="939"/>
      <c r="H203" s="939"/>
      <c r="I203" s="939"/>
      <c r="J203" s="939"/>
      <c r="K203" s="939"/>
      <c r="L203" s="939"/>
      <c r="M203" s="939"/>
      <c r="N203" s="939"/>
      <c r="O203" s="939"/>
      <c r="P203" s="939"/>
      <c r="Q203" s="939"/>
      <c r="R203" s="939"/>
      <c r="S203" s="939"/>
      <c r="T203" s="939"/>
      <c r="U203" s="939"/>
      <c r="V203" s="939"/>
      <c r="W203" s="939"/>
      <c r="X203" s="939"/>
      <c r="Y203" s="939"/>
      <c r="Z203" s="939"/>
      <c r="AA203" s="939"/>
      <c r="AB203" s="939"/>
      <c r="AC203" s="939"/>
      <c r="AD203" s="939"/>
      <c r="AE203" s="939"/>
      <c r="AF203" s="939"/>
      <c r="AG203" s="939"/>
      <c r="AH203" s="939"/>
      <c r="AI203" s="939"/>
      <c r="AJ203" s="939"/>
      <c r="AK203" s="939"/>
      <c r="AL203" s="939"/>
      <c r="AM203" s="939"/>
      <c r="AN203" s="939"/>
    </row>
    <row r="204" spans="1:40" ht="15" customHeight="1">
      <c r="A204" s="939"/>
      <c r="B204" s="939"/>
      <c r="C204" s="939"/>
      <c r="D204" s="939"/>
      <c r="E204" s="939"/>
      <c r="F204" s="939"/>
      <c r="G204" s="939"/>
      <c r="H204" s="939"/>
      <c r="I204" s="939"/>
      <c r="J204" s="939"/>
      <c r="K204" s="939"/>
      <c r="L204" s="939"/>
      <c r="M204" s="939"/>
      <c r="N204" s="939"/>
      <c r="O204" s="939"/>
      <c r="P204" s="939"/>
      <c r="Q204" s="939"/>
      <c r="R204" s="939"/>
      <c r="S204" s="939"/>
      <c r="T204" s="939"/>
      <c r="U204" s="939"/>
      <c r="V204" s="939"/>
      <c r="W204" s="939"/>
      <c r="X204" s="939"/>
      <c r="Y204" s="939"/>
      <c r="Z204" s="939"/>
      <c r="AA204" s="939"/>
      <c r="AB204" s="939"/>
      <c r="AC204" s="939"/>
      <c r="AD204" s="939"/>
      <c r="AE204" s="939"/>
      <c r="AF204" s="939"/>
      <c r="AG204" s="939"/>
      <c r="AH204" s="939"/>
      <c r="AI204" s="939"/>
      <c r="AJ204" s="939"/>
      <c r="AK204" s="939"/>
      <c r="AL204" s="939"/>
      <c r="AM204" s="939"/>
      <c r="AN204" s="939"/>
    </row>
    <row r="205" spans="1:40" ht="15" customHeight="1">
      <c r="A205" s="939"/>
      <c r="B205" s="939"/>
      <c r="C205" s="939"/>
      <c r="D205" s="939"/>
      <c r="E205" s="939"/>
      <c r="F205" s="939"/>
      <c r="G205" s="939"/>
      <c r="H205" s="939"/>
      <c r="I205" s="939"/>
      <c r="J205" s="939"/>
      <c r="K205" s="939"/>
      <c r="L205" s="939"/>
      <c r="M205" s="939"/>
      <c r="N205" s="939"/>
      <c r="O205" s="939"/>
      <c r="P205" s="939"/>
      <c r="Q205" s="939"/>
      <c r="R205" s="939"/>
      <c r="S205" s="939"/>
      <c r="T205" s="939"/>
      <c r="U205" s="939"/>
      <c r="V205" s="939"/>
      <c r="W205" s="939"/>
      <c r="X205" s="939"/>
      <c r="Y205" s="939"/>
      <c r="Z205" s="939"/>
      <c r="AA205" s="939"/>
      <c r="AB205" s="939"/>
      <c r="AC205" s="939"/>
      <c r="AD205" s="939"/>
      <c r="AE205" s="939"/>
      <c r="AF205" s="939"/>
      <c r="AG205" s="939"/>
      <c r="AH205" s="939"/>
      <c r="AI205" s="939"/>
      <c r="AJ205" s="939"/>
      <c r="AK205" s="939"/>
      <c r="AL205" s="939"/>
      <c r="AM205" s="939"/>
      <c r="AN205" s="939"/>
    </row>
    <row r="206" spans="1:40" ht="15" customHeight="1">
      <c r="A206" s="939"/>
      <c r="B206" s="939"/>
      <c r="C206" s="939"/>
      <c r="D206" s="939"/>
      <c r="E206" s="939"/>
      <c r="F206" s="939"/>
      <c r="G206" s="939"/>
      <c r="H206" s="939"/>
      <c r="I206" s="939"/>
      <c r="J206" s="939"/>
      <c r="K206" s="939"/>
      <c r="L206" s="939"/>
      <c r="M206" s="939"/>
      <c r="N206" s="939"/>
      <c r="O206" s="939"/>
      <c r="P206" s="939"/>
      <c r="Q206" s="939"/>
      <c r="R206" s="939"/>
      <c r="S206" s="939"/>
      <c r="T206" s="939"/>
      <c r="U206" s="939"/>
      <c r="V206" s="939"/>
      <c r="W206" s="939"/>
      <c r="X206" s="939"/>
      <c r="Y206" s="939"/>
      <c r="Z206" s="939"/>
      <c r="AA206" s="939"/>
      <c r="AB206" s="939"/>
      <c r="AC206" s="939"/>
      <c r="AD206" s="939"/>
      <c r="AE206" s="939"/>
      <c r="AF206" s="939"/>
      <c r="AG206" s="939"/>
      <c r="AH206" s="939"/>
      <c r="AI206" s="939"/>
      <c r="AJ206" s="939"/>
      <c r="AK206" s="939"/>
      <c r="AL206" s="939"/>
      <c r="AM206" s="939"/>
      <c r="AN206" s="939"/>
    </row>
    <row r="207" spans="1:40" ht="15" customHeight="1">
      <c r="A207" s="939"/>
      <c r="B207" s="939"/>
      <c r="C207" s="939"/>
      <c r="D207" s="939"/>
      <c r="E207" s="939"/>
      <c r="F207" s="939"/>
      <c r="G207" s="939"/>
      <c r="H207" s="939"/>
      <c r="I207" s="939"/>
      <c r="J207" s="939"/>
      <c r="K207" s="939"/>
      <c r="L207" s="939"/>
      <c r="M207" s="939"/>
      <c r="N207" s="939"/>
      <c r="O207" s="939"/>
      <c r="P207" s="939"/>
      <c r="Q207" s="939"/>
      <c r="R207" s="939"/>
      <c r="S207" s="939"/>
      <c r="T207" s="939"/>
      <c r="U207" s="939"/>
      <c r="V207" s="939"/>
      <c r="W207" s="939"/>
      <c r="X207" s="939"/>
      <c r="Y207" s="939"/>
      <c r="Z207" s="939"/>
      <c r="AA207" s="939"/>
      <c r="AB207" s="939"/>
      <c r="AC207" s="939"/>
      <c r="AD207" s="939"/>
      <c r="AE207" s="939"/>
      <c r="AF207" s="939"/>
      <c r="AG207" s="939"/>
      <c r="AH207" s="939"/>
      <c r="AI207" s="939"/>
      <c r="AJ207" s="939"/>
      <c r="AK207" s="939"/>
      <c r="AL207" s="939"/>
      <c r="AM207" s="939"/>
      <c r="AN207" s="939"/>
    </row>
    <row r="208" spans="1:40" ht="15" customHeight="1">
      <c r="A208" s="939"/>
      <c r="B208" s="939"/>
      <c r="C208" s="939"/>
      <c r="D208" s="939"/>
      <c r="E208" s="939"/>
      <c r="F208" s="939"/>
      <c r="G208" s="939"/>
      <c r="H208" s="939"/>
      <c r="I208" s="939"/>
      <c r="J208" s="939"/>
      <c r="K208" s="939"/>
      <c r="L208" s="939"/>
      <c r="M208" s="939"/>
      <c r="N208" s="939"/>
      <c r="O208" s="939"/>
      <c r="P208" s="939"/>
      <c r="Q208" s="939"/>
      <c r="R208" s="939"/>
      <c r="S208" s="939"/>
      <c r="T208" s="939"/>
      <c r="U208" s="939"/>
      <c r="V208" s="939"/>
      <c r="W208" s="939"/>
      <c r="X208" s="939"/>
      <c r="Y208" s="939"/>
      <c r="Z208" s="939"/>
      <c r="AA208" s="939"/>
      <c r="AB208" s="939"/>
      <c r="AC208" s="939"/>
      <c r="AD208" s="939"/>
      <c r="AE208" s="939"/>
      <c r="AF208" s="939"/>
      <c r="AG208" s="939"/>
      <c r="AH208" s="939"/>
      <c r="AI208" s="939"/>
      <c r="AJ208" s="939"/>
      <c r="AK208" s="939"/>
      <c r="AL208" s="939"/>
      <c r="AM208" s="939"/>
      <c r="AN208" s="939"/>
    </row>
    <row r="209" spans="1:40" ht="15" customHeight="1">
      <c r="A209" s="939"/>
      <c r="B209" s="939"/>
      <c r="C209" s="939"/>
      <c r="D209" s="939"/>
      <c r="E209" s="939"/>
      <c r="F209" s="939"/>
      <c r="G209" s="939"/>
      <c r="H209" s="939"/>
      <c r="I209" s="939"/>
      <c r="J209" s="939"/>
      <c r="K209" s="939"/>
      <c r="L209" s="939"/>
      <c r="M209" s="939"/>
      <c r="N209" s="939"/>
      <c r="O209" s="939"/>
      <c r="P209" s="939"/>
      <c r="Q209" s="939"/>
      <c r="R209" s="939"/>
      <c r="S209" s="939"/>
      <c r="T209" s="939"/>
      <c r="U209" s="939"/>
      <c r="V209" s="939"/>
      <c r="W209" s="939"/>
      <c r="X209" s="939"/>
      <c r="Y209" s="939"/>
      <c r="Z209" s="939"/>
      <c r="AA209" s="939"/>
      <c r="AB209" s="939"/>
      <c r="AC209" s="939"/>
      <c r="AD209" s="939"/>
      <c r="AE209" s="939"/>
      <c r="AF209" s="939"/>
      <c r="AG209" s="939"/>
      <c r="AH209" s="939"/>
      <c r="AI209" s="939"/>
      <c r="AJ209" s="939"/>
      <c r="AK209" s="939"/>
      <c r="AL209" s="939"/>
      <c r="AM209" s="939"/>
      <c r="AN209" s="939"/>
    </row>
    <row r="210" spans="1:40" ht="15" customHeight="1">
      <c r="A210" s="939"/>
      <c r="B210" s="939"/>
      <c r="C210" s="939"/>
      <c r="D210" s="939"/>
      <c r="E210" s="939"/>
      <c r="F210" s="939"/>
      <c r="G210" s="939"/>
      <c r="H210" s="939"/>
      <c r="I210" s="939"/>
      <c r="J210" s="939"/>
      <c r="K210" s="939"/>
      <c r="L210" s="939"/>
      <c r="M210" s="939"/>
      <c r="N210" s="939"/>
      <c r="O210" s="939"/>
      <c r="P210" s="939"/>
      <c r="Q210" s="939"/>
      <c r="R210" s="939"/>
      <c r="S210" s="939"/>
      <c r="T210" s="939"/>
      <c r="U210" s="939"/>
      <c r="V210" s="939"/>
      <c r="W210" s="939"/>
      <c r="X210" s="939"/>
      <c r="Y210" s="939"/>
      <c r="Z210" s="939"/>
      <c r="AA210" s="939"/>
      <c r="AB210" s="939"/>
      <c r="AC210" s="939"/>
      <c r="AD210" s="939"/>
      <c r="AE210" s="939"/>
      <c r="AF210" s="939"/>
      <c r="AG210" s="939"/>
      <c r="AH210" s="939"/>
      <c r="AI210" s="939"/>
      <c r="AJ210" s="939"/>
      <c r="AK210" s="939"/>
      <c r="AL210" s="939"/>
      <c r="AM210" s="939"/>
      <c r="AN210" s="939"/>
    </row>
    <row r="211" spans="1:40" ht="15" customHeight="1">
      <c r="A211" s="939"/>
      <c r="B211" s="939"/>
      <c r="C211" s="939"/>
      <c r="D211" s="939"/>
      <c r="E211" s="939"/>
      <c r="F211" s="939"/>
      <c r="G211" s="939"/>
      <c r="H211" s="939"/>
      <c r="I211" s="939"/>
      <c r="J211" s="939"/>
      <c r="K211" s="939"/>
      <c r="L211" s="939"/>
      <c r="M211" s="939"/>
      <c r="N211" s="939"/>
      <c r="O211" s="939"/>
      <c r="P211" s="939"/>
      <c r="Q211" s="939"/>
      <c r="R211" s="939"/>
      <c r="S211" s="939"/>
      <c r="T211" s="939"/>
      <c r="U211" s="939"/>
      <c r="V211" s="939"/>
      <c r="W211" s="939"/>
      <c r="X211" s="939"/>
      <c r="Y211" s="939"/>
      <c r="Z211" s="939"/>
      <c r="AA211" s="939"/>
      <c r="AB211" s="939"/>
      <c r="AC211" s="939"/>
      <c r="AD211" s="939"/>
      <c r="AE211" s="939"/>
      <c r="AF211" s="939"/>
      <c r="AG211" s="939"/>
      <c r="AH211" s="939"/>
      <c r="AI211" s="939"/>
      <c r="AJ211" s="939"/>
      <c r="AK211" s="939"/>
      <c r="AL211" s="939"/>
      <c r="AM211" s="939"/>
      <c r="AN211" s="939"/>
    </row>
    <row r="212" spans="1:40" ht="15" customHeight="1">
      <c r="A212" s="939"/>
      <c r="B212" s="939"/>
      <c r="C212" s="939"/>
      <c r="D212" s="939"/>
      <c r="E212" s="939"/>
      <c r="F212" s="939"/>
      <c r="G212" s="939"/>
      <c r="H212" s="939"/>
      <c r="I212" s="939"/>
      <c r="J212" s="939"/>
      <c r="K212" s="939"/>
      <c r="L212" s="939"/>
      <c r="M212" s="939"/>
      <c r="N212" s="939"/>
      <c r="O212" s="939"/>
      <c r="P212" s="939"/>
      <c r="Q212" s="939"/>
      <c r="R212" s="939"/>
      <c r="S212" s="939"/>
      <c r="T212" s="939"/>
      <c r="U212" s="939"/>
      <c r="V212" s="939"/>
      <c r="W212" s="939"/>
      <c r="X212" s="939"/>
      <c r="Y212" s="939"/>
      <c r="Z212" s="939"/>
      <c r="AA212" s="939"/>
      <c r="AB212" s="939"/>
      <c r="AC212" s="939"/>
      <c r="AD212" s="939"/>
      <c r="AE212" s="939"/>
      <c r="AF212" s="939"/>
      <c r="AG212" s="939"/>
      <c r="AH212" s="939"/>
      <c r="AI212" s="939"/>
      <c r="AJ212" s="939"/>
      <c r="AK212" s="939"/>
      <c r="AL212" s="939"/>
      <c r="AM212" s="939"/>
      <c r="AN212" s="939"/>
    </row>
    <row r="213" spans="1:40" ht="15" customHeight="1">
      <c r="A213" s="939"/>
      <c r="B213" s="939"/>
      <c r="C213" s="939"/>
      <c r="D213" s="939"/>
      <c r="E213" s="939"/>
      <c r="F213" s="939"/>
      <c r="G213" s="939"/>
      <c r="H213" s="939"/>
      <c r="I213" s="939"/>
      <c r="J213" s="939"/>
      <c r="K213" s="939"/>
      <c r="L213" s="939"/>
      <c r="M213" s="939"/>
      <c r="N213" s="939"/>
      <c r="O213" s="939"/>
      <c r="P213" s="939"/>
      <c r="Q213" s="939"/>
      <c r="R213" s="939"/>
      <c r="S213" s="939"/>
      <c r="T213" s="939"/>
      <c r="U213" s="939"/>
      <c r="V213" s="939"/>
      <c r="W213" s="939"/>
      <c r="X213" s="939"/>
      <c r="Y213" s="939"/>
      <c r="Z213" s="939"/>
      <c r="AA213" s="939"/>
      <c r="AB213" s="939"/>
      <c r="AC213" s="939"/>
      <c r="AD213" s="939"/>
      <c r="AE213" s="939"/>
      <c r="AF213" s="939"/>
      <c r="AG213" s="939"/>
      <c r="AH213" s="939"/>
      <c r="AI213" s="939"/>
      <c r="AJ213" s="939"/>
      <c r="AK213" s="939"/>
      <c r="AL213" s="939"/>
      <c r="AM213" s="939"/>
      <c r="AN213" s="939"/>
    </row>
    <row r="214" spans="1:40" ht="15" customHeight="1">
      <c r="A214" s="939"/>
      <c r="B214" s="939"/>
      <c r="C214" s="939"/>
      <c r="D214" s="939"/>
      <c r="E214" s="939"/>
      <c r="F214" s="939"/>
      <c r="G214" s="939"/>
      <c r="H214" s="939"/>
      <c r="I214" s="939"/>
      <c r="J214" s="939"/>
      <c r="K214" s="939"/>
      <c r="L214" s="939"/>
      <c r="M214" s="939"/>
      <c r="N214" s="939"/>
      <c r="O214" s="939"/>
      <c r="P214" s="939"/>
      <c r="Q214" s="939"/>
      <c r="R214" s="939"/>
      <c r="S214" s="939"/>
      <c r="T214" s="939"/>
      <c r="U214" s="939"/>
      <c r="V214" s="939"/>
      <c r="W214" s="939"/>
      <c r="X214" s="939"/>
      <c r="Y214" s="939"/>
      <c r="Z214" s="939"/>
      <c r="AA214" s="939"/>
      <c r="AB214" s="939"/>
      <c r="AC214" s="939"/>
      <c r="AD214" s="939"/>
      <c r="AE214" s="939"/>
      <c r="AF214" s="939"/>
      <c r="AG214" s="939"/>
      <c r="AH214" s="939"/>
      <c r="AI214" s="939"/>
      <c r="AJ214" s="939"/>
      <c r="AK214" s="939"/>
      <c r="AL214" s="939"/>
      <c r="AM214" s="939"/>
      <c r="AN214" s="939"/>
    </row>
    <row r="215" spans="1:40" ht="15" customHeight="1">
      <c r="A215" s="939"/>
      <c r="B215" s="939"/>
      <c r="C215" s="939"/>
      <c r="D215" s="939"/>
      <c r="E215" s="939"/>
      <c r="F215" s="939"/>
      <c r="G215" s="939"/>
      <c r="H215" s="939"/>
      <c r="I215" s="939"/>
      <c r="J215" s="939"/>
      <c r="K215" s="939"/>
      <c r="L215" s="939"/>
      <c r="M215" s="939"/>
      <c r="N215" s="939"/>
      <c r="O215" s="939"/>
      <c r="P215" s="939"/>
      <c r="Q215" s="939"/>
      <c r="R215" s="939"/>
      <c r="S215" s="939"/>
      <c r="T215" s="939"/>
      <c r="U215" s="939"/>
      <c r="V215" s="939"/>
      <c r="W215" s="939"/>
      <c r="X215" s="939"/>
      <c r="Y215" s="939"/>
      <c r="Z215" s="939"/>
      <c r="AA215" s="939"/>
      <c r="AB215" s="939"/>
      <c r="AC215" s="939"/>
      <c r="AD215" s="939"/>
      <c r="AE215" s="939"/>
      <c r="AF215" s="939"/>
      <c r="AG215" s="939"/>
      <c r="AH215" s="939"/>
      <c r="AI215" s="939"/>
      <c r="AJ215" s="939"/>
      <c r="AK215" s="939"/>
      <c r="AL215" s="939"/>
      <c r="AM215" s="939"/>
      <c r="AN215" s="939"/>
    </row>
    <row r="216" spans="1:40" ht="15" customHeight="1">
      <c r="A216" s="939"/>
      <c r="B216" s="939"/>
      <c r="C216" s="939"/>
      <c r="D216" s="939"/>
      <c r="E216" s="939"/>
      <c r="F216" s="939"/>
      <c r="G216" s="939"/>
      <c r="H216" s="939"/>
      <c r="I216" s="939"/>
      <c r="J216" s="939"/>
      <c r="K216" s="939"/>
      <c r="L216" s="939"/>
      <c r="M216" s="939"/>
      <c r="N216" s="939"/>
      <c r="O216" s="939"/>
      <c r="P216" s="939"/>
      <c r="Q216" s="939"/>
      <c r="R216" s="939"/>
      <c r="S216" s="939"/>
      <c r="T216" s="939"/>
      <c r="U216" s="939"/>
      <c r="V216" s="939"/>
      <c r="W216" s="939"/>
      <c r="X216" s="939"/>
      <c r="Y216" s="939"/>
      <c r="Z216" s="939"/>
      <c r="AA216" s="939"/>
      <c r="AB216" s="939"/>
      <c r="AC216" s="939"/>
      <c r="AD216" s="939"/>
      <c r="AE216" s="939"/>
      <c r="AF216" s="939"/>
      <c r="AG216" s="939"/>
      <c r="AH216" s="939"/>
      <c r="AI216" s="939"/>
      <c r="AJ216" s="939"/>
      <c r="AK216" s="939"/>
      <c r="AL216" s="939"/>
      <c r="AM216" s="939"/>
      <c r="AN216" s="939"/>
    </row>
    <row r="217" spans="1:40" ht="15" customHeight="1">
      <c r="A217" s="939"/>
      <c r="B217" s="939"/>
      <c r="C217" s="939"/>
      <c r="D217" s="939"/>
      <c r="E217" s="939"/>
      <c r="F217" s="939"/>
      <c r="G217" s="939"/>
      <c r="H217" s="939"/>
      <c r="I217" s="939"/>
      <c r="J217" s="939"/>
      <c r="K217" s="939"/>
      <c r="L217" s="939"/>
      <c r="M217" s="939"/>
      <c r="N217" s="939"/>
      <c r="O217" s="939"/>
      <c r="P217" s="939"/>
      <c r="Q217" s="939"/>
      <c r="R217" s="939"/>
      <c r="S217" s="939"/>
      <c r="T217" s="939"/>
      <c r="U217" s="939"/>
      <c r="V217" s="939"/>
      <c r="W217" s="939"/>
      <c r="X217" s="939"/>
      <c r="Y217" s="939"/>
      <c r="Z217" s="939"/>
      <c r="AA217" s="939"/>
      <c r="AB217" s="939"/>
      <c r="AC217" s="939"/>
      <c r="AD217" s="939"/>
      <c r="AE217" s="939"/>
      <c r="AF217" s="939"/>
      <c r="AG217" s="939"/>
      <c r="AH217" s="939"/>
      <c r="AI217" s="939"/>
      <c r="AJ217" s="939"/>
      <c r="AK217" s="939"/>
      <c r="AL217" s="939"/>
      <c r="AM217" s="939"/>
      <c r="AN217" s="939"/>
    </row>
    <row r="218" spans="1:40" ht="15" customHeight="1">
      <c r="A218" s="939"/>
      <c r="B218" s="939"/>
      <c r="C218" s="939"/>
      <c r="D218" s="939"/>
      <c r="E218" s="939"/>
      <c r="F218" s="939"/>
      <c r="G218" s="939"/>
      <c r="H218" s="939"/>
      <c r="I218" s="939"/>
      <c r="J218" s="939"/>
      <c r="K218" s="939"/>
      <c r="L218" s="939"/>
      <c r="M218" s="939"/>
      <c r="N218" s="939"/>
      <c r="O218" s="939"/>
      <c r="P218" s="939"/>
      <c r="Q218" s="939"/>
      <c r="R218" s="939"/>
      <c r="S218" s="939"/>
      <c r="T218" s="939"/>
      <c r="U218" s="939"/>
      <c r="V218" s="939"/>
      <c r="W218" s="939"/>
      <c r="X218" s="939"/>
      <c r="Y218" s="939"/>
      <c r="Z218" s="939"/>
      <c r="AA218" s="939"/>
      <c r="AB218" s="939"/>
      <c r="AC218" s="939"/>
      <c r="AD218" s="939"/>
      <c r="AE218" s="939"/>
      <c r="AF218" s="939"/>
      <c r="AG218" s="939"/>
      <c r="AH218" s="939"/>
      <c r="AI218" s="939"/>
      <c r="AJ218" s="939"/>
      <c r="AK218" s="939"/>
      <c r="AL218" s="939"/>
      <c r="AM218" s="939"/>
      <c r="AN218" s="939"/>
    </row>
    <row r="219" spans="1:40" ht="15" customHeight="1">
      <c r="A219" s="939"/>
      <c r="B219" s="939"/>
      <c r="C219" s="939"/>
      <c r="D219" s="939"/>
      <c r="E219" s="939"/>
      <c r="F219" s="939"/>
      <c r="G219" s="939"/>
      <c r="H219" s="939"/>
      <c r="I219" s="939"/>
      <c r="J219" s="939"/>
      <c r="K219" s="939"/>
      <c r="L219" s="939"/>
      <c r="M219" s="939"/>
      <c r="N219" s="939"/>
      <c r="O219" s="939"/>
      <c r="P219" s="939"/>
      <c r="Q219" s="939"/>
      <c r="R219" s="939"/>
      <c r="S219" s="939"/>
      <c r="T219" s="939"/>
      <c r="U219" s="939"/>
      <c r="V219" s="939"/>
      <c r="W219" s="939"/>
      <c r="X219" s="939"/>
      <c r="Y219" s="939"/>
      <c r="Z219" s="939"/>
      <c r="AA219" s="939"/>
      <c r="AB219" s="939"/>
      <c r="AC219" s="939"/>
      <c r="AD219" s="939"/>
      <c r="AE219" s="939"/>
      <c r="AF219" s="939"/>
      <c r="AG219" s="939"/>
      <c r="AH219" s="939"/>
      <c r="AI219" s="939"/>
      <c r="AJ219" s="939"/>
      <c r="AK219" s="939"/>
      <c r="AL219" s="939"/>
      <c r="AM219" s="939"/>
      <c r="AN219" s="939"/>
    </row>
    <row r="220" spans="1:40" ht="15" customHeight="1">
      <c r="A220" s="939"/>
      <c r="B220" s="939"/>
      <c r="C220" s="939"/>
      <c r="D220" s="939"/>
      <c r="E220" s="939"/>
      <c r="F220" s="939"/>
      <c r="G220" s="939"/>
      <c r="H220" s="939"/>
      <c r="I220" s="939"/>
      <c r="J220" s="939"/>
      <c r="K220" s="939"/>
      <c r="L220" s="939"/>
      <c r="M220" s="939"/>
      <c r="N220" s="939"/>
      <c r="O220" s="939"/>
      <c r="P220" s="939"/>
      <c r="Q220" s="939"/>
      <c r="R220" s="939"/>
      <c r="S220" s="939"/>
      <c r="T220" s="939"/>
      <c r="U220" s="939"/>
      <c r="V220" s="939"/>
      <c r="W220" s="939"/>
      <c r="X220" s="939"/>
      <c r="Y220" s="939"/>
      <c r="Z220" s="939"/>
      <c r="AA220" s="939"/>
      <c r="AB220" s="939"/>
      <c r="AC220" s="939"/>
      <c r="AD220" s="939"/>
      <c r="AE220" s="939"/>
      <c r="AF220" s="939"/>
      <c r="AG220" s="939"/>
      <c r="AH220" s="939"/>
      <c r="AI220" s="939"/>
      <c r="AJ220" s="939"/>
      <c r="AK220" s="939"/>
      <c r="AL220" s="939"/>
      <c r="AM220" s="939"/>
      <c r="AN220" s="939"/>
    </row>
    <row r="221" spans="1:40" ht="15" customHeight="1">
      <c r="A221" s="939"/>
      <c r="B221" s="939"/>
      <c r="C221" s="939"/>
      <c r="D221" s="939"/>
      <c r="E221" s="939"/>
      <c r="F221" s="939"/>
      <c r="G221" s="939"/>
      <c r="H221" s="939"/>
      <c r="I221" s="939"/>
      <c r="J221" s="939"/>
      <c r="K221" s="939"/>
      <c r="L221" s="939"/>
      <c r="M221" s="939"/>
      <c r="N221" s="939"/>
      <c r="O221" s="939"/>
      <c r="P221" s="939"/>
      <c r="Q221" s="939"/>
      <c r="R221" s="939"/>
      <c r="S221" s="939"/>
      <c r="T221" s="939"/>
      <c r="U221" s="939"/>
      <c r="V221" s="939"/>
      <c r="W221" s="939"/>
      <c r="X221" s="939"/>
      <c r="Y221" s="939"/>
      <c r="Z221" s="939"/>
      <c r="AA221" s="939"/>
      <c r="AB221" s="939"/>
      <c r="AC221" s="939"/>
      <c r="AD221" s="939"/>
      <c r="AE221" s="939"/>
      <c r="AF221" s="939"/>
      <c r="AG221" s="939"/>
      <c r="AH221" s="939"/>
      <c r="AI221" s="939"/>
      <c r="AJ221" s="939"/>
      <c r="AK221" s="939"/>
      <c r="AL221" s="939"/>
      <c r="AM221" s="939"/>
      <c r="AN221" s="939"/>
    </row>
    <row r="222" spans="1:40" ht="15" customHeight="1">
      <c r="A222" s="939"/>
      <c r="B222" s="939"/>
      <c r="C222" s="939"/>
      <c r="D222" s="939"/>
      <c r="E222" s="939"/>
      <c r="F222" s="939"/>
      <c r="G222" s="939"/>
      <c r="H222" s="939"/>
      <c r="I222" s="939"/>
      <c r="J222" s="939"/>
      <c r="K222" s="939"/>
      <c r="L222" s="939"/>
      <c r="M222" s="939"/>
      <c r="N222" s="939"/>
      <c r="O222" s="939"/>
      <c r="P222" s="939"/>
      <c r="Q222" s="939"/>
      <c r="R222" s="939"/>
      <c r="S222" s="939"/>
      <c r="T222" s="939"/>
      <c r="U222" s="939"/>
      <c r="V222" s="939"/>
      <c r="W222" s="939"/>
      <c r="X222" s="939"/>
      <c r="Y222" s="939"/>
      <c r="Z222" s="939"/>
      <c r="AA222" s="939"/>
      <c r="AB222" s="939"/>
      <c r="AC222" s="939"/>
      <c r="AD222" s="939"/>
      <c r="AE222" s="939"/>
      <c r="AF222" s="939"/>
      <c r="AG222" s="939"/>
      <c r="AH222" s="939"/>
      <c r="AI222" s="939"/>
      <c r="AJ222" s="939"/>
      <c r="AK222" s="939"/>
      <c r="AL222" s="939"/>
      <c r="AM222" s="939"/>
      <c r="AN222" s="939"/>
    </row>
    <row r="223" spans="1:40" ht="15" customHeight="1">
      <c r="A223" s="939"/>
      <c r="B223" s="939"/>
      <c r="C223" s="939"/>
      <c r="D223" s="939"/>
      <c r="E223" s="939"/>
      <c r="F223" s="939"/>
      <c r="G223" s="939"/>
      <c r="H223" s="939"/>
      <c r="I223" s="939"/>
      <c r="J223" s="939"/>
      <c r="K223" s="939"/>
      <c r="L223" s="939"/>
      <c r="M223" s="939"/>
      <c r="N223" s="939"/>
      <c r="O223" s="939"/>
      <c r="P223" s="939"/>
      <c r="Q223" s="939"/>
      <c r="R223" s="939"/>
      <c r="S223" s="939"/>
      <c r="T223" s="939"/>
      <c r="U223" s="939"/>
      <c r="V223" s="939"/>
      <c r="W223" s="939"/>
      <c r="X223" s="939"/>
      <c r="Y223" s="939"/>
      <c r="Z223" s="939"/>
      <c r="AA223" s="939"/>
      <c r="AB223" s="939"/>
      <c r="AC223" s="939"/>
      <c r="AD223" s="939"/>
      <c r="AE223" s="939"/>
      <c r="AF223" s="939"/>
      <c r="AG223" s="939"/>
      <c r="AH223" s="939"/>
      <c r="AI223" s="939"/>
      <c r="AJ223" s="939"/>
      <c r="AK223" s="939"/>
      <c r="AL223" s="939"/>
      <c r="AM223" s="939"/>
      <c r="AN223" s="939"/>
    </row>
    <row r="224" spans="1:40" ht="15" customHeight="1">
      <c r="A224" s="939"/>
      <c r="B224" s="939"/>
      <c r="C224" s="939"/>
      <c r="D224" s="939"/>
      <c r="E224" s="939"/>
      <c r="F224" s="939"/>
      <c r="G224" s="939"/>
      <c r="H224" s="939"/>
      <c r="I224" s="939"/>
      <c r="J224" s="939"/>
      <c r="K224" s="939"/>
      <c r="L224" s="939"/>
      <c r="M224" s="939"/>
      <c r="N224" s="939"/>
      <c r="O224" s="939"/>
      <c r="P224" s="939"/>
      <c r="Q224" s="939"/>
      <c r="R224" s="939"/>
      <c r="S224" s="939"/>
      <c r="T224" s="939"/>
      <c r="U224" s="939"/>
      <c r="V224" s="939"/>
      <c r="W224" s="939"/>
      <c r="X224" s="939"/>
      <c r="Y224" s="939"/>
      <c r="Z224" s="939"/>
      <c r="AA224" s="939"/>
      <c r="AB224" s="939"/>
      <c r="AC224" s="939"/>
      <c r="AD224" s="939"/>
      <c r="AE224" s="939"/>
      <c r="AF224" s="939"/>
      <c r="AG224" s="939"/>
      <c r="AH224" s="939"/>
      <c r="AI224" s="939"/>
      <c r="AJ224" s="939"/>
      <c r="AK224" s="939"/>
      <c r="AL224" s="939"/>
      <c r="AM224" s="939"/>
      <c r="AN224" s="939"/>
    </row>
    <row r="225" spans="1:40" ht="15" customHeight="1">
      <c r="A225" s="939"/>
      <c r="B225" s="939"/>
      <c r="C225" s="939"/>
      <c r="D225" s="939"/>
      <c r="E225" s="939"/>
      <c r="F225" s="939"/>
      <c r="G225" s="939"/>
      <c r="H225" s="939"/>
      <c r="I225" s="939"/>
      <c r="J225" s="939"/>
      <c r="K225" s="939"/>
      <c r="L225" s="939"/>
      <c r="M225" s="939"/>
      <c r="N225" s="939"/>
      <c r="O225" s="939"/>
      <c r="P225" s="939"/>
      <c r="Q225" s="939"/>
      <c r="R225" s="939"/>
      <c r="S225" s="939"/>
      <c r="T225" s="939"/>
      <c r="U225" s="939"/>
      <c r="V225" s="939"/>
      <c r="W225" s="939"/>
      <c r="X225" s="939"/>
      <c r="Y225" s="939"/>
      <c r="Z225" s="939"/>
      <c r="AA225" s="939"/>
      <c r="AB225" s="939"/>
      <c r="AC225" s="939"/>
      <c r="AD225" s="939"/>
      <c r="AE225" s="939"/>
      <c r="AF225" s="939"/>
      <c r="AG225" s="939"/>
      <c r="AH225" s="939"/>
      <c r="AI225" s="939"/>
      <c r="AJ225" s="939"/>
      <c r="AK225" s="939"/>
      <c r="AL225" s="939"/>
      <c r="AM225" s="939"/>
      <c r="AN225" s="939"/>
    </row>
    <row r="226" spans="1:40" ht="15" customHeight="1">
      <c r="A226" s="939"/>
      <c r="B226" s="939"/>
      <c r="C226" s="939"/>
      <c r="D226" s="939"/>
      <c r="E226" s="939"/>
      <c r="F226" s="939"/>
      <c r="G226" s="939"/>
      <c r="H226" s="939"/>
      <c r="I226" s="939"/>
      <c r="J226" s="939"/>
      <c r="K226" s="939"/>
      <c r="L226" s="939"/>
      <c r="M226" s="939"/>
      <c r="N226" s="939"/>
      <c r="O226" s="939"/>
      <c r="P226" s="939"/>
      <c r="Q226" s="939"/>
      <c r="R226" s="939"/>
      <c r="S226" s="939"/>
      <c r="T226" s="939"/>
      <c r="U226" s="939"/>
      <c r="V226" s="939"/>
      <c r="W226" s="939"/>
      <c r="X226" s="939"/>
      <c r="Y226" s="939"/>
      <c r="Z226" s="939"/>
      <c r="AA226" s="939"/>
      <c r="AB226" s="939"/>
      <c r="AC226" s="939"/>
      <c r="AD226" s="939"/>
      <c r="AE226" s="939"/>
      <c r="AF226" s="939"/>
      <c r="AG226" s="939"/>
      <c r="AH226" s="939"/>
      <c r="AI226" s="939"/>
      <c r="AJ226" s="939"/>
      <c r="AK226" s="939"/>
      <c r="AL226" s="939"/>
      <c r="AM226" s="939"/>
      <c r="AN226" s="939"/>
    </row>
    <row r="227" spans="1:40" ht="15" customHeight="1">
      <c r="A227" s="939"/>
      <c r="B227" s="939"/>
      <c r="C227" s="939"/>
      <c r="D227" s="939"/>
      <c r="E227" s="939"/>
      <c r="F227" s="939"/>
      <c r="G227" s="939"/>
      <c r="H227" s="939"/>
      <c r="I227" s="939"/>
      <c r="J227" s="939"/>
      <c r="K227" s="939"/>
      <c r="L227" s="939"/>
      <c r="M227" s="939"/>
      <c r="N227" s="939"/>
      <c r="O227" s="939"/>
      <c r="P227" s="939"/>
      <c r="Q227" s="939"/>
      <c r="R227" s="939"/>
      <c r="S227" s="939"/>
      <c r="T227" s="939"/>
      <c r="U227" s="939"/>
      <c r="V227" s="939"/>
      <c r="W227" s="939"/>
      <c r="X227" s="939"/>
      <c r="Y227" s="939"/>
      <c r="Z227" s="939"/>
      <c r="AA227" s="939"/>
      <c r="AB227" s="939"/>
      <c r="AC227" s="939"/>
      <c r="AD227" s="939"/>
      <c r="AE227" s="939"/>
      <c r="AF227" s="939"/>
      <c r="AG227" s="939"/>
      <c r="AH227" s="939"/>
      <c r="AI227" s="939"/>
      <c r="AJ227" s="939"/>
      <c r="AK227" s="939"/>
      <c r="AL227" s="939"/>
      <c r="AM227" s="939"/>
      <c r="AN227" s="939"/>
    </row>
    <row r="228" spans="1:40" ht="15" customHeight="1">
      <c r="A228" s="939"/>
      <c r="B228" s="939"/>
      <c r="C228" s="939"/>
      <c r="D228" s="939"/>
      <c r="E228" s="939"/>
      <c r="F228" s="939"/>
      <c r="G228" s="939"/>
      <c r="H228" s="939"/>
      <c r="I228" s="939"/>
      <c r="J228" s="939"/>
      <c r="K228" s="939"/>
      <c r="L228" s="939"/>
      <c r="M228" s="939"/>
      <c r="N228" s="939"/>
      <c r="O228" s="939"/>
      <c r="P228" s="939"/>
      <c r="Q228" s="939"/>
      <c r="R228" s="939"/>
      <c r="S228" s="939"/>
      <c r="T228" s="939"/>
      <c r="U228" s="939"/>
      <c r="V228" s="939"/>
      <c r="W228" s="939"/>
      <c r="X228" s="939"/>
      <c r="Y228" s="939"/>
      <c r="Z228" s="939"/>
      <c r="AA228" s="939"/>
      <c r="AB228" s="939"/>
      <c r="AC228" s="939"/>
      <c r="AD228" s="939"/>
      <c r="AE228" s="939"/>
      <c r="AF228" s="939"/>
      <c r="AG228" s="939"/>
      <c r="AH228" s="939"/>
      <c r="AI228" s="939"/>
      <c r="AJ228" s="939"/>
      <c r="AK228" s="939"/>
      <c r="AL228" s="939"/>
      <c r="AM228" s="939"/>
      <c r="AN228" s="939"/>
    </row>
    <row r="229" spans="1:40" ht="15" customHeight="1">
      <c r="A229" s="939"/>
      <c r="B229" s="939"/>
      <c r="C229" s="939"/>
      <c r="D229" s="939"/>
      <c r="E229" s="939"/>
      <c r="F229" s="939"/>
      <c r="G229" s="939"/>
      <c r="H229" s="939"/>
      <c r="I229" s="939"/>
      <c r="J229" s="939"/>
      <c r="K229" s="939"/>
      <c r="L229" s="939"/>
      <c r="M229" s="939"/>
      <c r="N229" s="939"/>
      <c r="O229" s="939"/>
      <c r="P229" s="939"/>
      <c r="Q229" s="939"/>
      <c r="R229" s="939"/>
      <c r="S229" s="939"/>
      <c r="T229" s="939"/>
      <c r="U229" s="939"/>
      <c r="V229" s="939"/>
      <c r="W229" s="939"/>
      <c r="X229" s="939"/>
      <c r="Y229" s="939"/>
      <c r="Z229" s="939"/>
      <c r="AA229" s="939"/>
      <c r="AB229" s="939"/>
      <c r="AC229" s="939"/>
      <c r="AD229" s="939"/>
      <c r="AE229" s="939"/>
      <c r="AF229" s="939"/>
      <c r="AG229" s="939"/>
      <c r="AH229" s="939"/>
      <c r="AI229" s="939"/>
      <c r="AJ229" s="939"/>
      <c r="AK229" s="939"/>
      <c r="AL229" s="939"/>
      <c r="AM229" s="939"/>
      <c r="AN229" s="939"/>
    </row>
    <row r="230" spans="1:40" ht="15" customHeight="1">
      <c r="A230" s="939"/>
      <c r="B230" s="939"/>
      <c r="C230" s="939"/>
      <c r="D230" s="939"/>
      <c r="E230" s="939"/>
      <c r="F230" s="939"/>
      <c r="G230" s="939"/>
      <c r="H230" s="939"/>
      <c r="I230" s="939"/>
      <c r="J230" s="939"/>
      <c r="K230" s="939"/>
      <c r="L230" s="939"/>
      <c r="M230" s="939"/>
      <c r="N230" s="939"/>
      <c r="O230" s="939"/>
      <c r="P230" s="939"/>
      <c r="Q230" s="939"/>
      <c r="R230" s="939"/>
      <c r="S230" s="939"/>
      <c r="T230" s="939"/>
      <c r="U230" s="939"/>
      <c r="V230" s="939"/>
      <c r="W230" s="939"/>
      <c r="X230" s="939"/>
      <c r="Y230" s="939"/>
      <c r="Z230" s="939"/>
      <c r="AA230" s="939"/>
      <c r="AB230" s="939"/>
      <c r="AC230" s="939"/>
      <c r="AD230" s="939"/>
      <c r="AE230" s="939"/>
      <c r="AF230" s="939"/>
      <c r="AG230" s="939"/>
      <c r="AH230" s="939"/>
      <c r="AI230" s="939"/>
      <c r="AJ230" s="939"/>
      <c r="AK230" s="939"/>
      <c r="AL230" s="939"/>
      <c r="AM230" s="939"/>
      <c r="AN230" s="939"/>
    </row>
    <row r="231" spans="1:40" ht="15" customHeight="1">
      <c r="A231" s="939"/>
      <c r="B231" s="939"/>
      <c r="C231" s="939"/>
      <c r="D231" s="939"/>
      <c r="E231" s="939"/>
      <c r="F231" s="939"/>
      <c r="G231" s="939"/>
      <c r="H231" s="939"/>
      <c r="I231" s="939"/>
      <c r="J231" s="939"/>
      <c r="K231" s="939"/>
      <c r="L231" s="939"/>
      <c r="M231" s="939"/>
      <c r="N231" s="939"/>
      <c r="O231" s="939"/>
      <c r="P231" s="939"/>
      <c r="Q231" s="939"/>
      <c r="R231" s="939"/>
      <c r="S231" s="939"/>
      <c r="T231" s="939"/>
      <c r="U231" s="939"/>
      <c r="V231" s="939"/>
      <c r="W231" s="939"/>
      <c r="X231" s="939"/>
      <c r="Y231" s="939"/>
      <c r="Z231" s="939"/>
      <c r="AA231" s="939"/>
      <c r="AB231" s="939"/>
      <c r="AC231" s="939"/>
      <c r="AD231" s="939"/>
      <c r="AE231" s="939"/>
      <c r="AF231" s="939"/>
      <c r="AG231" s="939"/>
      <c r="AH231" s="939"/>
      <c r="AI231" s="939"/>
      <c r="AJ231" s="939"/>
      <c r="AK231" s="939"/>
      <c r="AL231" s="939"/>
      <c r="AM231" s="939"/>
      <c r="AN231" s="939"/>
    </row>
    <row r="232" spans="1:40" ht="15" customHeight="1">
      <c r="A232" s="939"/>
      <c r="B232" s="939"/>
      <c r="C232" s="939"/>
      <c r="D232" s="939"/>
      <c r="E232" s="939"/>
      <c r="F232" s="939"/>
      <c r="G232" s="939"/>
      <c r="H232" s="939"/>
      <c r="I232" s="939"/>
      <c r="J232" s="939"/>
      <c r="K232" s="939"/>
      <c r="L232" s="939"/>
      <c r="M232" s="939"/>
      <c r="N232" s="939"/>
      <c r="O232" s="939"/>
      <c r="P232" s="939"/>
      <c r="Q232" s="939"/>
      <c r="R232" s="939"/>
      <c r="S232" s="939"/>
      <c r="T232" s="939"/>
      <c r="U232" s="939"/>
      <c r="V232" s="939"/>
      <c r="W232" s="939"/>
      <c r="X232" s="939"/>
      <c r="Y232" s="939"/>
      <c r="Z232" s="939"/>
      <c r="AA232" s="939"/>
      <c r="AB232" s="939"/>
      <c r="AC232" s="939"/>
      <c r="AD232" s="939"/>
      <c r="AE232" s="939"/>
      <c r="AF232" s="939"/>
      <c r="AG232" s="939"/>
      <c r="AH232" s="939"/>
      <c r="AI232" s="939"/>
      <c r="AJ232" s="939"/>
      <c r="AK232" s="939"/>
      <c r="AL232" s="939"/>
      <c r="AM232" s="939"/>
      <c r="AN232" s="939"/>
    </row>
    <row r="233" spans="1:40" ht="15" customHeight="1">
      <c r="A233" s="939"/>
      <c r="B233" s="939"/>
      <c r="C233" s="939"/>
      <c r="D233" s="939"/>
      <c r="E233" s="939"/>
      <c r="F233" s="939"/>
      <c r="G233" s="939"/>
      <c r="H233" s="939"/>
      <c r="I233" s="939"/>
      <c r="J233" s="939"/>
      <c r="K233" s="939"/>
      <c r="L233" s="939"/>
      <c r="M233" s="939"/>
      <c r="N233" s="939"/>
      <c r="O233" s="939"/>
      <c r="P233" s="939"/>
      <c r="Q233" s="939"/>
      <c r="R233" s="939"/>
      <c r="S233" s="939"/>
      <c r="T233" s="939"/>
      <c r="U233" s="939"/>
      <c r="V233" s="939"/>
      <c r="W233" s="939"/>
      <c r="X233" s="939"/>
      <c r="Y233" s="939"/>
      <c r="Z233" s="939"/>
      <c r="AA233" s="939"/>
      <c r="AB233" s="939"/>
      <c r="AC233" s="939"/>
      <c r="AD233" s="939"/>
      <c r="AE233" s="939"/>
      <c r="AF233" s="939"/>
      <c r="AG233" s="939"/>
      <c r="AH233" s="939"/>
      <c r="AI233" s="939"/>
      <c r="AJ233" s="939"/>
      <c r="AK233" s="939"/>
      <c r="AL233" s="939"/>
      <c r="AM233" s="939"/>
      <c r="AN233" s="939"/>
    </row>
    <row r="234" spans="1:40" ht="15" customHeight="1">
      <c r="A234" s="939"/>
      <c r="B234" s="939"/>
      <c r="C234" s="939"/>
      <c r="D234" s="939"/>
      <c r="E234" s="939"/>
      <c r="F234" s="939"/>
      <c r="G234" s="939"/>
      <c r="H234" s="939"/>
      <c r="I234" s="939"/>
      <c r="J234" s="939"/>
      <c r="K234" s="939"/>
      <c r="L234" s="939"/>
      <c r="M234" s="939"/>
      <c r="N234" s="939"/>
      <c r="O234" s="939"/>
      <c r="P234" s="939"/>
      <c r="Q234" s="939"/>
      <c r="R234" s="939"/>
      <c r="S234" s="939"/>
      <c r="T234" s="939"/>
      <c r="U234" s="939"/>
      <c r="V234" s="939"/>
      <c r="W234" s="939"/>
      <c r="X234" s="939"/>
      <c r="Y234" s="939"/>
      <c r="Z234" s="939"/>
      <c r="AA234" s="939"/>
      <c r="AB234" s="939"/>
      <c r="AC234" s="939"/>
      <c r="AD234" s="939"/>
      <c r="AE234" s="939"/>
      <c r="AF234" s="939"/>
      <c r="AG234" s="939"/>
      <c r="AH234" s="939"/>
      <c r="AI234" s="939"/>
      <c r="AJ234" s="939"/>
      <c r="AK234" s="939"/>
      <c r="AL234" s="939"/>
      <c r="AM234" s="939"/>
      <c r="AN234" s="939"/>
    </row>
    <row r="235" spans="1:40" ht="15" customHeight="1">
      <c r="A235" s="939"/>
      <c r="B235" s="939"/>
      <c r="C235" s="939"/>
      <c r="D235" s="939"/>
      <c r="E235" s="939"/>
      <c r="F235" s="939"/>
      <c r="G235" s="939"/>
      <c r="H235" s="939"/>
      <c r="I235" s="939"/>
      <c r="J235" s="939"/>
      <c r="K235" s="939"/>
      <c r="L235" s="939"/>
      <c r="M235" s="939"/>
      <c r="N235" s="939"/>
      <c r="O235" s="939"/>
      <c r="P235" s="939"/>
      <c r="Q235" s="939"/>
      <c r="R235" s="939"/>
      <c r="S235" s="939"/>
      <c r="T235" s="939"/>
      <c r="U235" s="939"/>
      <c r="V235" s="939"/>
      <c r="W235" s="939"/>
      <c r="X235" s="939"/>
      <c r="Y235" s="939"/>
      <c r="Z235" s="939"/>
      <c r="AA235" s="939"/>
      <c r="AB235" s="939"/>
      <c r="AC235" s="939"/>
      <c r="AD235" s="939"/>
      <c r="AE235" s="939"/>
      <c r="AF235" s="939"/>
      <c r="AG235" s="939"/>
      <c r="AH235" s="939"/>
      <c r="AI235" s="939"/>
      <c r="AJ235" s="939"/>
      <c r="AK235" s="939"/>
      <c r="AL235" s="939"/>
      <c r="AM235" s="939"/>
      <c r="AN235" s="939"/>
    </row>
    <row r="236" spans="1:40" ht="15" customHeight="1">
      <c r="A236" s="939"/>
      <c r="B236" s="939"/>
      <c r="C236" s="939"/>
      <c r="D236" s="939"/>
      <c r="E236" s="939"/>
      <c r="F236" s="939"/>
      <c r="G236" s="939"/>
      <c r="H236" s="939"/>
      <c r="I236" s="939"/>
      <c r="J236" s="939"/>
      <c r="K236" s="939"/>
      <c r="L236" s="939"/>
      <c r="M236" s="939"/>
      <c r="N236" s="939"/>
      <c r="O236" s="939"/>
      <c r="P236" s="939"/>
      <c r="Q236" s="939"/>
      <c r="R236" s="939"/>
      <c r="S236" s="939"/>
      <c r="T236" s="939"/>
      <c r="U236" s="939"/>
      <c r="V236" s="939"/>
      <c r="W236" s="939"/>
      <c r="X236" s="939"/>
      <c r="Y236" s="939"/>
      <c r="Z236" s="939"/>
      <c r="AA236" s="939"/>
      <c r="AB236" s="939"/>
      <c r="AC236" s="939"/>
      <c r="AD236" s="939"/>
      <c r="AE236" s="939"/>
      <c r="AF236" s="939"/>
      <c r="AG236" s="939"/>
      <c r="AH236" s="939"/>
      <c r="AI236" s="939"/>
      <c r="AJ236" s="939"/>
      <c r="AK236" s="939"/>
      <c r="AL236" s="939"/>
      <c r="AM236" s="939"/>
      <c r="AN236" s="939"/>
    </row>
    <row r="237" spans="1:40" ht="15" customHeight="1">
      <c r="A237" s="939"/>
      <c r="B237" s="939"/>
      <c r="C237" s="939"/>
      <c r="D237" s="939"/>
      <c r="E237" s="939"/>
      <c r="F237" s="939"/>
      <c r="G237" s="939"/>
      <c r="H237" s="939"/>
      <c r="I237" s="939"/>
      <c r="J237" s="939"/>
      <c r="K237" s="939"/>
      <c r="L237" s="939"/>
      <c r="M237" s="939"/>
      <c r="N237" s="939"/>
      <c r="O237" s="939"/>
      <c r="P237" s="939"/>
      <c r="Q237" s="939"/>
      <c r="R237" s="939"/>
      <c r="S237" s="939"/>
      <c r="T237" s="939"/>
      <c r="U237" s="939"/>
      <c r="V237" s="939"/>
      <c r="W237" s="939"/>
      <c r="X237" s="939"/>
      <c r="Y237" s="939"/>
      <c r="Z237" s="939"/>
      <c r="AA237" s="939"/>
      <c r="AB237" s="939"/>
      <c r="AC237" s="939"/>
      <c r="AD237" s="939"/>
      <c r="AE237" s="939"/>
      <c r="AF237" s="939"/>
      <c r="AG237" s="939"/>
      <c r="AH237" s="939"/>
      <c r="AI237" s="939"/>
      <c r="AJ237" s="939"/>
      <c r="AK237" s="939"/>
      <c r="AL237" s="939"/>
      <c r="AM237" s="939"/>
      <c r="AN237" s="939"/>
    </row>
    <row r="238" spans="1:40" ht="15" customHeight="1">
      <c r="A238" s="939"/>
      <c r="B238" s="939"/>
      <c r="C238" s="939"/>
      <c r="D238" s="939"/>
      <c r="E238" s="939"/>
      <c r="F238" s="939"/>
      <c r="G238" s="939"/>
      <c r="H238" s="939"/>
      <c r="I238" s="939"/>
      <c r="J238" s="939"/>
      <c r="K238" s="939"/>
      <c r="L238" s="939"/>
      <c r="M238" s="939"/>
      <c r="N238" s="939"/>
      <c r="O238" s="939"/>
      <c r="P238" s="939"/>
      <c r="Q238" s="939"/>
      <c r="R238" s="939"/>
      <c r="S238" s="939"/>
      <c r="T238" s="939"/>
      <c r="U238" s="939"/>
      <c r="V238" s="939"/>
      <c r="W238" s="939"/>
      <c r="X238" s="939"/>
      <c r="Y238" s="939"/>
      <c r="Z238" s="939"/>
      <c r="AA238" s="939"/>
      <c r="AB238" s="939"/>
      <c r="AC238" s="939"/>
      <c r="AD238" s="939"/>
      <c r="AE238" s="939"/>
      <c r="AF238" s="939"/>
      <c r="AG238" s="939"/>
      <c r="AH238" s="939"/>
      <c r="AI238" s="939"/>
      <c r="AJ238" s="939"/>
      <c r="AK238" s="939"/>
      <c r="AL238" s="939"/>
      <c r="AM238" s="939"/>
      <c r="AN238" s="939"/>
    </row>
    <row r="239" spans="1:40" ht="15" customHeight="1">
      <c r="A239" s="939"/>
      <c r="B239" s="939"/>
      <c r="C239" s="939"/>
      <c r="D239" s="939"/>
      <c r="E239" s="939"/>
      <c r="F239" s="939"/>
      <c r="G239" s="939"/>
      <c r="H239" s="939"/>
      <c r="I239" s="939"/>
      <c r="J239" s="939"/>
      <c r="K239" s="939"/>
      <c r="L239" s="939"/>
      <c r="M239" s="939"/>
      <c r="N239" s="939"/>
      <c r="O239" s="939"/>
      <c r="P239" s="939"/>
      <c r="Q239" s="939"/>
      <c r="R239" s="939"/>
      <c r="S239" s="939"/>
      <c r="T239" s="939"/>
      <c r="U239" s="939"/>
      <c r="V239" s="939"/>
      <c r="W239" s="939"/>
      <c r="X239" s="939"/>
      <c r="Y239" s="939"/>
      <c r="Z239" s="939"/>
      <c r="AA239" s="939"/>
      <c r="AB239" s="939"/>
      <c r="AC239" s="939"/>
      <c r="AD239" s="939"/>
      <c r="AE239" s="939"/>
      <c r="AF239" s="939"/>
      <c r="AG239" s="939"/>
      <c r="AH239" s="939"/>
      <c r="AI239" s="939"/>
      <c r="AJ239" s="939"/>
      <c r="AK239" s="939"/>
      <c r="AL239" s="939"/>
      <c r="AM239" s="939"/>
      <c r="AN239" s="939"/>
    </row>
    <row r="240" spans="1:40" ht="15" customHeight="1">
      <c r="A240" s="939"/>
      <c r="B240" s="939"/>
      <c r="C240" s="939"/>
      <c r="D240" s="939"/>
      <c r="E240" s="939"/>
      <c r="F240" s="939"/>
      <c r="G240" s="939"/>
      <c r="H240" s="939"/>
      <c r="I240" s="939"/>
      <c r="J240" s="939"/>
      <c r="K240" s="939"/>
      <c r="L240" s="939"/>
      <c r="M240" s="939"/>
      <c r="N240" s="939"/>
      <c r="O240" s="939"/>
      <c r="P240" s="939"/>
      <c r="Q240" s="939"/>
      <c r="R240" s="939"/>
      <c r="S240" s="939"/>
      <c r="T240" s="939"/>
      <c r="U240" s="939"/>
      <c r="V240" s="939"/>
      <c r="W240" s="939"/>
      <c r="X240" s="939"/>
      <c r="Y240" s="939"/>
      <c r="Z240" s="939"/>
      <c r="AA240" s="939"/>
      <c r="AB240" s="939"/>
      <c r="AC240" s="939"/>
      <c r="AD240" s="939"/>
      <c r="AE240" s="939"/>
      <c r="AF240" s="939"/>
      <c r="AG240" s="939"/>
      <c r="AH240" s="939"/>
      <c r="AI240" s="939"/>
      <c r="AJ240" s="939"/>
      <c r="AK240" s="939"/>
      <c r="AL240" s="939"/>
      <c r="AM240" s="939"/>
      <c r="AN240" s="939"/>
    </row>
    <row r="241" spans="1:40" ht="15" customHeight="1">
      <c r="A241" s="939"/>
      <c r="B241" s="939"/>
      <c r="C241" s="939"/>
      <c r="D241" s="939"/>
      <c r="E241" s="939"/>
      <c r="F241" s="939"/>
      <c r="G241" s="939"/>
      <c r="H241" s="939"/>
      <c r="I241" s="939"/>
      <c r="J241" s="939"/>
      <c r="K241" s="939"/>
      <c r="L241" s="939"/>
      <c r="M241" s="939"/>
      <c r="N241" s="939"/>
      <c r="O241" s="939"/>
      <c r="P241" s="939"/>
      <c r="Q241" s="939"/>
      <c r="R241" s="939"/>
      <c r="S241" s="939"/>
      <c r="T241" s="939"/>
      <c r="U241" s="939"/>
      <c r="V241" s="939"/>
      <c r="W241" s="939"/>
      <c r="X241" s="939"/>
      <c r="Y241" s="939"/>
      <c r="Z241" s="939"/>
      <c r="AA241" s="939"/>
      <c r="AB241" s="939"/>
      <c r="AC241" s="939"/>
      <c r="AD241" s="939"/>
      <c r="AE241" s="939"/>
      <c r="AF241" s="939"/>
      <c r="AG241" s="939"/>
      <c r="AH241" s="939"/>
      <c r="AI241" s="939"/>
      <c r="AJ241" s="939"/>
      <c r="AK241" s="939"/>
      <c r="AL241" s="939"/>
      <c r="AM241" s="939"/>
      <c r="AN241" s="939"/>
    </row>
    <row r="242" spans="1:40" ht="15" customHeight="1">
      <c r="A242" s="939"/>
      <c r="B242" s="939"/>
      <c r="C242" s="939"/>
      <c r="D242" s="939"/>
      <c r="E242" s="939"/>
      <c r="F242" s="939"/>
      <c r="G242" s="939"/>
      <c r="H242" s="939"/>
      <c r="I242" s="939"/>
      <c r="J242" s="939"/>
      <c r="K242" s="939"/>
      <c r="L242" s="939"/>
      <c r="M242" s="939"/>
      <c r="N242" s="939"/>
      <c r="O242" s="939"/>
      <c r="P242" s="939"/>
      <c r="Q242" s="939"/>
      <c r="R242" s="939"/>
      <c r="S242" s="939"/>
      <c r="T242" s="939"/>
      <c r="U242" s="939"/>
      <c r="V242" s="939"/>
      <c r="W242" s="939"/>
      <c r="X242" s="939"/>
      <c r="Y242" s="939"/>
      <c r="Z242" s="939"/>
      <c r="AA242" s="939"/>
      <c r="AB242" s="939"/>
      <c r="AC242" s="939"/>
      <c r="AD242" s="939"/>
      <c r="AE242" s="939"/>
      <c r="AF242" s="939"/>
      <c r="AG242" s="939"/>
      <c r="AH242" s="939"/>
      <c r="AI242" s="939"/>
      <c r="AJ242" s="939"/>
      <c r="AK242" s="939"/>
      <c r="AL242" s="939"/>
      <c r="AM242" s="939"/>
      <c r="AN242" s="939"/>
    </row>
    <row r="243" spans="1:40" ht="15" customHeight="1">
      <c r="A243" s="939"/>
      <c r="B243" s="939"/>
      <c r="C243" s="939"/>
      <c r="D243" s="939"/>
      <c r="E243" s="939"/>
      <c r="F243" s="939"/>
      <c r="G243" s="939"/>
      <c r="H243" s="939"/>
      <c r="I243" s="939"/>
      <c r="J243" s="939"/>
      <c r="K243" s="939"/>
      <c r="L243" s="939"/>
      <c r="M243" s="939"/>
      <c r="N243" s="939"/>
      <c r="O243" s="939"/>
      <c r="P243" s="939"/>
      <c r="Q243" s="939"/>
      <c r="R243" s="939"/>
      <c r="S243" s="939"/>
      <c r="T243" s="939"/>
      <c r="U243" s="939"/>
      <c r="V243" s="939"/>
      <c r="W243" s="939"/>
      <c r="X243" s="939"/>
      <c r="Y243" s="939"/>
      <c r="Z243" s="939"/>
      <c r="AA243" s="939"/>
      <c r="AB243" s="939"/>
      <c r="AC243" s="939"/>
      <c r="AD243" s="939"/>
      <c r="AE243" s="939"/>
      <c r="AF243" s="939"/>
      <c r="AG243" s="939"/>
      <c r="AH243" s="939"/>
      <c r="AI243" s="939"/>
      <c r="AJ243" s="939"/>
      <c r="AK243" s="939"/>
      <c r="AL243" s="939"/>
      <c r="AM243" s="939"/>
      <c r="AN243" s="939"/>
    </row>
    <row r="244" spans="1:40" ht="15" customHeight="1">
      <c r="A244" s="939"/>
      <c r="B244" s="939"/>
      <c r="C244" s="939"/>
      <c r="D244" s="939"/>
      <c r="E244" s="939"/>
      <c r="F244" s="939"/>
      <c r="G244" s="939"/>
      <c r="H244" s="939"/>
      <c r="I244" s="939"/>
      <c r="J244" s="939"/>
      <c r="K244" s="939"/>
      <c r="L244" s="939"/>
      <c r="M244" s="939"/>
      <c r="N244" s="939"/>
      <c r="O244" s="939"/>
      <c r="P244" s="939"/>
      <c r="Q244" s="939"/>
      <c r="R244" s="939"/>
      <c r="S244" s="939"/>
      <c r="T244" s="939"/>
      <c r="U244" s="939"/>
      <c r="V244" s="939"/>
      <c r="W244" s="939"/>
      <c r="X244" s="939"/>
      <c r="Y244" s="939"/>
      <c r="Z244" s="939"/>
      <c r="AA244" s="939"/>
      <c r="AB244" s="939"/>
      <c r="AC244" s="939"/>
      <c r="AD244" s="939"/>
      <c r="AE244" s="939"/>
      <c r="AF244" s="939"/>
      <c r="AG244" s="939"/>
      <c r="AH244" s="939"/>
      <c r="AI244" s="939"/>
      <c r="AJ244" s="939"/>
      <c r="AK244" s="939"/>
      <c r="AL244" s="939"/>
      <c r="AM244" s="939"/>
      <c r="AN244" s="939"/>
    </row>
    <row r="245" spans="1:40" ht="15" customHeight="1">
      <c r="A245" s="939"/>
      <c r="B245" s="939"/>
      <c r="C245" s="939"/>
      <c r="D245" s="939"/>
      <c r="E245" s="939"/>
      <c r="F245" s="939"/>
      <c r="G245" s="939"/>
      <c r="H245" s="939"/>
      <c r="I245" s="939"/>
      <c r="J245" s="939"/>
      <c r="K245" s="939"/>
      <c r="L245" s="939"/>
      <c r="M245" s="939"/>
      <c r="N245" s="939"/>
      <c r="O245" s="939"/>
      <c r="P245" s="939"/>
      <c r="Q245" s="939"/>
      <c r="R245" s="939"/>
      <c r="S245" s="939"/>
      <c r="T245" s="939"/>
      <c r="U245" s="939"/>
      <c r="V245" s="939"/>
      <c r="W245" s="939"/>
      <c r="X245" s="939"/>
      <c r="Y245" s="939"/>
      <c r="Z245" s="939"/>
      <c r="AA245" s="939"/>
      <c r="AB245" s="939"/>
      <c r="AC245" s="939"/>
      <c r="AD245" s="939"/>
      <c r="AE245" s="939"/>
      <c r="AF245" s="939"/>
      <c r="AG245" s="939"/>
      <c r="AH245" s="939"/>
      <c r="AI245" s="939"/>
      <c r="AJ245" s="939"/>
      <c r="AK245" s="939"/>
      <c r="AL245" s="939"/>
      <c r="AM245" s="939"/>
      <c r="AN245" s="939"/>
    </row>
    <row r="246" spans="1:40" ht="15" customHeight="1">
      <c r="A246" s="939"/>
      <c r="B246" s="939"/>
      <c r="C246" s="939"/>
      <c r="D246" s="939"/>
      <c r="E246" s="939"/>
      <c r="F246" s="939"/>
      <c r="G246" s="939"/>
      <c r="H246" s="939"/>
      <c r="I246" s="939"/>
      <c r="J246" s="939"/>
      <c r="K246" s="939"/>
      <c r="L246" s="939"/>
      <c r="M246" s="939"/>
      <c r="N246" s="939"/>
      <c r="O246" s="939"/>
      <c r="P246" s="939"/>
      <c r="Q246" s="939"/>
      <c r="R246" s="939"/>
      <c r="S246" s="939"/>
      <c r="T246" s="939"/>
      <c r="U246" s="939"/>
      <c r="V246" s="939"/>
      <c r="W246" s="939"/>
      <c r="X246" s="939"/>
      <c r="Y246" s="939"/>
      <c r="Z246" s="939"/>
      <c r="AA246" s="939"/>
      <c r="AB246" s="939"/>
      <c r="AC246" s="939"/>
      <c r="AD246" s="939"/>
      <c r="AE246" s="939"/>
      <c r="AF246" s="939"/>
      <c r="AG246" s="939"/>
      <c r="AH246" s="939"/>
      <c r="AI246" s="939"/>
      <c r="AJ246" s="939"/>
      <c r="AK246" s="939"/>
      <c r="AL246" s="939"/>
      <c r="AM246" s="939"/>
      <c r="AN246" s="939"/>
    </row>
    <row r="247" spans="1:40" ht="15" customHeight="1">
      <c r="A247" s="939"/>
      <c r="B247" s="939"/>
      <c r="C247" s="939"/>
      <c r="D247" s="939"/>
      <c r="E247" s="939"/>
      <c r="F247" s="939"/>
      <c r="G247" s="939"/>
      <c r="H247" s="939"/>
      <c r="I247" s="939"/>
      <c r="J247" s="939"/>
      <c r="K247" s="939"/>
      <c r="L247" s="939"/>
      <c r="M247" s="939"/>
      <c r="N247" s="939"/>
      <c r="O247" s="939"/>
      <c r="P247" s="939"/>
      <c r="Q247" s="939"/>
      <c r="R247" s="939"/>
      <c r="S247" s="939"/>
      <c r="T247" s="939"/>
      <c r="U247" s="939"/>
      <c r="V247" s="939"/>
      <c r="W247" s="939"/>
      <c r="X247" s="939"/>
      <c r="Y247" s="939"/>
      <c r="Z247" s="939"/>
      <c r="AA247" s="939"/>
      <c r="AB247" s="939"/>
      <c r="AC247" s="939"/>
      <c r="AD247" s="939"/>
      <c r="AE247" s="939"/>
      <c r="AF247" s="939"/>
      <c r="AG247" s="939"/>
      <c r="AH247" s="939"/>
      <c r="AI247" s="939"/>
      <c r="AJ247" s="939"/>
      <c r="AK247" s="939"/>
      <c r="AL247" s="939"/>
      <c r="AM247" s="939"/>
      <c r="AN247" s="939"/>
    </row>
    <row r="248" spans="1:40" ht="15" customHeight="1">
      <c r="A248" s="939"/>
      <c r="B248" s="939"/>
      <c r="C248" s="939"/>
      <c r="D248" s="939"/>
      <c r="E248" s="939"/>
      <c r="F248" s="939"/>
      <c r="G248" s="939"/>
      <c r="H248" s="939"/>
      <c r="I248" s="939"/>
      <c r="J248" s="939"/>
      <c r="K248" s="939"/>
      <c r="L248" s="939"/>
      <c r="M248" s="939"/>
      <c r="N248" s="939"/>
      <c r="O248" s="939"/>
      <c r="P248" s="939"/>
      <c r="Q248" s="939"/>
      <c r="R248" s="939"/>
      <c r="S248" s="939"/>
      <c r="T248" s="939"/>
      <c r="U248" s="939"/>
      <c r="V248" s="939"/>
      <c r="W248" s="939"/>
      <c r="X248" s="939"/>
      <c r="Y248" s="939"/>
      <c r="Z248" s="939"/>
      <c r="AA248" s="939"/>
      <c r="AB248" s="939"/>
      <c r="AC248" s="939"/>
      <c r="AD248" s="939"/>
      <c r="AE248" s="939"/>
      <c r="AF248" s="939"/>
      <c r="AG248" s="939"/>
      <c r="AH248" s="939"/>
      <c r="AI248" s="939"/>
      <c r="AJ248" s="939"/>
      <c r="AK248" s="939"/>
      <c r="AL248" s="939"/>
      <c r="AM248" s="939"/>
      <c r="AN248" s="939"/>
    </row>
    <row r="249" spans="1:40" ht="15" customHeight="1">
      <c r="A249" s="939"/>
      <c r="B249" s="939"/>
      <c r="C249" s="939"/>
      <c r="D249" s="939"/>
      <c r="E249" s="939"/>
      <c r="F249" s="939"/>
      <c r="G249" s="939"/>
      <c r="H249" s="939"/>
      <c r="I249" s="939"/>
      <c r="J249" s="939"/>
      <c r="K249" s="939"/>
      <c r="L249" s="939"/>
      <c r="M249" s="939"/>
      <c r="N249" s="939"/>
      <c r="O249" s="939"/>
      <c r="P249" s="939"/>
      <c r="Q249" s="939"/>
      <c r="R249" s="939"/>
      <c r="S249" s="939"/>
      <c r="T249" s="939"/>
      <c r="U249" s="939"/>
      <c r="V249" s="939"/>
      <c r="W249" s="939"/>
      <c r="X249" s="939"/>
      <c r="Y249" s="939"/>
      <c r="Z249" s="939"/>
      <c r="AA249" s="939"/>
      <c r="AB249" s="939"/>
      <c r="AC249" s="939"/>
      <c r="AD249" s="939"/>
      <c r="AE249" s="939"/>
      <c r="AF249" s="939"/>
      <c r="AG249" s="939"/>
      <c r="AH249" s="939"/>
      <c r="AI249" s="939"/>
      <c r="AJ249" s="939"/>
      <c r="AK249" s="939"/>
      <c r="AL249" s="939"/>
      <c r="AM249" s="939"/>
      <c r="AN249" s="939"/>
    </row>
    <row r="250" spans="1:40" ht="15" customHeight="1">
      <c r="A250" s="939"/>
      <c r="B250" s="939"/>
      <c r="C250" s="939"/>
      <c r="D250" s="939"/>
      <c r="E250" s="939"/>
      <c r="F250" s="939"/>
      <c r="G250" s="939"/>
      <c r="H250" s="939"/>
      <c r="I250" s="939"/>
      <c r="J250" s="939"/>
      <c r="K250" s="939"/>
      <c r="L250" s="939"/>
      <c r="M250" s="939"/>
      <c r="N250" s="939"/>
      <c r="O250" s="939"/>
      <c r="P250" s="939"/>
      <c r="Q250" s="939"/>
      <c r="R250" s="939"/>
      <c r="S250" s="939"/>
      <c r="T250" s="939"/>
      <c r="U250" s="939"/>
      <c r="V250" s="939"/>
      <c r="W250" s="939"/>
      <c r="X250" s="939"/>
      <c r="Y250" s="939"/>
      <c r="Z250" s="939"/>
      <c r="AA250" s="939"/>
      <c r="AB250" s="939"/>
      <c r="AC250" s="939"/>
      <c r="AD250" s="939"/>
      <c r="AE250" s="939"/>
      <c r="AF250" s="939"/>
      <c r="AG250" s="939"/>
      <c r="AH250" s="939"/>
      <c r="AI250" s="939"/>
      <c r="AJ250" s="939"/>
      <c r="AK250" s="939"/>
      <c r="AL250" s="939"/>
      <c r="AM250" s="939"/>
      <c r="AN250" s="939"/>
    </row>
    <row r="251" spans="1:40" ht="15" customHeight="1">
      <c r="A251" s="939"/>
      <c r="B251" s="939"/>
      <c r="C251" s="939"/>
      <c r="D251" s="939"/>
      <c r="E251" s="939"/>
      <c r="F251" s="939"/>
      <c r="G251" s="939"/>
      <c r="H251" s="939"/>
      <c r="I251" s="939"/>
      <c r="J251" s="939"/>
      <c r="K251" s="939"/>
      <c r="L251" s="939"/>
      <c r="M251" s="939"/>
      <c r="N251" s="939"/>
      <c r="O251" s="939"/>
      <c r="P251" s="939"/>
      <c r="Q251" s="939"/>
      <c r="R251" s="939"/>
      <c r="S251" s="939"/>
      <c r="T251" s="939"/>
      <c r="U251" s="939"/>
      <c r="V251" s="939"/>
      <c r="W251" s="939"/>
      <c r="X251" s="939"/>
      <c r="Y251" s="939"/>
      <c r="Z251" s="939"/>
      <c r="AA251" s="939"/>
      <c r="AB251" s="939"/>
      <c r="AC251" s="939"/>
      <c r="AD251" s="939"/>
      <c r="AE251" s="939"/>
      <c r="AF251" s="939"/>
      <c r="AG251" s="939"/>
      <c r="AH251" s="939"/>
      <c r="AI251" s="939"/>
      <c r="AJ251" s="939"/>
      <c r="AK251" s="939"/>
      <c r="AL251" s="939"/>
      <c r="AM251" s="939"/>
      <c r="AN251" s="939"/>
    </row>
    <row r="252" spans="1:40" ht="15" customHeight="1">
      <c r="A252" s="939"/>
      <c r="B252" s="939"/>
      <c r="C252" s="939"/>
      <c r="D252" s="939"/>
      <c r="E252" s="939"/>
      <c r="F252" s="939"/>
      <c r="G252" s="939"/>
      <c r="H252" s="939"/>
      <c r="I252" s="939"/>
      <c r="J252" s="939"/>
      <c r="K252" s="939"/>
      <c r="L252" s="939"/>
      <c r="M252" s="939"/>
      <c r="N252" s="939"/>
      <c r="O252" s="939"/>
      <c r="P252" s="939"/>
      <c r="Q252" s="939"/>
      <c r="R252" s="939"/>
      <c r="S252" s="939"/>
      <c r="T252" s="939"/>
      <c r="U252" s="939"/>
      <c r="V252" s="939"/>
      <c r="W252" s="939"/>
      <c r="X252" s="939"/>
      <c r="Y252" s="939"/>
      <c r="Z252" s="939"/>
      <c r="AA252" s="939"/>
      <c r="AB252" s="939"/>
      <c r="AC252" s="939"/>
      <c r="AD252" s="939"/>
      <c r="AE252" s="939"/>
      <c r="AF252" s="939"/>
      <c r="AG252" s="939"/>
      <c r="AH252" s="939"/>
      <c r="AI252" s="939"/>
      <c r="AJ252" s="939"/>
      <c r="AK252" s="939"/>
      <c r="AL252" s="939"/>
      <c r="AM252" s="939"/>
      <c r="AN252" s="939"/>
    </row>
    <row r="253" spans="1:40" ht="15" customHeight="1">
      <c r="A253" s="939"/>
      <c r="B253" s="939"/>
      <c r="C253" s="939"/>
      <c r="D253" s="939"/>
      <c r="E253" s="939"/>
      <c r="F253" s="939"/>
      <c r="G253" s="939"/>
      <c r="H253" s="939"/>
      <c r="I253" s="939"/>
      <c r="J253" s="939"/>
      <c r="K253" s="939"/>
      <c r="L253" s="939"/>
      <c r="M253" s="939"/>
      <c r="N253" s="939"/>
      <c r="O253" s="939"/>
      <c r="P253" s="939"/>
      <c r="Q253" s="939"/>
      <c r="R253" s="939"/>
      <c r="S253" s="939"/>
      <c r="T253" s="939"/>
      <c r="U253" s="939"/>
      <c r="V253" s="939"/>
      <c r="W253" s="939"/>
      <c r="X253" s="939"/>
      <c r="Y253" s="939"/>
      <c r="Z253" s="939"/>
      <c r="AA253" s="939"/>
      <c r="AB253" s="939"/>
      <c r="AC253" s="939"/>
      <c r="AD253" s="939"/>
      <c r="AE253" s="939"/>
      <c r="AF253" s="939"/>
      <c r="AG253" s="939"/>
      <c r="AH253" s="939"/>
      <c r="AI253" s="939"/>
      <c r="AJ253" s="939"/>
      <c r="AK253" s="939"/>
      <c r="AL253" s="939"/>
      <c r="AM253" s="939"/>
      <c r="AN253" s="939"/>
    </row>
    <row r="254" spans="1:40" ht="15" customHeight="1">
      <c r="A254" s="939"/>
      <c r="B254" s="939"/>
      <c r="C254" s="939"/>
      <c r="D254" s="939"/>
      <c r="E254" s="939"/>
      <c r="F254" s="939"/>
      <c r="G254" s="939"/>
      <c r="H254" s="939"/>
      <c r="I254" s="939"/>
      <c r="J254" s="939"/>
      <c r="K254" s="939"/>
      <c r="L254" s="939"/>
      <c r="M254" s="939"/>
      <c r="N254" s="939"/>
      <c r="O254" s="939"/>
      <c r="P254" s="939"/>
      <c r="Q254" s="939"/>
      <c r="R254" s="939"/>
      <c r="S254" s="939"/>
      <c r="T254" s="939"/>
      <c r="U254" s="939"/>
      <c r="V254" s="939"/>
      <c r="W254" s="939"/>
      <c r="X254" s="939"/>
      <c r="Y254" s="939"/>
      <c r="Z254" s="939"/>
      <c r="AA254" s="939"/>
      <c r="AB254" s="939"/>
      <c r="AC254" s="939"/>
      <c r="AD254" s="939"/>
      <c r="AE254" s="939"/>
      <c r="AF254" s="939"/>
      <c r="AG254" s="939"/>
      <c r="AH254" s="939"/>
      <c r="AI254" s="939"/>
      <c r="AJ254" s="939"/>
      <c r="AK254" s="939"/>
      <c r="AL254" s="939"/>
      <c r="AM254" s="939"/>
      <c r="AN254" s="939"/>
    </row>
    <row r="255" spans="1:40" ht="15" customHeight="1">
      <c r="A255" s="939"/>
      <c r="B255" s="939"/>
      <c r="C255" s="939"/>
      <c r="D255" s="939"/>
      <c r="E255" s="939"/>
      <c r="F255" s="939"/>
      <c r="G255" s="939"/>
      <c r="H255" s="939"/>
      <c r="I255" s="939"/>
      <c r="J255" s="939"/>
      <c r="K255" s="939"/>
      <c r="L255" s="939"/>
      <c r="M255" s="939"/>
      <c r="N255" s="939"/>
      <c r="O255" s="939"/>
      <c r="P255" s="939"/>
      <c r="Q255" s="939"/>
      <c r="R255" s="939"/>
      <c r="S255" s="939"/>
      <c r="T255" s="939"/>
      <c r="U255" s="939"/>
      <c r="V255" s="939"/>
      <c r="W255" s="939"/>
      <c r="X255" s="939"/>
      <c r="Y255" s="939"/>
      <c r="Z255" s="939"/>
      <c r="AA255" s="939"/>
      <c r="AB255" s="939"/>
      <c r="AC255" s="939"/>
      <c r="AD255" s="939"/>
      <c r="AE255" s="939"/>
      <c r="AF255" s="939"/>
      <c r="AG255" s="939"/>
      <c r="AH255" s="939"/>
      <c r="AI255" s="939"/>
      <c r="AJ255" s="939"/>
      <c r="AK255" s="939"/>
      <c r="AL255" s="939"/>
      <c r="AM255" s="939"/>
      <c r="AN255" s="939"/>
    </row>
    <row r="256" spans="1:40" ht="15" customHeight="1">
      <c r="A256" s="939"/>
      <c r="B256" s="939"/>
      <c r="C256" s="939"/>
      <c r="D256" s="939"/>
      <c r="E256" s="939"/>
      <c r="F256" s="939"/>
      <c r="G256" s="939"/>
      <c r="H256" s="939"/>
      <c r="I256" s="939"/>
      <c r="J256" s="939"/>
      <c r="K256" s="939"/>
      <c r="L256" s="939"/>
      <c r="M256" s="939"/>
      <c r="N256" s="939"/>
      <c r="O256" s="939"/>
      <c r="P256" s="939"/>
      <c r="Q256" s="939"/>
      <c r="R256" s="939"/>
      <c r="S256" s="939"/>
      <c r="T256" s="939"/>
      <c r="U256" s="939"/>
      <c r="V256" s="939"/>
      <c r="W256" s="939"/>
      <c r="X256" s="939"/>
      <c r="Y256" s="939"/>
      <c r="Z256" s="939"/>
      <c r="AA256" s="939"/>
      <c r="AB256" s="939"/>
      <c r="AC256" s="939"/>
      <c r="AD256" s="939"/>
      <c r="AE256" s="939"/>
      <c r="AF256" s="939"/>
      <c r="AG256" s="939"/>
      <c r="AH256" s="939"/>
      <c r="AI256" s="939"/>
      <c r="AJ256" s="939"/>
      <c r="AK256" s="939"/>
      <c r="AL256" s="939"/>
      <c r="AM256" s="939"/>
      <c r="AN256" s="939"/>
    </row>
    <row r="257" spans="1:40" ht="15" customHeight="1">
      <c r="A257" s="939"/>
      <c r="B257" s="939"/>
      <c r="C257" s="939"/>
      <c r="D257" s="939"/>
      <c r="E257" s="939"/>
      <c r="F257" s="939"/>
      <c r="G257" s="939"/>
      <c r="H257" s="939"/>
      <c r="I257" s="939"/>
      <c r="J257" s="939"/>
      <c r="K257" s="939"/>
      <c r="L257" s="939"/>
      <c r="M257" s="939"/>
      <c r="N257" s="939"/>
      <c r="O257" s="939"/>
      <c r="P257" s="939"/>
      <c r="Q257" s="939"/>
      <c r="R257" s="939"/>
      <c r="S257" s="939"/>
      <c r="T257" s="939"/>
      <c r="U257" s="939"/>
      <c r="V257" s="939"/>
      <c r="W257" s="939"/>
      <c r="X257" s="939"/>
      <c r="Y257" s="939"/>
      <c r="Z257" s="939"/>
      <c r="AA257" s="939"/>
      <c r="AB257" s="939"/>
      <c r="AC257" s="939"/>
      <c r="AD257" s="939"/>
      <c r="AE257" s="939"/>
      <c r="AF257" s="939"/>
      <c r="AG257" s="939"/>
      <c r="AH257" s="939"/>
      <c r="AI257" s="939"/>
      <c r="AJ257" s="939"/>
      <c r="AK257" s="939"/>
      <c r="AL257" s="939"/>
      <c r="AM257" s="939"/>
      <c r="AN257" s="939"/>
    </row>
    <row r="258" spans="1:40" ht="15" customHeight="1">
      <c r="A258" s="939"/>
      <c r="B258" s="939"/>
      <c r="C258" s="939"/>
      <c r="D258" s="939"/>
      <c r="E258" s="939"/>
      <c r="F258" s="939"/>
      <c r="G258" s="939"/>
      <c r="H258" s="939"/>
      <c r="I258" s="939"/>
      <c r="J258" s="939"/>
      <c r="K258" s="939"/>
      <c r="L258" s="939"/>
      <c r="M258" s="939"/>
      <c r="N258" s="939"/>
      <c r="O258" s="939"/>
      <c r="P258" s="939"/>
      <c r="Q258" s="939"/>
      <c r="R258" s="939"/>
      <c r="S258" s="939"/>
      <c r="T258" s="939"/>
      <c r="U258" s="939"/>
      <c r="V258" s="939"/>
      <c r="W258" s="939"/>
      <c r="X258" s="939"/>
      <c r="Y258" s="939"/>
      <c r="Z258" s="939"/>
      <c r="AA258" s="939"/>
      <c r="AB258" s="939"/>
      <c r="AC258" s="939"/>
      <c r="AD258" s="939"/>
      <c r="AE258" s="939"/>
      <c r="AF258" s="939"/>
      <c r="AG258" s="939"/>
      <c r="AH258" s="939"/>
      <c r="AI258" s="939"/>
      <c r="AJ258" s="939"/>
      <c r="AK258" s="939"/>
      <c r="AL258" s="939"/>
      <c r="AM258" s="939"/>
      <c r="AN258" s="939"/>
    </row>
    <row r="259" spans="1:40" ht="15" customHeight="1">
      <c r="A259" s="939"/>
      <c r="B259" s="939"/>
      <c r="C259" s="939"/>
      <c r="D259" s="939"/>
      <c r="E259" s="939"/>
      <c r="F259" s="939"/>
      <c r="G259" s="939"/>
      <c r="H259" s="939"/>
      <c r="I259" s="939"/>
      <c r="J259" s="939"/>
      <c r="K259" s="939"/>
      <c r="L259" s="939"/>
      <c r="M259" s="939"/>
      <c r="N259" s="939"/>
      <c r="O259" s="939"/>
      <c r="P259" s="939"/>
      <c r="Q259" s="939"/>
      <c r="R259" s="939"/>
      <c r="S259" s="939"/>
      <c r="T259" s="939"/>
      <c r="U259" s="939"/>
      <c r="V259" s="939"/>
      <c r="W259" s="939"/>
      <c r="X259" s="939"/>
      <c r="Y259" s="939"/>
      <c r="Z259" s="939"/>
      <c r="AA259" s="939"/>
      <c r="AB259" s="939"/>
      <c r="AC259" s="939"/>
      <c r="AD259" s="939"/>
      <c r="AE259" s="939"/>
      <c r="AF259" s="939"/>
      <c r="AG259" s="939"/>
      <c r="AH259" s="939"/>
      <c r="AI259" s="939"/>
      <c r="AJ259" s="939"/>
      <c r="AK259" s="939"/>
      <c r="AL259" s="939"/>
      <c r="AM259" s="939"/>
      <c r="AN259" s="939"/>
    </row>
    <row r="260" spans="1:40" ht="15" customHeight="1">
      <c r="A260" s="939"/>
      <c r="B260" s="939"/>
      <c r="C260" s="939"/>
      <c r="D260" s="939"/>
      <c r="E260" s="939"/>
      <c r="F260" s="939"/>
      <c r="G260" s="939"/>
      <c r="H260" s="939"/>
      <c r="I260" s="939"/>
      <c r="J260" s="939"/>
      <c r="K260" s="939"/>
      <c r="L260" s="939"/>
      <c r="M260" s="939"/>
      <c r="N260" s="939"/>
      <c r="O260" s="939"/>
      <c r="P260" s="939"/>
      <c r="Q260" s="939"/>
      <c r="R260" s="939"/>
      <c r="S260" s="939"/>
      <c r="T260" s="939"/>
      <c r="U260" s="939"/>
      <c r="V260" s="939"/>
      <c r="W260" s="939"/>
      <c r="X260" s="939"/>
      <c r="Y260" s="939"/>
      <c r="Z260" s="939"/>
      <c r="AA260" s="939"/>
      <c r="AB260" s="939"/>
      <c r="AC260" s="939"/>
      <c r="AD260" s="939"/>
      <c r="AE260" s="939"/>
      <c r="AF260" s="939"/>
      <c r="AG260" s="939"/>
      <c r="AH260" s="939"/>
      <c r="AI260" s="939"/>
      <c r="AJ260" s="939"/>
      <c r="AK260" s="939"/>
      <c r="AL260" s="939"/>
      <c r="AM260" s="939"/>
      <c r="AN260" s="939"/>
    </row>
    <row r="261" spans="1:40" ht="15" customHeight="1">
      <c r="A261" s="939"/>
      <c r="B261" s="939"/>
      <c r="C261" s="939"/>
      <c r="D261" s="939"/>
      <c r="E261" s="939"/>
      <c r="F261" s="939"/>
      <c r="G261" s="939"/>
      <c r="H261" s="939"/>
      <c r="I261" s="939"/>
      <c r="J261" s="939"/>
      <c r="K261" s="939"/>
      <c r="L261" s="939"/>
      <c r="M261" s="939"/>
      <c r="N261" s="939"/>
      <c r="O261" s="939"/>
      <c r="P261" s="939"/>
      <c r="Q261" s="939"/>
      <c r="R261" s="939"/>
      <c r="S261" s="939"/>
      <c r="T261" s="939"/>
      <c r="U261" s="939"/>
      <c r="V261" s="939"/>
      <c r="W261" s="939"/>
      <c r="X261" s="939"/>
      <c r="Y261" s="939"/>
      <c r="Z261" s="939"/>
      <c r="AA261" s="939"/>
      <c r="AB261" s="939"/>
      <c r="AC261" s="939"/>
      <c r="AD261" s="939"/>
      <c r="AE261" s="939"/>
      <c r="AF261" s="939"/>
      <c r="AG261" s="939"/>
      <c r="AH261" s="939"/>
      <c r="AI261" s="939"/>
      <c r="AJ261" s="939"/>
      <c r="AK261" s="939"/>
      <c r="AL261" s="939"/>
      <c r="AM261" s="939"/>
      <c r="AN261" s="939"/>
    </row>
    <row r="262" spans="1:40" ht="15" customHeight="1">
      <c r="A262" s="939"/>
      <c r="B262" s="939"/>
      <c r="C262" s="939"/>
      <c r="D262" s="939"/>
      <c r="E262" s="939"/>
      <c r="F262" s="939"/>
      <c r="G262" s="939"/>
      <c r="H262" s="939"/>
      <c r="I262" s="939"/>
      <c r="J262" s="939"/>
      <c r="K262" s="939"/>
      <c r="L262" s="939"/>
      <c r="M262" s="939"/>
      <c r="N262" s="939"/>
      <c r="O262" s="939"/>
      <c r="P262" s="939"/>
      <c r="Q262" s="939"/>
      <c r="R262" s="939"/>
      <c r="S262" s="939"/>
      <c r="T262" s="939"/>
      <c r="U262" s="939"/>
      <c r="V262" s="939"/>
      <c r="W262" s="939"/>
      <c r="X262" s="939"/>
      <c r="Y262" s="939"/>
      <c r="Z262" s="939"/>
      <c r="AA262" s="939"/>
      <c r="AB262" s="939"/>
      <c r="AC262" s="939"/>
      <c r="AD262" s="939"/>
      <c r="AE262" s="939"/>
      <c r="AF262" s="939"/>
      <c r="AG262" s="939"/>
      <c r="AH262" s="939"/>
      <c r="AI262" s="939"/>
      <c r="AJ262" s="939"/>
      <c r="AK262" s="939"/>
      <c r="AL262" s="939"/>
      <c r="AM262" s="939"/>
      <c r="AN262" s="939"/>
    </row>
    <row r="263" spans="1:40" ht="15" customHeight="1">
      <c r="A263" s="939"/>
      <c r="B263" s="939"/>
      <c r="C263" s="939"/>
      <c r="D263" s="939"/>
      <c r="E263" s="939"/>
      <c r="F263" s="939"/>
      <c r="G263" s="939"/>
      <c r="H263" s="939"/>
      <c r="I263" s="939"/>
      <c r="J263" s="939"/>
      <c r="K263" s="939"/>
      <c r="L263" s="939"/>
      <c r="M263" s="939"/>
      <c r="N263" s="939"/>
      <c r="O263" s="939"/>
      <c r="P263" s="939"/>
      <c r="Q263" s="939"/>
      <c r="R263" s="939"/>
      <c r="S263" s="939"/>
      <c r="T263" s="939"/>
      <c r="U263" s="939"/>
      <c r="V263" s="939"/>
      <c r="W263" s="939"/>
      <c r="X263" s="939"/>
      <c r="Y263" s="939"/>
      <c r="Z263" s="939"/>
      <c r="AA263" s="939"/>
      <c r="AB263" s="939"/>
      <c r="AC263" s="939"/>
      <c r="AD263" s="939"/>
      <c r="AE263" s="939"/>
      <c r="AF263" s="939"/>
      <c r="AG263" s="939"/>
      <c r="AH263" s="939"/>
      <c r="AI263" s="939"/>
      <c r="AJ263" s="939"/>
      <c r="AK263" s="939"/>
      <c r="AL263" s="939"/>
      <c r="AM263" s="939"/>
      <c r="AN263" s="939"/>
    </row>
    <row r="264" spans="1:40" ht="15" customHeight="1">
      <c r="A264" s="939"/>
      <c r="B264" s="939"/>
      <c r="C264" s="939"/>
      <c r="D264" s="939"/>
      <c r="E264" s="939"/>
      <c r="F264" s="939"/>
      <c r="G264" s="939"/>
      <c r="H264" s="939"/>
      <c r="I264" s="939"/>
      <c r="J264" s="939"/>
      <c r="K264" s="939"/>
      <c r="L264" s="939"/>
      <c r="M264" s="939"/>
      <c r="N264" s="939"/>
      <c r="O264" s="939"/>
      <c r="P264" s="939"/>
      <c r="Q264" s="939"/>
      <c r="R264" s="939"/>
      <c r="S264" s="939"/>
      <c r="T264" s="939"/>
      <c r="U264" s="939"/>
      <c r="V264" s="939"/>
      <c r="W264" s="939"/>
      <c r="X264" s="939"/>
      <c r="Y264" s="939"/>
      <c r="Z264" s="939"/>
      <c r="AA264" s="939"/>
      <c r="AB264" s="939"/>
      <c r="AC264" s="939"/>
      <c r="AD264" s="939"/>
      <c r="AE264" s="939"/>
      <c r="AF264" s="939"/>
      <c r="AG264" s="939"/>
      <c r="AH264" s="939"/>
      <c r="AI264" s="939"/>
      <c r="AJ264" s="939"/>
      <c r="AK264" s="939"/>
      <c r="AL264" s="939"/>
      <c r="AM264" s="939"/>
      <c r="AN264" s="939"/>
    </row>
    <row r="265" spans="1:40" ht="15" customHeight="1">
      <c r="A265" s="939"/>
      <c r="B265" s="939"/>
      <c r="C265" s="939"/>
      <c r="D265" s="939"/>
      <c r="E265" s="939"/>
      <c r="F265" s="939"/>
      <c r="G265" s="939"/>
      <c r="H265" s="939"/>
      <c r="I265" s="939"/>
      <c r="J265" s="939"/>
      <c r="K265" s="939"/>
      <c r="L265" s="939"/>
      <c r="M265" s="939"/>
      <c r="N265" s="939"/>
      <c r="O265" s="939"/>
      <c r="P265" s="939"/>
      <c r="Q265" s="939"/>
      <c r="R265" s="939"/>
      <c r="S265" s="939"/>
      <c r="T265" s="939"/>
      <c r="U265" s="939"/>
      <c r="V265" s="939"/>
      <c r="W265" s="939"/>
      <c r="X265" s="939"/>
      <c r="Y265" s="939"/>
      <c r="Z265" s="939"/>
      <c r="AA265" s="939"/>
      <c r="AB265" s="939"/>
      <c r="AC265" s="939"/>
      <c r="AD265" s="939"/>
      <c r="AE265" s="939"/>
      <c r="AF265" s="939"/>
      <c r="AG265" s="939"/>
      <c r="AH265" s="939"/>
      <c r="AI265" s="939"/>
      <c r="AJ265" s="939"/>
      <c r="AK265" s="939"/>
      <c r="AL265" s="939"/>
      <c r="AM265" s="939"/>
      <c r="AN265" s="939"/>
    </row>
    <row r="266" spans="1:40" ht="15" customHeight="1">
      <c r="A266" s="939"/>
      <c r="B266" s="939"/>
      <c r="C266" s="939"/>
      <c r="D266" s="939"/>
      <c r="E266" s="939"/>
      <c r="F266" s="939"/>
      <c r="G266" s="939"/>
      <c r="H266" s="939"/>
      <c r="I266" s="939"/>
      <c r="J266" s="939"/>
      <c r="K266" s="939"/>
      <c r="L266" s="939"/>
      <c r="M266" s="939"/>
      <c r="N266" s="939"/>
      <c r="O266" s="939"/>
      <c r="P266" s="939"/>
      <c r="Q266" s="939"/>
      <c r="R266" s="939"/>
      <c r="S266" s="939"/>
      <c r="T266" s="939"/>
      <c r="U266" s="939"/>
      <c r="V266" s="939"/>
      <c r="W266" s="939"/>
      <c r="X266" s="939"/>
      <c r="Y266" s="939"/>
      <c r="Z266" s="939"/>
      <c r="AA266" s="939"/>
      <c r="AB266" s="939"/>
      <c r="AC266" s="939"/>
      <c r="AD266" s="939"/>
      <c r="AE266" s="939"/>
      <c r="AF266" s="939"/>
      <c r="AG266" s="939"/>
      <c r="AH266" s="939"/>
      <c r="AI266" s="939"/>
      <c r="AJ266" s="939"/>
      <c r="AK266" s="939"/>
      <c r="AL266" s="939"/>
      <c r="AM266" s="939"/>
      <c r="AN266" s="939"/>
    </row>
    <row r="267" spans="1:40" ht="15" customHeight="1">
      <c r="A267" s="939"/>
      <c r="B267" s="939"/>
      <c r="C267" s="939"/>
      <c r="D267" s="939"/>
      <c r="E267" s="939"/>
      <c r="F267" s="939"/>
      <c r="G267" s="939"/>
      <c r="H267" s="939"/>
      <c r="I267" s="939"/>
      <c r="J267" s="939"/>
      <c r="K267" s="939"/>
      <c r="L267" s="939"/>
      <c r="M267" s="939"/>
      <c r="N267" s="939"/>
      <c r="O267" s="939"/>
      <c r="P267" s="939"/>
      <c r="Q267" s="939"/>
      <c r="R267" s="939"/>
      <c r="S267" s="939"/>
      <c r="T267" s="939"/>
      <c r="U267" s="939"/>
      <c r="V267" s="939"/>
      <c r="W267" s="939"/>
      <c r="X267" s="939"/>
      <c r="Y267" s="939"/>
      <c r="Z267" s="939"/>
      <c r="AA267" s="939"/>
      <c r="AB267" s="939"/>
      <c r="AC267" s="939"/>
      <c r="AD267" s="939"/>
      <c r="AE267" s="939"/>
      <c r="AF267" s="939"/>
      <c r="AG267" s="939"/>
      <c r="AH267" s="939"/>
      <c r="AI267" s="939"/>
      <c r="AJ267" s="939"/>
      <c r="AK267" s="939"/>
      <c r="AL267" s="939"/>
      <c r="AM267" s="939"/>
      <c r="AN267" s="939"/>
    </row>
    <row r="268" spans="1:40" ht="15" customHeight="1">
      <c r="A268" s="939"/>
      <c r="B268" s="939"/>
      <c r="C268" s="939"/>
      <c r="D268" s="939"/>
      <c r="E268" s="939"/>
      <c r="F268" s="939"/>
      <c r="G268" s="939"/>
      <c r="H268" s="939"/>
      <c r="I268" s="939"/>
      <c r="J268" s="939"/>
      <c r="K268" s="939"/>
      <c r="L268" s="939"/>
      <c r="M268" s="939"/>
      <c r="N268" s="939"/>
      <c r="O268" s="939"/>
      <c r="P268" s="939"/>
      <c r="Q268" s="939"/>
      <c r="R268" s="939"/>
      <c r="S268" s="939"/>
      <c r="T268" s="939"/>
      <c r="U268" s="939"/>
      <c r="V268" s="939"/>
      <c r="W268" s="939"/>
      <c r="X268" s="939"/>
      <c r="Y268" s="939"/>
      <c r="Z268" s="939"/>
      <c r="AA268" s="939"/>
      <c r="AB268" s="939"/>
      <c r="AC268" s="939"/>
      <c r="AD268" s="939"/>
      <c r="AE268" s="939"/>
      <c r="AF268" s="939"/>
      <c r="AG268" s="939"/>
      <c r="AH268" s="939"/>
      <c r="AI268" s="939"/>
      <c r="AJ268" s="939"/>
      <c r="AK268" s="939"/>
      <c r="AL268" s="939"/>
      <c r="AM268" s="939"/>
      <c r="AN268" s="939"/>
    </row>
    <row r="269" spans="1:40" ht="15" customHeight="1">
      <c r="A269" s="939"/>
      <c r="B269" s="939"/>
      <c r="C269" s="939"/>
      <c r="D269" s="939"/>
      <c r="E269" s="939"/>
      <c r="F269" s="939"/>
      <c r="G269" s="939"/>
      <c r="H269" s="939"/>
      <c r="I269" s="939"/>
      <c r="J269" s="939"/>
      <c r="K269" s="939"/>
      <c r="L269" s="939"/>
      <c r="M269" s="939"/>
      <c r="N269" s="939"/>
      <c r="O269" s="939"/>
      <c r="P269" s="939"/>
      <c r="Q269" s="939"/>
      <c r="R269" s="939"/>
      <c r="S269" s="939"/>
      <c r="T269" s="939"/>
      <c r="U269" s="939"/>
      <c r="V269" s="939"/>
      <c r="W269" s="939"/>
      <c r="X269" s="939"/>
      <c r="Y269" s="939"/>
      <c r="Z269" s="939"/>
      <c r="AA269" s="939"/>
      <c r="AB269" s="939"/>
      <c r="AC269" s="939"/>
      <c r="AD269" s="939"/>
      <c r="AE269" s="939"/>
      <c r="AF269" s="939"/>
      <c r="AG269" s="939"/>
      <c r="AH269" s="939"/>
      <c r="AI269" s="939"/>
      <c r="AJ269" s="939"/>
      <c r="AK269" s="939"/>
      <c r="AL269" s="939"/>
      <c r="AM269" s="939"/>
      <c r="AN269" s="939"/>
    </row>
    <row r="270" spans="1:40" ht="15" customHeight="1">
      <c r="A270" s="939"/>
      <c r="B270" s="939"/>
      <c r="C270" s="939"/>
      <c r="D270" s="939"/>
      <c r="E270" s="939"/>
      <c r="F270" s="939"/>
      <c r="G270" s="939"/>
      <c r="H270" s="939"/>
      <c r="I270" s="939"/>
      <c r="J270" s="939"/>
      <c r="K270" s="939"/>
      <c r="L270" s="939"/>
      <c r="M270" s="939"/>
      <c r="N270" s="939"/>
      <c r="O270" s="939"/>
      <c r="P270" s="939"/>
      <c r="Q270" s="939"/>
      <c r="R270" s="939"/>
      <c r="S270" s="939"/>
      <c r="T270" s="939"/>
      <c r="U270" s="939"/>
      <c r="V270" s="939"/>
      <c r="W270" s="939"/>
      <c r="X270" s="939"/>
      <c r="Y270" s="939"/>
      <c r="Z270" s="939"/>
      <c r="AA270" s="939"/>
      <c r="AB270" s="939"/>
      <c r="AC270" s="939"/>
      <c r="AD270" s="939"/>
      <c r="AE270" s="939"/>
      <c r="AF270" s="939"/>
      <c r="AG270" s="939"/>
      <c r="AH270" s="939"/>
      <c r="AI270" s="939"/>
      <c r="AJ270" s="939"/>
      <c r="AK270" s="939"/>
      <c r="AL270" s="939"/>
      <c r="AM270" s="939"/>
      <c r="AN270" s="939"/>
    </row>
    <row r="271" spans="1:40" ht="15" customHeight="1">
      <c r="A271" s="939"/>
      <c r="B271" s="939"/>
      <c r="C271" s="939"/>
      <c r="D271" s="939"/>
      <c r="E271" s="939"/>
      <c r="F271" s="939"/>
      <c r="G271" s="939"/>
      <c r="H271" s="939"/>
      <c r="I271" s="939"/>
      <c r="J271" s="939"/>
      <c r="K271" s="939"/>
      <c r="L271" s="939"/>
      <c r="M271" s="939"/>
      <c r="N271" s="939"/>
      <c r="O271" s="939"/>
      <c r="P271" s="939"/>
      <c r="Q271" s="939"/>
      <c r="R271" s="939"/>
      <c r="S271" s="939"/>
      <c r="T271" s="939"/>
      <c r="U271" s="939"/>
      <c r="V271" s="939"/>
      <c r="W271" s="939"/>
      <c r="X271" s="939"/>
      <c r="Y271" s="939"/>
      <c r="Z271" s="939"/>
      <c r="AA271" s="939"/>
      <c r="AB271" s="939"/>
      <c r="AC271" s="939"/>
      <c r="AD271" s="939"/>
      <c r="AE271" s="939"/>
      <c r="AF271" s="939"/>
      <c r="AG271" s="939"/>
      <c r="AH271" s="939"/>
      <c r="AI271" s="939"/>
      <c r="AJ271" s="939"/>
      <c r="AK271" s="939"/>
      <c r="AL271" s="939"/>
      <c r="AM271" s="939"/>
      <c r="AN271" s="939"/>
    </row>
    <row r="272" spans="1:40" ht="15" customHeight="1">
      <c r="A272" s="939"/>
      <c r="B272" s="939"/>
      <c r="C272" s="939"/>
      <c r="D272" s="939"/>
      <c r="E272" s="939"/>
      <c r="F272" s="939"/>
      <c r="G272" s="939"/>
      <c r="H272" s="939"/>
      <c r="I272" s="939"/>
      <c r="J272" s="939"/>
      <c r="K272" s="939"/>
      <c r="L272" s="939"/>
      <c r="M272" s="939"/>
      <c r="N272" s="939"/>
      <c r="O272" s="939"/>
      <c r="P272" s="939"/>
      <c r="Q272" s="939"/>
      <c r="R272" s="939"/>
      <c r="S272" s="939"/>
      <c r="T272" s="939"/>
      <c r="U272" s="939"/>
      <c r="V272" s="939"/>
      <c r="W272" s="939"/>
      <c r="X272" s="939"/>
      <c r="Y272" s="939"/>
      <c r="Z272" s="939"/>
      <c r="AA272" s="939"/>
      <c r="AB272" s="939"/>
      <c r="AC272" s="939"/>
      <c r="AD272" s="939"/>
      <c r="AE272" s="939"/>
      <c r="AF272" s="939"/>
      <c r="AG272" s="939"/>
      <c r="AH272" s="939"/>
      <c r="AI272" s="939"/>
      <c r="AJ272" s="939"/>
      <c r="AK272" s="939"/>
      <c r="AL272" s="939"/>
      <c r="AM272" s="939"/>
      <c r="AN272" s="939"/>
    </row>
    <row r="273" spans="1:40" ht="15" customHeight="1">
      <c r="A273" s="939"/>
      <c r="B273" s="939"/>
      <c r="C273" s="939"/>
      <c r="D273" s="939"/>
      <c r="E273" s="939"/>
      <c r="F273" s="939"/>
      <c r="G273" s="939"/>
      <c r="H273" s="939"/>
      <c r="I273" s="939"/>
      <c r="J273" s="939"/>
      <c r="K273" s="939"/>
      <c r="L273" s="939"/>
      <c r="M273" s="939"/>
      <c r="N273" s="939"/>
      <c r="O273" s="939"/>
      <c r="P273" s="939"/>
      <c r="Q273" s="939"/>
      <c r="R273" s="939"/>
      <c r="S273" s="939"/>
      <c r="T273" s="939"/>
      <c r="U273" s="939"/>
      <c r="V273" s="939"/>
      <c r="W273" s="939"/>
      <c r="X273" s="939"/>
      <c r="Y273" s="939"/>
      <c r="Z273" s="939"/>
      <c r="AA273" s="939"/>
      <c r="AB273" s="939"/>
      <c r="AC273" s="939"/>
      <c r="AD273" s="939"/>
      <c r="AE273" s="939"/>
      <c r="AF273" s="939"/>
      <c r="AG273" s="939"/>
      <c r="AH273" s="939"/>
      <c r="AI273" s="939"/>
      <c r="AJ273" s="939"/>
      <c r="AK273" s="939"/>
      <c r="AL273" s="939"/>
      <c r="AM273" s="939"/>
      <c r="AN273" s="939"/>
    </row>
    <row r="274" spans="1:40" ht="15" customHeight="1">
      <c r="A274" s="939"/>
      <c r="B274" s="939"/>
      <c r="C274" s="939"/>
      <c r="D274" s="939"/>
      <c r="E274" s="939"/>
      <c r="F274" s="939"/>
      <c r="G274" s="939"/>
      <c r="H274" s="939"/>
      <c r="I274" s="939"/>
      <c r="J274" s="939"/>
      <c r="K274" s="939"/>
      <c r="L274" s="939"/>
      <c r="M274" s="939"/>
      <c r="N274" s="939"/>
      <c r="O274" s="939"/>
      <c r="P274" s="939"/>
      <c r="Q274" s="939"/>
      <c r="R274" s="939"/>
      <c r="S274" s="939"/>
      <c r="T274" s="939"/>
      <c r="U274" s="939"/>
      <c r="V274" s="939"/>
      <c r="W274" s="939"/>
      <c r="X274" s="939"/>
      <c r="Y274" s="939"/>
      <c r="Z274" s="939"/>
      <c r="AA274" s="939"/>
      <c r="AB274" s="939"/>
      <c r="AC274" s="939"/>
      <c r="AD274" s="939"/>
      <c r="AE274" s="939"/>
      <c r="AF274" s="939"/>
      <c r="AG274" s="939"/>
      <c r="AH274" s="939"/>
      <c r="AI274" s="939"/>
      <c r="AJ274" s="939"/>
      <c r="AK274" s="939"/>
      <c r="AL274" s="939"/>
      <c r="AM274" s="939"/>
      <c r="AN274" s="939"/>
    </row>
    <row r="275" spans="1:40" ht="15" customHeight="1">
      <c r="A275" s="939"/>
      <c r="B275" s="939"/>
      <c r="C275" s="939"/>
      <c r="D275" s="939"/>
      <c r="E275" s="939"/>
      <c r="F275" s="939"/>
      <c r="G275" s="939"/>
      <c r="H275" s="939"/>
      <c r="I275" s="939"/>
      <c r="J275" s="939"/>
      <c r="K275" s="939"/>
      <c r="L275" s="939"/>
      <c r="M275" s="939"/>
      <c r="N275" s="939"/>
      <c r="O275" s="939"/>
      <c r="P275" s="939"/>
      <c r="Q275" s="939"/>
      <c r="R275" s="939"/>
      <c r="S275" s="939"/>
      <c r="T275" s="939"/>
      <c r="U275" s="939"/>
      <c r="V275" s="939"/>
      <c r="W275" s="939"/>
      <c r="X275" s="939"/>
      <c r="Y275" s="939"/>
      <c r="Z275" s="939"/>
      <c r="AA275" s="939"/>
      <c r="AB275" s="939"/>
      <c r="AC275" s="939"/>
      <c r="AD275" s="939"/>
      <c r="AE275" s="939"/>
      <c r="AF275" s="939"/>
      <c r="AG275" s="939"/>
      <c r="AH275" s="939"/>
      <c r="AI275" s="939"/>
      <c r="AJ275" s="939"/>
      <c r="AK275" s="939"/>
      <c r="AL275" s="939"/>
      <c r="AM275" s="939"/>
      <c r="AN275" s="939"/>
    </row>
    <row r="276" spans="1:40" ht="15" customHeight="1">
      <c r="A276" s="939"/>
      <c r="B276" s="939"/>
      <c r="C276" s="939"/>
      <c r="D276" s="939"/>
      <c r="E276" s="939"/>
      <c r="F276" s="939"/>
      <c r="G276" s="939"/>
      <c r="H276" s="939"/>
      <c r="I276" s="939"/>
      <c r="J276" s="939"/>
      <c r="K276" s="939"/>
      <c r="L276" s="939"/>
      <c r="M276" s="939"/>
      <c r="N276" s="939"/>
      <c r="O276" s="939"/>
      <c r="P276" s="939"/>
      <c r="Q276" s="939"/>
      <c r="R276" s="939"/>
      <c r="S276" s="939"/>
      <c r="T276" s="939"/>
      <c r="U276" s="939"/>
      <c r="V276" s="939"/>
      <c r="W276" s="939"/>
      <c r="X276" s="939"/>
      <c r="Y276" s="939"/>
      <c r="Z276" s="939"/>
      <c r="AA276" s="939"/>
      <c r="AB276" s="939"/>
      <c r="AC276" s="939"/>
      <c r="AD276" s="939"/>
      <c r="AE276" s="939"/>
      <c r="AF276" s="939"/>
      <c r="AG276" s="939"/>
      <c r="AH276" s="939"/>
      <c r="AI276" s="939"/>
      <c r="AJ276" s="939"/>
      <c r="AK276" s="939"/>
      <c r="AL276" s="939"/>
      <c r="AM276" s="939"/>
      <c r="AN276" s="939"/>
    </row>
    <row r="277" spans="1:40" ht="15" customHeight="1">
      <c r="A277" s="939"/>
      <c r="B277" s="939"/>
      <c r="C277" s="939"/>
      <c r="D277" s="939"/>
      <c r="E277" s="939"/>
      <c r="F277" s="939"/>
      <c r="G277" s="939"/>
      <c r="H277" s="939"/>
      <c r="I277" s="939"/>
      <c r="J277" s="939"/>
      <c r="K277" s="939"/>
      <c r="L277" s="939"/>
      <c r="M277" s="939"/>
      <c r="N277" s="939"/>
      <c r="O277" s="939"/>
      <c r="P277" s="939"/>
      <c r="Q277" s="939"/>
      <c r="R277" s="939"/>
      <c r="S277" s="939"/>
      <c r="T277" s="939"/>
      <c r="U277" s="939"/>
      <c r="V277" s="939"/>
      <c r="W277" s="939"/>
      <c r="X277" s="939"/>
      <c r="Y277" s="939"/>
      <c r="Z277" s="939"/>
      <c r="AA277" s="939"/>
      <c r="AB277" s="939"/>
      <c r="AC277" s="939"/>
      <c r="AD277" s="939"/>
      <c r="AE277" s="939"/>
      <c r="AF277" s="939"/>
      <c r="AG277" s="939"/>
      <c r="AH277" s="939"/>
      <c r="AI277" s="939"/>
      <c r="AJ277" s="939"/>
      <c r="AK277" s="939"/>
      <c r="AL277" s="939"/>
      <c r="AM277" s="939"/>
      <c r="AN277" s="939"/>
    </row>
    <row r="278" spans="1:40" ht="15" customHeight="1">
      <c r="A278" s="939"/>
      <c r="B278" s="939"/>
      <c r="C278" s="939"/>
      <c r="D278" s="939"/>
      <c r="E278" s="939"/>
      <c r="F278" s="939"/>
      <c r="G278" s="939"/>
      <c r="H278" s="939"/>
      <c r="I278" s="939"/>
      <c r="J278" s="939"/>
      <c r="K278" s="939"/>
      <c r="L278" s="939"/>
      <c r="M278" s="939"/>
      <c r="N278" s="939"/>
      <c r="O278" s="939"/>
      <c r="P278" s="939"/>
      <c r="Q278" s="939"/>
      <c r="R278" s="939"/>
      <c r="S278" s="939"/>
      <c r="T278" s="939"/>
      <c r="U278" s="939"/>
      <c r="V278" s="939"/>
      <c r="W278" s="939"/>
      <c r="X278" s="939"/>
      <c r="Y278" s="939"/>
      <c r="Z278" s="939"/>
      <c r="AA278" s="939"/>
      <c r="AB278" s="939"/>
      <c r="AC278" s="939"/>
      <c r="AD278" s="939"/>
      <c r="AE278" s="939"/>
      <c r="AF278" s="939"/>
      <c r="AG278" s="939"/>
      <c r="AH278" s="939"/>
      <c r="AI278" s="939"/>
      <c r="AJ278" s="939"/>
      <c r="AK278" s="939"/>
      <c r="AL278" s="939"/>
      <c r="AM278" s="939"/>
      <c r="AN278" s="939"/>
    </row>
    <row r="279" spans="1:40" ht="15" customHeight="1">
      <c r="A279" s="939"/>
      <c r="B279" s="939"/>
      <c r="C279" s="939"/>
      <c r="D279" s="939"/>
      <c r="E279" s="939"/>
      <c r="F279" s="939"/>
      <c r="G279" s="939"/>
      <c r="H279" s="939"/>
      <c r="I279" s="939"/>
      <c r="J279" s="939"/>
      <c r="K279" s="939"/>
      <c r="L279" s="939"/>
      <c r="M279" s="939"/>
      <c r="N279" s="939"/>
      <c r="O279" s="939"/>
      <c r="P279" s="939"/>
      <c r="Q279" s="939"/>
      <c r="R279" s="939"/>
      <c r="S279" s="939"/>
      <c r="T279" s="939"/>
      <c r="U279" s="939"/>
      <c r="V279" s="939"/>
      <c r="W279" s="939"/>
      <c r="X279" s="939"/>
      <c r="Y279" s="939"/>
      <c r="Z279" s="939"/>
      <c r="AA279" s="939"/>
      <c r="AB279" s="939"/>
      <c r="AC279" s="939"/>
      <c r="AD279" s="939"/>
      <c r="AE279" s="939"/>
      <c r="AF279" s="939"/>
      <c r="AG279" s="939"/>
      <c r="AH279" s="939"/>
      <c r="AI279" s="939"/>
      <c r="AJ279" s="939"/>
      <c r="AK279" s="939"/>
      <c r="AL279" s="939"/>
      <c r="AM279" s="939"/>
      <c r="AN279" s="939"/>
    </row>
    <row r="280" spans="1:40" ht="15" customHeight="1">
      <c r="A280" s="939"/>
      <c r="B280" s="939"/>
      <c r="C280" s="939"/>
      <c r="D280" s="939"/>
      <c r="E280" s="939"/>
      <c r="F280" s="939"/>
      <c r="G280" s="939"/>
      <c r="H280" s="939"/>
      <c r="I280" s="939"/>
      <c r="J280" s="939"/>
      <c r="K280" s="939"/>
      <c r="L280" s="939"/>
      <c r="M280" s="939"/>
      <c r="N280" s="939"/>
      <c r="O280" s="939"/>
      <c r="P280" s="939"/>
      <c r="Q280" s="939"/>
      <c r="R280" s="939"/>
      <c r="S280" s="939"/>
      <c r="T280" s="939"/>
      <c r="U280" s="939"/>
      <c r="V280" s="939"/>
      <c r="W280" s="939"/>
      <c r="X280" s="939"/>
      <c r="Y280" s="939"/>
      <c r="Z280" s="939"/>
      <c r="AA280" s="939"/>
      <c r="AB280" s="939"/>
      <c r="AC280" s="939"/>
      <c r="AD280" s="939"/>
      <c r="AE280" s="939"/>
      <c r="AF280" s="939"/>
      <c r="AG280" s="939"/>
      <c r="AH280" s="939"/>
      <c r="AI280" s="939"/>
      <c r="AJ280" s="939"/>
      <c r="AK280" s="939"/>
      <c r="AL280" s="939"/>
      <c r="AM280" s="939"/>
      <c r="AN280" s="939"/>
    </row>
    <row r="281" spans="1:40" ht="15" customHeight="1">
      <c r="A281" s="939"/>
      <c r="B281" s="939"/>
      <c r="C281" s="939"/>
      <c r="D281" s="939"/>
      <c r="E281" s="939"/>
      <c r="F281" s="939"/>
      <c r="G281" s="939"/>
      <c r="H281" s="939"/>
      <c r="I281" s="939"/>
      <c r="J281" s="939"/>
      <c r="K281" s="939"/>
      <c r="L281" s="939"/>
      <c r="M281" s="939"/>
      <c r="N281" s="939"/>
      <c r="O281" s="939"/>
      <c r="P281" s="939"/>
      <c r="Q281" s="939"/>
      <c r="R281" s="939"/>
      <c r="S281" s="939"/>
      <c r="T281" s="939"/>
      <c r="U281" s="939"/>
      <c r="V281" s="939"/>
      <c r="W281" s="939"/>
      <c r="X281" s="939"/>
      <c r="Y281" s="939"/>
      <c r="Z281" s="939"/>
      <c r="AA281" s="939"/>
      <c r="AB281" s="939"/>
      <c r="AC281" s="939"/>
      <c r="AD281" s="939"/>
      <c r="AE281" s="939"/>
      <c r="AF281" s="939"/>
      <c r="AG281" s="939"/>
      <c r="AH281" s="939"/>
      <c r="AI281" s="939"/>
      <c r="AJ281" s="939"/>
      <c r="AK281" s="939"/>
      <c r="AL281" s="939"/>
      <c r="AM281" s="939"/>
      <c r="AN281" s="939"/>
    </row>
    <row r="282" spans="1:40" ht="15" customHeight="1">
      <c r="A282" s="939"/>
      <c r="B282" s="939"/>
      <c r="C282" s="939"/>
      <c r="D282" s="939"/>
      <c r="E282" s="939"/>
      <c r="F282" s="939"/>
      <c r="G282" s="939"/>
      <c r="H282" s="939"/>
      <c r="I282" s="939"/>
      <c r="J282" s="939"/>
      <c r="K282" s="939"/>
      <c r="L282" s="939"/>
      <c r="M282" s="939"/>
      <c r="N282" s="939"/>
      <c r="O282" s="939"/>
      <c r="P282" s="939"/>
      <c r="Q282" s="939"/>
      <c r="R282" s="939"/>
      <c r="S282" s="939"/>
      <c r="T282" s="939"/>
      <c r="U282" s="939"/>
      <c r="V282" s="939"/>
      <c r="W282" s="939"/>
      <c r="X282" s="939"/>
      <c r="Y282" s="939"/>
      <c r="Z282" s="939"/>
      <c r="AA282" s="939"/>
      <c r="AB282" s="939"/>
      <c r="AC282" s="939"/>
      <c r="AD282" s="939"/>
      <c r="AE282" s="939"/>
      <c r="AF282" s="939"/>
      <c r="AG282" s="939"/>
      <c r="AH282" s="939"/>
      <c r="AI282" s="939"/>
      <c r="AJ282" s="939"/>
      <c r="AK282" s="939"/>
      <c r="AL282" s="939"/>
      <c r="AM282" s="939"/>
      <c r="AN282" s="939"/>
    </row>
    <row r="283" spans="1:40" ht="15" customHeight="1">
      <c r="A283" s="939"/>
      <c r="B283" s="939"/>
      <c r="C283" s="939"/>
      <c r="D283" s="939"/>
      <c r="E283" s="939"/>
      <c r="F283" s="939"/>
      <c r="G283" s="939"/>
      <c r="H283" s="939"/>
      <c r="I283" s="939"/>
      <c r="J283" s="939"/>
      <c r="K283" s="939"/>
      <c r="L283" s="939"/>
      <c r="M283" s="939"/>
      <c r="N283" s="939"/>
      <c r="O283" s="939"/>
      <c r="P283" s="939"/>
      <c r="Q283" s="939"/>
      <c r="R283" s="939"/>
      <c r="S283" s="939"/>
      <c r="T283" s="939"/>
      <c r="U283" s="939"/>
      <c r="V283" s="939"/>
      <c r="W283" s="939"/>
      <c r="X283" s="939"/>
      <c r="Y283" s="939"/>
      <c r="Z283" s="939"/>
      <c r="AA283" s="939"/>
      <c r="AB283" s="939"/>
      <c r="AC283" s="939"/>
      <c r="AD283" s="939"/>
      <c r="AE283" s="939"/>
      <c r="AF283" s="939"/>
      <c r="AG283" s="939"/>
      <c r="AH283" s="939"/>
      <c r="AI283" s="939"/>
      <c r="AJ283" s="939"/>
      <c r="AK283" s="939"/>
      <c r="AL283" s="939"/>
      <c r="AM283" s="939"/>
      <c r="AN283" s="939"/>
    </row>
    <row r="284" spans="1:40" ht="15" customHeight="1">
      <c r="A284" s="939"/>
      <c r="B284" s="939"/>
      <c r="C284" s="939"/>
      <c r="D284" s="939"/>
      <c r="E284" s="939"/>
      <c r="F284" s="939"/>
      <c r="G284" s="939"/>
      <c r="H284" s="939"/>
      <c r="I284" s="939"/>
      <c r="J284" s="939"/>
      <c r="K284" s="939"/>
      <c r="L284" s="939"/>
      <c r="M284" s="939"/>
      <c r="N284" s="939"/>
      <c r="O284" s="939"/>
      <c r="P284" s="939"/>
      <c r="Q284" s="939"/>
      <c r="R284" s="939"/>
      <c r="S284" s="939"/>
      <c r="T284" s="939"/>
      <c r="U284" s="939"/>
      <c r="V284" s="939"/>
      <c r="W284" s="939"/>
      <c r="X284" s="939"/>
      <c r="Y284" s="939"/>
      <c r="Z284" s="939"/>
      <c r="AA284" s="939"/>
      <c r="AB284" s="939"/>
      <c r="AC284" s="939"/>
      <c r="AD284" s="939"/>
      <c r="AE284" s="939"/>
      <c r="AF284" s="939"/>
      <c r="AG284" s="939"/>
      <c r="AH284" s="939"/>
      <c r="AI284" s="939"/>
      <c r="AJ284" s="939"/>
      <c r="AK284" s="939"/>
      <c r="AL284" s="939"/>
      <c r="AM284" s="939"/>
      <c r="AN284" s="939"/>
    </row>
    <row r="285" spans="1:40" ht="15" customHeight="1">
      <c r="A285" s="939"/>
      <c r="B285" s="939"/>
      <c r="C285" s="939"/>
      <c r="D285" s="939"/>
      <c r="E285" s="939"/>
      <c r="F285" s="939"/>
      <c r="G285" s="939"/>
      <c r="H285" s="939"/>
      <c r="I285" s="939"/>
      <c r="J285" s="939"/>
      <c r="K285" s="939"/>
      <c r="L285" s="939"/>
      <c r="M285" s="939"/>
      <c r="N285" s="939"/>
      <c r="O285" s="939"/>
      <c r="P285" s="939"/>
      <c r="Q285" s="939"/>
      <c r="R285" s="939"/>
      <c r="S285" s="939"/>
      <c r="T285" s="939"/>
      <c r="U285" s="939"/>
      <c r="V285" s="939"/>
      <c r="W285" s="939"/>
      <c r="X285" s="939"/>
      <c r="Y285" s="939"/>
      <c r="Z285" s="939"/>
      <c r="AA285" s="939"/>
      <c r="AB285" s="939"/>
      <c r="AC285" s="939"/>
      <c r="AD285" s="939"/>
      <c r="AE285" s="939"/>
      <c r="AF285" s="939"/>
      <c r="AG285" s="939"/>
      <c r="AH285" s="939"/>
      <c r="AI285" s="939"/>
      <c r="AJ285" s="939"/>
      <c r="AK285" s="939"/>
      <c r="AL285" s="939"/>
      <c r="AM285" s="939"/>
      <c r="AN285" s="939"/>
    </row>
    <row r="286" spans="1:40" ht="15" customHeight="1">
      <c r="A286" s="939"/>
      <c r="B286" s="939"/>
      <c r="C286" s="939"/>
      <c r="D286" s="939"/>
      <c r="E286" s="939"/>
      <c r="F286" s="939"/>
      <c r="G286" s="939"/>
      <c r="H286" s="939"/>
      <c r="I286" s="939"/>
      <c r="J286" s="939"/>
      <c r="K286" s="939"/>
      <c r="L286" s="939"/>
      <c r="M286" s="939"/>
      <c r="N286" s="939"/>
      <c r="O286" s="939"/>
      <c r="P286" s="939"/>
      <c r="Q286" s="939"/>
      <c r="R286" s="939"/>
      <c r="S286" s="939"/>
      <c r="T286" s="939"/>
      <c r="U286" s="939"/>
      <c r="V286" s="939"/>
      <c r="W286" s="939"/>
      <c r="X286" s="939"/>
      <c r="Y286" s="939"/>
      <c r="Z286" s="939"/>
      <c r="AA286" s="939"/>
      <c r="AB286" s="939"/>
      <c r="AC286" s="939"/>
      <c r="AD286" s="939"/>
      <c r="AE286" s="939"/>
      <c r="AF286" s="939"/>
      <c r="AG286" s="939"/>
      <c r="AH286" s="939"/>
      <c r="AI286" s="939"/>
      <c r="AJ286" s="939"/>
      <c r="AK286" s="939"/>
      <c r="AL286" s="939"/>
      <c r="AM286" s="939"/>
      <c r="AN286" s="939"/>
    </row>
    <row r="287" spans="1:40" ht="15" customHeight="1">
      <c r="A287" s="939"/>
      <c r="B287" s="939"/>
      <c r="C287" s="939"/>
      <c r="D287" s="939"/>
      <c r="E287" s="939"/>
      <c r="F287" s="939"/>
      <c r="G287" s="939"/>
      <c r="H287" s="939"/>
      <c r="I287" s="939"/>
      <c r="J287" s="939"/>
      <c r="K287" s="939"/>
      <c r="L287" s="939"/>
      <c r="M287" s="939"/>
      <c r="N287" s="939"/>
      <c r="O287" s="939"/>
      <c r="P287" s="939"/>
      <c r="Q287" s="939"/>
      <c r="R287" s="939"/>
      <c r="S287" s="939"/>
      <c r="T287" s="939"/>
      <c r="U287" s="939"/>
      <c r="V287" s="939"/>
      <c r="W287" s="939"/>
      <c r="X287" s="939"/>
      <c r="Y287" s="939"/>
      <c r="Z287" s="939"/>
      <c r="AA287" s="939"/>
      <c r="AB287" s="939"/>
      <c r="AC287" s="939"/>
      <c r="AD287" s="939"/>
      <c r="AE287" s="939"/>
      <c r="AF287" s="939"/>
      <c r="AG287" s="939"/>
      <c r="AH287" s="939"/>
      <c r="AI287" s="939"/>
      <c r="AJ287" s="939"/>
      <c r="AK287" s="939"/>
      <c r="AL287" s="939"/>
      <c r="AM287" s="939"/>
      <c r="AN287" s="939"/>
    </row>
    <row r="288" spans="1:40" ht="15" customHeight="1">
      <c r="A288" s="939"/>
      <c r="B288" s="939"/>
      <c r="C288" s="939"/>
      <c r="D288" s="939"/>
      <c r="E288" s="939"/>
      <c r="F288" s="939"/>
      <c r="G288" s="939"/>
      <c r="H288" s="939"/>
      <c r="I288" s="939"/>
      <c r="J288" s="939"/>
      <c r="K288" s="939"/>
      <c r="L288" s="939"/>
      <c r="M288" s="939"/>
      <c r="N288" s="939"/>
      <c r="O288" s="939"/>
      <c r="P288" s="939"/>
      <c r="Q288" s="939"/>
      <c r="R288" s="939"/>
      <c r="S288" s="939"/>
      <c r="T288" s="939"/>
      <c r="U288" s="939"/>
      <c r="V288" s="939"/>
      <c r="W288" s="939"/>
      <c r="X288" s="939"/>
      <c r="Y288" s="939"/>
      <c r="Z288" s="939"/>
      <c r="AA288" s="939"/>
      <c r="AB288" s="939"/>
      <c r="AC288" s="939"/>
      <c r="AD288" s="939"/>
      <c r="AE288" s="939"/>
      <c r="AF288" s="939"/>
      <c r="AG288" s="939"/>
      <c r="AH288" s="939"/>
      <c r="AI288" s="939"/>
      <c r="AJ288" s="939"/>
      <c r="AK288" s="939"/>
      <c r="AL288" s="939"/>
      <c r="AM288" s="939"/>
      <c r="AN288" s="939"/>
    </row>
    <row r="289" spans="1:40" ht="15" customHeight="1">
      <c r="A289" s="939"/>
      <c r="B289" s="939"/>
      <c r="C289" s="939"/>
      <c r="D289" s="939"/>
      <c r="E289" s="939"/>
      <c r="F289" s="939"/>
      <c r="G289" s="939"/>
      <c r="H289" s="939"/>
      <c r="I289" s="939"/>
      <c r="J289" s="939"/>
      <c r="K289" s="939"/>
      <c r="L289" s="939"/>
      <c r="M289" s="939"/>
      <c r="N289" s="939"/>
      <c r="O289" s="939"/>
      <c r="P289" s="939"/>
      <c r="Q289" s="939"/>
      <c r="R289" s="939"/>
      <c r="S289" s="939"/>
      <c r="T289" s="939"/>
      <c r="U289" s="939"/>
      <c r="V289" s="939"/>
      <c r="W289" s="939"/>
      <c r="X289" s="939"/>
      <c r="Y289" s="939"/>
      <c r="Z289" s="939"/>
      <c r="AA289" s="939"/>
      <c r="AB289" s="939"/>
      <c r="AC289" s="939"/>
      <c r="AD289" s="939"/>
      <c r="AE289" s="939"/>
      <c r="AF289" s="939"/>
      <c r="AG289" s="939"/>
      <c r="AH289" s="939"/>
      <c r="AI289" s="939"/>
      <c r="AJ289" s="939"/>
      <c r="AK289" s="939"/>
      <c r="AL289" s="939"/>
      <c r="AM289" s="939"/>
      <c r="AN289" s="939"/>
    </row>
    <row r="290" spans="1:40" ht="15" customHeight="1">
      <c r="A290" s="939"/>
      <c r="B290" s="939"/>
      <c r="C290" s="939"/>
      <c r="D290" s="939"/>
      <c r="E290" s="939"/>
      <c r="F290" s="939"/>
      <c r="G290" s="939"/>
      <c r="H290" s="939"/>
      <c r="I290" s="939"/>
      <c r="J290" s="939"/>
      <c r="K290" s="939"/>
      <c r="L290" s="939"/>
      <c r="M290" s="939"/>
      <c r="N290" s="939"/>
      <c r="O290" s="939"/>
      <c r="P290" s="939"/>
      <c r="Q290" s="939"/>
      <c r="R290" s="939"/>
      <c r="S290" s="939"/>
      <c r="T290" s="939"/>
      <c r="U290" s="939"/>
      <c r="V290" s="939"/>
      <c r="W290" s="939"/>
      <c r="X290" s="939"/>
      <c r="Y290" s="939"/>
      <c r="Z290" s="939"/>
      <c r="AA290" s="939"/>
      <c r="AB290" s="939"/>
      <c r="AC290" s="939"/>
      <c r="AD290" s="939"/>
      <c r="AE290" s="939"/>
      <c r="AF290" s="939"/>
      <c r="AG290" s="939"/>
      <c r="AH290" s="939"/>
      <c r="AI290" s="939"/>
      <c r="AJ290" s="939"/>
      <c r="AK290" s="939"/>
      <c r="AL290" s="939"/>
      <c r="AM290" s="939"/>
      <c r="AN290" s="939"/>
    </row>
    <row r="291" spans="1:40" ht="15" customHeight="1">
      <c r="A291" s="939"/>
      <c r="B291" s="939"/>
      <c r="C291" s="939"/>
      <c r="D291" s="939"/>
      <c r="E291" s="939"/>
      <c r="F291" s="939"/>
      <c r="G291" s="939"/>
      <c r="H291" s="939"/>
      <c r="I291" s="939"/>
      <c r="J291" s="939"/>
      <c r="K291" s="939"/>
      <c r="L291" s="939"/>
      <c r="M291" s="939"/>
      <c r="N291" s="939"/>
      <c r="O291" s="939"/>
      <c r="P291" s="939"/>
      <c r="Q291" s="939"/>
      <c r="R291" s="939"/>
      <c r="S291" s="939"/>
      <c r="T291" s="939"/>
      <c r="U291" s="939"/>
      <c r="V291" s="939"/>
      <c r="W291" s="939"/>
      <c r="X291" s="939"/>
      <c r="Y291" s="939"/>
      <c r="Z291" s="939"/>
      <c r="AA291" s="939"/>
      <c r="AB291" s="939"/>
      <c r="AC291" s="939"/>
      <c r="AD291" s="939"/>
      <c r="AE291" s="939"/>
      <c r="AF291" s="939"/>
      <c r="AG291" s="939"/>
      <c r="AH291" s="939"/>
      <c r="AI291" s="939"/>
      <c r="AJ291" s="939"/>
      <c r="AK291" s="939"/>
      <c r="AL291" s="939"/>
      <c r="AM291" s="939"/>
      <c r="AN291" s="939"/>
    </row>
    <row r="292" spans="1:40" ht="15" customHeight="1">
      <c r="A292" s="939"/>
      <c r="B292" s="939"/>
      <c r="C292" s="939"/>
      <c r="D292" s="939"/>
      <c r="E292" s="939"/>
      <c r="F292" s="939"/>
      <c r="G292" s="939"/>
      <c r="H292" s="939"/>
      <c r="I292" s="939"/>
      <c r="J292" s="939"/>
      <c r="K292" s="939"/>
      <c r="L292" s="939"/>
      <c r="M292" s="939"/>
      <c r="N292" s="939"/>
      <c r="O292" s="939"/>
      <c r="P292" s="939"/>
      <c r="Q292" s="939"/>
      <c r="R292" s="939"/>
      <c r="S292" s="939"/>
      <c r="T292" s="939"/>
      <c r="U292" s="939"/>
      <c r="V292" s="939"/>
      <c r="W292" s="939"/>
      <c r="X292" s="939"/>
      <c r="Y292" s="939"/>
      <c r="Z292" s="939"/>
      <c r="AA292" s="939"/>
      <c r="AB292" s="939"/>
      <c r="AC292" s="939"/>
      <c r="AD292" s="939"/>
      <c r="AE292" s="939"/>
      <c r="AF292" s="939"/>
      <c r="AG292" s="939"/>
      <c r="AH292" s="939"/>
      <c r="AI292" s="939"/>
      <c r="AJ292" s="939"/>
      <c r="AK292" s="939"/>
      <c r="AL292" s="939"/>
      <c r="AM292" s="939"/>
      <c r="AN292" s="939"/>
    </row>
    <row r="293" spans="1:40" ht="15" customHeight="1">
      <c r="A293" s="939"/>
      <c r="B293" s="939"/>
      <c r="C293" s="939"/>
      <c r="D293" s="939"/>
      <c r="E293" s="939"/>
      <c r="F293" s="939"/>
      <c r="G293" s="939"/>
      <c r="H293" s="939"/>
      <c r="I293" s="939"/>
      <c r="J293" s="939"/>
      <c r="K293" s="939"/>
      <c r="L293" s="939"/>
      <c r="M293" s="939"/>
      <c r="N293" s="939"/>
      <c r="O293" s="939"/>
      <c r="P293" s="939"/>
      <c r="Q293" s="939"/>
      <c r="R293" s="939"/>
      <c r="S293" s="939"/>
      <c r="T293" s="939"/>
      <c r="U293" s="939"/>
      <c r="V293" s="939"/>
      <c r="W293" s="939"/>
      <c r="X293" s="939"/>
      <c r="Y293" s="939"/>
      <c r="Z293" s="939"/>
      <c r="AA293" s="939"/>
      <c r="AB293" s="939"/>
      <c r="AC293" s="939"/>
      <c r="AD293" s="939"/>
      <c r="AE293" s="939"/>
      <c r="AF293" s="939"/>
      <c r="AG293" s="939"/>
      <c r="AH293" s="939"/>
      <c r="AI293" s="939"/>
      <c r="AJ293" s="939"/>
      <c r="AK293" s="939"/>
      <c r="AL293" s="939"/>
      <c r="AM293" s="939"/>
      <c r="AN293" s="939"/>
    </row>
    <row r="294" spans="1:40" ht="15" customHeight="1">
      <c r="A294" s="939"/>
      <c r="B294" s="939"/>
      <c r="C294" s="939"/>
      <c r="D294" s="939"/>
      <c r="E294" s="939"/>
      <c r="F294" s="939"/>
      <c r="G294" s="939"/>
      <c r="H294" s="939"/>
      <c r="I294" s="939"/>
      <c r="J294" s="939"/>
      <c r="K294" s="939"/>
      <c r="L294" s="939"/>
      <c r="M294" s="939"/>
      <c r="N294" s="939"/>
      <c r="O294" s="939"/>
      <c r="P294" s="939"/>
      <c r="Q294" s="939"/>
      <c r="R294" s="939"/>
      <c r="S294" s="939"/>
      <c r="T294" s="939"/>
      <c r="U294" s="939"/>
      <c r="V294" s="939"/>
      <c r="W294" s="939"/>
      <c r="X294" s="939"/>
      <c r="Y294" s="939"/>
      <c r="Z294" s="939"/>
      <c r="AA294" s="939"/>
      <c r="AB294" s="939"/>
      <c r="AC294" s="939"/>
      <c r="AD294" s="939"/>
      <c r="AE294" s="939"/>
      <c r="AF294" s="939"/>
      <c r="AG294" s="939"/>
      <c r="AH294" s="939"/>
      <c r="AI294" s="939"/>
      <c r="AJ294" s="939"/>
      <c r="AK294" s="939"/>
      <c r="AL294" s="939"/>
      <c r="AM294" s="939"/>
      <c r="AN294" s="939"/>
    </row>
    <row r="295" spans="1:40" ht="15" customHeight="1">
      <c r="A295" s="939"/>
      <c r="B295" s="939"/>
      <c r="C295" s="939"/>
      <c r="D295" s="939"/>
      <c r="E295" s="939"/>
      <c r="F295" s="939"/>
      <c r="G295" s="939"/>
      <c r="H295" s="939"/>
      <c r="I295" s="939"/>
      <c r="J295" s="939"/>
      <c r="K295" s="939"/>
      <c r="L295" s="939"/>
      <c r="M295" s="939"/>
      <c r="N295" s="939"/>
      <c r="O295" s="939"/>
      <c r="P295" s="939"/>
      <c r="Q295" s="939"/>
      <c r="R295" s="939"/>
      <c r="S295" s="939"/>
      <c r="T295" s="939"/>
      <c r="U295" s="939"/>
      <c r="V295" s="939"/>
      <c r="W295" s="939"/>
      <c r="X295" s="939"/>
      <c r="Y295" s="939"/>
      <c r="Z295" s="939"/>
      <c r="AA295" s="939"/>
      <c r="AB295" s="939"/>
      <c r="AC295" s="939"/>
      <c r="AD295" s="939"/>
      <c r="AE295" s="939"/>
      <c r="AF295" s="939"/>
      <c r="AG295" s="939"/>
      <c r="AH295" s="939"/>
      <c r="AI295" s="939"/>
      <c r="AJ295" s="939"/>
      <c r="AK295" s="939"/>
      <c r="AL295" s="939"/>
      <c r="AM295" s="939"/>
      <c r="AN295" s="939"/>
    </row>
    <row r="296" spans="1:40" ht="15" customHeight="1">
      <c r="A296" s="939"/>
      <c r="B296" s="939"/>
      <c r="C296" s="939"/>
      <c r="D296" s="939"/>
      <c r="E296" s="939"/>
      <c r="F296" s="939"/>
      <c r="G296" s="939"/>
      <c r="H296" s="939"/>
      <c r="I296" s="939"/>
      <c r="J296" s="939"/>
      <c r="K296" s="939"/>
      <c r="L296" s="939"/>
      <c r="M296" s="939"/>
      <c r="N296" s="939"/>
      <c r="O296" s="939"/>
      <c r="P296" s="939"/>
      <c r="Q296" s="939"/>
      <c r="R296" s="939"/>
      <c r="S296" s="939"/>
      <c r="T296" s="939"/>
      <c r="U296" s="939"/>
      <c r="V296" s="939"/>
      <c r="W296" s="939"/>
      <c r="X296" s="939"/>
      <c r="Y296" s="939"/>
      <c r="Z296" s="939"/>
      <c r="AA296" s="939"/>
      <c r="AB296" s="939"/>
      <c r="AC296" s="939"/>
      <c r="AD296" s="939"/>
      <c r="AE296" s="939"/>
      <c r="AF296" s="939"/>
      <c r="AG296" s="939"/>
      <c r="AH296" s="939"/>
      <c r="AI296" s="939"/>
      <c r="AJ296" s="939"/>
      <c r="AK296" s="939"/>
      <c r="AL296" s="939"/>
      <c r="AM296" s="939"/>
      <c r="AN296" s="939"/>
    </row>
    <row r="297" spans="1:40" ht="15" customHeight="1">
      <c r="A297" s="939"/>
      <c r="B297" s="939"/>
      <c r="C297" s="939"/>
      <c r="D297" s="939"/>
      <c r="E297" s="939"/>
      <c r="F297" s="939"/>
      <c r="G297" s="939"/>
      <c r="H297" s="939"/>
      <c r="I297" s="939"/>
      <c r="J297" s="939"/>
      <c r="K297" s="939"/>
      <c r="L297" s="939"/>
      <c r="M297" s="939"/>
      <c r="N297" s="939"/>
      <c r="O297" s="939"/>
      <c r="P297" s="939"/>
      <c r="Q297" s="939"/>
      <c r="R297" s="939"/>
      <c r="S297" s="939"/>
      <c r="T297" s="939"/>
      <c r="U297" s="939"/>
      <c r="V297" s="939"/>
      <c r="W297" s="939"/>
      <c r="X297" s="939"/>
      <c r="Y297" s="939"/>
      <c r="Z297" s="939"/>
      <c r="AA297" s="939"/>
      <c r="AB297" s="939"/>
      <c r="AC297" s="939"/>
      <c r="AD297" s="939"/>
      <c r="AE297" s="939"/>
      <c r="AF297" s="939"/>
      <c r="AG297" s="939"/>
      <c r="AH297" s="939"/>
      <c r="AI297" s="939"/>
      <c r="AJ297" s="939"/>
      <c r="AK297" s="939"/>
      <c r="AL297" s="939"/>
      <c r="AM297" s="939"/>
      <c r="AN297" s="939"/>
    </row>
    <row r="298" spans="1:40" ht="15" customHeight="1">
      <c r="A298" s="939"/>
      <c r="B298" s="939"/>
      <c r="C298" s="939"/>
      <c r="D298" s="939"/>
      <c r="E298" s="939"/>
      <c r="F298" s="939"/>
      <c r="G298" s="939"/>
      <c r="H298" s="939"/>
      <c r="I298" s="939"/>
      <c r="J298" s="939"/>
      <c r="K298" s="939"/>
      <c r="L298" s="939"/>
      <c r="M298" s="939"/>
      <c r="N298" s="939"/>
      <c r="O298" s="939"/>
      <c r="P298" s="939"/>
      <c r="Q298" s="939"/>
      <c r="R298" s="939"/>
      <c r="S298" s="939"/>
      <c r="T298" s="939"/>
      <c r="U298" s="939"/>
      <c r="V298" s="939"/>
      <c r="W298" s="939"/>
      <c r="X298" s="939"/>
      <c r="Y298" s="939"/>
      <c r="Z298" s="939"/>
      <c r="AA298" s="939"/>
      <c r="AB298" s="939"/>
      <c r="AC298" s="939"/>
      <c r="AD298" s="939"/>
      <c r="AE298" s="939"/>
      <c r="AF298" s="939"/>
      <c r="AG298" s="939"/>
      <c r="AH298" s="939"/>
      <c r="AI298" s="939"/>
      <c r="AJ298" s="939"/>
      <c r="AK298" s="939"/>
      <c r="AL298" s="939"/>
      <c r="AM298" s="939"/>
      <c r="AN298" s="939"/>
    </row>
    <row r="299" spans="1:40" ht="15" customHeight="1">
      <c r="A299" s="939"/>
      <c r="B299" s="939"/>
      <c r="C299" s="939"/>
      <c r="D299" s="939"/>
      <c r="E299" s="939"/>
      <c r="F299" s="939"/>
      <c r="G299" s="939"/>
      <c r="H299" s="939"/>
      <c r="I299" s="939"/>
      <c r="J299" s="939"/>
      <c r="K299" s="939"/>
      <c r="L299" s="939"/>
      <c r="M299" s="939"/>
      <c r="N299" s="939"/>
      <c r="O299" s="939"/>
      <c r="P299" s="939"/>
      <c r="Q299" s="939"/>
      <c r="R299" s="939"/>
      <c r="S299" s="939"/>
      <c r="T299" s="939"/>
      <c r="U299" s="939"/>
      <c r="V299" s="939"/>
      <c r="W299" s="939"/>
      <c r="X299" s="939"/>
      <c r="Y299" s="939"/>
      <c r="Z299" s="939"/>
      <c r="AA299" s="939"/>
      <c r="AB299" s="939"/>
      <c r="AC299" s="939"/>
      <c r="AD299" s="939"/>
      <c r="AE299" s="939"/>
      <c r="AF299" s="939"/>
      <c r="AG299" s="939"/>
      <c r="AH299" s="939"/>
      <c r="AI299" s="939"/>
      <c r="AJ299" s="939"/>
      <c r="AK299" s="939"/>
      <c r="AL299" s="939"/>
      <c r="AM299" s="939"/>
      <c r="AN299" s="939"/>
    </row>
    <row r="300" spans="1:40" ht="15" customHeight="1">
      <c r="A300" s="939"/>
      <c r="B300" s="939"/>
      <c r="C300" s="939"/>
      <c r="D300" s="939"/>
      <c r="E300" s="939"/>
      <c r="F300" s="939"/>
      <c r="G300" s="939"/>
      <c r="H300" s="939"/>
      <c r="I300" s="939"/>
      <c r="J300" s="939"/>
      <c r="K300" s="939"/>
      <c r="L300" s="939"/>
      <c r="M300" s="939"/>
      <c r="N300" s="939"/>
      <c r="O300" s="939"/>
      <c r="P300" s="939"/>
      <c r="Q300" s="939"/>
      <c r="R300" s="939"/>
      <c r="S300" s="939"/>
      <c r="T300" s="939"/>
      <c r="U300" s="939"/>
      <c r="V300" s="939"/>
      <c r="W300" s="939"/>
      <c r="X300" s="939"/>
      <c r="Y300" s="939"/>
      <c r="Z300" s="939"/>
      <c r="AA300" s="939"/>
      <c r="AB300" s="939"/>
      <c r="AC300" s="939"/>
      <c r="AD300" s="939"/>
      <c r="AE300" s="939"/>
      <c r="AF300" s="939"/>
      <c r="AG300" s="939"/>
      <c r="AH300" s="939"/>
      <c r="AI300" s="939"/>
      <c r="AJ300" s="939"/>
      <c r="AK300" s="939"/>
      <c r="AL300" s="939"/>
      <c r="AM300" s="939"/>
      <c r="AN300" s="939"/>
    </row>
    <row r="301" spans="1:40" ht="15" customHeight="1">
      <c r="A301" s="939"/>
      <c r="B301" s="939"/>
      <c r="C301" s="939"/>
      <c r="D301" s="939"/>
      <c r="E301" s="939"/>
      <c r="F301" s="939"/>
      <c r="G301" s="939"/>
      <c r="H301" s="939"/>
      <c r="I301" s="939"/>
      <c r="J301" s="939"/>
      <c r="K301" s="939"/>
      <c r="L301" s="939"/>
      <c r="M301" s="939"/>
      <c r="N301" s="939"/>
      <c r="O301" s="939"/>
      <c r="P301" s="939"/>
      <c r="Q301" s="939"/>
      <c r="R301" s="939"/>
      <c r="S301" s="939"/>
      <c r="T301" s="939"/>
      <c r="U301" s="939"/>
      <c r="V301" s="939"/>
      <c r="W301" s="939"/>
      <c r="X301" s="939"/>
      <c r="Y301" s="939"/>
      <c r="Z301" s="939"/>
      <c r="AA301" s="939"/>
      <c r="AB301" s="939"/>
      <c r="AC301" s="939"/>
      <c r="AD301" s="939"/>
      <c r="AE301" s="939"/>
      <c r="AF301" s="939"/>
      <c r="AG301" s="939"/>
      <c r="AH301" s="939"/>
      <c r="AI301" s="939"/>
      <c r="AJ301" s="939"/>
      <c r="AK301" s="939"/>
      <c r="AL301" s="939"/>
      <c r="AM301" s="939"/>
      <c r="AN301" s="939"/>
    </row>
    <row r="302" spans="1:40" ht="15" customHeight="1">
      <c r="A302" s="939"/>
      <c r="B302" s="939"/>
      <c r="C302" s="939"/>
      <c r="D302" s="939"/>
      <c r="E302" s="939"/>
      <c r="F302" s="939"/>
      <c r="G302" s="939"/>
      <c r="H302" s="939"/>
      <c r="I302" s="939"/>
      <c r="J302" s="939"/>
      <c r="K302" s="939"/>
      <c r="L302" s="939"/>
      <c r="M302" s="939"/>
      <c r="N302" s="939"/>
      <c r="O302" s="939"/>
      <c r="P302" s="939"/>
      <c r="Q302" s="939"/>
      <c r="R302" s="939"/>
      <c r="S302" s="939"/>
      <c r="T302" s="939"/>
      <c r="U302" s="939"/>
      <c r="V302" s="939"/>
      <c r="W302" s="939"/>
      <c r="X302" s="939"/>
      <c r="Y302" s="939"/>
      <c r="Z302" s="939"/>
      <c r="AA302" s="939"/>
      <c r="AB302" s="939"/>
      <c r="AC302" s="939"/>
      <c r="AD302" s="939"/>
      <c r="AE302" s="939"/>
      <c r="AF302" s="939"/>
      <c r="AG302" s="939"/>
      <c r="AH302" s="939"/>
      <c r="AI302" s="939"/>
      <c r="AJ302" s="939"/>
      <c r="AK302" s="939"/>
      <c r="AL302" s="939"/>
      <c r="AM302" s="939"/>
      <c r="AN302" s="939"/>
    </row>
    <row r="303" spans="1:40" ht="15" customHeight="1">
      <c r="A303" s="939"/>
      <c r="B303" s="939"/>
      <c r="C303" s="939"/>
      <c r="D303" s="939"/>
      <c r="E303" s="939"/>
      <c r="F303" s="939"/>
      <c r="G303" s="939"/>
      <c r="H303" s="939"/>
      <c r="I303" s="939"/>
      <c r="J303" s="939"/>
      <c r="K303" s="939"/>
      <c r="L303" s="939"/>
      <c r="M303" s="939"/>
      <c r="N303" s="939"/>
      <c r="O303" s="939"/>
      <c r="P303" s="939"/>
      <c r="Q303" s="939"/>
      <c r="R303" s="939"/>
      <c r="S303" s="939"/>
      <c r="T303" s="939"/>
      <c r="U303" s="939"/>
      <c r="V303" s="939"/>
      <c r="W303" s="939"/>
      <c r="X303" s="939"/>
      <c r="Y303" s="939"/>
      <c r="Z303" s="939"/>
      <c r="AA303" s="939"/>
      <c r="AB303" s="939"/>
      <c r="AC303" s="939"/>
      <c r="AD303" s="939"/>
      <c r="AE303" s="939"/>
      <c r="AF303" s="939"/>
      <c r="AG303" s="939"/>
      <c r="AH303" s="939"/>
      <c r="AI303" s="939"/>
      <c r="AJ303" s="939"/>
      <c r="AK303" s="939"/>
      <c r="AL303" s="939"/>
      <c r="AM303" s="939"/>
      <c r="AN303" s="939"/>
    </row>
    <row r="304" spans="1:40" ht="15" customHeight="1">
      <c r="A304" s="939"/>
      <c r="B304" s="939"/>
      <c r="C304" s="939"/>
      <c r="D304" s="939"/>
      <c r="E304" s="939"/>
      <c r="F304" s="939"/>
      <c r="G304" s="939"/>
      <c r="H304" s="939"/>
      <c r="I304" s="939"/>
      <c r="J304" s="939"/>
      <c r="K304" s="939"/>
      <c r="L304" s="939"/>
      <c r="M304" s="939"/>
      <c r="N304" s="939"/>
      <c r="O304" s="939"/>
      <c r="P304" s="939"/>
      <c r="Q304" s="939"/>
      <c r="R304" s="939"/>
      <c r="S304" s="939"/>
      <c r="T304" s="939"/>
      <c r="U304" s="939"/>
      <c r="V304" s="939"/>
      <c r="W304" s="939"/>
      <c r="X304" s="939"/>
      <c r="Y304" s="939"/>
      <c r="Z304" s="939"/>
      <c r="AA304" s="939"/>
      <c r="AB304" s="939"/>
      <c r="AC304" s="939"/>
      <c r="AD304" s="939"/>
      <c r="AE304" s="939"/>
      <c r="AF304" s="939"/>
      <c r="AG304" s="939"/>
      <c r="AH304" s="939"/>
      <c r="AI304" s="939"/>
      <c r="AJ304" s="939"/>
      <c r="AK304" s="939"/>
      <c r="AL304" s="939"/>
      <c r="AM304" s="939"/>
      <c r="AN304" s="939"/>
    </row>
    <row r="305" spans="1:40" ht="15" customHeight="1">
      <c r="A305" s="939"/>
      <c r="B305" s="939"/>
      <c r="C305" s="939"/>
      <c r="D305" s="939"/>
      <c r="E305" s="939"/>
      <c r="F305" s="939"/>
      <c r="G305" s="939"/>
      <c r="H305" s="939"/>
      <c r="I305" s="939"/>
      <c r="J305" s="939"/>
      <c r="K305" s="939"/>
      <c r="L305" s="939"/>
      <c r="M305" s="939"/>
      <c r="N305" s="939"/>
      <c r="O305" s="939"/>
      <c r="P305" s="939"/>
      <c r="Q305" s="939"/>
      <c r="R305" s="939"/>
      <c r="S305" s="939"/>
      <c r="T305" s="939"/>
      <c r="U305" s="939"/>
      <c r="V305" s="939"/>
      <c r="W305" s="939"/>
      <c r="X305" s="939"/>
      <c r="Y305" s="939"/>
      <c r="Z305" s="939"/>
      <c r="AA305" s="939"/>
      <c r="AB305" s="939"/>
      <c r="AC305" s="939"/>
      <c r="AD305" s="939"/>
      <c r="AE305" s="939"/>
      <c r="AF305" s="939"/>
      <c r="AG305" s="939"/>
      <c r="AH305" s="939"/>
      <c r="AI305" s="939"/>
      <c r="AJ305" s="939"/>
      <c r="AK305" s="939"/>
      <c r="AL305" s="939"/>
      <c r="AM305" s="939"/>
      <c r="AN305" s="939"/>
    </row>
    <row r="306" spans="1:40" ht="15" customHeight="1">
      <c r="A306" s="939"/>
      <c r="B306" s="939"/>
      <c r="C306" s="939"/>
      <c r="D306" s="939"/>
      <c r="E306" s="939"/>
      <c r="F306" s="939"/>
      <c r="G306" s="939"/>
      <c r="H306" s="939"/>
      <c r="I306" s="939"/>
      <c r="J306" s="939"/>
      <c r="K306" s="939"/>
      <c r="L306" s="939"/>
      <c r="M306" s="939"/>
      <c r="N306" s="939"/>
      <c r="O306" s="939"/>
      <c r="P306" s="939"/>
      <c r="Q306" s="939"/>
      <c r="R306" s="939"/>
      <c r="S306" s="939"/>
      <c r="T306" s="939"/>
      <c r="U306" s="939"/>
      <c r="V306" s="939"/>
      <c r="W306" s="939"/>
      <c r="X306" s="939"/>
      <c r="Y306" s="939"/>
      <c r="Z306" s="939"/>
      <c r="AA306" s="939"/>
      <c r="AB306" s="939"/>
      <c r="AC306" s="939"/>
      <c r="AD306" s="939"/>
      <c r="AE306" s="939"/>
      <c r="AF306" s="939"/>
      <c r="AG306" s="939"/>
      <c r="AH306" s="939"/>
      <c r="AI306" s="939"/>
      <c r="AJ306" s="939"/>
      <c r="AK306" s="939"/>
      <c r="AL306" s="939"/>
      <c r="AM306" s="939"/>
      <c r="AN306" s="939"/>
    </row>
    <row r="307" spans="1:40" ht="15" customHeight="1">
      <c r="A307" s="939"/>
      <c r="B307" s="939"/>
      <c r="C307" s="939"/>
      <c r="D307" s="939"/>
      <c r="E307" s="939"/>
      <c r="F307" s="939"/>
      <c r="G307" s="939"/>
      <c r="H307" s="939"/>
      <c r="I307" s="939"/>
      <c r="J307" s="939"/>
      <c r="K307" s="939"/>
      <c r="L307" s="939"/>
      <c r="M307" s="939"/>
      <c r="N307" s="939"/>
      <c r="O307" s="939"/>
      <c r="P307" s="939"/>
      <c r="Q307" s="939"/>
      <c r="R307" s="939"/>
      <c r="S307" s="939"/>
      <c r="T307" s="939"/>
      <c r="U307" s="939"/>
      <c r="V307" s="939"/>
      <c r="W307" s="939"/>
      <c r="X307" s="939"/>
      <c r="Y307" s="939"/>
      <c r="Z307" s="939"/>
      <c r="AA307" s="939"/>
      <c r="AB307" s="939"/>
      <c r="AC307" s="939"/>
      <c r="AD307" s="939"/>
      <c r="AE307" s="939"/>
      <c r="AF307" s="939"/>
      <c r="AG307" s="939"/>
      <c r="AH307" s="939"/>
      <c r="AI307" s="939"/>
      <c r="AJ307" s="939"/>
      <c r="AK307" s="939"/>
      <c r="AL307" s="939"/>
      <c r="AM307" s="939"/>
      <c r="AN307" s="939"/>
    </row>
    <row r="308" spans="1:40" ht="15" customHeight="1">
      <c r="A308" s="939"/>
      <c r="B308" s="939"/>
      <c r="C308" s="939"/>
      <c r="D308" s="939"/>
      <c r="E308" s="939"/>
      <c r="F308" s="939"/>
      <c r="G308" s="939"/>
      <c r="H308" s="939"/>
      <c r="I308" s="939"/>
      <c r="J308" s="939"/>
      <c r="K308" s="939"/>
      <c r="L308" s="939"/>
      <c r="M308" s="939"/>
      <c r="N308" s="939"/>
      <c r="O308" s="939"/>
      <c r="P308" s="939"/>
      <c r="Q308" s="939"/>
      <c r="R308" s="939"/>
      <c r="S308" s="939"/>
      <c r="T308" s="939"/>
      <c r="U308" s="939"/>
      <c r="V308" s="939"/>
      <c r="W308" s="939"/>
      <c r="X308" s="939"/>
      <c r="Y308" s="939"/>
      <c r="Z308" s="939"/>
      <c r="AA308" s="939"/>
      <c r="AB308" s="939"/>
      <c r="AC308" s="939"/>
      <c r="AD308" s="939"/>
      <c r="AE308" s="939"/>
      <c r="AF308" s="939"/>
      <c r="AG308" s="939"/>
      <c r="AH308" s="939"/>
      <c r="AI308" s="939"/>
      <c r="AJ308" s="939"/>
      <c r="AK308" s="939"/>
      <c r="AL308" s="939"/>
      <c r="AM308" s="939"/>
      <c r="AN308" s="939"/>
    </row>
    <row r="309" spans="1:40" ht="15" customHeight="1">
      <c r="A309" s="939"/>
      <c r="B309" s="939"/>
      <c r="C309" s="939"/>
      <c r="D309" s="939"/>
      <c r="E309" s="939"/>
      <c r="F309" s="939"/>
      <c r="G309" s="939"/>
      <c r="H309" s="939"/>
      <c r="I309" s="939"/>
      <c r="J309" s="939"/>
      <c r="K309" s="939"/>
      <c r="L309" s="939"/>
      <c r="M309" s="939"/>
      <c r="N309" s="939"/>
      <c r="O309" s="939"/>
      <c r="P309" s="939"/>
      <c r="Q309" s="939"/>
      <c r="R309" s="939"/>
      <c r="S309" s="939"/>
      <c r="T309" s="939"/>
      <c r="U309" s="939"/>
      <c r="V309" s="939"/>
      <c r="W309" s="939"/>
      <c r="X309" s="939"/>
      <c r="Y309" s="939"/>
      <c r="Z309" s="939"/>
      <c r="AA309" s="939"/>
      <c r="AB309" s="939"/>
      <c r="AC309" s="939"/>
      <c r="AD309" s="939"/>
      <c r="AE309" s="939"/>
      <c r="AF309" s="939"/>
      <c r="AG309" s="939"/>
      <c r="AH309" s="939"/>
      <c r="AI309" s="939"/>
      <c r="AJ309" s="939"/>
      <c r="AK309" s="939"/>
      <c r="AL309" s="939"/>
      <c r="AM309" s="939"/>
      <c r="AN309" s="939"/>
    </row>
    <row r="310" spans="1:40" ht="15" customHeight="1">
      <c r="A310" s="939"/>
      <c r="B310" s="939"/>
      <c r="C310" s="939"/>
      <c r="D310" s="939"/>
      <c r="E310" s="939"/>
      <c r="F310" s="939"/>
      <c r="G310" s="939"/>
      <c r="H310" s="939"/>
      <c r="I310" s="939"/>
      <c r="J310" s="939"/>
      <c r="K310" s="939"/>
      <c r="L310" s="939"/>
      <c r="M310" s="939"/>
      <c r="N310" s="939"/>
      <c r="O310" s="939"/>
      <c r="P310" s="939"/>
      <c r="Q310" s="939"/>
      <c r="R310" s="939"/>
      <c r="S310" s="939"/>
      <c r="T310" s="939"/>
      <c r="U310" s="939"/>
      <c r="V310" s="939"/>
      <c r="W310" s="939"/>
      <c r="X310" s="939"/>
      <c r="Y310" s="939"/>
      <c r="Z310" s="939"/>
      <c r="AA310" s="939"/>
      <c r="AB310" s="939"/>
      <c r="AC310" s="939"/>
      <c r="AD310" s="939"/>
      <c r="AE310" s="939"/>
      <c r="AF310" s="939"/>
      <c r="AG310" s="939"/>
      <c r="AH310" s="939"/>
      <c r="AI310" s="939"/>
      <c r="AJ310" s="939"/>
      <c r="AK310" s="939"/>
      <c r="AL310" s="939"/>
      <c r="AM310" s="939"/>
      <c r="AN310" s="939"/>
    </row>
    <row r="311" spans="1:40" ht="15" customHeight="1">
      <c r="A311" s="939"/>
      <c r="B311" s="939"/>
      <c r="C311" s="939"/>
      <c r="D311" s="939"/>
      <c r="E311" s="939"/>
      <c r="F311" s="939"/>
      <c r="G311" s="939"/>
      <c r="H311" s="939"/>
      <c r="I311" s="939"/>
      <c r="J311" s="939"/>
      <c r="K311" s="939"/>
      <c r="L311" s="939"/>
      <c r="M311" s="939"/>
      <c r="N311" s="939"/>
      <c r="O311" s="939"/>
      <c r="P311" s="939"/>
      <c r="Q311" s="939"/>
      <c r="R311" s="939"/>
      <c r="S311" s="939"/>
      <c r="T311" s="939"/>
      <c r="U311" s="939"/>
      <c r="V311" s="939"/>
      <c r="W311" s="939"/>
      <c r="X311" s="939"/>
      <c r="Y311" s="939"/>
      <c r="Z311" s="939"/>
      <c r="AA311" s="939"/>
      <c r="AB311" s="939"/>
      <c r="AC311" s="939"/>
      <c r="AD311" s="939"/>
      <c r="AE311" s="939"/>
      <c r="AF311" s="939"/>
      <c r="AG311" s="939"/>
      <c r="AH311" s="939"/>
      <c r="AI311" s="939"/>
      <c r="AJ311" s="939"/>
      <c r="AK311" s="939"/>
      <c r="AL311" s="939"/>
      <c r="AM311" s="939"/>
      <c r="AN311" s="939"/>
    </row>
    <row r="312" spans="1:40" ht="15" customHeight="1">
      <c r="A312" s="939"/>
      <c r="B312" s="939"/>
      <c r="C312" s="939"/>
      <c r="D312" s="939"/>
      <c r="E312" s="939"/>
      <c r="F312" s="939"/>
      <c r="G312" s="939"/>
      <c r="H312" s="939"/>
      <c r="I312" s="939"/>
      <c r="J312" s="939"/>
      <c r="K312" s="939"/>
      <c r="L312" s="939"/>
      <c r="M312" s="939"/>
      <c r="N312" s="939"/>
      <c r="O312" s="939"/>
      <c r="P312" s="939"/>
      <c r="Q312" s="939"/>
      <c r="R312" s="939"/>
      <c r="S312" s="939"/>
      <c r="T312" s="939"/>
      <c r="U312" s="939"/>
      <c r="V312" s="939"/>
      <c r="W312" s="939"/>
      <c r="X312" s="939"/>
      <c r="Y312" s="939"/>
      <c r="Z312" s="939"/>
      <c r="AA312" s="939"/>
      <c r="AB312" s="939"/>
      <c r="AC312" s="939"/>
      <c r="AD312" s="939"/>
      <c r="AE312" s="939"/>
      <c r="AF312" s="939"/>
      <c r="AG312" s="939"/>
      <c r="AH312" s="939"/>
      <c r="AI312" s="939"/>
      <c r="AJ312" s="939"/>
      <c r="AK312" s="939"/>
      <c r="AL312" s="939"/>
      <c r="AM312" s="939"/>
      <c r="AN312" s="939"/>
    </row>
    <row r="313" spans="1:40" ht="15" customHeight="1">
      <c r="A313" s="939"/>
      <c r="B313" s="939"/>
      <c r="C313" s="939"/>
      <c r="D313" s="939"/>
      <c r="E313" s="939"/>
      <c r="F313" s="939"/>
      <c r="G313" s="939"/>
      <c r="H313" s="939"/>
      <c r="I313" s="939"/>
      <c r="J313" s="939"/>
      <c r="K313" s="939"/>
      <c r="L313" s="939"/>
      <c r="M313" s="939"/>
      <c r="N313" s="939"/>
      <c r="O313" s="939"/>
      <c r="P313" s="939"/>
      <c r="Q313" s="939"/>
      <c r="R313" s="939"/>
      <c r="S313" s="939"/>
      <c r="T313" s="939"/>
      <c r="U313" s="939"/>
      <c r="V313" s="939"/>
      <c r="W313" s="939"/>
      <c r="X313" s="939"/>
      <c r="Y313" s="939"/>
      <c r="Z313" s="939"/>
      <c r="AA313" s="939"/>
      <c r="AB313" s="939"/>
      <c r="AC313" s="939"/>
      <c r="AD313" s="939"/>
      <c r="AE313" s="939"/>
      <c r="AF313" s="939"/>
      <c r="AG313" s="939"/>
      <c r="AH313" s="939"/>
      <c r="AI313" s="939"/>
      <c r="AJ313" s="939"/>
      <c r="AK313" s="939"/>
      <c r="AL313" s="939"/>
      <c r="AM313" s="939"/>
      <c r="AN313" s="939"/>
    </row>
    <row r="314" spans="1:40" ht="15" customHeight="1">
      <c r="A314" s="939"/>
      <c r="B314" s="939"/>
      <c r="C314" s="939"/>
      <c r="D314" s="939"/>
      <c r="E314" s="939"/>
      <c r="F314" s="939"/>
      <c r="G314" s="939"/>
      <c r="H314" s="939"/>
      <c r="I314" s="939"/>
      <c r="J314" s="939"/>
      <c r="K314" s="939"/>
      <c r="L314" s="939"/>
      <c r="M314" s="939"/>
      <c r="N314" s="939"/>
      <c r="O314" s="939"/>
      <c r="P314" s="939"/>
      <c r="Q314" s="939"/>
      <c r="R314" s="939"/>
      <c r="S314" s="939"/>
      <c r="T314" s="939"/>
      <c r="U314" s="939"/>
      <c r="V314" s="939"/>
      <c r="W314" s="939"/>
      <c r="X314" s="939"/>
      <c r="Y314" s="939"/>
      <c r="Z314" s="939"/>
      <c r="AA314" s="939"/>
      <c r="AB314" s="939"/>
      <c r="AC314" s="939"/>
      <c r="AD314" s="939"/>
      <c r="AE314" s="939"/>
      <c r="AF314" s="939"/>
      <c r="AG314" s="939"/>
      <c r="AH314" s="939"/>
      <c r="AI314" s="939"/>
      <c r="AJ314" s="939"/>
      <c r="AK314" s="939"/>
      <c r="AL314" s="939"/>
      <c r="AM314" s="939"/>
      <c r="AN314" s="939"/>
    </row>
    <row r="315" spans="1:40" ht="15" customHeight="1">
      <c r="A315" s="939"/>
      <c r="B315" s="939"/>
      <c r="C315" s="939"/>
      <c r="D315" s="939"/>
      <c r="E315" s="939"/>
      <c r="F315" s="939"/>
      <c r="G315" s="939"/>
      <c r="H315" s="939"/>
      <c r="I315" s="939"/>
      <c r="J315" s="939"/>
      <c r="K315" s="939"/>
      <c r="L315" s="939"/>
      <c r="M315" s="939"/>
      <c r="N315" s="939"/>
      <c r="O315" s="939"/>
      <c r="P315" s="939"/>
      <c r="Q315" s="939"/>
      <c r="R315" s="939"/>
      <c r="S315" s="939"/>
      <c r="T315" s="939"/>
      <c r="U315" s="939"/>
      <c r="V315" s="939"/>
      <c r="W315" s="939"/>
      <c r="X315" s="939"/>
      <c r="Y315" s="939"/>
      <c r="Z315" s="939"/>
      <c r="AA315" s="939"/>
      <c r="AB315" s="939"/>
      <c r="AC315" s="939"/>
      <c r="AD315" s="939"/>
      <c r="AE315" s="939"/>
      <c r="AF315" s="939"/>
      <c r="AG315" s="939"/>
      <c r="AH315" s="939"/>
      <c r="AI315" s="939"/>
      <c r="AJ315" s="939"/>
      <c r="AK315" s="939"/>
      <c r="AL315" s="939"/>
      <c r="AM315" s="939"/>
      <c r="AN315" s="939"/>
    </row>
    <row r="316" spans="1:40" ht="15" customHeight="1">
      <c r="A316" s="939"/>
      <c r="B316" s="939"/>
      <c r="C316" s="939"/>
      <c r="D316" s="939"/>
      <c r="E316" s="939"/>
      <c r="F316" s="939"/>
      <c r="G316" s="939"/>
      <c r="H316" s="939"/>
      <c r="I316" s="939"/>
      <c r="J316" s="939"/>
      <c r="K316" s="939"/>
      <c r="L316" s="939"/>
      <c r="M316" s="939"/>
      <c r="N316" s="939"/>
      <c r="O316" s="939"/>
      <c r="P316" s="939"/>
      <c r="Q316" s="939"/>
      <c r="R316" s="939"/>
      <c r="S316" s="939"/>
      <c r="T316" s="939"/>
      <c r="U316" s="939"/>
      <c r="V316" s="939"/>
      <c r="W316" s="939"/>
      <c r="X316" s="939"/>
      <c r="Y316" s="939"/>
      <c r="Z316" s="939"/>
      <c r="AA316" s="939"/>
      <c r="AB316" s="939"/>
      <c r="AC316" s="939"/>
      <c r="AD316" s="939"/>
      <c r="AE316" s="939"/>
      <c r="AF316" s="939"/>
      <c r="AG316" s="939"/>
      <c r="AH316" s="939"/>
      <c r="AI316" s="939"/>
      <c r="AJ316" s="939"/>
      <c r="AK316" s="939"/>
      <c r="AL316" s="939"/>
      <c r="AM316" s="939"/>
      <c r="AN316" s="939"/>
    </row>
    <row r="317" spans="1:40" ht="15" customHeight="1">
      <c r="A317" s="939"/>
      <c r="B317" s="939"/>
      <c r="C317" s="939"/>
      <c r="D317" s="939"/>
      <c r="E317" s="939"/>
      <c r="F317" s="939"/>
      <c r="G317" s="939"/>
      <c r="H317" s="939"/>
      <c r="I317" s="939"/>
      <c r="J317" s="939"/>
      <c r="K317" s="939"/>
      <c r="L317" s="939"/>
      <c r="M317" s="939"/>
      <c r="N317" s="939"/>
      <c r="O317" s="939"/>
      <c r="P317" s="939"/>
      <c r="Q317" s="939"/>
      <c r="R317" s="939"/>
      <c r="S317" s="939"/>
      <c r="T317" s="939"/>
      <c r="U317" s="939"/>
      <c r="V317" s="939"/>
      <c r="W317" s="939"/>
      <c r="X317" s="939"/>
      <c r="Y317" s="939"/>
      <c r="Z317" s="939"/>
      <c r="AA317" s="939"/>
      <c r="AB317" s="939"/>
      <c r="AC317" s="939"/>
      <c r="AD317" s="939"/>
      <c r="AE317" s="939"/>
      <c r="AF317" s="939"/>
      <c r="AG317" s="939"/>
      <c r="AH317" s="939"/>
      <c r="AI317" s="939"/>
      <c r="AJ317" s="939"/>
      <c r="AK317" s="939"/>
      <c r="AL317" s="939"/>
      <c r="AM317" s="939"/>
      <c r="AN317" s="939"/>
    </row>
    <row r="318" spans="1:40" ht="15" customHeight="1">
      <c r="A318" s="939"/>
      <c r="B318" s="939"/>
      <c r="C318" s="939"/>
      <c r="D318" s="939"/>
      <c r="E318" s="939"/>
      <c r="F318" s="939"/>
      <c r="G318" s="939"/>
      <c r="H318" s="939"/>
      <c r="I318" s="939"/>
      <c r="J318" s="939"/>
      <c r="K318" s="939"/>
      <c r="L318" s="939"/>
      <c r="M318" s="939"/>
      <c r="N318" s="939"/>
      <c r="O318" s="939"/>
      <c r="P318" s="939"/>
      <c r="Q318" s="939"/>
      <c r="R318" s="939"/>
      <c r="S318" s="939"/>
      <c r="T318" s="939"/>
      <c r="U318" s="939"/>
      <c r="V318" s="939"/>
      <c r="W318" s="939"/>
      <c r="X318" s="939"/>
      <c r="Y318" s="939"/>
      <c r="Z318" s="939"/>
      <c r="AA318" s="939"/>
      <c r="AB318" s="939"/>
      <c r="AC318" s="939"/>
      <c r="AD318" s="939"/>
      <c r="AE318" s="939"/>
      <c r="AF318" s="939"/>
      <c r="AG318" s="939"/>
      <c r="AH318" s="939"/>
      <c r="AI318" s="939"/>
      <c r="AJ318" s="939"/>
      <c r="AK318" s="939"/>
      <c r="AL318" s="939"/>
      <c r="AM318" s="939"/>
      <c r="AN318" s="939"/>
    </row>
    <row r="319" spans="1:40" ht="15" customHeight="1">
      <c r="A319" s="939"/>
      <c r="B319" s="939"/>
      <c r="C319" s="939"/>
      <c r="D319" s="939"/>
      <c r="E319" s="939"/>
      <c r="F319" s="939"/>
      <c r="G319" s="939"/>
      <c r="H319" s="939"/>
      <c r="I319" s="939"/>
      <c r="J319" s="939"/>
      <c r="K319" s="939"/>
      <c r="L319" s="939"/>
      <c r="M319" s="939"/>
      <c r="N319" s="939"/>
      <c r="O319" s="939"/>
      <c r="P319" s="939"/>
      <c r="Q319" s="939"/>
      <c r="R319" s="939"/>
      <c r="S319" s="939"/>
      <c r="T319" s="939"/>
      <c r="U319" s="939"/>
      <c r="V319" s="939"/>
      <c r="W319" s="939"/>
      <c r="X319" s="939"/>
      <c r="Y319" s="939"/>
      <c r="Z319" s="939"/>
      <c r="AA319" s="939"/>
      <c r="AB319" s="939"/>
      <c r="AC319" s="939"/>
      <c r="AD319" s="939"/>
      <c r="AE319" s="939"/>
      <c r="AF319" s="939"/>
      <c r="AG319" s="939"/>
      <c r="AH319" s="939"/>
      <c r="AI319" s="939"/>
      <c r="AJ319" s="939"/>
      <c r="AK319" s="939"/>
      <c r="AL319" s="939"/>
      <c r="AM319" s="939"/>
      <c r="AN319" s="939"/>
    </row>
    <row r="320" spans="1:40" ht="15" customHeight="1">
      <c r="A320" s="939"/>
      <c r="B320" s="939"/>
      <c r="C320" s="939"/>
      <c r="D320" s="939"/>
      <c r="E320" s="939"/>
      <c r="F320" s="939"/>
      <c r="G320" s="939"/>
      <c r="H320" s="939"/>
      <c r="I320" s="939"/>
      <c r="J320" s="939"/>
      <c r="K320" s="939"/>
      <c r="L320" s="939"/>
      <c r="M320" s="939"/>
      <c r="N320" s="939"/>
      <c r="O320" s="939"/>
      <c r="P320" s="939"/>
      <c r="Q320" s="939"/>
      <c r="R320" s="939"/>
      <c r="S320" s="939"/>
      <c r="T320" s="939"/>
      <c r="U320" s="939"/>
      <c r="V320" s="939"/>
      <c r="W320" s="939"/>
      <c r="X320" s="939"/>
      <c r="Y320" s="939"/>
      <c r="Z320" s="939"/>
      <c r="AA320" s="939"/>
      <c r="AB320" s="939"/>
      <c r="AC320" s="939"/>
      <c r="AD320" s="939"/>
      <c r="AE320" s="939"/>
      <c r="AF320" s="939"/>
      <c r="AG320" s="939"/>
      <c r="AH320" s="939"/>
      <c r="AI320" s="939"/>
      <c r="AJ320" s="939"/>
      <c r="AK320" s="939"/>
      <c r="AL320" s="939"/>
      <c r="AM320" s="939"/>
      <c r="AN320" s="939"/>
    </row>
    <row r="321" spans="1:40" ht="15" customHeight="1">
      <c r="A321" s="939"/>
      <c r="B321" s="939"/>
      <c r="C321" s="939"/>
      <c r="D321" s="939"/>
      <c r="E321" s="939"/>
      <c r="F321" s="939"/>
      <c r="G321" s="939"/>
      <c r="H321" s="939"/>
      <c r="I321" s="939"/>
      <c r="J321" s="939"/>
      <c r="K321" s="939"/>
      <c r="L321" s="939"/>
      <c r="M321" s="939"/>
      <c r="N321" s="939"/>
      <c r="O321" s="939"/>
      <c r="P321" s="939"/>
      <c r="Q321" s="939"/>
      <c r="R321" s="939"/>
      <c r="S321" s="939"/>
      <c r="T321" s="939"/>
      <c r="U321" s="939"/>
      <c r="V321" s="939"/>
      <c r="W321" s="939"/>
      <c r="X321" s="939"/>
      <c r="Y321" s="939"/>
      <c r="Z321" s="939"/>
      <c r="AA321" s="939"/>
      <c r="AB321" s="939"/>
      <c r="AC321" s="939"/>
      <c r="AD321" s="939"/>
      <c r="AE321" s="939"/>
      <c r="AF321" s="939"/>
      <c r="AG321" s="939"/>
      <c r="AH321" s="939"/>
      <c r="AI321" s="939"/>
      <c r="AJ321" s="939"/>
      <c r="AK321" s="939"/>
      <c r="AL321" s="939"/>
      <c r="AM321" s="939"/>
      <c r="AN321" s="939"/>
    </row>
    <row r="322" spans="1:40" ht="15" customHeight="1">
      <c r="A322" s="939"/>
      <c r="B322" s="939"/>
      <c r="C322" s="939"/>
      <c r="D322" s="939"/>
      <c r="E322" s="939"/>
      <c r="F322" s="939"/>
      <c r="G322" s="939"/>
      <c r="H322" s="939"/>
      <c r="I322" s="939"/>
      <c r="J322" s="939"/>
      <c r="K322" s="939"/>
      <c r="L322" s="939"/>
      <c r="M322" s="939"/>
      <c r="N322" s="939"/>
      <c r="O322" s="939"/>
      <c r="P322" s="939"/>
      <c r="Q322" s="939"/>
      <c r="R322" s="939"/>
      <c r="S322" s="939"/>
      <c r="T322" s="939"/>
      <c r="U322" s="939"/>
      <c r="V322" s="939"/>
      <c r="W322" s="939"/>
      <c r="X322" s="939"/>
      <c r="Y322" s="939"/>
      <c r="Z322" s="939"/>
      <c r="AA322" s="939"/>
      <c r="AB322" s="939"/>
      <c r="AC322" s="939"/>
      <c r="AD322" s="939"/>
      <c r="AE322" s="939"/>
      <c r="AF322" s="939"/>
      <c r="AG322" s="939"/>
      <c r="AH322" s="939"/>
      <c r="AI322" s="939"/>
      <c r="AJ322" s="939"/>
      <c r="AK322" s="939"/>
      <c r="AL322" s="939"/>
      <c r="AM322" s="939"/>
      <c r="AN322" s="939"/>
    </row>
    <row r="323" spans="1:40" ht="15" customHeight="1">
      <c r="A323" s="939"/>
      <c r="B323" s="939"/>
      <c r="C323" s="939"/>
      <c r="D323" s="939"/>
      <c r="E323" s="939"/>
      <c r="F323" s="939"/>
      <c r="G323" s="939"/>
      <c r="H323" s="939"/>
      <c r="I323" s="939"/>
      <c r="J323" s="939"/>
      <c r="K323" s="939"/>
      <c r="L323" s="939"/>
      <c r="M323" s="939"/>
      <c r="N323" s="939"/>
      <c r="O323" s="939"/>
      <c r="P323" s="939"/>
      <c r="Q323" s="939"/>
      <c r="R323" s="939"/>
      <c r="S323" s="939"/>
      <c r="T323" s="939"/>
      <c r="U323" s="939"/>
      <c r="V323" s="939"/>
      <c r="W323" s="939"/>
      <c r="X323" s="939"/>
      <c r="Y323" s="939"/>
      <c r="Z323" s="939"/>
      <c r="AA323" s="939"/>
      <c r="AB323" s="939"/>
      <c r="AC323" s="939"/>
      <c r="AD323" s="939"/>
      <c r="AE323" s="939"/>
      <c r="AF323" s="939"/>
      <c r="AG323" s="939"/>
      <c r="AH323" s="939"/>
      <c r="AI323" s="939"/>
      <c r="AJ323" s="939"/>
      <c r="AK323" s="939"/>
      <c r="AL323" s="939"/>
      <c r="AM323" s="939"/>
      <c r="AN323" s="939"/>
    </row>
    <row r="324" spans="1:40" ht="15" customHeight="1">
      <c r="A324" s="939"/>
      <c r="B324" s="939"/>
      <c r="C324" s="939"/>
      <c r="D324" s="939"/>
      <c r="E324" s="939"/>
      <c r="F324" s="939"/>
      <c r="G324" s="939"/>
      <c r="H324" s="939"/>
      <c r="I324" s="939"/>
      <c r="J324" s="939"/>
      <c r="K324" s="939"/>
      <c r="L324" s="939"/>
      <c r="M324" s="939"/>
      <c r="N324" s="939"/>
      <c r="O324" s="939"/>
      <c r="P324" s="939"/>
      <c r="Q324" s="939"/>
      <c r="R324" s="939"/>
      <c r="S324" s="939"/>
      <c r="T324" s="939"/>
      <c r="U324" s="939"/>
      <c r="V324" s="939"/>
      <c r="W324" s="939"/>
      <c r="X324" s="939"/>
      <c r="Y324" s="939"/>
      <c r="Z324" s="939"/>
      <c r="AA324" s="939"/>
      <c r="AB324" s="939"/>
      <c r="AC324" s="939"/>
      <c r="AD324" s="939"/>
      <c r="AE324" s="939"/>
      <c r="AF324" s="939"/>
      <c r="AG324" s="939"/>
      <c r="AH324" s="939"/>
      <c r="AI324" s="939"/>
      <c r="AJ324" s="939"/>
      <c r="AK324" s="939"/>
      <c r="AL324" s="939"/>
      <c r="AM324" s="939"/>
      <c r="AN324" s="939"/>
    </row>
    <row r="325" spans="1:40" ht="15" customHeight="1">
      <c r="A325" s="939"/>
      <c r="B325" s="939"/>
      <c r="C325" s="939"/>
      <c r="D325" s="939"/>
      <c r="E325" s="939"/>
      <c r="F325" s="939"/>
      <c r="G325" s="939"/>
      <c r="H325" s="939"/>
      <c r="I325" s="939"/>
      <c r="J325" s="939"/>
      <c r="K325" s="939"/>
      <c r="L325" s="939"/>
      <c r="M325" s="939"/>
      <c r="N325" s="939"/>
      <c r="O325" s="939"/>
      <c r="P325" s="939"/>
      <c r="Q325" s="939"/>
      <c r="R325" s="939"/>
      <c r="S325" s="939"/>
      <c r="T325" s="939"/>
      <c r="U325" s="939"/>
      <c r="V325" s="939"/>
      <c r="W325" s="939"/>
      <c r="X325" s="939"/>
      <c r="Y325" s="939"/>
      <c r="Z325" s="939"/>
      <c r="AA325" s="939"/>
      <c r="AB325" s="939"/>
      <c r="AC325" s="939"/>
      <c r="AD325" s="939"/>
      <c r="AE325" s="939"/>
      <c r="AF325" s="939"/>
      <c r="AG325" s="939"/>
      <c r="AH325" s="939"/>
      <c r="AI325" s="939"/>
      <c r="AJ325" s="939"/>
      <c r="AK325" s="939"/>
      <c r="AL325" s="939"/>
      <c r="AM325" s="939"/>
      <c r="AN325" s="939"/>
    </row>
    <row r="326" spans="1:40" ht="15" customHeight="1">
      <c r="A326" s="939"/>
      <c r="B326" s="939"/>
      <c r="C326" s="939"/>
      <c r="D326" s="939"/>
      <c r="E326" s="939"/>
      <c r="F326" s="939"/>
      <c r="G326" s="939"/>
      <c r="H326" s="939"/>
      <c r="I326" s="939"/>
      <c r="J326" s="939"/>
      <c r="K326" s="939"/>
      <c r="L326" s="939"/>
      <c r="M326" s="939"/>
      <c r="N326" s="939"/>
      <c r="O326" s="939"/>
      <c r="P326" s="939"/>
      <c r="Q326" s="939"/>
      <c r="R326" s="939"/>
      <c r="S326" s="939"/>
      <c r="T326" s="939"/>
      <c r="U326" s="939"/>
      <c r="V326" s="939"/>
      <c r="W326" s="939"/>
      <c r="X326" s="939"/>
      <c r="Y326" s="939"/>
      <c r="Z326" s="939"/>
      <c r="AA326" s="939"/>
      <c r="AB326" s="939"/>
      <c r="AC326" s="939"/>
      <c r="AD326" s="939"/>
      <c r="AE326" s="939"/>
      <c r="AF326" s="939"/>
      <c r="AG326" s="939"/>
      <c r="AH326" s="939"/>
      <c r="AI326" s="939"/>
      <c r="AJ326" s="939"/>
      <c r="AK326" s="939"/>
      <c r="AL326" s="939"/>
      <c r="AM326" s="939"/>
      <c r="AN326" s="939"/>
    </row>
    <row r="327" spans="1:40" ht="15" customHeight="1">
      <c r="A327" s="939"/>
      <c r="B327" s="939"/>
      <c r="C327" s="939"/>
      <c r="D327" s="939"/>
      <c r="E327" s="939"/>
      <c r="F327" s="939"/>
      <c r="G327" s="939"/>
      <c r="H327" s="939"/>
      <c r="I327" s="939"/>
      <c r="J327" s="939"/>
      <c r="K327" s="939"/>
      <c r="L327" s="939"/>
      <c r="M327" s="939"/>
      <c r="N327" s="939"/>
      <c r="O327" s="939"/>
      <c r="P327" s="939"/>
      <c r="Q327" s="939"/>
      <c r="R327" s="939"/>
      <c r="S327" s="939"/>
      <c r="T327" s="939"/>
      <c r="U327" s="939"/>
      <c r="V327" s="939"/>
      <c r="W327" s="939"/>
      <c r="X327" s="939"/>
      <c r="Y327" s="939"/>
      <c r="Z327" s="939"/>
      <c r="AA327" s="939"/>
      <c r="AB327" s="939"/>
      <c r="AC327" s="939"/>
      <c r="AD327" s="939"/>
      <c r="AE327" s="939"/>
      <c r="AF327" s="939"/>
      <c r="AG327" s="939"/>
      <c r="AH327" s="939"/>
      <c r="AI327" s="939"/>
      <c r="AJ327" s="939"/>
      <c r="AK327" s="939"/>
      <c r="AL327" s="939"/>
      <c r="AM327" s="939"/>
      <c r="AN327" s="939"/>
    </row>
    <row r="328" spans="1:40" ht="15" customHeight="1">
      <c r="A328" s="939"/>
      <c r="B328" s="939"/>
      <c r="C328" s="939"/>
      <c r="D328" s="939"/>
      <c r="E328" s="939"/>
      <c r="F328" s="939"/>
      <c r="G328" s="939"/>
      <c r="H328" s="939"/>
      <c r="I328" s="939"/>
      <c r="J328" s="939"/>
      <c r="K328" s="939"/>
      <c r="L328" s="939"/>
      <c r="M328" s="939"/>
      <c r="N328" s="939"/>
      <c r="O328" s="939"/>
      <c r="P328" s="939"/>
      <c r="Q328" s="939"/>
      <c r="R328" s="939"/>
      <c r="S328" s="939"/>
      <c r="T328" s="939"/>
      <c r="U328" s="939"/>
      <c r="V328" s="939"/>
      <c r="W328" s="939"/>
      <c r="X328" s="939"/>
      <c r="Y328" s="939"/>
      <c r="Z328" s="939"/>
      <c r="AA328" s="939"/>
      <c r="AB328" s="939"/>
      <c r="AC328" s="939"/>
      <c r="AD328" s="939"/>
      <c r="AE328" s="939"/>
      <c r="AF328" s="939"/>
      <c r="AG328" s="939"/>
      <c r="AH328" s="939"/>
      <c r="AI328" s="939"/>
      <c r="AJ328" s="939"/>
      <c r="AK328" s="939"/>
      <c r="AL328" s="939"/>
      <c r="AM328" s="939"/>
      <c r="AN328" s="939"/>
    </row>
    <row r="329" spans="1:40" ht="15" customHeight="1">
      <c r="A329" s="939"/>
      <c r="B329" s="939"/>
      <c r="C329" s="939"/>
      <c r="D329" s="939"/>
      <c r="E329" s="939"/>
      <c r="F329" s="939"/>
      <c r="G329" s="939"/>
      <c r="H329" s="939"/>
      <c r="I329" s="939"/>
      <c r="J329" s="939"/>
      <c r="K329" s="939"/>
      <c r="L329" s="939"/>
      <c r="M329" s="939"/>
      <c r="N329" s="939"/>
      <c r="O329" s="939"/>
      <c r="P329" s="939"/>
      <c r="Q329" s="939"/>
      <c r="R329" s="939"/>
      <c r="S329" s="939"/>
      <c r="T329" s="939"/>
      <c r="U329" s="939"/>
      <c r="V329" s="939"/>
      <c r="W329" s="939"/>
      <c r="X329" s="939"/>
      <c r="Y329" s="939"/>
      <c r="Z329" s="939"/>
      <c r="AA329" s="939"/>
      <c r="AB329" s="939"/>
      <c r="AC329" s="939"/>
      <c r="AD329" s="939"/>
      <c r="AE329" s="939"/>
      <c r="AF329" s="939"/>
      <c r="AG329" s="939"/>
      <c r="AH329" s="939"/>
      <c r="AI329" s="939"/>
      <c r="AJ329" s="939"/>
      <c r="AK329" s="939"/>
      <c r="AL329" s="939"/>
      <c r="AM329" s="939"/>
      <c r="AN329" s="939"/>
    </row>
    <row r="330" spans="1:40" ht="15" customHeight="1">
      <c r="A330" s="939"/>
      <c r="B330" s="939"/>
      <c r="C330" s="939"/>
      <c r="D330" s="939"/>
      <c r="E330" s="939"/>
      <c r="F330" s="939"/>
      <c r="G330" s="939"/>
      <c r="H330" s="939"/>
      <c r="I330" s="939"/>
      <c r="J330" s="939"/>
      <c r="K330" s="939"/>
      <c r="L330" s="939"/>
      <c r="M330" s="939"/>
      <c r="N330" s="939"/>
      <c r="O330" s="939"/>
      <c r="P330" s="939"/>
      <c r="Q330" s="939"/>
      <c r="R330" s="939"/>
      <c r="S330" s="939"/>
      <c r="T330" s="939"/>
      <c r="U330" s="939"/>
      <c r="V330" s="939"/>
      <c r="W330" s="939"/>
      <c r="X330" s="939"/>
      <c r="Y330" s="939"/>
      <c r="Z330" s="939"/>
      <c r="AA330" s="939"/>
      <c r="AB330" s="939"/>
      <c r="AC330" s="939"/>
      <c r="AD330" s="939"/>
      <c r="AE330" s="939"/>
      <c r="AF330" s="939"/>
      <c r="AG330" s="939"/>
      <c r="AH330" s="939"/>
      <c r="AI330" s="939"/>
      <c r="AJ330" s="939"/>
      <c r="AK330" s="939"/>
      <c r="AL330" s="939"/>
      <c r="AM330" s="939"/>
      <c r="AN330" s="939"/>
    </row>
    <row r="331" spans="1:40" ht="15" customHeight="1">
      <c r="A331" s="939"/>
      <c r="B331" s="939"/>
      <c r="C331" s="939"/>
      <c r="D331" s="939"/>
      <c r="E331" s="939"/>
      <c r="F331" s="939"/>
      <c r="G331" s="939"/>
      <c r="H331" s="939"/>
      <c r="I331" s="939"/>
      <c r="J331" s="939"/>
      <c r="K331" s="939"/>
      <c r="L331" s="939"/>
      <c r="M331" s="939"/>
      <c r="N331" s="939"/>
      <c r="O331" s="939"/>
      <c r="P331" s="939"/>
      <c r="Q331" s="939"/>
      <c r="R331" s="939"/>
      <c r="S331" s="939"/>
      <c r="T331" s="939"/>
      <c r="U331" s="939"/>
      <c r="V331" s="939"/>
      <c r="W331" s="939"/>
      <c r="X331" s="939"/>
      <c r="Y331" s="939"/>
      <c r="Z331" s="939"/>
      <c r="AA331" s="939"/>
      <c r="AB331" s="939"/>
      <c r="AC331" s="939"/>
      <c r="AD331" s="939"/>
      <c r="AE331" s="939"/>
      <c r="AF331" s="939"/>
      <c r="AG331" s="939"/>
      <c r="AH331" s="939"/>
      <c r="AI331" s="939"/>
      <c r="AJ331" s="939"/>
      <c r="AK331" s="939"/>
      <c r="AL331" s="939"/>
      <c r="AM331" s="939"/>
      <c r="AN331" s="939"/>
    </row>
    <row r="332" spans="1:40" ht="15" customHeight="1">
      <c r="A332" s="939"/>
      <c r="B332" s="939"/>
      <c r="C332" s="939"/>
      <c r="D332" s="939"/>
      <c r="E332" s="939"/>
      <c r="F332" s="939"/>
      <c r="G332" s="939"/>
      <c r="H332" s="939"/>
      <c r="I332" s="939"/>
      <c r="J332" s="939"/>
      <c r="K332" s="939"/>
      <c r="L332" s="939"/>
      <c r="M332" s="939"/>
      <c r="N332" s="939"/>
      <c r="O332" s="939"/>
      <c r="P332" s="939"/>
      <c r="Q332" s="939"/>
      <c r="R332" s="939"/>
      <c r="S332" s="939"/>
      <c r="T332" s="939"/>
      <c r="U332" s="939"/>
      <c r="V332" s="939"/>
      <c r="W332" s="939"/>
      <c r="X332" s="939"/>
      <c r="Y332" s="939"/>
      <c r="Z332" s="939"/>
      <c r="AA332" s="939"/>
      <c r="AB332" s="939"/>
      <c r="AC332" s="939"/>
      <c r="AD332" s="939"/>
      <c r="AE332" s="939"/>
      <c r="AF332" s="939"/>
      <c r="AG332" s="939"/>
      <c r="AH332" s="939"/>
      <c r="AI332" s="939"/>
      <c r="AJ332" s="939"/>
      <c r="AK332" s="939"/>
      <c r="AL332" s="939"/>
      <c r="AM332" s="939"/>
      <c r="AN332" s="939"/>
    </row>
    <row r="333" spans="1:40" ht="15" customHeight="1">
      <c r="A333" s="939"/>
      <c r="B333" s="939"/>
      <c r="C333" s="939"/>
      <c r="D333" s="939"/>
      <c r="E333" s="939"/>
      <c r="F333" s="939"/>
      <c r="G333" s="939"/>
      <c r="H333" s="939"/>
      <c r="I333" s="939"/>
      <c r="J333" s="939"/>
      <c r="K333" s="939"/>
      <c r="L333" s="939"/>
      <c r="M333" s="939"/>
      <c r="N333" s="939"/>
      <c r="O333" s="939"/>
      <c r="P333" s="939"/>
      <c r="Q333" s="939"/>
      <c r="R333" s="939"/>
      <c r="S333" s="939"/>
      <c r="T333" s="939"/>
      <c r="U333" s="939"/>
      <c r="V333" s="939"/>
      <c r="W333" s="939"/>
      <c r="X333" s="939"/>
      <c r="Y333" s="939"/>
      <c r="Z333" s="939"/>
      <c r="AA333" s="939"/>
      <c r="AB333" s="939"/>
      <c r="AC333" s="939"/>
      <c r="AD333" s="939"/>
      <c r="AE333" s="939"/>
      <c r="AF333" s="939"/>
      <c r="AG333" s="939"/>
      <c r="AH333" s="939"/>
      <c r="AI333" s="939"/>
      <c r="AJ333" s="939"/>
      <c r="AK333" s="939"/>
      <c r="AL333" s="939"/>
      <c r="AM333" s="939"/>
      <c r="AN333" s="939"/>
    </row>
    <row r="334" spans="1:40" ht="15" customHeight="1">
      <c r="A334" s="939"/>
      <c r="B334" s="939"/>
      <c r="C334" s="939"/>
      <c r="D334" s="939"/>
      <c r="E334" s="939"/>
      <c r="F334" s="939"/>
      <c r="G334" s="939"/>
      <c r="H334" s="939"/>
      <c r="I334" s="939"/>
      <c r="J334" s="939"/>
      <c r="K334" s="939"/>
      <c r="L334" s="939"/>
      <c r="M334" s="939"/>
      <c r="N334" s="939"/>
      <c r="O334" s="939"/>
      <c r="P334" s="939"/>
      <c r="Q334" s="939"/>
      <c r="R334" s="939"/>
      <c r="S334" s="939"/>
      <c r="T334" s="939"/>
      <c r="U334" s="939"/>
      <c r="V334" s="939"/>
      <c r="W334" s="939"/>
      <c r="X334" s="939"/>
      <c r="Y334" s="939"/>
      <c r="Z334" s="939"/>
      <c r="AA334" s="939"/>
      <c r="AB334" s="939"/>
      <c r="AC334" s="939"/>
      <c r="AD334" s="939"/>
      <c r="AE334" s="939"/>
      <c r="AF334" s="939"/>
      <c r="AG334" s="939"/>
      <c r="AH334" s="939"/>
      <c r="AI334" s="939"/>
      <c r="AJ334" s="939"/>
      <c r="AK334" s="939"/>
      <c r="AL334" s="939"/>
      <c r="AM334" s="939"/>
      <c r="AN334" s="939"/>
    </row>
    <row r="335" spans="1:40" ht="15" customHeight="1">
      <c r="A335" s="939"/>
      <c r="B335" s="939"/>
      <c r="C335" s="939"/>
      <c r="D335" s="939"/>
      <c r="E335" s="939"/>
      <c r="F335" s="939"/>
      <c r="G335" s="939"/>
      <c r="H335" s="939"/>
      <c r="I335" s="939"/>
      <c r="J335" s="939"/>
      <c r="K335" s="939"/>
      <c r="L335" s="939"/>
      <c r="M335" s="939"/>
      <c r="N335" s="939"/>
      <c r="O335" s="939"/>
      <c r="P335" s="939"/>
      <c r="Q335" s="939"/>
      <c r="R335" s="939"/>
      <c r="S335" s="939"/>
      <c r="T335" s="939"/>
      <c r="U335" s="939"/>
      <c r="V335" s="939"/>
      <c r="W335" s="939"/>
      <c r="X335" s="939"/>
      <c r="Y335" s="939"/>
      <c r="Z335" s="939"/>
      <c r="AA335" s="939"/>
      <c r="AB335" s="939"/>
      <c r="AC335" s="939"/>
      <c r="AD335" s="939"/>
      <c r="AE335" s="939"/>
      <c r="AF335" s="939"/>
      <c r="AG335" s="939"/>
      <c r="AH335" s="939"/>
      <c r="AI335" s="939"/>
      <c r="AJ335" s="939"/>
      <c r="AK335" s="939"/>
      <c r="AL335" s="939"/>
      <c r="AM335" s="939"/>
      <c r="AN335" s="939"/>
    </row>
    <row r="336" spans="1:40" ht="15" customHeight="1">
      <c r="A336" s="939"/>
      <c r="B336" s="939"/>
      <c r="C336" s="939"/>
      <c r="D336" s="939"/>
      <c r="E336" s="939"/>
      <c r="F336" s="939"/>
      <c r="G336" s="939"/>
      <c r="H336" s="939"/>
      <c r="I336" s="939"/>
      <c r="J336" s="939"/>
      <c r="K336" s="939"/>
      <c r="L336" s="939"/>
      <c r="M336" s="939"/>
      <c r="N336" s="939"/>
      <c r="O336" s="939"/>
      <c r="P336" s="939"/>
      <c r="Q336" s="939"/>
      <c r="R336" s="939"/>
      <c r="S336" s="939"/>
      <c r="T336" s="939"/>
      <c r="U336" s="939"/>
      <c r="V336" s="939"/>
      <c r="W336" s="939"/>
      <c r="X336" s="939"/>
      <c r="Y336" s="939"/>
      <c r="Z336" s="939"/>
      <c r="AA336" s="939"/>
      <c r="AB336" s="939"/>
      <c r="AC336" s="939"/>
      <c r="AD336" s="939"/>
      <c r="AE336" s="939"/>
      <c r="AF336" s="939"/>
      <c r="AG336" s="939"/>
      <c r="AH336" s="939"/>
      <c r="AI336" s="939"/>
      <c r="AJ336" s="939"/>
      <c r="AK336" s="939"/>
      <c r="AL336" s="939"/>
      <c r="AM336" s="939"/>
      <c r="AN336" s="939"/>
    </row>
    <row r="337" spans="1:40" ht="15" customHeight="1">
      <c r="A337" s="939"/>
      <c r="B337" s="939"/>
      <c r="C337" s="939"/>
      <c r="D337" s="939"/>
      <c r="E337" s="939"/>
      <c r="F337" s="939"/>
      <c r="G337" s="939"/>
      <c r="H337" s="939"/>
      <c r="I337" s="939"/>
      <c r="J337" s="939"/>
      <c r="K337" s="939"/>
      <c r="L337" s="939"/>
      <c r="M337" s="939"/>
      <c r="N337" s="939"/>
      <c r="O337" s="939"/>
      <c r="P337" s="939"/>
      <c r="Q337" s="939"/>
      <c r="R337" s="939"/>
      <c r="S337" s="939"/>
      <c r="T337" s="939"/>
      <c r="U337" s="939"/>
      <c r="V337" s="939"/>
      <c r="W337" s="939"/>
      <c r="X337" s="939"/>
      <c r="Y337" s="939"/>
      <c r="Z337" s="939"/>
      <c r="AA337" s="939"/>
      <c r="AB337" s="939"/>
      <c r="AC337" s="939"/>
      <c r="AD337" s="939"/>
      <c r="AE337" s="939"/>
      <c r="AF337" s="939"/>
      <c r="AG337" s="939"/>
      <c r="AH337" s="939"/>
      <c r="AI337" s="939"/>
      <c r="AJ337" s="939"/>
      <c r="AK337" s="939"/>
      <c r="AL337" s="939"/>
      <c r="AM337" s="939"/>
      <c r="AN337" s="939"/>
    </row>
    <row r="338" spans="1:40" ht="15" customHeight="1">
      <c r="A338" s="939"/>
      <c r="B338" s="939"/>
      <c r="C338" s="939"/>
      <c r="D338" s="939"/>
      <c r="E338" s="939"/>
      <c r="F338" s="939"/>
      <c r="G338" s="939"/>
      <c r="H338" s="939"/>
      <c r="I338" s="939"/>
      <c r="J338" s="939"/>
      <c r="K338" s="939"/>
      <c r="L338" s="939"/>
      <c r="M338" s="939"/>
      <c r="N338" s="939"/>
      <c r="O338" s="939"/>
      <c r="P338" s="939"/>
      <c r="Q338" s="939"/>
      <c r="R338" s="939"/>
      <c r="S338" s="939"/>
      <c r="T338" s="939"/>
      <c r="U338" s="939"/>
      <c r="V338" s="939"/>
      <c r="W338" s="939"/>
      <c r="X338" s="939"/>
      <c r="Y338" s="939"/>
      <c r="Z338" s="939"/>
      <c r="AA338" s="939"/>
      <c r="AB338" s="939"/>
      <c r="AC338" s="939"/>
      <c r="AD338" s="939"/>
      <c r="AE338" s="939"/>
      <c r="AF338" s="939"/>
      <c r="AG338" s="939"/>
      <c r="AH338" s="939"/>
      <c r="AI338" s="939"/>
      <c r="AJ338" s="939"/>
      <c r="AK338" s="939"/>
      <c r="AL338" s="939"/>
      <c r="AM338" s="939"/>
      <c r="AN338" s="939"/>
    </row>
    <row r="339" spans="1:40" ht="15" customHeight="1">
      <c r="A339" s="939"/>
      <c r="B339" s="939"/>
      <c r="C339" s="939"/>
      <c r="D339" s="939"/>
      <c r="E339" s="939"/>
      <c r="F339" s="939"/>
      <c r="G339" s="939"/>
      <c r="H339" s="939"/>
      <c r="I339" s="939"/>
      <c r="J339" s="939"/>
      <c r="K339" s="939"/>
      <c r="L339" s="939"/>
      <c r="M339" s="939"/>
      <c r="N339" s="939"/>
      <c r="O339" s="939"/>
      <c r="P339" s="939"/>
      <c r="Q339" s="939"/>
      <c r="R339" s="939"/>
      <c r="S339" s="939"/>
      <c r="T339" s="939"/>
      <c r="U339" s="939"/>
      <c r="V339" s="939"/>
      <c r="W339" s="939"/>
      <c r="X339" s="939"/>
      <c r="Y339" s="939"/>
      <c r="Z339" s="939"/>
      <c r="AA339" s="939"/>
      <c r="AB339" s="939"/>
      <c r="AC339" s="939"/>
      <c r="AD339" s="939"/>
      <c r="AE339" s="939"/>
      <c r="AF339" s="939"/>
      <c r="AG339" s="939"/>
      <c r="AH339" s="939"/>
      <c r="AI339" s="939"/>
      <c r="AJ339" s="939"/>
      <c r="AK339" s="939"/>
      <c r="AL339" s="939"/>
      <c r="AM339" s="939"/>
      <c r="AN339" s="939"/>
    </row>
    <row r="340" spans="1:40" ht="15" customHeight="1">
      <c r="A340" s="939"/>
      <c r="B340" s="939"/>
      <c r="C340" s="939"/>
      <c r="D340" s="939"/>
      <c r="E340" s="939"/>
      <c r="F340" s="939"/>
      <c r="G340" s="939"/>
      <c r="H340" s="939"/>
      <c r="I340" s="939"/>
      <c r="J340" s="939"/>
      <c r="K340" s="939"/>
      <c r="L340" s="939"/>
      <c r="M340" s="939"/>
      <c r="N340" s="939"/>
      <c r="O340" s="939"/>
      <c r="P340" s="939"/>
      <c r="Q340" s="939"/>
      <c r="R340" s="939"/>
      <c r="S340" s="939"/>
      <c r="T340" s="939"/>
      <c r="U340" s="939"/>
      <c r="V340" s="939"/>
      <c r="W340" s="939"/>
      <c r="X340" s="939"/>
      <c r="Y340" s="939"/>
      <c r="Z340" s="939"/>
      <c r="AA340" s="939"/>
      <c r="AB340" s="939"/>
      <c r="AC340" s="939"/>
      <c r="AD340" s="939"/>
      <c r="AE340" s="939"/>
      <c r="AF340" s="939"/>
      <c r="AG340" s="939"/>
      <c r="AH340" s="939"/>
      <c r="AI340" s="939"/>
      <c r="AJ340" s="939"/>
      <c r="AK340" s="939"/>
      <c r="AL340" s="939"/>
      <c r="AM340" s="939"/>
      <c r="AN340" s="939"/>
    </row>
    <row r="341" spans="1:40" ht="15" customHeight="1">
      <c r="A341" s="939"/>
      <c r="B341" s="939"/>
      <c r="C341" s="939"/>
      <c r="D341" s="939"/>
      <c r="E341" s="939"/>
      <c r="F341" s="939"/>
      <c r="G341" s="939"/>
      <c r="H341" s="939"/>
      <c r="I341" s="939"/>
      <c r="J341" s="939"/>
      <c r="K341" s="939"/>
      <c r="L341" s="939"/>
      <c r="M341" s="939"/>
      <c r="N341" s="939"/>
      <c r="O341" s="939"/>
      <c r="P341" s="939"/>
      <c r="Q341" s="939"/>
      <c r="R341" s="939"/>
      <c r="S341" s="939"/>
      <c r="T341" s="939"/>
      <c r="U341" s="939"/>
      <c r="V341" s="939"/>
      <c r="W341" s="939"/>
      <c r="X341" s="939"/>
      <c r="Y341" s="939"/>
      <c r="Z341" s="939"/>
      <c r="AA341" s="939"/>
      <c r="AB341" s="939"/>
      <c r="AC341" s="939"/>
      <c r="AD341" s="939"/>
      <c r="AE341" s="939"/>
      <c r="AF341" s="939"/>
      <c r="AG341" s="939"/>
      <c r="AH341" s="939"/>
      <c r="AI341" s="939"/>
      <c r="AJ341" s="939"/>
      <c r="AK341" s="939"/>
      <c r="AL341" s="939"/>
      <c r="AM341" s="939"/>
      <c r="AN341" s="939"/>
    </row>
    <row r="342" spans="1:40" ht="15" customHeight="1">
      <c r="A342" s="939"/>
      <c r="B342" s="939"/>
      <c r="C342" s="939"/>
      <c r="D342" s="939"/>
      <c r="E342" s="939"/>
      <c r="F342" s="939"/>
      <c r="G342" s="939"/>
      <c r="H342" s="939"/>
      <c r="I342" s="939"/>
      <c r="J342" s="939"/>
      <c r="K342" s="939"/>
      <c r="L342" s="939"/>
      <c r="M342" s="939"/>
      <c r="N342" s="939"/>
      <c r="O342" s="939"/>
      <c r="P342" s="939"/>
      <c r="Q342" s="939"/>
      <c r="R342" s="939"/>
      <c r="S342" s="939"/>
      <c r="T342" s="939"/>
      <c r="U342" s="939"/>
      <c r="V342" s="939"/>
      <c r="W342" s="939"/>
      <c r="X342" s="939"/>
      <c r="Y342" s="939"/>
      <c r="Z342" s="939"/>
      <c r="AA342" s="939"/>
      <c r="AB342" s="939"/>
      <c r="AC342" s="939"/>
      <c r="AD342" s="939"/>
      <c r="AE342" s="939"/>
      <c r="AF342" s="939"/>
      <c r="AG342" s="939"/>
      <c r="AH342" s="939"/>
      <c r="AI342" s="939"/>
      <c r="AJ342" s="939"/>
      <c r="AK342" s="939"/>
      <c r="AL342" s="939"/>
      <c r="AM342" s="939"/>
      <c r="AN342" s="939"/>
    </row>
    <row r="343" spans="1:40" ht="15" customHeight="1">
      <c r="A343" s="939"/>
      <c r="B343" s="939"/>
      <c r="C343" s="939"/>
      <c r="D343" s="939"/>
      <c r="E343" s="939"/>
      <c r="F343" s="939"/>
      <c r="G343" s="939"/>
      <c r="H343" s="939"/>
      <c r="I343" s="939"/>
      <c r="J343" s="939"/>
      <c r="K343" s="939"/>
      <c r="L343" s="939"/>
      <c r="M343" s="939"/>
      <c r="N343" s="939"/>
      <c r="O343" s="939"/>
      <c r="P343" s="939"/>
      <c r="Q343" s="939"/>
      <c r="R343" s="939"/>
      <c r="S343" s="939"/>
      <c r="T343" s="939"/>
      <c r="U343" s="939"/>
      <c r="V343" s="939"/>
      <c r="W343" s="939"/>
      <c r="X343" s="939"/>
      <c r="Y343" s="939"/>
      <c r="Z343" s="939"/>
      <c r="AA343" s="939"/>
      <c r="AB343" s="939"/>
      <c r="AC343" s="939"/>
      <c r="AD343" s="939"/>
      <c r="AE343" s="939"/>
      <c r="AF343" s="939"/>
      <c r="AG343" s="939"/>
      <c r="AH343" s="939"/>
      <c r="AI343" s="939"/>
      <c r="AJ343" s="939"/>
      <c r="AK343" s="939"/>
      <c r="AL343" s="939"/>
      <c r="AM343" s="939"/>
      <c r="AN343" s="939"/>
    </row>
    <row r="344" spans="1:40" ht="15" customHeight="1">
      <c r="A344" s="939"/>
      <c r="B344" s="939"/>
      <c r="C344" s="939"/>
      <c r="D344" s="939"/>
      <c r="E344" s="939"/>
      <c r="F344" s="939"/>
      <c r="G344" s="939"/>
      <c r="H344" s="939"/>
      <c r="I344" s="939"/>
      <c r="J344" s="939"/>
      <c r="K344" s="939"/>
      <c r="L344" s="939"/>
      <c r="M344" s="939"/>
      <c r="N344" s="939"/>
      <c r="O344" s="939"/>
      <c r="P344" s="939"/>
      <c r="Q344" s="939"/>
      <c r="R344" s="939"/>
      <c r="S344" s="939"/>
      <c r="T344" s="939"/>
      <c r="U344" s="939"/>
      <c r="V344" s="939"/>
      <c r="W344" s="939"/>
      <c r="X344" s="939"/>
      <c r="Y344" s="939"/>
      <c r="Z344" s="939"/>
      <c r="AA344" s="939"/>
      <c r="AB344" s="939"/>
      <c r="AC344" s="939"/>
      <c r="AD344" s="939"/>
      <c r="AE344" s="939"/>
      <c r="AF344" s="939"/>
      <c r="AG344" s="939"/>
      <c r="AH344" s="939"/>
      <c r="AI344" s="939"/>
      <c r="AJ344" s="939"/>
      <c r="AK344" s="939"/>
      <c r="AL344" s="939"/>
      <c r="AM344" s="939"/>
      <c r="AN344" s="939"/>
    </row>
    <row r="345" spans="1:40" ht="15" customHeight="1">
      <c r="A345" s="939"/>
      <c r="B345" s="939"/>
      <c r="C345" s="939"/>
      <c r="D345" s="939"/>
      <c r="E345" s="939"/>
      <c r="F345" s="939"/>
      <c r="G345" s="939"/>
      <c r="H345" s="939"/>
      <c r="I345" s="939"/>
      <c r="J345" s="939"/>
      <c r="K345" s="939"/>
      <c r="L345" s="939"/>
      <c r="M345" s="939"/>
      <c r="N345" s="939"/>
      <c r="O345" s="939"/>
      <c r="P345" s="939"/>
      <c r="Q345" s="939"/>
      <c r="R345" s="939"/>
      <c r="S345" s="939"/>
      <c r="T345" s="939"/>
      <c r="U345" s="939"/>
      <c r="V345" s="939"/>
      <c r="W345" s="939"/>
      <c r="X345" s="939"/>
      <c r="Y345" s="939"/>
      <c r="Z345" s="939"/>
      <c r="AA345" s="939"/>
      <c r="AB345" s="939"/>
      <c r="AC345" s="939"/>
      <c r="AD345" s="939"/>
      <c r="AE345" s="939"/>
      <c r="AF345" s="939"/>
      <c r="AG345" s="939"/>
      <c r="AH345" s="939"/>
      <c r="AI345" s="939"/>
      <c r="AJ345" s="939"/>
      <c r="AK345" s="939"/>
      <c r="AL345" s="939"/>
      <c r="AM345" s="939"/>
      <c r="AN345" s="939"/>
    </row>
    <row r="346" spans="1:40" ht="15" customHeight="1">
      <c r="A346" s="939"/>
      <c r="B346" s="939"/>
      <c r="C346" s="939"/>
      <c r="D346" s="939"/>
      <c r="E346" s="939"/>
      <c r="F346" s="939"/>
      <c r="G346" s="939"/>
      <c r="H346" s="939"/>
      <c r="I346" s="939"/>
      <c r="J346" s="939"/>
      <c r="K346" s="939"/>
      <c r="L346" s="939"/>
      <c r="M346" s="939"/>
      <c r="N346" s="939"/>
      <c r="O346" s="939"/>
      <c r="P346" s="939"/>
      <c r="Q346" s="939"/>
      <c r="R346" s="939"/>
      <c r="S346" s="939"/>
      <c r="T346" s="939"/>
      <c r="U346" s="939"/>
      <c r="V346" s="939"/>
      <c r="W346" s="939"/>
      <c r="X346" s="939"/>
      <c r="Y346" s="939"/>
      <c r="Z346" s="939"/>
      <c r="AA346" s="939"/>
      <c r="AB346" s="939"/>
      <c r="AC346" s="939"/>
      <c r="AD346" s="939"/>
      <c r="AE346" s="939"/>
      <c r="AF346" s="939"/>
      <c r="AG346" s="939"/>
      <c r="AH346" s="939"/>
      <c r="AI346" s="939"/>
      <c r="AJ346" s="939"/>
      <c r="AK346" s="939"/>
      <c r="AL346" s="939"/>
      <c r="AM346" s="939"/>
      <c r="AN346" s="939"/>
    </row>
    <row r="347" spans="1:40" ht="15" customHeight="1">
      <c r="A347" s="939"/>
      <c r="B347" s="939"/>
      <c r="C347" s="939"/>
      <c r="D347" s="939"/>
      <c r="E347" s="939"/>
      <c r="F347" s="939"/>
      <c r="G347" s="939"/>
      <c r="H347" s="939"/>
      <c r="I347" s="939"/>
      <c r="J347" s="939"/>
      <c r="K347" s="939"/>
      <c r="L347" s="939"/>
      <c r="M347" s="939"/>
      <c r="N347" s="939"/>
      <c r="O347" s="939"/>
      <c r="P347" s="939"/>
      <c r="Q347" s="939"/>
      <c r="R347" s="939"/>
      <c r="S347" s="939"/>
      <c r="T347" s="939"/>
      <c r="U347" s="939"/>
      <c r="V347" s="939"/>
      <c r="W347" s="939"/>
      <c r="X347" s="939"/>
      <c r="Y347" s="939"/>
      <c r="Z347" s="939"/>
      <c r="AA347" s="939"/>
      <c r="AB347" s="939"/>
      <c r="AC347" s="939"/>
      <c r="AD347" s="939"/>
      <c r="AE347" s="939"/>
      <c r="AF347" s="939"/>
      <c r="AG347" s="939"/>
      <c r="AH347" s="939"/>
      <c r="AI347" s="939"/>
      <c r="AJ347" s="939"/>
      <c r="AK347" s="939"/>
      <c r="AL347" s="939"/>
      <c r="AM347" s="939"/>
      <c r="AN347" s="939"/>
    </row>
    <row r="348" spans="1:40" ht="15" customHeight="1">
      <c r="A348" s="939"/>
      <c r="B348" s="939"/>
      <c r="C348" s="939"/>
      <c r="D348" s="939"/>
      <c r="E348" s="939"/>
      <c r="F348" s="939"/>
      <c r="G348" s="939"/>
      <c r="H348" s="939"/>
      <c r="I348" s="939"/>
      <c r="J348" s="939"/>
      <c r="K348" s="939"/>
      <c r="L348" s="939"/>
      <c r="M348" s="939"/>
      <c r="N348" s="939"/>
      <c r="O348" s="939"/>
      <c r="P348" s="939"/>
      <c r="Q348" s="939"/>
      <c r="R348" s="939"/>
      <c r="S348" s="939"/>
      <c r="T348" s="939"/>
      <c r="U348" s="939"/>
      <c r="V348" s="939"/>
      <c r="W348" s="939"/>
      <c r="X348" s="939"/>
      <c r="Y348" s="939"/>
      <c r="Z348" s="939"/>
      <c r="AA348" s="939"/>
      <c r="AB348" s="939"/>
      <c r="AC348" s="939"/>
      <c r="AD348" s="939"/>
      <c r="AE348" s="939"/>
      <c r="AF348" s="939"/>
      <c r="AG348" s="939"/>
      <c r="AH348" s="939"/>
      <c r="AI348" s="939"/>
      <c r="AJ348" s="939"/>
      <c r="AK348" s="939"/>
      <c r="AL348" s="939"/>
      <c r="AM348" s="939"/>
      <c r="AN348" s="939"/>
    </row>
    <row r="349" spans="1:40" ht="15" customHeight="1">
      <c r="A349" s="939"/>
      <c r="B349" s="939"/>
      <c r="C349" s="939"/>
      <c r="D349" s="939"/>
      <c r="E349" s="939"/>
      <c r="F349" s="939"/>
      <c r="G349" s="939"/>
      <c r="H349" s="939"/>
      <c r="I349" s="939"/>
      <c r="J349" s="939"/>
      <c r="K349" s="939"/>
      <c r="L349" s="939"/>
      <c r="M349" s="939"/>
      <c r="N349" s="939"/>
      <c r="O349" s="939"/>
      <c r="P349" s="939"/>
      <c r="Q349" s="939"/>
      <c r="R349" s="939"/>
      <c r="S349" s="939"/>
      <c r="T349" s="939"/>
      <c r="U349" s="939"/>
      <c r="V349" s="939"/>
      <c r="W349" s="939"/>
      <c r="X349" s="939"/>
      <c r="Y349" s="939"/>
      <c r="Z349" s="939"/>
      <c r="AA349" s="939"/>
      <c r="AB349" s="939"/>
      <c r="AC349" s="939"/>
      <c r="AD349" s="939"/>
      <c r="AE349" s="939"/>
      <c r="AF349" s="939"/>
      <c r="AG349" s="939"/>
      <c r="AH349" s="939"/>
      <c r="AI349" s="939"/>
      <c r="AJ349" s="939"/>
      <c r="AK349" s="939"/>
      <c r="AL349" s="939"/>
      <c r="AM349" s="939"/>
      <c r="AN349" s="939"/>
    </row>
    <row r="350" spans="1:40" ht="15" customHeight="1">
      <c r="A350" s="939"/>
      <c r="B350" s="939"/>
      <c r="C350" s="939"/>
      <c r="D350" s="939"/>
      <c r="E350" s="939"/>
      <c r="F350" s="939"/>
      <c r="G350" s="939"/>
      <c r="H350" s="939"/>
      <c r="I350" s="939"/>
      <c r="J350" s="939"/>
      <c r="K350" s="939"/>
      <c r="L350" s="939"/>
      <c r="M350" s="939"/>
      <c r="N350" s="939"/>
      <c r="O350" s="939"/>
      <c r="P350" s="939"/>
      <c r="Q350" s="939"/>
      <c r="R350" s="939"/>
      <c r="S350" s="939"/>
      <c r="T350" s="939"/>
      <c r="U350" s="939"/>
      <c r="V350" s="939"/>
      <c r="W350" s="939"/>
      <c r="X350" s="939"/>
      <c r="Y350" s="939"/>
      <c r="Z350" s="939"/>
      <c r="AA350" s="939"/>
      <c r="AB350" s="939"/>
      <c r="AC350" s="939"/>
      <c r="AD350" s="939"/>
      <c r="AE350" s="939"/>
      <c r="AF350" s="939"/>
      <c r="AG350" s="939"/>
      <c r="AH350" s="939"/>
      <c r="AI350" s="939"/>
      <c r="AJ350" s="939"/>
      <c r="AK350" s="939"/>
      <c r="AL350" s="939"/>
      <c r="AM350" s="939"/>
      <c r="AN350" s="939"/>
    </row>
    <row r="351" spans="1:40" ht="15" customHeight="1">
      <c r="A351" s="939"/>
      <c r="B351" s="939"/>
      <c r="C351" s="939"/>
      <c r="D351" s="939"/>
      <c r="E351" s="939"/>
      <c r="F351" s="939"/>
      <c r="G351" s="939"/>
      <c r="H351" s="939"/>
      <c r="I351" s="939"/>
      <c r="J351" s="939"/>
      <c r="K351" s="939"/>
      <c r="L351" s="939"/>
      <c r="M351" s="939"/>
      <c r="N351" s="939"/>
      <c r="O351" s="939"/>
      <c r="P351" s="939"/>
      <c r="Q351" s="939"/>
      <c r="R351" s="939"/>
      <c r="S351" s="939"/>
      <c r="T351" s="939"/>
      <c r="U351" s="939"/>
      <c r="V351" s="939"/>
      <c r="W351" s="939"/>
      <c r="X351" s="939"/>
      <c r="Y351" s="939"/>
      <c r="Z351" s="939"/>
      <c r="AA351" s="939"/>
      <c r="AB351" s="939"/>
      <c r="AC351" s="939"/>
      <c r="AD351" s="939"/>
      <c r="AE351" s="939"/>
      <c r="AF351" s="939"/>
      <c r="AG351" s="939"/>
      <c r="AH351" s="939"/>
      <c r="AI351" s="939"/>
      <c r="AJ351" s="939"/>
      <c r="AK351" s="939"/>
      <c r="AL351" s="939"/>
      <c r="AM351" s="939"/>
      <c r="AN351" s="939"/>
    </row>
    <row r="352" spans="1:40" ht="15" customHeight="1">
      <c r="A352" s="939"/>
      <c r="B352" s="939"/>
      <c r="C352" s="939"/>
      <c r="D352" s="939"/>
      <c r="E352" s="939"/>
      <c r="F352" s="939"/>
      <c r="G352" s="939"/>
      <c r="H352" s="939"/>
      <c r="I352" s="939"/>
      <c r="J352" s="939"/>
      <c r="K352" s="939"/>
      <c r="L352" s="939"/>
      <c r="M352" s="939"/>
      <c r="N352" s="939"/>
      <c r="O352" s="939"/>
      <c r="P352" s="939"/>
      <c r="Q352" s="939"/>
      <c r="R352" s="939"/>
      <c r="S352" s="939"/>
      <c r="T352" s="939"/>
      <c r="U352" s="939"/>
      <c r="V352" s="939"/>
      <c r="W352" s="939"/>
      <c r="X352" s="939"/>
      <c r="Y352" s="939"/>
      <c r="Z352" s="939"/>
      <c r="AA352" s="939"/>
      <c r="AB352" s="939"/>
      <c r="AC352" s="939"/>
      <c r="AD352" s="939"/>
      <c r="AE352" s="939"/>
      <c r="AF352" s="939"/>
      <c r="AG352" s="939"/>
      <c r="AH352" s="939"/>
      <c r="AI352" s="939"/>
      <c r="AJ352" s="939"/>
      <c r="AK352" s="939"/>
      <c r="AL352" s="939"/>
      <c r="AM352" s="939"/>
      <c r="AN352" s="939"/>
    </row>
    <row r="353" spans="1:40" ht="15" customHeight="1">
      <c r="A353" s="939"/>
      <c r="B353" s="939"/>
      <c r="C353" s="939"/>
      <c r="D353" s="939"/>
      <c r="E353" s="939"/>
      <c r="F353" s="939"/>
      <c r="G353" s="939"/>
      <c r="H353" s="939"/>
      <c r="I353" s="939"/>
      <c r="J353" s="939"/>
      <c r="K353" s="939"/>
      <c r="L353" s="939"/>
      <c r="M353" s="939"/>
      <c r="N353" s="939"/>
      <c r="O353" s="939"/>
      <c r="P353" s="939"/>
      <c r="Q353" s="939"/>
      <c r="R353" s="939"/>
      <c r="S353" s="939"/>
      <c r="T353" s="939"/>
      <c r="U353" s="939"/>
      <c r="V353" s="939"/>
      <c r="W353" s="939"/>
      <c r="X353" s="939"/>
      <c r="Y353" s="939"/>
      <c r="Z353" s="939"/>
      <c r="AA353" s="939"/>
      <c r="AB353" s="939"/>
      <c r="AC353" s="939"/>
      <c r="AD353" s="939"/>
      <c r="AE353" s="939"/>
      <c r="AF353" s="939"/>
      <c r="AG353" s="939"/>
      <c r="AH353" s="939"/>
      <c r="AI353" s="939"/>
      <c r="AJ353" s="939"/>
      <c r="AK353" s="939"/>
      <c r="AL353" s="939"/>
      <c r="AM353" s="939"/>
      <c r="AN353" s="939"/>
    </row>
    <row r="354" spans="1:40" ht="15" customHeight="1">
      <c r="A354" s="939"/>
      <c r="B354" s="939"/>
      <c r="C354" s="939"/>
      <c r="D354" s="939"/>
      <c r="E354" s="939"/>
      <c r="F354" s="939"/>
      <c r="G354" s="939"/>
      <c r="H354" s="939"/>
      <c r="I354" s="939"/>
      <c r="J354" s="939"/>
      <c r="K354" s="939"/>
      <c r="L354" s="939"/>
      <c r="M354" s="939"/>
      <c r="N354" s="939"/>
      <c r="O354" s="939"/>
      <c r="P354" s="939"/>
      <c r="Q354" s="939"/>
      <c r="R354" s="939"/>
      <c r="S354" s="939"/>
      <c r="T354" s="939"/>
      <c r="U354" s="939"/>
      <c r="V354" s="939"/>
      <c r="W354" s="939"/>
      <c r="X354" s="939"/>
      <c r="Y354" s="939"/>
      <c r="Z354" s="939"/>
      <c r="AA354" s="939"/>
      <c r="AB354" s="939"/>
      <c r="AC354" s="939"/>
      <c r="AD354" s="939"/>
      <c r="AE354" s="939"/>
      <c r="AF354" s="939"/>
      <c r="AG354" s="939"/>
      <c r="AH354" s="939"/>
      <c r="AI354" s="939"/>
      <c r="AJ354" s="939"/>
      <c r="AK354" s="939"/>
      <c r="AL354" s="939"/>
      <c r="AM354" s="939"/>
      <c r="AN354" s="939"/>
    </row>
    <row r="355" spans="1:40" ht="15" customHeight="1">
      <c r="A355" s="939"/>
      <c r="B355" s="939"/>
      <c r="C355" s="939"/>
      <c r="D355" s="939"/>
      <c r="E355" s="939"/>
      <c r="F355" s="939"/>
      <c r="G355" s="939"/>
      <c r="H355" s="939"/>
      <c r="I355" s="939"/>
      <c r="J355" s="939"/>
      <c r="K355" s="939"/>
      <c r="L355" s="939"/>
      <c r="M355" s="939"/>
      <c r="N355" s="939"/>
      <c r="O355" s="939"/>
      <c r="P355" s="939"/>
      <c r="Q355" s="939"/>
      <c r="R355" s="939"/>
      <c r="S355" s="939"/>
      <c r="T355" s="939"/>
      <c r="U355" s="939"/>
      <c r="V355" s="939"/>
      <c r="W355" s="939"/>
      <c r="X355" s="939"/>
      <c r="Y355" s="939"/>
      <c r="Z355" s="939"/>
      <c r="AA355" s="939"/>
      <c r="AB355" s="939"/>
      <c r="AC355" s="939"/>
      <c r="AD355" s="939"/>
      <c r="AE355" s="939"/>
      <c r="AF355" s="939"/>
      <c r="AG355" s="939"/>
      <c r="AH355" s="939"/>
      <c r="AI355" s="939"/>
      <c r="AJ355" s="939"/>
      <c r="AK355" s="939"/>
      <c r="AL355" s="939"/>
      <c r="AM355" s="939"/>
      <c r="AN355" s="939"/>
    </row>
    <row r="356" spans="1:40" ht="15" customHeight="1">
      <c r="A356" s="939"/>
      <c r="B356" s="939"/>
      <c r="C356" s="939"/>
      <c r="D356" s="939"/>
      <c r="E356" s="939"/>
      <c r="F356" s="939"/>
      <c r="G356" s="939"/>
      <c r="H356" s="939"/>
      <c r="I356" s="939"/>
      <c r="J356" s="939"/>
      <c r="K356" s="939"/>
      <c r="L356" s="939"/>
      <c r="M356" s="939"/>
      <c r="N356" s="939"/>
      <c r="O356" s="939"/>
      <c r="P356" s="939"/>
      <c r="Q356" s="939"/>
      <c r="R356" s="939"/>
      <c r="S356" s="939"/>
      <c r="T356" s="939"/>
      <c r="U356" s="939"/>
      <c r="V356" s="939"/>
      <c r="W356" s="939"/>
      <c r="X356" s="939"/>
      <c r="Y356" s="939"/>
      <c r="Z356" s="939"/>
      <c r="AA356" s="939"/>
      <c r="AB356" s="939"/>
      <c r="AC356" s="939"/>
      <c r="AD356" s="939"/>
      <c r="AE356" s="939"/>
      <c r="AF356" s="939"/>
      <c r="AG356" s="939"/>
      <c r="AH356" s="939"/>
      <c r="AI356" s="939"/>
      <c r="AJ356" s="939"/>
      <c r="AK356" s="939"/>
      <c r="AL356" s="939"/>
      <c r="AM356" s="939"/>
      <c r="AN356" s="939"/>
    </row>
    <row r="357" spans="1:40" ht="15" customHeight="1">
      <c r="A357" s="939"/>
      <c r="B357" s="939"/>
      <c r="C357" s="939"/>
      <c r="D357" s="939"/>
      <c r="E357" s="939"/>
      <c r="F357" s="939"/>
      <c r="G357" s="939"/>
      <c r="H357" s="939"/>
      <c r="I357" s="939"/>
      <c r="J357" s="939"/>
      <c r="K357" s="939"/>
      <c r="L357" s="939"/>
      <c r="M357" s="939"/>
      <c r="N357" s="939"/>
      <c r="O357" s="939"/>
      <c r="P357" s="939"/>
      <c r="Q357" s="939"/>
      <c r="R357" s="939"/>
      <c r="S357" s="939"/>
      <c r="T357" s="939"/>
      <c r="U357" s="939"/>
      <c r="V357" s="939"/>
      <c r="W357" s="939"/>
      <c r="X357" s="939"/>
      <c r="Y357" s="939"/>
      <c r="Z357" s="939"/>
      <c r="AA357" s="939"/>
      <c r="AB357" s="939"/>
      <c r="AC357" s="939"/>
      <c r="AD357" s="939"/>
      <c r="AE357" s="939"/>
      <c r="AF357" s="939"/>
      <c r="AG357" s="939"/>
      <c r="AH357" s="939"/>
      <c r="AI357" s="939"/>
      <c r="AJ357" s="939"/>
      <c r="AK357" s="939"/>
      <c r="AL357" s="939"/>
      <c r="AM357" s="939"/>
      <c r="AN357" s="939"/>
    </row>
    <row r="358" spans="1:40" ht="15" customHeight="1">
      <c r="A358" s="939"/>
      <c r="B358" s="939"/>
      <c r="C358" s="939"/>
      <c r="D358" s="939"/>
      <c r="E358" s="939"/>
      <c r="F358" s="939"/>
      <c r="G358" s="939"/>
      <c r="H358" s="939"/>
      <c r="I358" s="939"/>
      <c r="J358" s="939"/>
      <c r="K358" s="939"/>
      <c r="L358" s="939"/>
      <c r="M358" s="939"/>
      <c r="N358" s="939"/>
      <c r="O358" s="939"/>
      <c r="P358" s="939"/>
      <c r="Q358" s="939"/>
      <c r="R358" s="939"/>
      <c r="S358" s="939"/>
      <c r="T358" s="939"/>
      <c r="U358" s="939"/>
      <c r="V358" s="939"/>
      <c r="W358" s="939"/>
      <c r="X358" s="939"/>
      <c r="Y358" s="939"/>
      <c r="Z358" s="939"/>
      <c r="AA358" s="939"/>
      <c r="AB358" s="939"/>
      <c r="AC358" s="939"/>
      <c r="AD358" s="939"/>
      <c r="AE358" s="939"/>
      <c r="AF358" s="939"/>
      <c r="AG358" s="939"/>
      <c r="AH358" s="939"/>
      <c r="AI358" s="939"/>
      <c r="AJ358" s="939"/>
      <c r="AK358" s="939"/>
      <c r="AL358" s="939"/>
      <c r="AM358" s="939"/>
      <c r="AN358" s="939"/>
    </row>
    <row r="359" spans="1:40" ht="15" customHeight="1">
      <c r="A359" s="939"/>
      <c r="B359" s="939"/>
      <c r="C359" s="939"/>
      <c r="D359" s="939"/>
      <c r="E359" s="939"/>
      <c r="F359" s="939"/>
      <c r="G359" s="939"/>
      <c r="H359" s="939"/>
      <c r="I359" s="939"/>
      <c r="J359" s="939"/>
      <c r="K359" s="939"/>
      <c r="L359" s="939"/>
      <c r="M359" s="939"/>
      <c r="N359" s="939"/>
      <c r="O359" s="939"/>
      <c r="P359" s="939"/>
      <c r="Q359" s="939"/>
      <c r="R359" s="939"/>
      <c r="S359" s="939"/>
      <c r="T359" s="939"/>
      <c r="U359" s="939"/>
      <c r="V359" s="939"/>
      <c r="W359" s="939"/>
      <c r="X359" s="939"/>
      <c r="Y359" s="939"/>
      <c r="Z359" s="939"/>
      <c r="AA359" s="939"/>
      <c r="AB359" s="939"/>
      <c r="AC359" s="939"/>
      <c r="AD359" s="939"/>
      <c r="AE359" s="939"/>
      <c r="AF359" s="939"/>
      <c r="AG359" s="939"/>
      <c r="AH359" s="939"/>
      <c r="AI359" s="939"/>
      <c r="AJ359" s="939"/>
      <c r="AK359" s="939"/>
      <c r="AL359" s="939"/>
      <c r="AM359" s="939"/>
      <c r="AN359" s="939"/>
    </row>
    <row r="360" spans="1:40" ht="15" customHeight="1">
      <c r="A360" s="939"/>
      <c r="B360" s="939"/>
      <c r="C360" s="939"/>
      <c r="D360" s="939"/>
      <c r="E360" s="939"/>
      <c r="F360" s="939"/>
      <c r="G360" s="939"/>
      <c r="H360" s="939"/>
      <c r="I360" s="939"/>
      <c r="J360" s="939"/>
      <c r="K360" s="939"/>
      <c r="L360" s="939"/>
      <c r="M360" s="939"/>
      <c r="N360" s="939"/>
      <c r="O360" s="939"/>
      <c r="P360" s="939"/>
      <c r="Q360" s="939"/>
      <c r="R360" s="939"/>
      <c r="S360" s="939"/>
      <c r="T360" s="939"/>
      <c r="U360" s="939"/>
      <c r="V360" s="939"/>
      <c r="W360" s="939"/>
      <c r="X360" s="939"/>
      <c r="Y360" s="939"/>
      <c r="Z360" s="939"/>
      <c r="AA360" s="939"/>
      <c r="AB360" s="939"/>
      <c r="AC360" s="939"/>
      <c r="AD360" s="939"/>
      <c r="AE360" s="939"/>
      <c r="AF360" s="939"/>
      <c r="AG360" s="939"/>
      <c r="AH360" s="939"/>
      <c r="AI360" s="939"/>
      <c r="AJ360" s="939"/>
      <c r="AK360" s="939"/>
      <c r="AL360" s="939"/>
      <c r="AM360" s="939"/>
      <c r="AN360" s="939"/>
    </row>
    <row r="361" spans="1:40" ht="15" customHeight="1">
      <c r="A361" s="939"/>
      <c r="B361" s="939"/>
      <c r="C361" s="939"/>
      <c r="D361" s="939"/>
      <c r="E361" s="939"/>
      <c r="F361" s="939"/>
      <c r="G361" s="939"/>
      <c r="H361" s="939"/>
      <c r="I361" s="939"/>
      <c r="J361" s="939"/>
      <c r="K361" s="939"/>
      <c r="L361" s="939"/>
      <c r="M361" s="939"/>
      <c r="N361" s="939"/>
      <c r="O361" s="939"/>
      <c r="P361" s="939"/>
      <c r="Q361" s="939"/>
      <c r="R361" s="939"/>
      <c r="S361" s="939"/>
      <c r="T361" s="939"/>
      <c r="U361" s="939"/>
      <c r="V361" s="939"/>
      <c r="W361" s="939"/>
      <c r="X361" s="939"/>
      <c r="Y361" s="939"/>
      <c r="Z361" s="939"/>
      <c r="AA361" s="939"/>
      <c r="AB361" s="939"/>
      <c r="AC361" s="939"/>
      <c r="AD361" s="939"/>
      <c r="AE361" s="939"/>
      <c r="AF361" s="939"/>
      <c r="AG361" s="939"/>
      <c r="AH361" s="939"/>
      <c r="AI361" s="939"/>
      <c r="AJ361" s="939"/>
      <c r="AK361" s="939"/>
      <c r="AL361" s="939"/>
      <c r="AM361" s="939"/>
      <c r="AN361" s="939"/>
    </row>
    <row r="362" spans="1:40" ht="15" customHeight="1">
      <c r="A362" s="939"/>
      <c r="B362" s="939"/>
      <c r="C362" s="939"/>
      <c r="D362" s="939"/>
      <c r="E362" s="939"/>
      <c r="F362" s="939"/>
      <c r="G362" s="939"/>
      <c r="H362" s="939"/>
      <c r="I362" s="939"/>
      <c r="J362" s="939"/>
      <c r="K362" s="939"/>
      <c r="L362" s="939"/>
      <c r="M362" s="939"/>
      <c r="N362" s="939"/>
      <c r="O362" s="939"/>
      <c r="P362" s="939"/>
      <c r="Q362" s="939"/>
      <c r="R362" s="939"/>
      <c r="S362" s="939"/>
      <c r="T362" s="939"/>
      <c r="U362" s="939"/>
      <c r="V362" s="939"/>
      <c r="W362" s="939"/>
      <c r="X362" s="939"/>
      <c r="Y362" s="939"/>
      <c r="Z362" s="939"/>
      <c r="AA362" s="939"/>
      <c r="AB362" s="939"/>
      <c r="AC362" s="939"/>
      <c r="AD362" s="939"/>
      <c r="AE362" s="939"/>
      <c r="AF362" s="939"/>
      <c r="AG362" s="939"/>
      <c r="AH362" s="939"/>
      <c r="AI362" s="939"/>
      <c r="AJ362" s="939"/>
      <c r="AK362" s="939"/>
      <c r="AL362" s="939"/>
      <c r="AM362" s="939"/>
      <c r="AN362" s="939"/>
    </row>
    <row r="363" spans="1:40" ht="15" customHeight="1">
      <c r="A363" s="939"/>
      <c r="B363" s="939"/>
      <c r="C363" s="939"/>
      <c r="D363" s="939"/>
      <c r="E363" s="939"/>
      <c r="F363" s="939"/>
      <c r="G363" s="939"/>
      <c r="H363" s="939"/>
      <c r="I363" s="939"/>
      <c r="J363" s="939"/>
      <c r="K363" s="939"/>
      <c r="L363" s="939"/>
      <c r="M363" s="939"/>
      <c r="N363" s="939"/>
      <c r="O363" s="939"/>
      <c r="P363" s="939"/>
      <c r="Q363" s="939"/>
      <c r="R363" s="939"/>
      <c r="S363" s="939"/>
      <c r="T363" s="939"/>
      <c r="U363" s="939"/>
      <c r="V363" s="939"/>
      <c r="W363" s="939"/>
      <c r="X363" s="939"/>
      <c r="Y363" s="939"/>
      <c r="Z363" s="939"/>
      <c r="AA363" s="939"/>
      <c r="AB363" s="939"/>
      <c r="AC363" s="939"/>
      <c r="AD363" s="939"/>
      <c r="AE363" s="939"/>
      <c r="AF363" s="939"/>
      <c r="AG363" s="939"/>
      <c r="AH363" s="939"/>
      <c r="AI363" s="939"/>
      <c r="AJ363" s="939"/>
      <c r="AK363" s="939"/>
      <c r="AL363" s="939"/>
      <c r="AM363" s="939"/>
      <c r="AN363" s="939"/>
    </row>
    <row r="364" spans="1:40" ht="15" customHeight="1">
      <c r="A364" s="939"/>
      <c r="B364" s="939"/>
      <c r="C364" s="939"/>
      <c r="D364" s="939"/>
      <c r="E364" s="939"/>
      <c r="F364" s="939"/>
      <c r="G364" s="939"/>
      <c r="H364" s="939"/>
      <c r="I364" s="939"/>
      <c r="J364" s="939"/>
      <c r="K364" s="939"/>
      <c r="L364" s="939"/>
      <c r="M364" s="939"/>
      <c r="N364" s="939"/>
      <c r="O364" s="939"/>
      <c r="P364" s="939"/>
      <c r="Q364" s="939"/>
      <c r="R364" s="939"/>
      <c r="S364" s="939"/>
      <c r="T364" s="939"/>
      <c r="U364" s="939"/>
      <c r="V364" s="939"/>
      <c r="W364" s="939"/>
      <c r="X364" s="939"/>
      <c r="Y364" s="939"/>
      <c r="Z364" s="939"/>
      <c r="AA364" s="939"/>
      <c r="AB364" s="939"/>
      <c r="AC364" s="939"/>
      <c r="AD364" s="939"/>
      <c r="AE364" s="939"/>
      <c r="AF364" s="939"/>
      <c r="AG364" s="939"/>
      <c r="AH364" s="939"/>
      <c r="AI364" s="939"/>
      <c r="AJ364" s="939"/>
      <c r="AK364" s="939"/>
      <c r="AL364" s="939"/>
      <c r="AM364" s="939"/>
      <c r="AN364" s="939"/>
    </row>
    <row r="365" spans="1:40" ht="15" customHeight="1">
      <c r="A365" s="939"/>
      <c r="B365" s="939"/>
      <c r="C365" s="939"/>
      <c r="D365" s="939"/>
      <c r="E365" s="939"/>
      <c r="F365" s="939"/>
      <c r="G365" s="939"/>
      <c r="H365" s="939"/>
      <c r="I365" s="939"/>
      <c r="J365" s="939"/>
      <c r="K365" s="939"/>
      <c r="L365" s="939"/>
      <c r="M365" s="939"/>
      <c r="N365" s="939"/>
      <c r="O365" s="939"/>
      <c r="P365" s="939"/>
      <c r="Q365" s="939"/>
      <c r="R365" s="939"/>
      <c r="S365" s="939"/>
      <c r="T365" s="939"/>
      <c r="U365" s="939"/>
      <c r="V365" s="939"/>
      <c r="W365" s="939"/>
      <c r="X365" s="939"/>
      <c r="Y365" s="939"/>
      <c r="Z365" s="939"/>
      <c r="AA365" s="939"/>
      <c r="AB365" s="939"/>
      <c r="AC365" s="939"/>
      <c r="AD365" s="939"/>
      <c r="AE365" s="939"/>
      <c r="AF365" s="939"/>
      <c r="AG365" s="939"/>
      <c r="AH365" s="939"/>
      <c r="AI365" s="939"/>
      <c r="AJ365" s="939"/>
      <c r="AK365" s="939"/>
      <c r="AL365" s="939"/>
      <c r="AM365" s="939"/>
      <c r="AN365" s="939"/>
    </row>
    <row r="366" spans="1:40" ht="15" customHeight="1">
      <c r="A366" s="939"/>
      <c r="B366" s="939"/>
      <c r="C366" s="939"/>
      <c r="D366" s="939"/>
      <c r="E366" s="939"/>
      <c r="F366" s="939"/>
      <c r="G366" s="939"/>
      <c r="H366" s="939"/>
      <c r="I366" s="939"/>
      <c r="J366" s="939"/>
      <c r="K366" s="939"/>
      <c r="L366" s="939"/>
      <c r="M366" s="939"/>
      <c r="N366" s="939"/>
      <c r="O366" s="939"/>
      <c r="P366" s="939"/>
      <c r="Q366" s="939"/>
      <c r="R366" s="939"/>
      <c r="S366" s="939"/>
      <c r="T366" s="939"/>
      <c r="U366" s="939"/>
      <c r="V366" s="939"/>
      <c r="W366" s="939"/>
      <c r="X366" s="939"/>
      <c r="Y366" s="939"/>
      <c r="Z366" s="939"/>
      <c r="AA366" s="939"/>
      <c r="AB366" s="939"/>
      <c r="AC366" s="939"/>
      <c r="AD366" s="939"/>
      <c r="AE366" s="939"/>
      <c r="AF366" s="939"/>
      <c r="AG366" s="939"/>
      <c r="AH366" s="939"/>
      <c r="AI366" s="939"/>
      <c r="AJ366" s="939"/>
      <c r="AK366" s="939"/>
      <c r="AL366" s="939"/>
      <c r="AM366" s="939"/>
      <c r="AN366" s="939"/>
    </row>
    <row r="367" spans="1:40" ht="15" customHeight="1">
      <c r="A367" s="939"/>
      <c r="B367" s="939"/>
      <c r="C367" s="939"/>
      <c r="D367" s="939"/>
      <c r="E367" s="939"/>
      <c r="F367" s="939"/>
      <c r="G367" s="939"/>
      <c r="H367" s="939"/>
      <c r="I367" s="939"/>
      <c r="J367" s="939"/>
      <c r="K367" s="939"/>
      <c r="L367" s="939"/>
      <c r="M367" s="939"/>
      <c r="N367" s="939"/>
      <c r="O367" s="939"/>
      <c r="P367" s="939"/>
      <c r="Q367" s="939"/>
      <c r="R367" s="939"/>
      <c r="S367" s="939"/>
      <c r="T367" s="939"/>
      <c r="U367" s="939"/>
      <c r="V367" s="939"/>
      <c r="W367" s="939"/>
      <c r="X367" s="939"/>
      <c r="Y367" s="939"/>
      <c r="Z367" s="939"/>
      <c r="AA367" s="939"/>
      <c r="AB367" s="939"/>
      <c r="AC367" s="939"/>
      <c r="AD367" s="939"/>
      <c r="AE367" s="939"/>
      <c r="AF367" s="939"/>
      <c r="AG367" s="939"/>
      <c r="AH367" s="939"/>
      <c r="AI367" s="939"/>
      <c r="AJ367" s="939"/>
      <c r="AK367" s="939"/>
      <c r="AL367" s="939"/>
      <c r="AM367" s="939"/>
      <c r="AN367" s="939"/>
    </row>
    <row r="368" spans="1:40" ht="15" customHeight="1">
      <c r="A368" s="939"/>
      <c r="B368" s="939"/>
      <c r="C368" s="939"/>
      <c r="D368" s="939"/>
      <c r="E368" s="939"/>
      <c r="F368" s="939"/>
      <c r="G368" s="939"/>
      <c r="H368" s="939"/>
      <c r="I368" s="939"/>
      <c r="J368" s="939"/>
      <c r="K368" s="939"/>
      <c r="L368" s="939"/>
      <c r="M368" s="939"/>
      <c r="N368" s="939"/>
      <c r="O368" s="939"/>
      <c r="P368" s="939"/>
      <c r="Q368" s="939"/>
      <c r="R368" s="939"/>
      <c r="S368" s="939"/>
      <c r="T368" s="939"/>
      <c r="U368" s="939"/>
      <c r="V368" s="939"/>
      <c r="W368" s="939"/>
      <c r="X368" s="939"/>
      <c r="Y368" s="939"/>
      <c r="Z368" s="939"/>
      <c r="AA368" s="939"/>
      <c r="AB368" s="939"/>
      <c r="AC368" s="939"/>
      <c r="AD368" s="939"/>
      <c r="AE368" s="939"/>
      <c r="AF368" s="939"/>
      <c r="AG368" s="939"/>
      <c r="AH368" s="939"/>
      <c r="AI368" s="939"/>
      <c r="AJ368" s="939"/>
      <c r="AK368" s="939"/>
      <c r="AL368" s="939"/>
      <c r="AM368" s="939"/>
      <c r="AN368" s="939"/>
    </row>
    <row r="369" spans="1:40" ht="15" customHeight="1">
      <c r="A369" s="939"/>
      <c r="B369" s="939"/>
      <c r="C369" s="939"/>
      <c r="D369" s="939"/>
      <c r="E369" s="939"/>
      <c r="F369" s="939"/>
      <c r="G369" s="939"/>
      <c r="H369" s="939"/>
      <c r="I369" s="939"/>
      <c r="J369" s="939"/>
      <c r="K369" s="939"/>
      <c r="L369" s="939"/>
      <c r="M369" s="939"/>
      <c r="N369" s="939"/>
      <c r="O369" s="939"/>
      <c r="P369" s="939"/>
      <c r="Q369" s="939"/>
      <c r="R369" s="939"/>
      <c r="S369" s="939"/>
      <c r="T369" s="939"/>
      <c r="U369" s="939"/>
      <c r="V369" s="939"/>
      <c r="W369" s="939"/>
      <c r="X369" s="939"/>
      <c r="Y369" s="939"/>
      <c r="Z369" s="939"/>
      <c r="AA369" s="939"/>
      <c r="AB369" s="939"/>
      <c r="AC369" s="939"/>
      <c r="AD369" s="939"/>
      <c r="AE369" s="939"/>
      <c r="AF369" s="939"/>
      <c r="AG369" s="939"/>
      <c r="AH369" s="939"/>
      <c r="AI369" s="939"/>
      <c r="AJ369" s="939"/>
      <c r="AK369" s="939"/>
      <c r="AL369" s="939"/>
      <c r="AM369" s="939"/>
      <c r="AN369" s="939"/>
    </row>
    <row r="370" spans="1:40" ht="15" customHeight="1">
      <c r="A370" s="939"/>
      <c r="B370" s="939"/>
      <c r="C370" s="939"/>
      <c r="D370" s="939"/>
      <c r="E370" s="939"/>
      <c r="F370" s="939"/>
      <c r="G370" s="939"/>
      <c r="H370" s="939"/>
      <c r="I370" s="939"/>
      <c r="J370" s="939"/>
      <c r="K370" s="939"/>
      <c r="L370" s="939"/>
      <c r="M370" s="939"/>
      <c r="N370" s="939"/>
      <c r="O370" s="939"/>
      <c r="P370" s="939"/>
      <c r="Q370" s="939"/>
      <c r="R370" s="939"/>
      <c r="S370" s="939"/>
      <c r="T370" s="939"/>
      <c r="U370" s="939"/>
      <c r="V370" s="939"/>
      <c r="W370" s="939"/>
      <c r="X370" s="939"/>
      <c r="Y370" s="939"/>
      <c r="Z370" s="939"/>
      <c r="AA370" s="939"/>
      <c r="AB370" s="939"/>
      <c r="AC370" s="939"/>
      <c r="AD370" s="939"/>
      <c r="AE370" s="939"/>
      <c r="AF370" s="939"/>
      <c r="AG370" s="939"/>
      <c r="AH370" s="939"/>
      <c r="AI370" s="939"/>
      <c r="AJ370" s="939"/>
      <c r="AK370" s="939"/>
      <c r="AL370" s="939"/>
      <c r="AM370" s="939"/>
      <c r="AN370" s="939"/>
    </row>
    <row r="371" spans="1:40" ht="15" customHeight="1">
      <c r="A371" s="939"/>
      <c r="B371" s="939"/>
      <c r="C371" s="939"/>
      <c r="D371" s="939"/>
      <c r="E371" s="939"/>
      <c r="F371" s="939"/>
      <c r="G371" s="939"/>
      <c r="H371" s="939"/>
      <c r="I371" s="939"/>
      <c r="J371" s="939"/>
      <c r="K371" s="939"/>
      <c r="L371" s="939"/>
      <c r="M371" s="939"/>
      <c r="N371" s="939"/>
      <c r="O371" s="939"/>
      <c r="P371" s="939"/>
      <c r="Q371" s="939"/>
      <c r="R371" s="939"/>
      <c r="S371" s="939"/>
      <c r="T371" s="939"/>
      <c r="U371" s="939"/>
      <c r="V371" s="939"/>
      <c r="W371" s="939"/>
      <c r="X371" s="939"/>
      <c r="Y371" s="939"/>
      <c r="Z371" s="939"/>
      <c r="AA371" s="939"/>
      <c r="AB371" s="939"/>
      <c r="AC371" s="939"/>
      <c r="AD371" s="939"/>
      <c r="AE371" s="939"/>
      <c r="AF371" s="939"/>
      <c r="AG371" s="939"/>
      <c r="AH371" s="939"/>
      <c r="AI371" s="939"/>
      <c r="AJ371" s="939"/>
      <c r="AK371" s="939"/>
      <c r="AL371" s="939"/>
      <c r="AM371" s="939"/>
      <c r="AN371" s="939"/>
    </row>
    <row r="372" spans="1:40" ht="15" customHeight="1">
      <c r="A372" s="939"/>
      <c r="B372" s="939"/>
      <c r="C372" s="939"/>
      <c r="D372" s="939"/>
      <c r="E372" s="939"/>
      <c r="F372" s="939"/>
      <c r="G372" s="939"/>
      <c r="H372" s="939"/>
      <c r="I372" s="939"/>
      <c r="J372" s="939"/>
      <c r="K372" s="939"/>
      <c r="L372" s="939"/>
      <c r="M372" s="939"/>
      <c r="N372" s="939"/>
      <c r="O372" s="939"/>
      <c r="P372" s="939"/>
      <c r="Q372" s="939"/>
      <c r="R372" s="939"/>
      <c r="S372" s="939"/>
      <c r="T372" s="939"/>
      <c r="U372" s="939"/>
      <c r="V372" s="939"/>
      <c r="W372" s="939"/>
      <c r="X372" s="939"/>
      <c r="Y372" s="939"/>
      <c r="Z372" s="939"/>
      <c r="AA372" s="939"/>
      <c r="AB372" s="939"/>
      <c r="AC372" s="939"/>
      <c r="AD372" s="939"/>
      <c r="AE372" s="939"/>
      <c r="AF372" s="939"/>
      <c r="AG372" s="939"/>
      <c r="AH372" s="939"/>
      <c r="AI372" s="939"/>
      <c r="AJ372" s="939"/>
      <c r="AK372" s="939"/>
      <c r="AL372" s="939"/>
      <c r="AM372" s="939"/>
      <c r="AN372" s="939"/>
    </row>
    <row r="373" spans="1:40" ht="15" customHeight="1">
      <c r="A373" s="939"/>
      <c r="B373" s="939"/>
      <c r="C373" s="939"/>
      <c r="D373" s="939"/>
      <c r="E373" s="939"/>
      <c r="F373" s="939"/>
      <c r="G373" s="939"/>
      <c r="H373" s="939"/>
      <c r="I373" s="939"/>
      <c r="J373" s="939"/>
      <c r="K373" s="939"/>
      <c r="L373" s="939"/>
      <c r="M373" s="939"/>
      <c r="N373" s="939"/>
      <c r="O373" s="939"/>
      <c r="P373" s="939"/>
      <c r="Q373" s="939"/>
      <c r="R373" s="939"/>
      <c r="S373" s="939"/>
      <c r="T373" s="939"/>
      <c r="U373" s="939"/>
      <c r="V373" s="939"/>
      <c r="W373" s="939"/>
      <c r="X373" s="939"/>
      <c r="Y373" s="939"/>
      <c r="Z373" s="939"/>
      <c r="AA373" s="939"/>
      <c r="AB373" s="939"/>
      <c r="AC373" s="939"/>
      <c r="AD373" s="939"/>
      <c r="AE373" s="939"/>
      <c r="AF373" s="939"/>
      <c r="AG373" s="939"/>
      <c r="AH373" s="939"/>
      <c r="AI373" s="939"/>
      <c r="AJ373" s="939"/>
      <c r="AK373" s="939"/>
      <c r="AL373" s="939"/>
      <c r="AM373" s="939"/>
      <c r="AN373" s="939"/>
    </row>
    <row r="374" spans="1:40" ht="15" customHeight="1">
      <c r="A374" s="939"/>
      <c r="B374" s="939"/>
      <c r="C374" s="939"/>
      <c r="D374" s="939"/>
      <c r="E374" s="939"/>
      <c r="F374" s="939"/>
      <c r="G374" s="939"/>
      <c r="H374" s="939"/>
      <c r="I374" s="939"/>
      <c r="J374" s="939"/>
      <c r="K374" s="939"/>
      <c r="L374" s="939"/>
      <c r="M374" s="939"/>
      <c r="N374" s="939"/>
      <c r="O374" s="939"/>
      <c r="P374" s="939"/>
      <c r="Q374" s="939"/>
      <c r="R374" s="939"/>
      <c r="S374" s="939"/>
      <c r="T374" s="939"/>
      <c r="U374" s="939"/>
      <c r="V374" s="939"/>
      <c r="W374" s="939"/>
      <c r="X374" s="939"/>
      <c r="Y374" s="939"/>
      <c r="Z374" s="939"/>
      <c r="AA374" s="939"/>
      <c r="AB374" s="939"/>
      <c r="AC374" s="939"/>
      <c r="AD374" s="939"/>
      <c r="AE374" s="939"/>
      <c r="AF374" s="939"/>
      <c r="AG374" s="939"/>
      <c r="AH374" s="939"/>
      <c r="AI374" s="939"/>
      <c r="AJ374" s="939"/>
      <c r="AK374" s="939"/>
      <c r="AL374" s="939"/>
      <c r="AM374" s="939"/>
      <c r="AN374" s="939"/>
    </row>
    <row r="375" spans="1:40" ht="15" customHeight="1">
      <c r="A375" s="939"/>
      <c r="B375" s="939"/>
      <c r="C375" s="939"/>
      <c r="D375" s="939"/>
      <c r="E375" s="939"/>
      <c r="F375" s="939"/>
      <c r="G375" s="939"/>
      <c r="H375" s="939"/>
      <c r="I375" s="939"/>
      <c r="J375" s="939"/>
      <c r="K375" s="939"/>
      <c r="L375" s="939"/>
      <c r="M375" s="939"/>
      <c r="N375" s="939"/>
      <c r="O375" s="939"/>
      <c r="P375" s="939"/>
      <c r="Q375" s="939"/>
      <c r="R375" s="939"/>
      <c r="S375" s="939"/>
      <c r="T375" s="939"/>
      <c r="U375" s="939"/>
      <c r="V375" s="939"/>
      <c r="W375" s="939"/>
      <c r="X375" s="939"/>
      <c r="Y375" s="939"/>
      <c r="Z375" s="939"/>
      <c r="AA375" s="939"/>
      <c r="AB375" s="939"/>
      <c r="AC375" s="939"/>
      <c r="AD375" s="939"/>
      <c r="AE375" s="939"/>
      <c r="AF375" s="939"/>
      <c r="AG375" s="939"/>
      <c r="AH375" s="939"/>
      <c r="AI375" s="939"/>
      <c r="AJ375" s="939"/>
      <c r="AK375" s="939"/>
      <c r="AL375" s="939"/>
      <c r="AM375" s="939"/>
      <c r="AN375" s="939"/>
    </row>
    <row r="376" spans="1:40" ht="15" customHeight="1">
      <c r="A376" s="939"/>
      <c r="B376" s="939"/>
      <c r="C376" s="939"/>
      <c r="D376" s="939"/>
      <c r="E376" s="939"/>
      <c r="F376" s="939"/>
      <c r="G376" s="939"/>
      <c r="H376" s="939"/>
      <c r="I376" s="939"/>
      <c r="J376" s="939"/>
      <c r="K376" s="939"/>
      <c r="L376" s="939"/>
      <c r="M376" s="939"/>
      <c r="N376" s="939"/>
      <c r="O376" s="939"/>
      <c r="P376" s="939"/>
      <c r="Q376" s="939"/>
      <c r="R376" s="939"/>
      <c r="S376" s="939"/>
      <c r="T376" s="939"/>
      <c r="U376" s="939"/>
      <c r="V376" s="939"/>
      <c r="W376" s="939"/>
      <c r="X376" s="939"/>
      <c r="Y376" s="939"/>
      <c r="Z376" s="939"/>
      <c r="AA376" s="939"/>
      <c r="AB376" s="939"/>
      <c r="AC376" s="939"/>
      <c r="AD376" s="939"/>
      <c r="AE376" s="939"/>
      <c r="AF376" s="939"/>
      <c r="AG376" s="939"/>
      <c r="AH376" s="939"/>
      <c r="AI376" s="939"/>
      <c r="AJ376" s="939"/>
      <c r="AK376" s="939"/>
      <c r="AL376" s="939"/>
      <c r="AM376" s="939"/>
      <c r="AN376" s="939"/>
    </row>
    <row r="377" spans="1:40" ht="15" customHeight="1">
      <c r="A377" s="939"/>
      <c r="B377" s="939"/>
      <c r="C377" s="939"/>
      <c r="D377" s="939"/>
      <c r="E377" s="939"/>
      <c r="F377" s="939"/>
      <c r="G377" s="939"/>
      <c r="H377" s="939"/>
      <c r="I377" s="939"/>
      <c r="J377" s="939"/>
      <c r="K377" s="939"/>
      <c r="L377" s="939"/>
      <c r="M377" s="939"/>
      <c r="N377" s="939"/>
      <c r="O377" s="939"/>
      <c r="P377" s="939"/>
      <c r="Q377" s="939"/>
      <c r="R377" s="939"/>
      <c r="S377" s="939"/>
      <c r="T377" s="939"/>
      <c r="U377" s="939"/>
      <c r="V377" s="939"/>
      <c r="W377" s="939"/>
      <c r="X377" s="939"/>
      <c r="Y377" s="939"/>
      <c r="Z377" s="939"/>
      <c r="AA377" s="939"/>
      <c r="AB377" s="939"/>
      <c r="AC377" s="939"/>
      <c r="AD377" s="939"/>
      <c r="AE377" s="939"/>
      <c r="AF377" s="939"/>
      <c r="AG377" s="939"/>
      <c r="AH377" s="939"/>
      <c r="AI377" s="939"/>
      <c r="AJ377" s="939"/>
      <c r="AK377" s="939"/>
      <c r="AL377" s="939"/>
      <c r="AM377" s="939"/>
      <c r="AN377" s="939"/>
    </row>
    <row r="378" spans="1:40" ht="15" customHeight="1">
      <c r="A378" s="939"/>
      <c r="B378" s="939"/>
      <c r="C378" s="939"/>
      <c r="D378" s="939"/>
      <c r="E378" s="939"/>
      <c r="F378" s="939"/>
      <c r="G378" s="939"/>
      <c r="H378" s="939"/>
      <c r="I378" s="939"/>
      <c r="J378" s="939"/>
      <c r="K378" s="939"/>
      <c r="L378" s="939"/>
      <c r="M378" s="939"/>
      <c r="N378" s="939"/>
      <c r="O378" s="939"/>
      <c r="P378" s="939"/>
      <c r="Q378" s="939"/>
      <c r="R378" s="939"/>
      <c r="S378" s="939"/>
      <c r="T378" s="939"/>
      <c r="U378" s="939"/>
      <c r="V378" s="939"/>
      <c r="W378" s="939"/>
      <c r="X378" s="939"/>
      <c r="Y378" s="939"/>
      <c r="Z378" s="939"/>
      <c r="AA378" s="939"/>
      <c r="AB378" s="939"/>
      <c r="AC378" s="939"/>
      <c r="AD378" s="939"/>
      <c r="AE378" s="939"/>
      <c r="AF378" s="939"/>
      <c r="AG378" s="939"/>
      <c r="AH378" s="939"/>
      <c r="AI378" s="939"/>
      <c r="AJ378" s="939"/>
      <c r="AK378" s="939"/>
      <c r="AL378" s="939"/>
      <c r="AM378" s="939"/>
      <c r="AN378" s="939"/>
    </row>
    <row r="379" spans="1:40" ht="15" customHeight="1">
      <c r="A379" s="939"/>
      <c r="B379" s="939"/>
      <c r="C379" s="939"/>
      <c r="D379" s="939"/>
      <c r="E379" s="939"/>
      <c r="F379" s="939"/>
      <c r="G379" s="939"/>
      <c r="H379" s="939"/>
      <c r="I379" s="939"/>
      <c r="J379" s="939"/>
      <c r="K379" s="939"/>
      <c r="L379" s="939"/>
      <c r="M379" s="939"/>
      <c r="N379" s="939"/>
      <c r="O379" s="939"/>
      <c r="P379" s="939"/>
      <c r="Q379" s="939"/>
      <c r="R379" s="939"/>
      <c r="S379" s="939"/>
      <c r="T379" s="939"/>
      <c r="U379" s="939"/>
      <c r="V379" s="939"/>
      <c r="W379" s="939"/>
      <c r="X379" s="939"/>
      <c r="Y379" s="939"/>
      <c r="Z379" s="939"/>
      <c r="AA379" s="939"/>
      <c r="AB379" s="939"/>
      <c r="AC379" s="939"/>
      <c r="AD379" s="939"/>
      <c r="AE379" s="939"/>
      <c r="AF379" s="939"/>
      <c r="AG379" s="939"/>
      <c r="AH379" s="939"/>
      <c r="AI379" s="939"/>
      <c r="AJ379" s="939"/>
      <c r="AK379" s="939"/>
      <c r="AL379" s="939"/>
      <c r="AM379" s="939"/>
      <c r="AN379" s="939"/>
    </row>
    <row r="380" spans="1:40" ht="15" customHeight="1">
      <c r="A380" s="939"/>
      <c r="B380" s="939"/>
      <c r="C380" s="939"/>
      <c r="D380" s="939"/>
      <c r="E380" s="939"/>
      <c r="F380" s="939"/>
      <c r="G380" s="939"/>
      <c r="H380" s="939"/>
      <c r="I380" s="939"/>
      <c r="J380" s="939"/>
      <c r="K380" s="939"/>
      <c r="L380" s="939"/>
      <c r="M380" s="939"/>
      <c r="N380" s="939"/>
      <c r="O380" s="939"/>
      <c r="P380" s="939"/>
      <c r="Q380" s="939"/>
      <c r="R380" s="939"/>
      <c r="S380" s="939"/>
      <c r="T380" s="939"/>
      <c r="U380" s="939"/>
      <c r="V380" s="939"/>
      <c r="W380" s="939"/>
      <c r="X380" s="939"/>
      <c r="Y380" s="939"/>
      <c r="Z380" s="939"/>
      <c r="AA380" s="939"/>
      <c r="AB380" s="939"/>
      <c r="AC380" s="939"/>
      <c r="AD380" s="939"/>
      <c r="AE380" s="939"/>
      <c r="AF380" s="939"/>
      <c r="AG380" s="939"/>
      <c r="AH380" s="939"/>
      <c r="AI380" s="939"/>
      <c r="AJ380" s="939"/>
      <c r="AK380" s="939"/>
      <c r="AL380" s="939"/>
      <c r="AM380" s="939"/>
      <c r="AN380" s="939"/>
    </row>
    <row r="381" spans="1:40" ht="15" customHeight="1">
      <c r="A381" s="939"/>
      <c r="B381" s="939"/>
      <c r="C381" s="939"/>
      <c r="D381" s="939"/>
      <c r="E381" s="939"/>
      <c r="F381" s="939"/>
      <c r="G381" s="939"/>
      <c r="H381" s="939"/>
      <c r="I381" s="939"/>
      <c r="J381" s="939"/>
      <c r="K381" s="939"/>
      <c r="L381" s="939"/>
      <c r="M381" s="939"/>
      <c r="N381" s="939"/>
      <c r="O381" s="939"/>
      <c r="P381" s="939"/>
      <c r="Q381" s="939"/>
      <c r="R381" s="939"/>
      <c r="S381" s="939"/>
      <c r="T381" s="939"/>
      <c r="U381" s="939"/>
      <c r="V381" s="939"/>
      <c r="W381" s="939"/>
      <c r="X381" s="939"/>
      <c r="Y381" s="939"/>
      <c r="Z381" s="939"/>
      <c r="AA381" s="939"/>
      <c r="AB381" s="939"/>
      <c r="AC381" s="939"/>
      <c r="AD381" s="939"/>
      <c r="AE381" s="939"/>
      <c r="AF381" s="939"/>
      <c r="AG381" s="939"/>
      <c r="AH381" s="939"/>
      <c r="AI381" s="939"/>
      <c r="AJ381" s="939"/>
      <c r="AK381" s="939"/>
      <c r="AL381" s="939"/>
      <c r="AM381" s="939"/>
      <c r="AN381" s="939"/>
    </row>
    <row r="382" spans="1:40" ht="15" customHeight="1">
      <c r="A382" s="939"/>
      <c r="B382" s="939"/>
      <c r="C382" s="939"/>
      <c r="D382" s="939"/>
      <c r="E382" s="939"/>
      <c r="F382" s="939"/>
      <c r="G382" s="939"/>
      <c r="H382" s="939"/>
      <c r="I382" s="939"/>
      <c r="J382" s="939"/>
      <c r="K382" s="939"/>
      <c r="L382" s="939"/>
      <c r="M382" s="939"/>
      <c r="N382" s="939"/>
      <c r="O382" s="939"/>
      <c r="P382" s="939"/>
      <c r="Q382" s="939"/>
      <c r="R382" s="939"/>
      <c r="S382" s="939"/>
      <c r="T382" s="939"/>
      <c r="U382" s="939"/>
      <c r="V382" s="939"/>
      <c r="W382" s="939"/>
      <c r="X382" s="939"/>
      <c r="Y382" s="939"/>
      <c r="Z382" s="939"/>
      <c r="AA382" s="939"/>
      <c r="AB382" s="939"/>
      <c r="AC382" s="939"/>
      <c r="AD382" s="939"/>
      <c r="AE382" s="939"/>
      <c r="AF382" s="939"/>
      <c r="AG382" s="939"/>
      <c r="AH382" s="939"/>
      <c r="AI382" s="939"/>
      <c r="AJ382" s="939"/>
      <c r="AK382" s="939"/>
      <c r="AL382" s="939"/>
      <c r="AM382" s="939"/>
      <c r="AN382" s="939"/>
    </row>
    <row r="383" spans="1:40" ht="15" customHeight="1">
      <c r="A383" s="939"/>
      <c r="B383" s="939"/>
      <c r="C383" s="939"/>
      <c r="D383" s="939"/>
      <c r="E383" s="939"/>
      <c r="F383" s="939"/>
      <c r="G383" s="939"/>
      <c r="H383" s="939"/>
      <c r="I383" s="939"/>
      <c r="J383" s="939"/>
      <c r="K383" s="939"/>
      <c r="L383" s="939"/>
      <c r="M383" s="939"/>
      <c r="N383" s="939"/>
      <c r="O383" s="939"/>
      <c r="P383" s="939"/>
      <c r="Q383" s="939"/>
      <c r="R383" s="939"/>
      <c r="S383" s="939"/>
      <c r="T383" s="939"/>
      <c r="U383" s="939"/>
      <c r="V383" s="939"/>
      <c r="W383" s="939"/>
      <c r="X383" s="939"/>
      <c r="Y383" s="939"/>
      <c r="Z383" s="939"/>
      <c r="AA383" s="939"/>
      <c r="AB383" s="939"/>
      <c r="AC383" s="939"/>
      <c r="AD383" s="939"/>
      <c r="AE383" s="939"/>
      <c r="AF383" s="939"/>
      <c r="AG383" s="939"/>
      <c r="AH383" s="939"/>
      <c r="AI383" s="939"/>
      <c r="AJ383" s="939"/>
      <c r="AK383" s="939"/>
      <c r="AL383" s="939"/>
      <c r="AM383" s="939"/>
      <c r="AN383" s="939"/>
    </row>
    <row r="384" spans="1:40" ht="15" customHeight="1">
      <c r="A384" s="939"/>
      <c r="B384" s="939"/>
      <c r="C384" s="939"/>
      <c r="D384" s="939"/>
      <c r="E384" s="939"/>
      <c r="F384" s="939"/>
      <c r="G384" s="939"/>
      <c r="H384" s="939"/>
      <c r="I384" s="939"/>
      <c r="J384" s="939"/>
      <c r="K384" s="939"/>
      <c r="L384" s="939"/>
      <c r="M384" s="939"/>
      <c r="N384" s="939"/>
      <c r="O384" s="939"/>
      <c r="P384" s="939"/>
      <c r="Q384" s="939"/>
      <c r="R384" s="939"/>
      <c r="S384" s="939"/>
      <c r="T384" s="939"/>
      <c r="U384" s="939"/>
      <c r="V384" s="939"/>
      <c r="W384" s="939"/>
      <c r="X384" s="939"/>
      <c r="Y384" s="939"/>
      <c r="Z384" s="939"/>
      <c r="AA384" s="939"/>
      <c r="AB384" s="939"/>
      <c r="AC384" s="939"/>
      <c r="AD384" s="939"/>
      <c r="AE384" s="939"/>
      <c r="AF384" s="939"/>
      <c r="AG384" s="939"/>
      <c r="AH384" s="939"/>
      <c r="AI384" s="939"/>
      <c r="AJ384" s="939"/>
      <c r="AK384" s="939"/>
      <c r="AL384" s="939"/>
      <c r="AM384" s="939"/>
      <c r="AN384" s="939"/>
    </row>
    <row r="385" spans="1:40" ht="15" customHeight="1">
      <c r="A385" s="939"/>
      <c r="B385" s="939"/>
      <c r="C385" s="939"/>
      <c r="D385" s="939"/>
      <c r="E385" s="939"/>
      <c r="F385" s="939"/>
      <c r="G385" s="939"/>
      <c r="H385" s="939"/>
      <c r="I385" s="939"/>
      <c r="J385" s="939"/>
      <c r="K385" s="939"/>
      <c r="L385" s="939"/>
      <c r="M385" s="939"/>
      <c r="N385" s="939"/>
      <c r="O385" s="939"/>
      <c r="P385" s="939"/>
      <c r="Q385" s="939"/>
      <c r="R385" s="939"/>
      <c r="S385" s="939"/>
      <c r="T385" s="939"/>
      <c r="U385" s="939"/>
      <c r="V385" s="939"/>
      <c r="W385" s="939"/>
      <c r="X385" s="939"/>
      <c r="Y385" s="939"/>
      <c r="Z385" s="939"/>
      <c r="AA385" s="939"/>
      <c r="AB385" s="939"/>
      <c r="AC385" s="939"/>
      <c r="AD385" s="939"/>
      <c r="AE385" s="939"/>
      <c r="AF385" s="939"/>
      <c r="AG385" s="939"/>
      <c r="AH385" s="939"/>
      <c r="AI385" s="939"/>
      <c r="AJ385" s="939"/>
      <c r="AK385" s="939"/>
      <c r="AL385" s="939"/>
      <c r="AM385" s="939"/>
      <c r="AN385" s="939"/>
    </row>
    <row r="386" spans="1:40" ht="15" customHeight="1">
      <c r="A386" s="939"/>
      <c r="B386" s="939"/>
      <c r="C386" s="939"/>
      <c r="D386" s="939"/>
      <c r="E386" s="939"/>
      <c r="F386" s="939"/>
      <c r="G386" s="939"/>
      <c r="H386" s="939"/>
      <c r="I386" s="939"/>
      <c r="J386" s="939"/>
      <c r="K386" s="939"/>
      <c r="L386" s="939"/>
      <c r="M386" s="939"/>
      <c r="N386" s="939"/>
      <c r="O386" s="939"/>
      <c r="P386" s="939"/>
      <c r="Q386" s="939"/>
      <c r="R386" s="939"/>
      <c r="S386" s="939"/>
      <c r="T386" s="939"/>
      <c r="U386" s="939"/>
      <c r="V386" s="939"/>
      <c r="W386" s="939"/>
      <c r="X386" s="939"/>
      <c r="Y386" s="939"/>
      <c r="Z386" s="939"/>
      <c r="AA386" s="939"/>
      <c r="AB386" s="939"/>
      <c r="AC386" s="939"/>
      <c r="AD386" s="939"/>
      <c r="AE386" s="939"/>
      <c r="AF386" s="939"/>
      <c r="AG386" s="939"/>
      <c r="AH386" s="939"/>
      <c r="AI386" s="939"/>
      <c r="AJ386" s="939"/>
      <c r="AK386" s="939"/>
      <c r="AL386" s="939"/>
      <c r="AM386" s="939"/>
      <c r="AN386" s="939"/>
    </row>
    <row r="387" spans="1:40" ht="15" customHeight="1">
      <c r="A387" s="939"/>
      <c r="B387" s="939"/>
      <c r="C387" s="939"/>
      <c r="D387" s="939"/>
      <c r="E387" s="939"/>
      <c r="F387" s="939"/>
      <c r="G387" s="939"/>
      <c r="H387" s="939"/>
      <c r="I387" s="939"/>
      <c r="J387" s="939"/>
      <c r="K387" s="939"/>
      <c r="L387" s="939"/>
      <c r="M387" s="939"/>
      <c r="N387" s="939"/>
      <c r="O387" s="939"/>
      <c r="P387" s="939"/>
      <c r="Q387" s="939"/>
      <c r="R387" s="939"/>
      <c r="S387" s="939"/>
      <c r="T387" s="939"/>
      <c r="U387" s="939"/>
      <c r="V387" s="939"/>
      <c r="W387" s="939"/>
      <c r="X387" s="939"/>
      <c r="Y387" s="939"/>
      <c r="Z387" s="939"/>
      <c r="AA387" s="939"/>
      <c r="AB387" s="939"/>
      <c r="AC387" s="939"/>
      <c r="AD387" s="939"/>
      <c r="AE387" s="939"/>
      <c r="AF387" s="939"/>
      <c r="AG387" s="939"/>
      <c r="AH387" s="939"/>
      <c r="AI387" s="939"/>
      <c r="AJ387" s="939"/>
      <c r="AK387" s="939"/>
      <c r="AL387" s="939"/>
      <c r="AM387" s="939"/>
      <c r="AN387" s="939"/>
    </row>
    <row r="388" spans="1:40" ht="15" customHeight="1">
      <c r="A388" s="939"/>
      <c r="B388" s="939"/>
      <c r="C388" s="939"/>
      <c r="D388" s="939"/>
      <c r="E388" s="939"/>
      <c r="F388" s="939"/>
      <c r="G388" s="939"/>
      <c r="H388" s="939"/>
      <c r="I388" s="939"/>
      <c r="J388" s="939"/>
      <c r="K388" s="939"/>
      <c r="L388" s="939"/>
      <c r="M388" s="939"/>
      <c r="N388" s="939"/>
      <c r="O388" s="939"/>
      <c r="P388" s="939"/>
      <c r="Q388" s="939"/>
      <c r="R388" s="939"/>
      <c r="S388" s="939"/>
      <c r="T388" s="939"/>
      <c r="U388" s="939"/>
      <c r="V388" s="939"/>
      <c r="W388" s="939"/>
      <c r="X388" s="939"/>
      <c r="Y388" s="939"/>
      <c r="Z388" s="939"/>
      <c r="AA388" s="939"/>
      <c r="AB388" s="939"/>
      <c r="AC388" s="939"/>
      <c r="AD388" s="939"/>
      <c r="AE388" s="939"/>
      <c r="AF388" s="939"/>
      <c r="AG388" s="939"/>
      <c r="AH388" s="939"/>
      <c r="AI388" s="939"/>
      <c r="AJ388" s="939"/>
      <c r="AK388" s="939"/>
      <c r="AL388" s="939"/>
      <c r="AM388" s="939"/>
      <c r="AN388" s="939"/>
    </row>
    <row r="389" spans="1:40" ht="15" customHeight="1">
      <c r="A389" s="939"/>
      <c r="B389" s="939"/>
      <c r="C389" s="939"/>
      <c r="D389" s="939"/>
      <c r="E389" s="939"/>
      <c r="F389" s="939"/>
      <c r="G389" s="939"/>
      <c r="H389" s="939"/>
      <c r="I389" s="939"/>
      <c r="J389" s="939"/>
      <c r="K389" s="939"/>
      <c r="L389" s="939"/>
      <c r="M389" s="939"/>
      <c r="N389" s="939"/>
      <c r="O389" s="939"/>
      <c r="P389" s="939"/>
      <c r="Q389" s="939"/>
      <c r="R389" s="939"/>
      <c r="S389" s="939"/>
      <c r="T389" s="939"/>
      <c r="U389" s="939"/>
      <c r="V389" s="939"/>
      <c r="W389" s="939"/>
      <c r="X389" s="939"/>
      <c r="Y389" s="939"/>
      <c r="Z389" s="939"/>
      <c r="AA389" s="939"/>
      <c r="AB389" s="939"/>
      <c r="AC389" s="939"/>
      <c r="AD389" s="939"/>
      <c r="AE389" s="939"/>
      <c r="AF389" s="939"/>
      <c r="AG389" s="939"/>
      <c r="AH389" s="939"/>
      <c r="AI389" s="939"/>
      <c r="AJ389" s="939"/>
      <c r="AK389" s="939"/>
      <c r="AL389" s="939"/>
      <c r="AM389" s="939"/>
      <c r="AN389" s="939"/>
    </row>
    <row r="390" spans="1:40" ht="15" customHeight="1">
      <c r="A390" s="939"/>
      <c r="B390" s="939"/>
      <c r="C390" s="939"/>
      <c r="D390" s="939"/>
      <c r="E390" s="939"/>
      <c r="F390" s="939"/>
      <c r="G390" s="939"/>
      <c r="H390" s="939"/>
      <c r="I390" s="939"/>
      <c r="J390" s="939"/>
      <c r="K390" s="939"/>
      <c r="L390" s="939"/>
      <c r="M390" s="939"/>
      <c r="N390" s="939"/>
      <c r="O390" s="939"/>
      <c r="P390" s="939"/>
      <c r="Q390" s="939"/>
      <c r="R390" s="939"/>
      <c r="S390" s="939"/>
      <c r="T390" s="939"/>
      <c r="U390" s="939"/>
      <c r="V390" s="939"/>
      <c r="W390" s="939"/>
      <c r="X390" s="939"/>
      <c r="Y390" s="939"/>
      <c r="Z390" s="939"/>
      <c r="AA390" s="939"/>
      <c r="AB390" s="939"/>
      <c r="AC390" s="939"/>
      <c r="AD390" s="939"/>
      <c r="AE390" s="939"/>
      <c r="AF390" s="939"/>
      <c r="AG390" s="939"/>
      <c r="AH390" s="939"/>
      <c r="AI390" s="939"/>
      <c r="AJ390" s="939"/>
      <c r="AK390" s="939"/>
      <c r="AL390" s="939"/>
      <c r="AM390" s="939"/>
      <c r="AN390" s="939"/>
    </row>
    <row r="391" spans="1:40" ht="15" customHeight="1">
      <c r="A391" s="939"/>
      <c r="B391" s="939"/>
      <c r="C391" s="939"/>
      <c r="D391" s="939"/>
      <c r="E391" s="939"/>
      <c r="F391" s="939"/>
      <c r="G391" s="939"/>
      <c r="H391" s="939"/>
      <c r="I391" s="939"/>
      <c r="J391" s="939"/>
      <c r="K391" s="939"/>
      <c r="L391" s="939"/>
      <c r="M391" s="939"/>
      <c r="N391" s="939"/>
      <c r="O391" s="939"/>
      <c r="P391" s="939"/>
      <c r="Q391" s="939"/>
      <c r="R391" s="939"/>
      <c r="S391" s="939"/>
      <c r="T391" s="939"/>
      <c r="U391" s="939"/>
      <c r="V391" s="939"/>
      <c r="W391" s="939"/>
      <c r="X391" s="939"/>
      <c r="Y391" s="939"/>
      <c r="Z391" s="939"/>
      <c r="AA391" s="939"/>
      <c r="AB391" s="939"/>
      <c r="AC391" s="939"/>
      <c r="AD391" s="939"/>
      <c r="AE391" s="939"/>
      <c r="AF391" s="939"/>
      <c r="AG391" s="939"/>
      <c r="AH391" s="939"/>
      <c r="AI391" s="939"/>
      <c r="AJ391" s="939"/>
      <c r="AK391" s="939"/>
      <c r="AL391" s="939"/>
      <c r="AM391" s="939"/>
      <c r="AN391" s="939"/>
    </row>
    <row r="392" spans="1:40" ht="15" customHeight="1">
      <c r="A392" s="939"/>
      <c r="B392" s="939"/>
      <c r="C392" s="939"/>
      <c r="D392" s="939"/>
      <c r="E392" s="939"/>
      <c r="F392" s="939"/>
      <c r="G392" s="939"/>
      <c r="H392" s="939"/>
      <c r="I392" s="939"/>
      <c r="J392" s="939"/>
      <c r="K392" s="939"/>
      <c r="L392" s="939"/>
      <c r="M392" s="939"/>
      <c r="N392" s="939"/>
      <c r="O392" s="939"/>
      <c r="P392" s="939"/>
      <c r="Q392" s="939"/>
      <c r="R392" s="939"/>
      <c r="S392" s="939"/>
      <c r="T392" s="939"/>
      <c r="U392" s="939"/>
      <c r="V392" s="939"/>
      <c r="W392" s="939"/>
      <c r="X392" s="939"/>
      <c r="Y392" s="939"/>
      <c r="Z392" s="939"/>
      <c r="AA392" s="939"/>
      <c r="AB392" s="939"/>
      <c r="AC392" s="939"/>
      <c r="AD392" s="939"/>
      <c r="AE392" s="939"/>
      <c r="AF392" s="939"/>
      <c r="AG392" s="939"/>
      <c r="AH392" s="939"/>
      <c r="AI392" s="939"/>
      <c r="AJ392" s="939"/>
      <c r="AK392" s="939"/>
      <c r="AL392" s="939"/>
      <c r="AM392" s="939"/>
      <c r="AN392" s="939"/>
    </row>
    <row r="393" spans="1:40" ht="15" customHeight="1">
      <c r="A393" s="939"/>
      <c r="B393" s="939"/>
      <c r="C393" s="939"/>
      <c r="D393" s="939"/>
      <c r="E393" s="939"/>
      <c r="F393" s="939"/>
      <c r="G393" s="939"/>
      <c r="H393" s="939"/>
      <c r="I393" s="939"/>
      <c r="J393" s="939"/>
      <c r="K393" s="939"/>
      <c r="L393" s="939"/>
      <c r="M393" s="939"/>
      <c r="N393" s="939"/>
      <c r="O393" s="939"/>
      <c r="P393" s="939"/>
      <c r="Q393" s="939"/>
      <c r="R393" s="939"/>
      <c r="S393" s="939"/>
      <c r="T393" s="939"/>
      <c r="U393" s="939"/>
      <c r="V393" s="939"/>
      <c r="W393" s="939"/>
      <c r="X393" s="939"/>
      <c r="Y393" s="939"/>
      <c r="Z393" s="939"/>
      <c r="AA393" s="939"/>
      <c r="AB393" s="939"/>
      <c r="AC393" s="939"/>
      <c r="AD393" s="939"/>
      <c r="AE393" s="939"/>
      <c r="AF393" s="939"/>
      <c r="AG393" s="939"/>
      <c r="AH393" s="939"/>
      <c r="AI393" s="939"/>
      <c r="AJ393" s="939"/>
      <c r="AK393" s="939"/>
      <c r="AL393" s="939"/>
      <c r="AM393" s="939"/>
      <c r="AN393" s="939"/>
    </row>
    <row r="394" spans="1:40" ht="15" customHeight="1">
      <c r="A394" s="939"/>
      <c r="B394" s="939"/>
      <c r="C394" s="939"/>
      <c r="D394" s="939"/>
      <c r="E394" s="939"/>
      <c r="F394" s="939"/>
      <c r="G394" s="939"/>
      <c r="H394" s="939"/>
      <c r="I394" s="939"/>
      <c r="J394" s="939"/>
      <c r="K394" s="939"/>
      <c r="L394" s="939"/>
      <c r="M394" s="939"/>
      <c r="N394" s="939"/>
      <c r="O394" s="939"/>
      <c r="P394" s="939"/>
      <c r="Q394" s="939"/>
      <c r="R394" s="939"/>
      <c r="S394" s="939"/>
      <c r="T394" s="939"/>
      <c r="U394" s="939"/>
      <c r="V394" s="939"/>
      <c r="W394" s="939"/>
      <c r="X394" s="939"/>
      <c r="Y394" s="939"/>
      <c r="Z394" s="939"/>
      <c r="AA394" s="939"/>
      <c r="AB394" s="939"/>
      <c r="AC394" s="939"/>
      <c r="AD394" s="939"/>
      <c r="AE394" s="939"/>
      <c r="AF394" s="939"/>
      <c r="AG394" s="939"/>
      <c r="AH394" s="939"/>
      <c r="AI394" s="939"/>
      <c r="AJ394" s="939"/>
      <c r="AK394" s="939"/>
      <c r="AL394" s="939"/>
      <c r="AM394" s="939"/>
      <c r="AN394" s="939"/>
    </row>
    <row r="395" spans="1:40" ht="15" customHeight="1">
      <c r="A395" s="939"/>
      <c r="B395" s="939"/>
      <c r="C395" s="939"/>
      <c r="D395" s="939"/>
      <c r="E395" s="939"/>
      <c r="F395" s="939"/>
      <c r="G395" s="939"/>
      <c r="H395" s="939"/>
      <c r="I395" s="939"/>
      <c r="J395" s="939"/>
      <c r="K395" s="939"/>
      <c r="L395" s="939"/>
      <c r="M395" s="939"/>
      <c r="N395" s="939"/>
      <c r="O395" s="939"/>
      <c r="P395" s="939"/>
      <c r="Q395" s="939"/>
      <c r="R395" s="939"/>
      <c r="S395" s="939"/>
      <c r="T395" s="939"/>
      <c r="U395" s="939"/>
      <c r="V395" s="939"/>
      <c r="W395" s="939"/>
      <c r="X395" s="939"/>
      <c r="Y395" s="939"/>
      <c r="Z395" s="939"/>
      <c r="AA395" s="939"/>
      <c r="AB395" s="939"/>
      <c r="AC395" s="939"/>
      <c r="AD395" s="939"/>
      <c r="AE395" s="939"/>
      <c r="AF395" s="939"/>
      <c r="AG395" s="939"/>
      <c r="AH395" s="939"/>
      <c r="AI395" s="939"/>
      <c r="AJ395" s="939"/>
      <c r="AK395" s="939"/>
      <c r="AL395" s="939"/>
      <c r="AM395" s="939"/>
      <c r="AN395" s="939"/>
    </row>
    <row r="396" spans="1:40" ht="15" customHeight="1">
      <c r="A396" s="939"/>
      <c r="B396" s="939"/>
      <c r="C396" s="939"/>
      <c r="D396" s="939"/>
      <c r="E396" s="939"/>
      <c r="F396" s="939"/>
      <c r="G396" s="939"/>
      <c r="H396" s="939"/>
      <c r="I396" s="939"/>
      <c r="J396" s="939"/>
      <c r="K396" s="939"/>
      <c r="L396" s="939"/>
      <c r="M396" s="939"/>
      <c r="N396" s="939"/>
      <c r="O396" s="939"/>
      <c r="P396" s="939"/>
      <c r="Q396" s="939"/>
      <c r="R396" s="939"/>
      <c r="S396" s="939"/>
      <c r="T396" s="939"/>
      <c r="U396" s="939"/>
      <c r="V396" s="939"/>
      <c r="W396" s="939"/>
      <c r="X396" s="939"/>
      <c r="Y396" s="939"/>
      <c r="Z396" s="939"/>
      <c r="AA396" s="939"/>
      <c r="AB396" s="939"/>
      <c r="AC396" s="939"/>
      <c r="AD396" s="939"/>
      <c r="AE396" s="939"/>
      <c r="AF396" s="939"/>
      <c r="AG396" s="939"/>
      <c r="AH396" s="939"/>
      <c r="AI396" s="939"/>
      <c r="AJ396" s="939"/>
      <c r="AK396" s="939"/>
      <c r="AL396" s="939"/>
      <c r="AM396" s="939"/>
      <c r="AN396" s="939"/>
    </row>
    <row r="397" spans="1:40" ht="15" customHeight="1">
      <c r="A397" s="939"/>
      <c r="B397" s="939"/>
      <c r="C397" s="939"/>
      <c r="D397" s="939"/>
      <c r="E397" s="939"/>
      <c r="F397" s="939"/>
      <c r="G397" s="939"/>
      <c r="H397" s="939"/>
      <c r="I397" s="939"/>
      <c r="J397" s="939"/>
      <c r="K397" s="939"/>
      <c r="L397" s="939"/>
      <c r="M397" s="939"/>
      <c r="N397" s="939"/>
      <c r="O397" s="939"/>
      <c r="P397" s="939"/>
      <c r="Q397" s="939"/>
      <c r="R397" s="939"/>
      <c r="S397" s="939"/>
      <c r="T397" s="939"/>
      <c r="U397" s="939"/>
      <c r="V397" s="939"/>
      <c r="W397" s="939"/>
      <c r="X397" s="939"/>
      <c r="Y397" s="939"/>
      <c r="Z397" s="939"/>
      <c r="AA397" s="939"/>
      <c r="AB397" s="939"/>
      <c r="AC397" s="939"/>
      <c r="AD397" s="939"/>
      <c r="AE397" s="939"/>
      <c r="AF397" s="939"/>
      <c r="AG397" s="939"/>
      <c r="AH397" s="939"/>
      <c r="AI397" s="939"/>
      <c r="AJ397" s="939"/>
      <c r="AK397" s="939"/>
      <c r="AL397" s="939"/>
      <c r="AM397" s="939"/>
      <c r="AN397" s="939"/>
    </row>
    <row r="398" spans="1:40" ht="15" customHeight="1">
      <c r="A398" s="939"/>
      <c r="B398" s="939"/>
      <c r="C398" s="939"/>
      <c r="D398" s="939"/>
      <c r="E398" s="939"/>
      <c r="F398" s="939"/>
      <c r="G398" s="939"/>
      <c r="H398" s="939"/>
      <c r="I398" s="939"/>
      <c r="J398" s="939"/>
      <c r="K398" s="939"/>
      <c r="L398" s="939"/>
      <c r="M398" s="939"/>
      <c r="N398" s="939"/>
      <c r="O398" s="939"/>
      <c r="P398" s="939"/>
      <c r="Q398" s="939"/>
      <c r="R398" s="939"/>
      <c r="S398" s="939"/>
      <c r="T398" s="939"/>
      <c r="U398" s="939"/>
      <c r="V398" s="939"/>
      <c r="W398" s="939"/>
      <c r="X398" s="939"/>
      <c r="Y398" s="939"/>
      <c r="Z398" s="939"/>
      <c r="AA398" s="939"/>
      <c r="AB398" s="939"/>
      <c r="AC398" s="939"/>
      <c r="AD398" s="939"/>
      <c r="AE398" s="939"/>
      <c r="AF398" s="939"/>
      <c r="AG398" s="939"/>
      <c r="AH398" s="939"/>
      <c r="AI398" s="939"/>
      <c r="AJ398" s="939"/>
      <c r="AK398" s="939"/>
      <c r="AL398" s="939"/>
      <c r="AM398" s="939"/>
      <c r="AN398" s="939"/>
    </row>
    <row r="399" spans="1:40" ht="15" customHeight="1">
      <c r="A399" s="939"/>
      <c r="B399" s="939"/>
      <c r="C399" s="939"/>
      <c r="D399" s="939"/>
      <c r="E399" s="939"/>
      <c r="F399" s="939"/>
      <c r="G399" s="939"/>
      <c r="H399" s="939"/>
      <c r="I399" s="939"/>
      <c r="J399" s="939"/>
      <c r="K399" s="939"/>
      <c r="L399" s="939"/>
      <c r="M399" s="939"/>
      <c r="N399" s="939"/>
      <c r="O399" s="939"/>
      <c r="P399" s="939"/>
      <c r="Q399" s="939"/>
      <c r="R399" s="939"/>
      <c r="S399" s="939"/>
      <c r="T399" s="939"/>
      <c r="U399" s="939"/>
      <c r="V399" s="939"/>
      <c r="W399" s="939"/>
      <c r="X399" s="939"/>
      <c r="Y399" s="939"/>
      <c r="Z399" s="939"/>
      <c r="AA399" s="939"/>
      <c r="AB399" s="939"/>
      <c r="AC399" s="939"/>
      <c r="AD399" s="939"/>
      <c r="AE399" s="939"/>
      <c r="AF399" s="939"/>
      <c r="AG399" s="939"/>
      <c r="AH399" s="939"/>
      <c r="AI399" s="939"/>
      <c r="AJ399" s="939"/>
      <c r="AK399" s="939"/>
      <c r="AL399" s="939"/>
      <c r="AM399" s="939"/>
      <c r="AN399" s="939"/>
    </row>
    <row r="400" spans="1:40" ht="15" customHeight="1">
      <c r="A400" s="939"/>
      <c r="B400" s="939"/>
      <c r="C400" s="939"/>
      <c r="D400" s="939"/>
      <c r="E400" s="939"/>
      <c r="F400" s="939"/>
      <c r="G400" s="939"/>
      <c r="H400" s="939"/>
      <c r="I400" s="939"/>
      <c r="J400" s="939"/>
      <c r="K400" s="939"/>
      <c r="L400" s="939"/>
      <c r="M400" s="939"/>
      <c r="N400" s="939"/>
      <c r="O400" s="939"/>
      <c r="P400" s="939"/>
      <c r="Q400" s="939"/>
      <c r="R400" s="939"/>
      <c r="S400" s="939"/>
      <c r="T400" s="939"/>
      <c r="U400" s="939"/>
      <c r="V400" s="939"/>
      <c r="W400" s="939"/>
      <c r="X400" s="939"/>
      <c r="Y400" s="939"/>
      <c r="Z400" s="939"/>
      <c r="AA400" s="939"/>
      <c r="AB400" s="939"/>
      <c r="AC400" s="939"/>
      <c r="AD400" s="939"/>
      <c r="AE400" s="939"/>
      <c r="AF400" s="939"/>
      <c r="AG400" s="939"/>
      <c r="AH400" s="939"/>
      <c r="AI400" s="939"/>
      <c r="AJ400" s="939"/>
      <c r="AK400" s="939"/>
      <c r="AL400" s="939"/>
      <c r="AM400" s="939"/>
      <c r="AN400" s="939"/>
    </row>
    <row r="401" spans="1:40" ht="15" customHeight="1">
      <c r="A401" s="939"/>
      <c r="B401" s="939"/>
      <c r="C401" s="939"/>
      <c r="D401" s="939"/>
      <c r="E401" s="939"/>
      <c r="F401" s="939"/>
      <c r="G401" s="939"/>
      <c r="H401" s="939"/>
      <c r="I401" s="939"/>
      <c r="J401" s="939"/>
      <c r="K401" s="939"/>
      <c r="L401" s="939"/>
      <c r="M401" s="939"/>
      <c r="N401" s="939"/>
      <c r="O401" s="939"/>
      <c r="P401" s="939"/>
      <c r="Q401" s="939"/>
      <c r="R401" s="939"/>
      <c r="S401" s="939"/>
      <c r="T401" s="939"/>
      <c r="U401" s="939"/>
      <c r="V401" s="939"/>
      <c r="W401" s="939"/>
      <c r="X401" s="939"/>
      <c r="Y401" s="939"/>
      <c r="Z401" s="939"/>
      <c r="AA401" s="939"/>
      <c r="AB401" s="939"/>
      <c r="AC401" s="939"/>
      <c r="AD401" s="939"/>
      <c r="AE401" s="939"/>
      <c r="AF401" s="939"/>
      <c r="AG401" s="939"/>
      <c r="AH401" s="939"/>
      <c r="AI401" s="939"/>
      <c r="AJ401" s="939"/>
      <c r="AK401" s="939"/>
      <c r="AL401" s="939"/>
      <c r="AM401" s="939"/>
      <c r="AN401" s="939"/>
    </row>
    <row r="402" spans="1:40" ht="15" customHeight="1">
      <c r="A402" s="939"/>
      <c r="B402" s="939"/>
      <c r="C402" s="939"/>
      <c r="D402" s="939"/>
      <c r="E402" s="939"/>
      <c r="F402" s="939"/>
      <c r="G402" s="939"/>
      <c r="H402" s="939"/>
      <c r="I402" s="939"/>
      <c r="J402" s="939"/>
      <c r="K402" s="939"/>
      <c r="L402" s="939"/>
      <c r="M402" s="939"/>
      <c r="N402" s="939"/>
      <c r="O402" s="939"/>
      <c r="P402" s="939"/>
      <c r="Q402" s="939"/>
      <c r="R402" s="939"/>
      <c r="S402" s="939"/>
      <c r="T402" s="939"/>
      <c r="U402" s="939"/>
      <c r="V402" s="939"/>
      <c r="W402" s="939"/>
      <c r="X402" s="939"/>
      <c r="Y402" s="939"/>
      <c r="Z402" s="939"/>
      <c r="AA402" s="939"/>
      <c r="AB402" s="939"/>
      <c r="AC402" s="939"/>
      <c r="AD402" s="939"/>
      <c r="AE402" s="939"/>
      <c r="AF402" s="939"/>
      <c r="AG402" s="939"/>
      <c r="AH402" s="939"/>
      <c r="AI402" s="939"/>
      <c r="AJ402" s="939"/>
      <c r="AK402" s="939"/>
      <c r="AL402" s="939"/>
      <c r="AM402" s="939"/>
      <c r="AN402" s="939"/>
    </row>
    <row r="403" spans="1:40" ht="15" customHeight="1">
      <c r="A403" s="939"/>
      <c r="B403" s="939"/>
      <c r="C403" s="939"/>
      <c r="D403" s="939"/>
      <c r="E403" s="939"/>
      <c r="F403" s="939"/>
      <c r="G403" s="939"/>
      <c r="H403" s="939"/>
      <c r="I403" s="939"/>
      <c r="J403" s="939"/>
      <c r="K403" s="939"/>
      <c r="L403" s="939"/>
      <c r="M403" s="939"/>
      <c r="N403" s="939"/>
      <c r="O403" s="939"/>
      <c r="P403" s="939"/>
      <c r="Q403" s="939"/>
      <c r="R403" s="939"/>
      <c r="S403" s="939"/>
      <c r="T403" s="939"/>
      <c r="U403" s="939"/>
      <c r="V403" s="939"/>
      <c r="W403" s="939"/>
      <c r="X403" s="939"/>
      <c r="Y403" s="939"/>
      <c r="Z403" s="939"/>
      <c r="AA403" s="939"/>
      <c r="AB403" s="939"/>
      <c r="AC403" s="939"/>
      <c r="AD403" s="939"/>
      <c r="AE403" s="939"/>
      <c r="AF403" s="939"/>
      <c r="AG403" s="939"/>
      <c r="AH403" s="939"/>
      <c r="AI403" s="939"/>
      <c r="AJ403" s="939"/>
      <c r="AK403" s="939"/>
      <c r="AL403" s="939"/>
      <c r="AM403" s="939"/>
      <c r="AN403" s="939"/>
    </row>
    <row r="404" spans="1:40" ht="15" customHeight="1">
      <c r="A404" s="939"/>
      <c r="B404" s="939"/>
      <c r="C404" s="939"/>
      <c r="D404" s="939"/>
      <c r="E404" s="939"/>
      <c r="F404" s="939"/>
      <c r="G404" s="939"/>
      <c r="H404" s="939"/>
      <c r="I404" s="939"/>
      <c r="J404" s="939"/>
      <c r="K404" s="939"/>
      <c r="L404" s="939"/>
      <c r="M404" s="939"/>
      <c r="N404" s="939"/>
      <c r="O404" s="939"/>
      <c r="P404" s="939"/>
      <c r="Q404" s="939"/>
      <c r="R404" s="939"/>
      <c r="S404" s="939"/>
      <c r="T404" s="939"/>
      <c r="U404" s="939"/>
      <c r="V404" s="939"/>
      <c r="W404" s="939"/>
      <c r="X404" s="939"/>
      <c r="Y404" s="939"/>
      <c r="Z404" s="939"/>
      <c r="AA404" s="939"/>
      <c r="AB404" s="939"/>
      <c r="AC404" s="939"/>
      <c r="AD404" s="939"/>
      <c r="AE404" s="939"/>
      <c r="AF404" s="939"/>
      <c r="AG404" s="939"/>
      <c r="AH404" s="939"/>
      <c r="AI404" s="939"/>
      <c r="AJ404" s="939"/>
      <c r="AK404" s="939"/>
      <c r="AL404" s="939"/>
      <c r="AM404" s="939"/>
      <c r="AN404" s="939"/>
    </row>
    <row r="405" spans="1:40" ht="15" customHeight="1">
      <c r="A405" s="939"/>
      <c r="B405" s="939"/>
      <c r="C405" s="939"/>
      <c r="D405" s="939"/>
      <c r="E405" s="939"/>
      <c r="F405" s="939"/>
      <c r="G405" s="939"/>
      <c r="H405" s="939"/>
      <c r="I405" s="939"/>
      <c r="J405" s="939"/>
      <c r="K405" s="939"/>
      <c r="L405" s="939"/>
      <c r="M405" s="939"/>
      <c r="N405" s="939"/>
      <c r="O405" s="939"/>
      <c r="P405" s="939"/>
      <c r="Q405" s="939"/>
      <c r="R405" s="939"/>
      <c r="S405" s="939"/>
      <c r="T405" s="939"/>
      <c r="U405" s="939"/>
      <c r="V405" s="939"/>
      <c r="W405" s="939"/>
      <c r="X405" s="939"/>
      <c r="Y405" s="939"/>
      <c r="Z405" s="939"/>
      <c r="AA405" s="939"/>
      <c r="AB405" s="939"/>
      <c r="AC405" s="939"/>
      <c r="AD405" s="939"/>
      <c r="AE405" s="939"/>
      <c r="AF405" s="939"/>
      <c r="AG405" s="939"/>
      <c r="AH405" s="939"/>
      <c r="AI405" s="939"/>
      <c r="AJ405" s="939"/>
      <c r="AK405" s="939"/>
      <c r="AL405" s="939"/>
      <c r="AM405" s="939"/>
      <c r="AN405" s="939"/>
    </row>
    <row r="406" spans="1:40" ht="15" customHeight="1">
      <c r="A406" s="939"/>
      <c r="B406" s="939"/>
      <c r="C406" s="939"/>
      <c r="D406" s="939"/>
      <c r="E406" s="939"/>
      <c r="F406" s="939"/>
      <c r="G406" s="939"/>
      <c r="H406" s="939"/>
      <c r="I406" s="939"/>
      <c r="J406" s="939"/>
      <c r="K406" s="939"/>
      <c r="L406" s="939"/>
      <c r="M406" s="939"/>
      <c r="N406" s="939"/>
      <c r="O406" s="939"/>
      <c r="P406" s="939"/>
      <c r="Q406" s="939"/>
      <c r="R406" s="939"/>
      <c r="S406" s="939"/>
      <c r="T406" s="939"/>
      <c r="U406" s="939"/>
      <c r="V406" s="939"/>
      <c r="W406" s="939"/>
      <c r="X406" s="939"/>
      <c r="Y406" s="939"/>
      <c r="Z406" s="939"/>
      <c r="AA406" s="939"/>
      <c r="AB406" s="939"/>
      <c r="AC406" s="939"/>
      <c r="AD406" s="939"/>
      <c r="AE406" s="939"/>
      <c r="AF406" s="939"/>
      <c r="AG406" s="939"/>
      <c r="AH406" s="939"/>
      <c r="AI406" s="939"/>
      <c r="AJ406" s="939"/>
      <c r="AK406" s="939"/>
      <c r="AL406" s="939"/>
      <c r="AM406" s="939"/>
      <c r="AN406" s="939"/>
    </row>
    <row r="407" spans="1:40" ht="15" customHeight="1">
      <c r="A407" s="939"/>
      <c r="B407" s="939"/>
      <c r="C407" s="939"/>
      <c r="D407" s="939"/>
      <c r="E407" s="939"/>
      <c r="F407" s="939"/>
      <c r="G407" s="939"/>
      <c r="H407" s="939"/>
      <c r="I407" s="939"/>
      <c r="J407" s="939"/>
      <c r="K407" s="939"/>
      <c r="L407" s="939"/>
      <c r="M407" s="939"/>
      <c r="N407" s="939"/>
      <c r="O407" s="939"/>
      <c r="P407" s="939"/>
      <c r="Q407" s="939"/>
      <c r="R407" s="939"/>
      <c r="S407" s="939"/>
      <c r="T407" s="939"/>
      <c r="U407" s="939"/>
      <c r="V407" s="939"/>
      <c r="W407" s="939"/>
      <c r="X407" s="939"/>
      <c r="Y407" s="939"/>
      <c r="Z407" s="939"/>
      <c r="AA407" s="939"/>
      <c r="AB407" s="939"/>
      <c r="AC407" s="939"/>
      <c r="AD407" s="939"/>
      <c r="AE407" s="939"/>
      <c r="AF407" s="939"/>
      <c r="AG407" s="939"/>
      <c r="AH407" s="939"/>
      <c r="AI407" s="939"/>
      <c r="AJ407" s="939"/>
      <c r="AK407" s="939"/>
      <c r="AL407" s="939"/>
      <c r="AM407" s="939"/>
      <c r="AN407" s="939"/>
    </row>
    <row r="408" spans="1:40" ht="15" customHeight="1">
      <c r="A408" s="939"/>
      <c r="B408" s="939"/>
      <c r="C408" s="939"/>
      <c r="D408" s="939"/>
      <c r="E408" s="939"/>
      <c r="F408" s="939"/>
      <c r="G408" s="939"/>
      <c r="H408" s="939"/>
      <c r="I408" s="939"/>
      <c r="J408" s="939"/>
      <c r="K408" s="939"/>
      <c r="L408" s="939"/>
      <c r="M408" s="939"/>
      <c r="N408" s="939"/>
      <c r="O408" s="939"/>
      <c r="P408" s="939"/>
      <c r="Q408" s="939"/>
      <c r="R408" s="939"/>
      <c r="S408" s="939"/>
      <c r="T408" s="939"/>
      <c r="U408" s="939"/>
      <c r="V408" s="939"/>
      <c r="W408" s="939"/>
      <c r="X408" s="939"/>
      <c r="Y408" s="939"/>
      <c r="Z408" s="939"/>
      <c r="AA408" s="939"/>
      <c r="AB408" s="939"/>
      <c r="AC408" s="939"/>
      <c r="AD408" s="939"/>
      <c r="AE408" s="939"/>
      <c r="AF408" s="939"/>
      <c r="AG408" s="939"/>
      <c r="AH408" s="939"/>
      <c r="AI408" s="939"/>
      <c r="AJ408" s="939"/>
      <c r="AK408" s="939"/>
      <c r="AL408" s="939"/>
      <c r="AM408" s="939"/>
      <c r="AN408" s="939"/>
    </row>
    <row r="409" spans="1:40" ht="15" customHeight="1">
      <c r="A409" s="939"/>
      <c r="B409" s="939"/>
      <c r="C409" s="939"/>
      <c r="D409" s="939"/>
      <c r="E409" s="939"/>
      <c r="F409" s="939"/>
      <c r="G409" s="939"/>
      <c r="H409" s="939"/>
      <c r="I409" s="939"/>
      <c r="J409" s="939"/>
      <c r="K409" s="939"/>
      <c r="L409" s="939"/>
      <c r="M409" s="939"/>
      <c r="N409" s="939"/>
      <c r="O409" s="939"/>
      <c r="P409" s="939"/>
      <c r="Q409" s="939"/>
      <c r="R409" s="939"/>
      <c r="S409" s="939"/>
      <c r="T409" s="939"/>
      <c r="U409" s="939"/>
      <c r="V409" s="939"/>
      <c r="W409" s="939"/>
      <c r="X409" s="939"/>
      <c r="Y409" s="939"/>
      <c r="Z409" s="939"/>
      <c r="AA409" s="939"/>
      <c r="AB409" s="939"/>
      <c r="AC409" s="939"/>
      <c r="AD409" s="939"/>
      <c r="AE409" s="939"/>
      <c r="AF409" s="939"/>
      <c r="AG409" s="939"/>
      <c r="AH409" s="939"/>
      <c r="AI409" s="939"/>
      <c r="AJ409" s="939"/>
      <c r="AK409" s="939"/>
      <c r="AL409" s="939"/>
      <c r="AM409" s="939"/>
      <c r="AN409" s="939"/>
    </row>
    <row r="410" spans="1:40" ht="15" customHeight="1">
      <c r="A410" s="939"/>
      <c r="B410" s="939"/>
      <c r="C410" s="939"/>
      <c r="D410" s="939"/>
      <c r="E410" s="939"/>
      <c r="F410" s="939"/>
      <c r="G410" s="939"/>
      <c r="H410" s="939"/>
      <c r="I410" s="939"/>
      <c r="J410" s="939"/>
      <c r="K410" s="939"/>
      <c r="L410" s="939"/>
      <c r="M410" s="939"/>
      <c r="N410" s="939"/>
      <c r="O410" s="939"/>
      <c r="P410" s="939"/>
      <c r="Q410" s="939"/>
      <c r="R410" s="939"/>
      <c r="S410" s="939"/>
      <c r="T410" s="939"/>
      <c r="U410" s="939"/>
      <c r="V410" s="939"/>
      <c r="W410" s="939"/>
      <c r="X410" s="939"/>
      <c r="Y410" s="939"/>
      <c r="Z410" s="939"/>
      <c r="AA410" s="939"/>
      <c r="AB410" s="939"/>
      <c r="AC410" s="939"/>
      <c r="AD410" s="939"/>
      <c r="AE410" s="939"/>
      <c r="AF410" s="939"/>
      <c r="AG410" s="939"/>
      <c r="AH410" s="939"/>
      <c r="AI410" s="939"/>
      <c r="AJ410" s="939"/>
      <c r="AK410" s="939"/>
      <c r="AL410" s="939"/>
      <c r="AM410" s="939"/>
      <c r="AN410" s="939"/>
    </row>
    <row r="411" spans="1:40" ht="15" customHeight="1">
      <c r="A411" s="939"/>
      <c r="B411" s="939"/>
      <c r="C411" s="939"/>
      <c r="D411" s="939"/>
      <c r="E411" s="939"/>
      <c r="F411" s="939"/>
      <c r="G411" s="939"/>
      <c r="H411" s="939"/>
      <c r="I411" s="939"/>
      <c r="J411" s="939"/>
      <c r="K411" s="939"/>
      <c r="L411" s="939"/>
      <c r="M411" s="939"/>
      <c r="N411" s="939"/>
      <c r="O411" s="939"/>
      <c r="P411" s="939"/>
      <c r="Q411" s="939"/>
      <c r="R411" s="939"/>
      <c r="S411" s="939"/>
      <c r="T411" s="939"/>
      <c r="U411" s="939"/>
      <c r="V411" s="939"/>
      <c r="W411" s="939"/>
      <c r="X411" s="939"/>
      <c r="Y411" s="939"/>
      <c r="Z411" s="939"/>
      <c r="AA411" s="939"/>
      <c r="AB411" s="939"/>
      <c r="AC411" s="939"/>
      <c r="AD411" s="939"/>
      <c r="AE411" s="939"/>
      <c r="AF411" s="939"/>
      <c r="AG411" s="939"/>
      <c r="AH411" s="939"/>
      <c r="AI411" s="939"/>
      <c r="AJ411" s="939"/>
      <c r="AK411" s="939"/>
      <c r="AL411" s="939"/>
      <c r="AM411" s="939"/>
      <c r="AN411" s="939"/>
    </row>
    <row r="412" spans="1:40" ht="15" customHeight="1">
      <c r="A412" s="939"/>
      <c r="B412" s="939"/>
      <c r="C412" s="939"/>
      <c r="D412" s="939"/>
      <c r="E412" s="939"/>
      <c r="F412" s="939"/>
      <c r="G412" s="939"/>
      <c r="H412" s="939"/>
      <c r="I412" s="939"/>
      <c r="J412" s="939"/>
      <c r="K412" s="939"/>
      <c r="L412" s="939"/>
      <c r="M412" s="939"/>
      <c r="N412" s="939"/>
      <c r="O412" s="939"/>
      <c r="P412" s="939"/>
      <c r="Q412" s="939"/>
      <c r="R412" s="939"/>
      <c r="S412" s="939"/>
      <c r="T412" s="939"/>
      <c r="U412" s="939"/>
      <c r="V412" s="939"/>
      <c r="W412" s="939"/>
      <c r="X412" s="939"/>
      <c r="Y412" s="939"/>
      <c r="Z412" s="939"/>
      <c r="AA412" s="939"/>
      <c r="AB412" s="939"/>
      <c r="AC412" s="939"/>
      <c r="AD412" s="939"/>
      <c r="AE412" s="939"/>
      <c r="AF412" s="939"/>
      <c r="AG412" s="939"/>
      <c r="AH412" s="939"/>
      <c r="AI412" s="939"/>
      <c r="AJ412" s="939"/>
      <c r="AK412" s="939"/>
      <c r="AL412" s="939"/>
      <c r="AM412" s="939"/>
      <c r="AN412" s="939"/>
    </row>
    <row r="413" spans="1:40" ht="15" customHeight="1">
      <c r="A413" s="939"/>
      <c r="B413" s="939"/>
      <c r="C413" s="939"/>
      <c r="D413" s="939"/>
      <c r="E413" s="939"/>
      <c r="F413" s="939"/>
      <c r="G413" s="939"/>
      <c r="H413" s="939"/>
      <c r="I413" s="939"/>
      <c r="J413" s="939"/>
      <c r="K413" s="939"/>
      <c r="L413" s="939"/>
      <c r="M413" s="939"/>
      <c r="N413" s="939"/>
      <c r="O413" s="939"/>
      <c r="P413" s="939"/>
      <c r="Q413" s="939"/>
      <c r="R413" s="939"/>
      <c r="S413" s="939"/>
      <c r="T413" s="939"/>
      <c r="U413" s="939"/>
      <c r="V413" s="939"/>
      <c r="W413" s="939"/>
      <c r="X413" s="939"/>
      <c r="Y413" s="939"/>
      <c r="Z413" s="939"/>
      <c r="AA413" s="939"/>
      <c r="AB413" s="939"/>
      <c r="AC413" s="939"/>
      <c r="AD413" s="939"/>
      <c r="AE413" s="939"/>
      <c r="AF413" s="939"/>
      <c r="AG413" s="939"/>
      <c r="AH413" s="939"/>
      <c r="AI413" s="939"/>
      <c r="AJ413" s="939"/>
      <c r="AK413" s="939"/>
      <c r="AL413" s="939"/>
      <c r="AM413" s="939"/>
      <c r="AN413" s="939"/>
    </row>
    <row r="414" spans="1:40" ht="15" customHeight="1">
      <c r="A414" s="939"/>
      <c r="B414" s="939"/>
      <c r="C414" s="939"/>
      <c r="D414" s="939"/>
      <c r="E414" s="939"/>
      <c r="F414" s="939"/>
      <c r="G414" s="939"/>
      <c r="H414" s="939"/>
      <c r="I414" s="939"/>
      <c r="J414" s="939"/>
      <c r="K414" s="939"/>
      <c r="L414" s="939"/>
      <c r="M414" s="939"/>
      <c r="N414" s="939"/>
      <c r="O414" s="939"/>
      <c r="P414" s="939"/>
      <c r="Q414" s="939"/>
      <c r="R414" s="939"/>
      <c r="S414" s="939"/>
      <c r="T414" s="939"/>
      <c r="U414" s="939"/>
      <c r="V414" s="939"/>
      <c r="W414" s="939"/>
      <c r="X414" s="939"/>
      <c r="Y414" s="939"/>
      <c r="Z414" s="939"/>
      <c r="AA414" s="939"/>
      <c r="AB414" s="939"/>
      <c r="AC414" s="939"/>
      <c r="AD414" s="939"/>
      <c r="AE414" s="939"/>
      <c r="AF414" s="939"/>
      <c r="AG414" s="939"/>
      <c r="AH414" s="939"/>
      <c r="AI414" s="939"/>
      <c r="AJ414" s="939"/>
      <c r="AK414" s="939"/>
      <c r="AL414" s="939"/>
      <c r="AM414" s="939"/>
      <c r="AN414" s="939"/>
    </row>
    <row r="415" spans="1:40" ht="15" customHeight="1">
      <c r="A415" s="939"/>
      <c r="B415" s="939"/>
      <c r="C415" s="939"/>
      <c r="D415" s="939"/>
      <c r="E415" s="939"/>
      <c r="F415" s="939"/>
      <c r="G415" s="939"/>
      <c r="H415" s="939"/>
      <c r="I415" s="939"/>
      <c r="J415" s="939"/>
      <c r="K415" s="939"/>
      <c r="L415" s="939"/>
      <c r="M415" s="939"/>
      <c r="N415" s="939"/>
      <c r="O415" s="939"/>
      <c r="P415" s="939"/>
      <c r="Q415" s="939"/>
      <c r="R415" s="939"/>
      <c r="S415" s="939"/>
      <c r="T415" s="939"/>
      <c r="U415" s="939"/>
      <c r="V415" s="939"/>
      <c r="W415" s="939"/>
      <c r="X415" s="939"/>
      <c r="Y415" s="939"/>
      <c r="Z415" s="939"/>
      <c r="AA415" s="939"/>
      <c r="AB415" s="939"/>
      <c r="AC415" s="939"/>
      <c r="AD415" s="939"/>
      <c r="AE415" s="939"/>
      <c r="AF415" s="939"/>
      <c r="AG415" s="939"/>
      <c r="AH415" s="939"/>
      <c r="AI415" s="939"/>
      <c r="AJ415" s="939"/>
      <c r="AK415" s="939"/>
      <c r="AL415" s="939"/>
      <c r="AM415" s="939"/>
      <c r="AN415" s="939"/>
    </row>
    <row r="416" spans="1:40" ht="15" customHeight="1">
      <c r="A416" s="939"/>
      <c r="B416" s="939"/>
      <c r="C416" s="939"/>
      <c r="D416" s="939"/>
      <c r="E416" s="939"/>
      <c r="F416" s="939"/>
      <c r="G416" s="939"/>
      <c r="H416" s="939"/>
      <c r="I416" s="939"/>
      <c r="J416" s="939"/>
      <c r="K416" s="939"/>
      <c r="L416" s="939"/>
      <c r="M416" s="939"/>
      <c r="N416" s="939"/>
      <c r="O416" s="939"/>
      <c r="P416" s="939"/>
      <c r="Q416" s="939"/>
      <c r="R416" s="939"/>
      <c r="S416" s="939"/>
      <c r="T416" s="939"/>
      <c r="U416" s="939"/>
      <c r="V416" s="939"/>
      <c r="W416" s="939"/>
      <c r="X416" s="939"/>
      <c r="Y416" s="939"/>
      <c r="Z416" s="939"/>
      <c r="AA416" s="939"/>
      <c r="AB416" s="939"/>
      <c r="AC416" s="939"/>
      <c r="AD416" s="939"/>
      <c r="AE416" s="939"/>
      <c r="AF416" s="939"/>
      <c r="AG416" s="939"/>
      <c r="AH416" s="939"/>
      <c r="AI416" s="939"/>
      <c r="AJ416" s="939"/>
      <c r="AK416" s="939"/>
      <c r="AL416" s="939"/>
      <c r="AM416" s="939"/>
      <c r="AN416" s="939"/>
    </row>
    <row r="417" spans="1:40" ht="15" customHeight="1">
      <c r="A417" s="939"/>
      <c r="B417" s="939"/>
      <c r="C417" s="939"/>
      <c r="D417" s="939"/>
      <c r="E417" s="939"/>
      <c r="F417" s="939"/>
      <c r="G417" s="939"/>
      <c r="H417" s="939"/>
      <c r="I417" s="939"/>
      <c r="J417" s="939"/>
      <c r="K417" s="939"/>
      <c r="L417" s="939"/>
      <c r="M417" s="939"/>
      <c r="N417" s="939"/>
      <c r="O417" s="939"/>
      <c r="P417" s="939"/>
      <c r="Q417" s="939"/>
      <c r="R417" s="939"/>
      <c r="S417" s="939"/>
      <c r="T417" s="939"/>
      <c r="U417" s="939"/>
      <c r="V417" s="939"/>
      <c r="W417" s="939"/>
      <c r="X417" s="939"/>
      <c r="Y417" s="939"/>
      <c r="Z417" s="939"/>
      <c r="AA417" s="939"/>
      <c r="AB417" s="939"/>
      <c r="AC417" s="939"/>
      <c r="AD417" s="939"/>
      <c r="AE417" s="939"/>
      <c r="AF417" s="939"/>
      <c r="AG417" s="939"/>
      <c r="AH417" s="939"/>
      <c r="AI417" s="939"/>
      <c r="AJ417" s="939"/>
      <c r="AK417" s="939"/>
      <c r="AL417" s="939"/>
      <c r="AM417" s="939"/>
      <c r="AN417" s="939"/>
    </row>
    <row r="418" spans="1:40" ht="15" customHeight="1">
      <c r="A418" s="939"/>
      <c r="B418" s="939"/>
      <c r="C418" s="939"/>
      <c r="D418" s="939"/>
      <c r="E418" s="939"/>
      <c r="F418" s="939"/>
      <c r="G418" s="939"/>
      <c r="H418" s="939"/>
      <c r="I418" s="939"/>
      <c r="J418" s="939"/>
      <c r="K418" s="939"/>
      <c r="L418" s="939"/>
      <c r="M418" s="939"/>
      <c r="N418" s="939"/>
      <c r="O418" s="939"/>
      <c r="P418" s="939"/>
      <c r="Q418" s="939"/>
      <c r="R418" s="939"/>
      <c r="S418" s="939"/>
      <c r="T418" s="939"/>
      <c r="U418" s="939"/>
      <c r="V418" s="939"/>
      <c r="W418" s="939"/>
      <c r="X418" s="939"/>
      <c r="Y418" s="939"/>
      <c r="Z418" s="939"/>
      <c r="AA418" s="939"/>
      <c r="AB418" s="939"/>
      <c r="AC418" s="939"/>
      <c r="AD418" s="939"/>
      <c r="AE418" s="939"/>
      <c r="AF418" s="939"/>
      <c r="AG418" s="939"/>
      <c r="AH418" s="939"/>
      <c r="AI418" s="939"/>
      <c r="AJ418" s="939"/>
      <c r="AK418" s="939"/>
      <c r="AL418" s="939"/>
      <c r="AM418" s="939"/>
      <c r="AN418" s="939"/>
    </row>
    <row r="419" spans="1:40" ht="15" customHeight="1">
      <c r="A419" s="939"/>
      <c r="B419" s="939"/>
      <c r="C419" s="939"/>
      <c r="D419" s="939"/>
      <c r="E419" s="939"/>
      <c r="F419" s="939"/>
      <c r="G419" s="939"/>
      <c r="H419" s="939"/>
      <c r="I419" s="939"/>
      <c r="J419" s="939"/>
      <c r="K419" s="939"/>
      <c r="L419" s="939"/>
      <c r="M419" s="939"/>
      <c r="N419" s="939"/>
      <c r="O419" s="939"/>
      <c r="P419" s="939"/>
      <c r="Q419" s="939"/>
      <c r="R419" s="939"/>
      <c r="S419" s="939"/>
      <c r="T419" s="939"/>
      <c r="U419" s="939"/>
      <c r="V419" s="939"/>
      <c r="W419" s="939"/>
      <c r="X419" s="939"/>
      <c r="Y419" s="939"/>
      <c r="Z419" s="939"/>
      <c r="AA419" s="939"/>
      <c r="AB419" s="939"/>
      <c r="AC419" s="939"/>
      <c r="AD419" s="939"/>
      <c r="AE419" s="939"/>
      <c r="AF419" s="939"/>
      <c r="AG419" s="939"/>
      <c r="AH419" s="939"/>
      <c r="AI419" s="939"/>
      <c r="AJ419" s="939"/>
      <c r="AK419" s="939"/>
      <c r="AL419" s="939"/>
      <c r="AM419" s="939"/>
      <c r="AN419" s="939"/>
    </row>
    <row r="420" spans="1:40" ht="15" customHeight="1">
      <c r="A420" s="939"/>
      <c r="B420" s="939"/>
      <c r="C420" s="939"/>
      <c r="D420" s="939"/>
      <c r="E420" s="939"/>
      <c r="F420" s="939"/>
      <c r="G420" s="939"/>
      <c r="H420" s="939"/>
      <c r="I420" s="939"/>
      <c r="J420" s="939"/>
      <c r="K420" s="939"/>
      <c r="L420" s="939"/>
      <c r="M420" s="939"/>
      <c r="N420" s="939"/>
      <c r="O420" s="939"/>
      <c r="P420" s="939"/>
      <c r="Q420" s="939"/>
      <c r="R420" s="939"/>
      <c r="S420" s="939"/>
      <c r="T420" s="939"/>
      <c r="U420" s="939"/>
      <c r="V420" s="939"/>
      <c r="W420" s="939"/>
      <c r="X420" s="939"/>
      <c r="Y420" s="939"/>
      <c r="Z420" s="939"/>
      <c r="AA420" s="939"/>
      <c r="AB420" s="939"/>
      <c r="AC420" s="939"/>
      <c r="AD420" s="939"/>
      <c r="AE420" s="939"/>
      <c r="AF420" s="939"/>
      <c r="AG420" s="939"/>
      <c r="AH420" s="939"/>
      <c r="AI420" s="939"/>
      <c r="AJ420" s="939"/>
      <c r="AK420" s="939"/>
      <c r="AL420" s="939"/>
      <c r="AM420" s="939"/>
      <c r="AN420" s="939"/>
    </row>
    <row r="421" spans="1:40" ht="15" customHeight="1">
      <c r="A421" s="939"/>
      <c r="B421" s="939"/>
      <c r="C421" s="939"/>
      <c r="D421" s="939"/>
      <c r="E421" s="939"/>
      <c r="F421" s="939"/>
      <c r="G421" s="939"/>
      <c r="H421" s="939"/>
      <c r="I421" s="939"/>
      <c r="J421" s="939"/>
      <c r="K421" s="939"/>
      <c r="L421" s="939"/>
      <c r="M421" s="939"/>
      <c r="N421" s="939"/>
      <c r="O421" s="939"/>
      <c r="P421" s="939"/>
      <c r="Q421" s="939"/>
      <c r="R421" s="939"/>
      <c r="S421" s="939"/>
      <c r="T421" s="939"/>
      <c r="U421" s="939"/>
      <c r="V421" s="939"/>
      <c r="W421" s="939"/>
      <c r="X421" s="939"/>
      <c r="Y421" s="939"/>
      <c r="Z421" s="939"/>
      <c r="AA421" s="939"/>
      <c r="AB421" s="939"/>
      <c r="AC421" s="939"/>
      <c r="AD421" s="939"/>
      <c r="AE421" s="939"/>
      <c r="AF421" s="939"/>
      <c r="AG421" s="939"/>
      <c r="AH421" s="939"/>
      <c r="AI421" s="939"/>
      <c r="AJ421" s="939"/>
      <c r="AK421" s="939"/>
      <c r="AL421" s="939"/>
      <c r="AM421" s="939"/>
      <c r="AN421" s="939"/>
    </row>
    <row r="422" spans="1:40" ht="15" customHeight="1">
      <c r="A422" s="939"/>
      <c r="B422" s="939"/>
      <c r="C422" s="939"/>
      <c r="D422" s="939"/>
      <c r="E422" s="939"/>
      <c r="F422" s="939"/>
      <c r="G422" s="939"/>
      <c r="H422" s="939"/>
      <c r="I422" s="939"/>
      <c r="J422" s="939"/>
      <c r="K422" s="939"/>
      <c r="L422" s="939"/>
      <c r="M422" s="939"/>
      <c r="N422" s="939"/>
      <c r="O422" s="939"/>
      <c r="P422" s="939"/>
      <c r="Q422" s="939"/>
      <c r="R422" s="939"/>
      <c r="S422" s="939"/>
      <c r="T422" s="939"/>
      <c r="U422" s="939"/>
      <c r="V422" s="939"/>
      <c r="W422" s="939"/>
      <c r="X422" s="939"/>
      <c r="Y422" s="939"/>
      <c r="Z422" s="939"/>
      <c r="AA422" s="939"/>
      <c r="AB422" s="939"/>
      <c r="AC422" s="939"/>
      <c r="AD422" s="939"/>
      <c r="AE422" s="939"/>
      <c r="AF422" s="939"/>
      <c r="AG422" s="939"/>
      <c r="AH422" s="939"/>
      <c r="AI422" s="939"/>
      <c r="AJ422" s="939"/>
      <c r="AK422" s="939"/>
      <c r="AL422" s="939"/>
      <c r="AM422" s="939"/>
      <c r="AN422" s="939"/>
    </row>
    <row r="423" spans="1:40" ht="15" customHeight="1">
      <c r="A423" s="939"/>
      <c r="B423" s="939"/>
      <c r="C423" s="939"/>
      <c r="D423" s="939"/>
      <c r="E423" s="939"/>
      <c r="F423" s="939"/>
      <c r="G423" s="939"/>
      <c r="H423" s="939"/>
      <c r="I423" s="939"/>
      <c r="J423" s="939"/>
      <c r="K423" s="939"/>
      <c r="L423" s="939"/>
      <c r="M423" s="939"/>
      <c r="N423" s="939"/>
      <c r="O423" s="939"/>
      <c r="P423" s="939"/>
      <c r="Q423" s="939"/>
      <c r="R423" s="939"/>
      <c r="S423" s="939"/>
      <c r="T423" s="939"/>
      <c r="U423" s="939"/>
      <c r="V423" s="939"/>
      <c r="W423" s="939"/>
      <c r="X423" s="939"/>
      <c r="Y423" s="939"/>
      <c r="Z423" s="939"/>
      <c r="AA423" s="939"/>
      <c r="AB423" s="939"/>
      <c r="AC423" s="939"/>
      <c r="AD423" s="939"/>
      <c r="AE423" s="939"/>
      <c r="AF423" s="939"/>
      <c r="AG423" s="939"/>
      <c r="AH423" s="939"/>
      <c r="AI423" s="939"/>
      <c r="AJ423" s="939"/>
      <c r="AK423" s="939"/>
      <c r="AL423" s="939"/>
      <c r="AM423" s="939"/>
      <c r="AN423" s="939"/>
    </row>
    <row r="424" spans="1:40" ht="15" customHeight="1">
      <c r="A424" s="939"/>
      <c r="B424" s="939"/>
      <c r="C424" s="939"/>
      <c r="D424" s="939"/>
      <c r="E424" s="939"/>
      <c r="F424" s="939"/>
      <c r="G424" s="939"/>
      <c r="H424" s="939"/>
      <c r="I424" s="939"/>
      <c r="J424" s="939"/>
      <c r="K424" s="939"/>
      <c r="L424" s="939"/>
      <c r="M424" s="939"/>
      <c r="N424" s="939"/>
      <c r="O424" s="939"/>
      <c r="P424" s="939"/>
      <c r="Q424" s="939"/>
      <c r="R424" s="939"/>
      <c r="S424" s="939"/>
      <c r="T424" s="939"/>
      <c r="U424" s="939"/>
      <c r="V424" s="939"/>
      <c r="W424" s="939"/>
      <c r="X424" s="939"/>
      <c r="Y424" s="939"/>
      <c r="Z424" s="939"/>
      <c r="AA424" s="939"/>
      <c r="AB424" s="939"/>
      <c r="AC424" s="939"/>
      <c r="AD424" s="939"/>
      <c r="AE424" s="939"/>
      <c r="AF424" s="939"/>
      <c r="AG424" s="939"/>
      <c r="AH424" s="939"/>
      <c r="AI424" s="939"/>
      <c r="AJ424" s="939"/>
      <c r="AK424" s="939"/>
      <c r="AL424" s="939"/>
      <c r="AM424" s="939"/>
      <c r="AN424" s="939"/>
    </row>
    <row r="425" spans="1:40" ht="15" customHeight="1">
      <c r="A425" s="939"/>
      <c r="B425" s="939"/>
      <c r="C425" s="939"/>
      <c r="D425" s="939"/>
      <c r="E425" s="939"/>
      <c r="F425" s="939"/>
      <c r="G425" s="939"/>
      <c r="H425" s="939"/>
      <c r="I425" s="939"/>
      <c r="J425" s="939"/>
      <c r="K425" s="939"/>
      <c r="L425" s="939"/>
      <c r="M425" s="939"/>
      <c r="N425" s="939"/>
      <c r="O425" s="939"/>
      <c r="P425" s="939"/>
      <c r="Q425" s="939"/>
      <c r="R425" s="939"/>
      <c r="S425" s="939"/>
      <c r="T425" s="939"/>
      <c r="U425" s="939"/>
      <c r="V425" s="939"/>
      <c r="W425" s="939"/>
      <c r="X425" s="939"/>
      <c r="Y425" s="939"/>
      <c r="Z425" s="939"/>
      <c r="AA425" s="939"/>
      <c r="AB425" s="939"/>
      <c r="AC425" s="939"/>
      <c r="AD425" s="939"/>
      <c r="AE425" s="939"/>
      <c r="AF425" s="939"/>
      <c r="AG425" s="939"/>
      <c r="AH425" s="939"/>
      <c r="AI425" s="939"/>
      <c r="AJ425" s="939"/>
      <c r="AK425" s="939"/>
      <c r="AL425" s="939"/>
      <c r="AM425" s="939"/>
      <c r="AN425" s="939"/>
    </row>
    <row r="426" spans="1:40" ht="15" customHeight="1">
      <c r="A426" s="939"/>
      <c r="B426" s="939"/>
      <c r="C426" s="939"/>
      <c r="D426" s="939"/>
      <c r="E426" s="939"/>
      <c r="F426" s="939"/>
      <c r="G426" s="939"/>
      <c r="H426" s="939"/>
      <c r="I426" s="939"/>
      <c r="J426" s="939"/>
      <c r="K426" s="939"/>
      <c r="L426" s="939"/>
      <c r="M426" s="939"/>
      <c r="N426" s="939"/>
      <c r="O426" s="939"/>
      <c r="P426" s="939"/>
      <c r="Q426" s="939"/>
      <c r="R426" s="939"/>
      <c r="S426" s="939"/>
      <c r="T426" s="939"/>
      <c r="U426" s="939"/>
      <c r="V426" s="939"/>
      <c r="W426" s="939"/>
      <c r="X426" s="939"/>
      <c r="Y426" s="939"/>
      <c r="Z426" s="939"/>
      <c r="AA426" s="939"/>
      <c r="AB426" s="939"/>
      <c r="AC426" s="939"/>
      <c r="AD426" s="939"/>
      <c r="AE426" s="939"/>
      <c r="AF426" s="939"/>
      <c r="AG426" s="939"/>
      <c r="AH426" s="939"/>
      <c r="AI426" s="939"/>
      <c r="AJ426" s="939"/>
      <c r="AK426" s="939"/>
      <c r="AL426" s="939"/>
      <c r="AM426" s="939"/>
      <c r="AN426" s="939"/>
    </row>
    <row r="427" spans="1:40" ht="15" customHeight="1">
      <c r="A427" s="939"/>
      <c r="B427" s="939"/>
      <c r="C427" s="939"/>
      <c r="D427" s="939"/>
      <c r="E427" s="939"/>
      <c r="F427" s="939"/>
      <c r="G427" s="939"/>
      <c r="H427" s="939"/>
      <c r="I427" s="939"/>
      <c r="J427" s="939"/>
      <c r="K427" s="939"/>
      <c r="L427" s="939"/>
      <c r="M427" s="939"/>
      <c r="N427" s="939"/>
      <c r="O427" s="939"/>
      <c r="P427" s="939"/>
      <c r="Q427" s="939"/>
      <c r="R427" s="939"/>
      <c r="S427" s="939"/>
      <c r="T427" s="939"/>
      <c r="U427" s="939"/>
      <c r="V427" s="939"/>
      <c r="W427" s="939"/>
      <c r="X427" s="939"/>
      <c r="Y427" s="939"/>
      <c r="Z427" s="939"/>
      <c r="AA427" s="939"/>
      <c r="AB427" s="939"/>
      <c r="AC427" s="939"/>
      <c r="AD427" s="939"/>
      <c r="AE427" s="939"/>
      <c r="AF427" s="939"/>
      <c r="AG427" s="939"/>
      <c r="AH427" s="939"/>
      <c r="AI427" s="939"/>
      <c r="AJ427" s="939"/>
      <c r="AK427" s="939"/>
      <c r="AL427" s="939"/>
      <c r="AM427" s="939"/>
      <c r="AN427" s="939"/>
    </row>
    <row r="428" spans="1:40" ht="15" customHeight="1">
      <c r="A428" s="939"/>
      <c r="B428" s="939"/>
      <c r="C428" s="939"/>
      <c r="D428" s="939"/>
      <c r="E428" s="939"/>
      <c r="F428" s="939"/>
      <c r="G428" s="939"/>
      <c r="H428" s="939"/>
      <c r="I428" s="939"/>
      <c r="J428" s="939"/>
      <c r="K428" s="939"/>
      <c r="L428" s="939"/>
      <c r="M428" s="939"/>
      <c r="N428" s="939"/>
      <c r="O428" s="939"/>
      <c r="P428" s="939"/>
      <c r="Q428" s="939"/>
      <c r="R428" s="939"/>
      <c r="S428" s="939"/>
      <c r="T428" s="939"/>
      <c r="U428" s="939"/>
      <c r="V428" s="939"/>
      <c r="W428" s="939"/>
      <c r="X428" s="939"/>
      <c r="Y428" s="939"/>
      <c r="Z428" s="939"/>
      <c r="AA428" s="939"/>
      <c r="AB428" s="939"/>
      <c r="AC428" s="939"/>
      <c r="AD428" s="939"/>
      <c r="AE428" s="939"/>
      <c r="AF428" s="939"/>
      <c r="AG428" s="939"/>
      <c r="AH428" s="939"/>
      <c r="AI428" s="939"/>
      <c r="AJ428" s="939"/>
      <c r="AK428" s="939"/>
      <c r="AL428" s="939"/>
      <c r="AM428" s="939"/>
      <c r="AN428" s="939"/>
    </row>
    <row r="429" spans="1:40" ht="15" customHeight="1">
      <c r="A429" s="939"/>
      <c r="B429" s="939"/>
      <c r="C429" s="939"/>
      <c r="D429" s="939"/>
      <c r="E429" s="939"/>
      <c r="F429" s="939"/>
      <c r="G429" s="939"/>
      <c r="H429" s="939"/>
      <c r="I429" s="939"/>
      <c r="J429" s="939"/>
      <c r="K429" s="939"/>
      <c r="L429" s="939"/>
      <c r="M429" s="939"/>
      <c r="N429" s="939"/>
      <c r="O429" s="939"/>
      <c r="P429" s="939"/>
      <c r="Q429" s="939"/>
      <c r="R429" s="939"/>
      <c r="S429" s="939"/>
      <c r="T429" s="939"/>
      <c r="U429" s="939"/>
      <c r="V429" s="939"/>
      <c r="W429" s="939"/>
      <c r="X429" s="939"/>
      <c r="Y429" s="939"/>
      <c r="Z429" s="939"/>
      <c r="AA429" s="939"/>
      <c r="AB429" s="939"/>
      <c r="AC429" s="939"/>
      <c r="AD429" s="939"/>
      <c r="AE429" s="939"/>
      <c r="AF429" s="939"/>
      <c r="AG429" s="939"/>
      <c r="AH429" s="939"/>
      <c r="AI429" s="939"/>
      <c r="AJ429" s="939"/>
      <c r="AK429" s="939"/>
      <c r="AL429" s="939"/>
      <c r="AM429" s="939"/>
      <c r="AN429" s="939"/>
    </row>
    <row r="430" spans="1:40" ht="15" customHeight="1">
      <c r="A430" s="939"/>
      <c r="B430" s="939"/>
      <c r="C430" s="939"/>
      <c r="D430" s="939"/>
      <c r="E430" s="939"/>
      <c r="F430" s="939"/>
      <c r="G430" s="939"/>
      <c r="H430" s="939"/>
      <c r="I430" s="939"/>
      <c r="J430" s="939"/>
      <c r="K430" s="939"/>
      <c r="L430" s="939"/>
      <c r="M430" s="939"/>
      <c r="N430" s="939"/>
      <c r="O430" s="939"/>
      <c r="P430" s="939"/>
      <c r="Q430" s="939"/>
      <c r="R430" s="939"/>
      <c r="S430" s="939"/>
      <c r="T430" s="939"/>
      <c r="U430" s="939"/>
      <c r="V430" s="939"/>
      <c r="W430" s="939"/>
      <c r="X430" s="939"/>
      <c r="Y430" s="939"/>
      <c r="Z430" s="939"/>
      <c r="AA430" s="939"/>
      <c r="AB430" s="939"/>
      <c r="AC430" s="939"/>
      <c r="AD430" s="939"/>
      <c r="AE430" s="939"/>
      <c r="AF430" s="939"/>
      <c r="AG430" s="939"/>
      <c r="AH430" s="939"/>
      <c r="AI430" s="939"/>
      <c r="AJ430" s="939"/>
      <c r="AK430" s="939"/>
      <c r="AL430" s="939"/>
      <c r="AM430" s="939"/>
      <c r="AN430" s="939"/>
    </row>
    <row r="431" spans="1:40" ht="15" customHeight="1">
      <c r="A431" s="939"/>
      <c r="B431" s="939"/>
      <c r="C431" s="939"/>
      <c r="D431" s="939"/>
      <c r="E431" s="939"/>
      <c r="F431" s="939"/>
      <c r="G431" s="939"/>
      <c r="H431" s="939"/>
      <c r="I431" s="939"/>
      <c r="J431" s="939"/>
      <c r="K431" s="939"/>
      <c r="L431" s="939"/>
      <c r="M431" s="939"/>
      <c r="N431" s="939"/>
      <c r="O431" s="939"/>
      <c r="P431" s="939"/>
      <c r="Q431" s="939"/>
      <c r="R431" s="939"/>
      <c r="S431" s="939"/>
      <c r="T431" s="939"/>
      <c r="U431" s="939"/>
      <c r="V431" s="939"/>
      <c r="W431" s="939"/>
      <c r="X431" s="939"/>
      <c r="Y431" s="939"/>
      <c r="Z431" s="939"/>
      <c r="AA431" s="939"/>
      <c r="AB431" s="939"/>
      <c r="AC431" s="939"/>
      <c r="AD431" s="939"/>
      <c r="AE431" s="939"/>
      <c r="AF431" s="939"/>
      <c r="AG431" s="939"/>
      <c r="AH431" s="939"/>
      <c r="AI431" s="939"/>
      <c r="AJ431" s="939"/>
      <c r="AK431" s="939"/>
      <c r="AL431" s="939"/>
      <c r="AM431" s="939"/>
      <c r="AN431" s="939"/>
    </row>
    <row r="432" spans="1:40" ht="15" customHeight="1">
      <c r="A432" s="939"/>
      <c r="B432" s="939"/>
      <c r="C432" s="939"/>
      <c r="D432" s="939"/>
      <c r="E432" s="939"/>
      <c r="F432" s="939"/>
      <c r="G432" s="939"/>
      <c r="H432" s="939"/>
      <c r="I432" s="939"/>
      <c r="J432" s="939"/>
      <c r="K432" s="939"/>
      <c r="L432" s="939"/>
      <c r="M432" s="939"/>
      <c r="N432" s="939"/>
      <c r="O432" s="939"/>
      <c r="P432" s="939"/>
      <c r="Q432" s="939"/>
      <c r="R432" s="939"/>
      <c r="S432" s="939"/>
      <c r="T432" s="939"/>
      <c r="U432" s="939"/>
      <c r="V432" s="939"/>
      <c r="W432" s="939"/>
      <c r="X432" s="939"/>
      <c r="Y432" s="939"/>
      <c r="Z432" s="939"/>
      <c r="AA432" s="939"/>
      <c r="AB432" s="939"/>
      <c r="AC432" s="939"/>
      <c r="AD432" s="939"/>
      <c r="AE432" s="939"/>
      <c r="AF432" s="939"/>
      <c r="AG432" s="939"/>
      <c r="AH432" s="939"/>
      <c r="AI432" s="939"/>
      <c r="AJ432" s="939"/>
      <c r="AK432" s="939"/>
      <c r="AL432" s="939"/>
      <c r="AM432" s="939"/>
      <c r="AN432" s="939"/>
    </row>
    <row r="433" spans="1:40" ht="15" customHeight="1">
      <c r="A433" s="939"/>
      <c r="B433" s="939"/>
      <c r="C433" s="939"/>
      <c r="D433" s="939"/>
      <c r="E433" s="939"/>
      <c r="F433" s="939"/>
      <c r="G433" s="939"/>
      <c r="H433" s="939"/>
      <c r="I433" s="939"/>
      <c r="J433" s="939"/>
      <c r="K433" s="939"/>
      <c r="L433" s="939"/>
      <c r="M433" s="939"/>
      <c r="N433" s="939"/>
      <c r="O433" s="939"/>
      <c r="P433" s="939"/>
      <c r="Q433" s="939"/>
      <c r="R433" s="939"/>
      <c r="S433" s="939"/>
      <c r="T433" s="939"/>
      <c r="U433" s="939"/>
      <c r="V433" s="939"/>
      <c r="W433" s="939"/>
      <c r="X433" s="939"/>
      <c r="Y433" s="939"/>
      <c r="Z433" s="939"/>
      <c r="AA433" s="939"/>
      <c r="AB433" s="939"/>
      <c r="AC433" s="939"/>
      <c r="AD433" s="939"/>
      <c r="AE433" s="939"/>
      <c r="AF433" s="939"/>
      <c r="AG433" s="939"/>
      <c r="AH433" s="939"/>
      <c r="AI433" s="939"/>
      <c r="AJ433" s="939"/>
      <c r="AK433" s="939"/>
      <c r="AL433" s="939"/>
      <c r="AM433" s="939"/>
      <c r="AN433" s="939"/>
    </row>
    <row r="434" spans="1:40" ht="15" customHeight="1">
      <c r="A434" s="939"/>
      <c r="B434" s="939"/>
      <c r="C434" s="939"/>
      <c r="D434" s="939"/>
      <c r="E434" s="939"/>
      <c r="F434" s="939"/>
      <c r="G434" s="939"/>
      <c r="H434" s="939"/>
      <c r="I434" s="939"/>
      <c r="J434" s="939"/>
      <c r="K434" s="939"/>
      <c r="L434" s="939"/>
      <c r="M434" s="939"/>
      <c r="N434" s="939"/>
      <c r="O434" s="939"/>
      <c r="P434" s="939"/>
      <c r="Q434" s="939"/>
      <c r="R434" s="939"/>
      <c r="S434" s="939"/>
      <c r="T434" s="939"/>
      <c r="U434" s="939"/>
      <c r="V434" s="939"/>
      <c r="W434" s="939"/>
      <c r="X434" s="939"/>
      <c r="Y434" s="939"/>
      <c r="Z434" s="939"/>
      <c r="AA434" s="939"/>
      <c r="AB434" s="939"/>
      <c r="AC434" s="939"/>
      <c r="AD434" s="939"/>
      <c r="AE434" s="939"/>
      <c r="AF434" s="939"/>
      <c r="AG434" s="939"/>
      <c r="AH434" s="939"/>
      <c r="AI434" s="939"/>
      <c r="AJ434" s="939"/>
      <c r="AK434" s="939"/>
      <c r="AL434" s="939"/>
      <c r="AM434" s="939"/>
      <c r="AN434" s="939"/>
    </row>
    <row r="435" spans="1:40" ht="15" customHeight="1">
      <c r="A435" s="939"/>
      <c r="B435" s="939"/>
      <c r="C435" s="939"/>
      <c r="D435" s="939"/>
      <c r="E435" s="939"/>
      <c r="F435" s="939"/>
      <c r="G435" s="939"/>
      <c r="H435" s="939"/>
      <c r="I435" s="939"/>
      <c r="J435" s="939"/>
      <c r="K435" s="939"/>
      <c r="L435" s="939"/>
      <c r="M435" s="939"/>
      <c r="N435" s="939"/>
      <c r="O435" s="939"/>
      <c r="P435" s="939"/>
      <c r="Q435" s="939"/>
      <c r="R435" s="939"/>
      <c r="S435" s="939"/>
      <c r="T435" s="939"/>
      <c r="U435" s="939"/>
      <c r="V435" s="939"/>
      <c r="W435" s="939"/>
      <c r="X435" s="939"/>
      <c r="Y435" s="939"/>
      <c r="Z435" s="939"/>
      <c r="AA435" s="939"/>
      <c r="AB435" s="939"/>
      <c r="AC435" s="939"/>
      <c r="AD435" s="939"/>
      <c r="AE435" s="939"/>
      <c r="AF435" s="939"/>
      <c r="AG435" s="939"/>
      <c r="AH435" s="939"/>
      <c r="AI435" s="939"/>
      <c r="AJ435" s="939"/>
      <c r="AK435" s="939"/>
      <c r="AL435" s="939"/>
      <c r="AM435" s="939"/>
      <c r="AN435" s="939"/>
    </row>
    <row r="436" spans="1:40" ht="15" customHeight="1">
      <c r="A436" s="939"/>
      <c r="B436" s="939"/>
      <c r="C436" s="939"/>
      <c r="D436" s="939"/>
      <c r="E436" s="939"/>
      <c r="F436" s="939"/>
      <c r="G436" s="939"/>
      <c r="H436" s="939"/>
      <c r="I436" s="939"/>
      <c r="J436" s="939"/>
      <c r="K436" s="939"/>
      <c r="L436" s="939"/>
      <c r="M436" s="939"/>
      <c r="N436" s="939"/>
      <c r="O436" s="939"/>
      <c r="P436" s="939"/>
      <c r="Q436" s="939"/>
      <c r="R436" s="939"/>
      <c r="S436" s="939"/>
      <c r="T436" s="939"/>
      <c r="U436" s="939"/>
      <c r="V436" s="939"/>
      <c r="W436" s="939"/>
      <c r="X436" s="939"/>
      <c r="Y436" s="939"/>
      <c r="Z436" s="939"/>
      <c r="AA436" s="939"/>
      <c r="AB436" s="939"/>
      <c r="AC436" s="939"/>
      <c r="AD436" s="939"/>
      <c r="AE436" s="939"/>
      <c r="AF436" s="939"/>
      <c r="AG436" s="939"/>
      <c r="AH436" s="939"/>
      <c r="AI436" s="939"/>
      <c r="AJ436" s="939"/>
      <c r="AK436" s="939"/>
      <c r="AL436" s="939"/>
      <c r="AM436" s="939"/>
      <c r="AN436" s="939"/>
    </row>
    <row r="437" spans="1:40" ht="15" customHeight="1">
      <c r="A437" s="939"/>
      <c r="B437" s="939"/>
      <c r="C437" s="939"/>
      <c r="D437" s="939"/>
      <c r="E437" s="939"/>
      <c r="F437" s="939"/>
      <c r="G437" s="939"/>
      <c r="H437" s="939"/>
      <c r="I437" s="939"/>
      <c r="J437" s="939"/>
      <c r="K437" s="939"/>
      <c r="L437" s="939"/>
      <c r="M437" s="939"/>
      <c r="N437" s="939"/>
      <c r="O437" s="939"/>
      <c r="P437" s="939"/>
      <c r="Q437" s="939"/>
      <c r="R437" s="939"/>
      <c r="S437" s="939"/>
      <c r="T437" s="939"/>
      <c r="U437" s="939"/>
      <c r="V437" s="939"/>
      <c r="W437" s="939"/>
      <c r="X437" s="939"/>
      <c r="Y437" s="939"/>
      <c r="Z437" s="939"/>
      <c r="AA437" s="939"/>
      <c r="AB437" s="939"/>
      <c r="AC437" s="939"/>
      <c r="AD437" s="939"/>
      <c r="AE437" s="939"/>
      <c r="AF437" s="939"/>
      <c r="AG437" s="939"/>
      <c r="AH437" s="939"/>
      <c r="AI437" s="939"/>
      <c r="AJ437" s="939"/>
      <c r="AK437" s="939"/>
      <c r="AL437" s="939"/>
      <c r="AM437" s="939"/>
      <c r="AN437" s="939"/>
    </row>
    <row r="438" spans="1:40" ht="15" customHeight="1">
      <c r="A438" s="939"/>
      <c r="B438" s="939"/>
      <c r="C438" s="939"/>
      <c r="D438" s="939"/>
      <c r="E438" s="939"/>
      <c r="F438" s="939"/>
      <c r="G438" s="939"/>
      <c r="H438" s="939"/>
      <c r="I438" s="939"/>
      <c r="J438" s="939"/>
      <c r="K438" s="939"/>
      <c r="L438" s="939"/>
      <c r="M438" s="939"/>
      <c r="N438" s="939"/>
      <c r="O438" s="939"/>
      <c r="P438" s="939"/>
      <c r="Q438" s="939"/>
      <c r="R438" s="939"/>
      <c r="S438" s="939"/>
      <c r="T438" s="939"/>
      <c r="U438" s="939"/>
      <c r="V438" s="939"/>
      <c r="W438" s="939"/>
      <c r="X438" s="939"/>
      <c r="Y438" s="939"/>
      <c r="Z438" s="939"/>
      <c r="AA438" s="939"/>
      <c r="AB438" s="939"/>
      <c r="AC438" s="939"/>
      <c r="AD438" s="939"/>
      <c r="AE438" s="939"/>
      <c r="AF438" s="939"/>
      <c r="AG438" s="939"/>
      <c r="AH438" s="939"/>
      <c r="AI438" s="939"/>
      <c r="AJ438" s="939"/>
      <c r="AK438" s="939"/>
      <c r="AL438" s="939"/>
      <c r="AM438" s="939"/>
      <c r="AN438" s="939"/>
    </row>
    <row r="439" spans="1:40" ht="15" customHeight="1">
      <c r="A439" s="939"/>
      <c r="B439" s="939"/>
      <c r="C439" s="939"/>
      <c r="D439" s="939"/>
      <c r="E439" s="939"/>
      <c r="F439" s="939"/>
      <c r="G439" s="939"/>
      <c r="H439" s="939"/>
      <c r="I439" s="939"/>
      <c r="J439" s="939"/>
      <c r="K439" s="939"/>
      <c r="L439" s="939"/>
      <c r="M439" s="939"/>
      <c r="N439" s="939"/>
      <c r="O439" s="939"/>
      <c r="P439" s="939"/>
      <c r="Q439" s="939"/>
      <c r="R439" s="939"/>
      <c r="S439" s="939"/>
      <c r="T439" s="939"/>
      <c r="U439" s="939"/>
      <c r="V439" s="939"/>
      <c r="W439" s="939"/>
      <c r="X439" s="939"/>
      <c r="Y439" s="939"/>
      <c r="Z439" s="939"/>
      <c r="AA439" s="939"/>
      <c r="AB439" s="939"/>
      <c r="AC439" s="939"/>
      <c r="AD439" s="939"/>
      <c r="AE439" s="939"/>
      <c r="AF439" s="939"/>
      <c r="AG439" s="939"/>
      <c r="AH439" s="939"/>
      <c r="AI439" s="939"/>
      <c r="AJ439" s="939"/>
      <c r="AK439" s="939"/>
      <c r="AL439" s="939"/>
      <c r="AM439" s="939"/>
      <c r="AN439" s="939"/>
    </row>
    <row r="440" spans="1:40" ht="15" customHeight="1">
      <c r="A440" s="939"/>
      <c r="B440" s="939"/>
      <c r="C440" s="939"/>
      <c r="D440" s="939"/>
      <c r="E440" s="939"/>
      <c r="F440" s="939"/>
      <c r="G440" s="939"/>
      <c r="H440" s="939"/>
      <c r="I440" s="939"/>
      <c r="J440" s="939"/>
      <c r="K440" s="939"/>
      <c r="L440" s="939"/>
      <c r="M440" s="939"/>
      <c r="N440" s="939"/>
      <c r="O440" s="939"/>
      <c r="P440" s="939"/>
      <c r="Q440" s="939"/>
      <c r="R440" s="939"/>
      <c r="S440" s="939"/>
      <c r="T440" s="939"/>
      <c r="U440" s="939"/>
      <c r="V440" s="939"/>
      <c r="W440" s="939"/>
      <c r="X440" s="939"/>
      <c r="Y440" s="939"/>
      <c r="Z440" s="939"/>
      <c r="AA440" s="939"/>
      <c r="AB440" s="939"/>
      <c r="AC440" s="939"/>
      <c r="AD440" s="939"/>
      <c r="AE440" s="939"/>
      <c r="AF440" s="939"/>
      <c r="AG440" s="939"/>
      <c r="AH440" s="939"/>
      <c r="AI440" s="939"/>
      <c r="AJ440" s="939"/>
      <c r="AK440" s="939"/>
      <c r="AL440" s="939"/>
      <c r="AM440" s="939"/>
      <c r="AN440" s="939"/>
    </row>
    <row r="441" spans="1:40" ht="15" customHeight="1">
      <c r="A441" s="939"/>
      <c r="B441" s="939"/>
      <c r="C441" s="939"/>
      <c r="D441" s="939"/>
      <c r="E441" s="939"/>
      <c r="F441" s="939"/>
      <c r="G441" s="939"/>
      <c r="H441" s="939"/>
      <c r="I441" s="939"/>
      <c r="J441" s="939"/>
      <c r="K441" s="939"/>
      <c r="L441" s="939"/>
      <c r="M441" s="939"/>
      <c r="N441" s="939"/>
      <c r="O441" s="939"/>
      <c r="P441" s="939"/>
      <c r="Q441" s="939"/>
      <c r="R441" s="939"/>
      <c r="S441" s="939"/>
      <c r="T441" s="939"/>
      <c r="U441" s="939"/>
      <c r="V441" s="939"/>
      <c r="W441" s="939"/>
      <c r="X441" s="939"/>
      <c r="Y441" s="939"/>
      <c r="Z441" s="939"/>
      <c r="AA441" s="939"/>
      <c r="AB441" s="939"/>
      <c r="AC441" s="939"/>
      <c r="AD441" s="939"/>
      <c r="AE441" s="939"/>
      <c r="AF441" s="939"/>
      <c r="AG441" s="939"/>
      <c r="AH441" s="939"/>
      <c r="AI441" s="939"/>
      <c r="AJ441" s="939"/>
      <c r="AK441" s="939"/>
      <c r="AL441" s="939"/>
      <c r="AM441" s="939"/>
      <c r="AN441" s="939"/>
    </row>
    <row r="442" spans="1:40" ht="15" customHeight="1">
      <c r="A442" s="939"/>
      <c r="B442" s="939"/>
      <c r="C442" s="939"/>
      <c r="D442" s="939"/>
      <c r="E442" s="939"/>
      <c r="F442" s="939"/>
      <c r="G442" s="939"/>
      <c r="H442" s="939"/>
      <c r="I442" s="939"/>
      <c r="J442" s="939"/>
      <c r="K442" s="939"/>
      <c r="L442" s="939"/>
      <c r="M442" s="939"/>
      <c r="N442" s="939"/>
      <c r="O442" s="939"/>
      <c r="P442" s="939"/>
      <c r="Q442" s="939"/>
      <c r="R442" s="939"/>
      <c r="S442" s="939"/>
      <c r="T442" s="939"/>
      <c r="U442" s="939"/>
      <c r="V442" s="939"/>
      <c r="W442" s="939"/>
      <c r="X442" s="939"/>
      <c r="Y442" s="939"/>
      <c r="Z442" s="939"/>
      <c r="AA442" s="939"/>
      <c r="AB442" s="939"/>
      <c r="AC442" s="939"/>
      <c r="AD442" s="939"/>
      <c r="AE442" s="939"/>
      <c r="AF442" s="939"/>
      <c r="AG442" s="939"/>
      <c r="AH442" s="939"/>
      <c r="AI442" s="939"/>
      <c r="AJ442" s="939"/>
      <c r="AK442" s="939"/>
      <c r="AL442" s="939"/>
      <c r="AM442" s="939"/>
      <c r="AN442" s="939"/>
    </row>
    <row r="443" spans="1:40" ht="15" customHeight="1">
      <c r="A443" s="939"/>
      <c r="B443" s="939"/>
      <c r="C443" s="939"/>
      <c r="D443" s="939"/>
      <c r="E443" s="939"/>
      <c r="F443" s="939"/>
      <c r="G443" s="939"/>
      <c r="H443" s="939"/>
      <c r="I443" s="939"/>
      <c r="J443" s="939"/>
      <c r="K443" s="939"/>
      <c r="L443" s="939"/>
      <c r="M443" s="939"/>
      <c r="N443" s="939"/>
      <c r="O443" s="939"/>
      <c r="P443" s="939"/>
      <c r="Q443" s="939"/>
      <c r="R443" s="939"/>
      <c r="S443" s="939"/>
      <c r="T443" s="939"/>
      <c r="U443" s="939"/>
      <c r="V443" s="939"/>
      <c r="W443" s="939"/>
      <c r="X443" s="939"/>
      <c r="Y443" s="939"/>
      <c r="Z443" s="939"/>
      <c r="AA443" s="939"/>
      <c r="AB443" s="939"/>
      <c r="AC443" s="939"/>
      <c r="AD443" s="939"/>
      <c r="AE443" s="939"/>
      <c r="AF443" s="939"/>
      <c r="AG443" s="939"/>
      <c r="AH443" s="939"/>
      <c r="AI443" s="939"/>
      <c r="AJ443" s="939"/>
      <c r="AK443" s="939"/>
      <c r="AL443" s="939"/>
      <c r="AM443" s="939"/>
      <c r="AN443" s="939"/>
    </row>
    <row r="444" spans="1:40" ht="15" customHeight="1">
      <c r="A444" s="939"/>
      <c r="B444" s="939"/>
      <c r="C444" s="939"/>
      <c r="D444" s="939"/>
      <c r="E444" s="939"/>
      <c r="F444" s="939"/>
      <c r="G444" s="939"/>
      <c r="H444" s="939"/>
      <c r="I444" s="939"/>
      <c r="J444" s="939"/>
      <c r="K444" s="939"/>
      <c r="L444" s="939"/>
      <c r="M444" s="939"/>
      <c r="N444" s="939"/>
      <c r="O444" s="939"/>
      <c r="P444" s="939"/>
      <c r="Q444" s="939"/>
      <c r="R444" s="939"/>
      <c r="S444" s="939"/>
      <c r="T444" s="939"/>
      <c r="U444" s="939"/>
      <c r="V444" s="939"/>
      <c r="W444" s="939"/>
      <c r="X444" s="939"/>
      <c r="Y444" s="939"/>
      <c r="Z444" s="939"/>
      <c r="AA444" s="939"/>
      <c r="AB444" s="939"/>
      <c r="AC444" s="939"/>
      <c r="AD444" s="939"/>
      <c r="AE444" s="939"/>
      <c r="AF444" s="939"/>
      <c r="AG444" s="939"/>
      <c r="AH444" s="939"/>
      <c r="AI444" s="939"/>
      <c r="AJ444" s="939"/>
      <c r="AK444" s="939"/>
      <c r="AL444" s="939"/>
      <c r="AM444" s="939"/>
      <c r="AN444" s="939"/>
    </row>
    <row r="445" spans="1:40" ht="15" customHeight="1">
      <c r="A445" s="939"/>
      <c r="B445" s="939"/>
      <c r="C445" s="939"/>
      <c r="D445" s="939"/>
      <c r="E445" s="939"/>
      <c r="F445" s="939"/>
      <c r="G445" s="939"/>
      <c r="H445" s="939"/>
      <c r="I445" s="939"/>
      <c r="J445" s="939"/>
      <c r="K445" s="939"/>
      <c r="L445" s="939"/>
      <c r="M445" s="939"/>
      <c r="N445" s="939"/>
      <c r="O445" s="939"/>
      <c r="P445" s="939"/>
      <c r="Q445" s="939"/>
      <c r="R445" s="939"/>
      <c r="S445" s="939"/>
      <c r="T445" s="939"/>
      <c r="U445" s="939"/>
      <c r="V445" s="939"/>
      <c r="W445" s="939"/>
      <c r="X445" s="939"/>
      <c r="Y445" s="939"/>
      <c r="Z445" s="939"/>
      <c r="AA445" s="939"/>
      <c r="AB445" s="939"/>
      <c r="AC445" s="939"/>
      <c r="AD445" s="939"/>
      <c r="AE445" s="939"/>
      <c r="AF445" s="939"/>
      <c r="AG445" s="939"/>
      <c r="AH445" s="939"/>
      <c r="AI445" s="939"/>
      <c r="AJ445" s="939"/>
      <c r="AK445" s="939"/>
      <c r="AL445" s="939"/>
      <c r="AM445" s="939"/>
      <c r="AN445" s="939"/>
    </row>
    <row r="446" spans="1:40" ht="15" customHeight="1">
      <c r="A446" s="939"/>
      <c r="B446" s="939"/>
      <c r="C446" s="939"/>
      <c r="D446" s="939"/>
      <c r="E446" s="939"/>
      <c r="F446" s="939"/>
      <c r="G446" s="939"/>
      <c r="H446" s="939"/>
      <c r="I446" s="939"/>
      <c r="J446" s="939"/>
      <c r="K446" s="939"/>
      <c r="L446" s="939"/>
      <c r="M446" s="939"/>
      <c r="N446" s="939"/>
      <c r="O446" s="939"/>
      <c r="P446" s="939"/>
      <c r="Q446" s="939"/>
      <c r="R446" s="939"/>
      <c r="S446" s="939"/>
      <c r="T446" s="939"/>
      <c r="U446" s="939"/>
      <c r="V446" s="939"/>
      <c r="W446" s="939"/>
      <c r="X446" s="939"/>
      <c r="Y446" s="939"/>
      <c r="Z446" s="939"/>
      <c r="AA446" s="939"/>
      <c r="AB446" s="939"/>
      <c r="AC446" s="939"/>
      <c r="AD446" s="939"/>
      <c r="AE446" s="939"/>
      <c r="AF446" s="939"/>
      <c r="AG446" s="939"/>
      <c r="AH446" s="939"/>
      <c r="AI446" s="939"/>
      <c r="AJ446" s="939"/>
      <c r="AK446" s="939"/>
      <c r="AL446" s="939"/>
      <c r="AM446" s="939"/>
      <c r="AN446" s="939"/>
    </row>
    <row r="447" spans="1:40" ht="15" customHeight="1">
      <c r="A447" s="939"/>
      <c r="B447" s="939"/>
      <c r="C447" s="939"/>
      <c r="D447" s="939"/>
      <c r="E447" s="939"/>
      <c r="F447" s="939"/>
      <c r="G447" s="939"/>
      <c r="H447" s="939"/>
      <c r="I447" s="939"/>
      <c r="J447" s="939"/>
      <c r="K447" s="939"/>
      <c r="L447" s="939"/>
      <c r="M447" s="939"/>
      <c r="N447" s="939"/>
      <c r="O447" s="939"/>
      <c r="P447" s="939"/>
      <c r="Q447" s="939"/>
      <c r="R447" s="939"/>
      <c r="S447" s="939"/>
      <c r="T447" s="939"/>
      <c r="U447" s="939"/>
      <c r="V447" s="939"/>
      <c r="W447" s="939"/>
      <c r="X447" s="939"/>
      <c r="Y447" s="939"/>
      <c r="Z447" s="939"/>
      <c r="AA447" s="939"/>
      <c r="AB447" s="939"/>
      <c r="AC447" s="939"/>
      <c r="AD447" s="939"/>
      <c r="AE447" s="939"/>
      <c r="AF447" s="939"/>
      <c r="AG447" s="939"/>
      <c r="AH447" s="939"/>
      <c r="AI447" s="939"/>
      <c r="AJ447" s="939"/>
      <c r="AK447" s="939"/>
      <c r="AL447" s="939"/>
      <c r="AM447" s="939"/>
      <c r="AN447" s="939"/>
    </row>
    <row r="448" spans="1:40" ht="15" customHeight="1">
      <c r="A448" s="939"/>
      <c r="B448" s="939"/>
      <c r="C448" s="939"/>
      <c r="D448" s="939"/>
      <c r="E448" s="939"/>
      <c r="F448" s="939"/>
      <c r="G448" s="939"/>
      <c r="H448" s="939"/>
      <c r="I448" s="939"/>
      <c r="J448" s="939"/>
      <c r="K448" s="939"/>
      <c r="L448" s="939"/>
      <c r="M448" s="939"/>
      <c r="N448" s="939"/>
      <c r="O448" s="939"/>
      <c r="P448" s="939"/>
      <c r="Q448" s="939"/>
      <c r="R448" s="939"/>
      <c r="S448" s="939"/>
      <c r="T448" s="939"/>
      <c r="U448" s="939"/>
      <c r="V448" s="939"/>
      <c r="W448" s="939"/>
      <c r="X448" s="939"/>
      <c r="Y448" s="939"/>
      <c r="Z448" s="939"/>
      <c r="AA448" s="939"/>
      <c r="AB448" s="939"/>
      <c r="AC448" s="939"/>
      <c r="AD448" s="939"/>
      <c r="AE448" s="939"/>
      <c r="AF448" s="939"/>
      <c r="AG448" s="939"/>
      <c r="AH448" s="939"/>
      <c r="AI448" s="939"/>
      <c r="AJ448" s="939"/>
      <c r="AK448" s="939"/>
      <c r="AL448" s="939"/>
      <c r="AM448" s="939"/>
      <c r="AN448" s="939"/>
    </row>
    <row r="449" spans="1:40" ht="15" customHeight="1">
      <c r="A449" s="939"/>
      <c r="B449" s="939"/>
      <c r="C449" s="939"/>
      <c r="D449" s="939"/>
      <c r="E449" s="939"/>
      <c r="F449" s="939"/>
      <c r="G449" s="939"/>
      <c r="H449" s="939"/>
      <c r="I449" s="939"/>
      <c r="J449" s="939"/>
      <c r="K449" s="939"/>
      <c r="L449" s="939"/>
      <c r="M449" s="939"/>
      <c r="N449" s="939"/>
      <c r="O449" s="939"/>
      <c r="P449" s="939"/>
      <c r="Q449" s="939"/>
      <c r="R449" s="939"/>
      <c r="S449" s="939"/>
      <c r="T449" s="939"/>
      <c r="U449" s="939"/>
      <c r="V449" s="939"/>
      <c r="W449" s="939"/>
      <c r="X449" s="939"/>
      <c r="Y449" s="939"/>
      <c r="Z449" s="939"/>
      <c r="AA449" s="939"/>
      <c r="AB449" s="939"/>
      <c r="AC449" s="939"/>
      <c r="AD449" s="939"/>
      <c r="AE449" s="939"/>
      <c r="AF449" s="939"/>
      <c r="AG449" s="939"/>
      <c r="AH449" s="939"/>
      <c r="AI449" s="939"/>
      <c r="AJ449" s="939"/>
      <c r="AK449" s="939"/>
      <c r="AL449" s="939"/>
      <c r="AM449" s="939"/>
      <c r="AN449" s="939"/>
    </row>
    <row r="450" spans="1:40" ht="15" customHeight="1">
      <c r="A450" s="939"/>
      <c r="B450" s="939"/>
      <c r="C450" s="939"/>
      <c r="D450" s="939"/>
      <c r="E450" s="939"/>
      <c r="F450" s="939"/>
      <c r="G450" s="939"/>
      <c r="H450" s="939"/>
      <c r="I450" s="939"/>
      <c r="J450" s="939"/>
      <c r="K450" s="939"/>
      <c r="L450" s="939"/>
      <c r="M450" s="939"/>
      <c r="N450" s="939"/>
      <c r="O450" s="939"/>
      <c r="P450" s="939"/>
      <c r="Q450" s="939"/>
      <c r="R450" s="939"/>
      <c r="S450" s="939"/>
      <c r="T450" s="939"/>
      <c r="U450" s="939"/>
      <c r="V450" s="939"/>
      <c r="W450" s="939"/>
      <c r="X450" s="939"/>
      <c r="Y450" s="939"/>
      <c r="Z450" s="939"/>
      <c r="AA450" s="939"/>
      <c r="AB450" s="939"/>
      <c r="AC450" s="939"/>
      <c r="AD450" s="939"/>
      <c r="AE450" s="939"/>
      <c r="AF450" s="939"/>
      <c r="AG450" s="939"/>
      <c r="AH450" s="939"/>
      <c r="AI450" s="939"/>
      <c r="AJ450" s="939"/>
      <c r="AK450" s="939"/>
      <c r="AL450" s="939"/>
      <c r="AM450" s="939"/>
      <c r="AN450" s="939"/>
    </row>
    <row r="451" spans="1:40" ht="15" customHeight="1">
      <c r="A451" s="939"/>
      <c r="B451" s="939"/>
      <c r="C451" s="939"/>
      <c r="D451" s="939"/>
      <c r="E451" s="939"/>
      <c r="F451" s="939"/>
      <c r="G451" s="939"/>
      <c r="H451" s="939"/>
      <c r="I451" s="939"/>
      <c r="J451" s="939"/>
      <c r="K451" s="939"/>
      <c r="L451" s="939"/>
      <c r="M451" s="939"/>
      <c r="N451" s="939"/>
      <c r="O451" s="939"/>
      <c r="P451" s="939"/>
      <c r="Q451" s="939"/>
      <c r="R451" s="939"/>
      <c r="S451" s="939"/>
      <c r="T451" s="939"/>
      <c r="U451" s="939"/>
      <c r="V451" s="939"/>
      <c r="W451" s="939"/>
      <c r="X451" s="939"/>
      <c r="Y451" s="939"/>
      <c r="Z451" s="939"/>
      <c r="AA451" s="939"/>
      <c r="AB451" s="939"/>
      <c r="AC451" s="939"/>
      <c r="AD451" s="939"/>
      <c r="AE451" s="939"/>
      <c r="AF451" s="939"/>
      <c r="AG451" s="939"/>
      <c r="AH451" s="939"/>
      <c r="AI451" s="939"/>
      <c r="AJ451" s="939"/>
      <c r="AK451" s="939"/>
      <c r="AL451" s="939"/>
      <c r="AM451" s="939"/>
      <c r="AN451" s="939"/>
    </row>
    <row r="452" spans="1:40" ht="15" customHeight="1">
      <c r="A452" s="939"/>
      <c r="B452" s="939"/>
      <c r="C452" s="939"/>
      <c r="D452" s="939"/>
      <c r="E452" s="939"/>
      <c r="F452" s="939"/>
      <c r="G452" s="939"/>
      <c r="H452" s="939"/>
      <c r="I452" s="939"/>
      <c r="J452" s="939"/>
      <c r="K452" s="939"/>
      <c r="L452" s="939"/>
      <c r="M452" s="939"/>
      <c r="N452" s="939"/>
      <c r="O452" s="939"/>
      <c r="P452" s="939"/>
      <c r="Q452" s="939"/>
      <c r="R452" s="939"/>
      <c r="S452" s="939"/>
      <c r="T452" s="939"/>
      <c r="U452" s="939"/>
      <c r="V452" s="939"/>
      <c r="W452" s="939"/>
      <c r="X452" s="939"/>
      <c r="Y452" s="939"/>
      <c r="Z452" s="939"/>
      <c r="AA452" s="939"/>
      <c r="AB452" s="939"/>
      <c r="AC452" s="939"/>
      <c r="AD452" s="939"/>
      <c r="AE452" s="939"/>
      <c r="AF452" s="939"/>
      <c r="AG452" s="939"/>
      <c r="AH452" s="939"/>
      <c r="AI452" s="939"/>
      <c r="AJ452" s="939"/>
      <c r="AK452" s="939"/>
      <c r="AL452" s="939"/>
      <c r="AM452" s="939"/>
      <c r="AN452" s="939"/>
    </row>
    <row r="453" spans="1:40" ht="15" customHeight="1">
      <c r="A453" s="939"/>
      <c r="B453" s="939"/>
      <c r="C453" s="939"/>
      <c r="D453" s="939"/>
      <c r="E453" s="939"/>
      <c r="F453" s="939"/>
      <c r="G453" s="939"/>
      <c r="H453" s="939"/>
      <c r="I453" s="939"/>
      <c r="J453" s="939"/>
      <c r="K453" s="939"/>
      <c r="L453" s="939"/>
      <c r="M453" s="939"/>
      <c r="N453" s="939"/>
      <c r="O453" s="939"/>
      <c r="P453" s="939"/>
      <c r="Q453" s="939"/>
      <c r="R453" s="939"/>
      <c r="S453" s="939"/>
      <c r="T453" s="939"/>
      <c r="U453" s="939"/>
      <c r="V453" s="939"/>
      <c r="W453" s="939"/>
      <c r="X453" s="939"/>
      <c r="Y453" s="939"/>
      <c r="Z453" s="939"/>
      <c r="AA453" s="939"/>
      <c r="AB453" s="939"/>
      <c r="AC453" s="939"/>
      <c r="AD453" s="939"/>
      <c r="AE453" s="939"/>
      <c r="AF453" s="939"/>
      <c r="AG453" s="939"/>
      <c r="AH453" s="939"/>
      <c r="AI453" s="939"/>
      <c r="AJ453" s="939"/>
      <c r="AK453" s="939"/>
      <c r="AL453" s="939"/>
      <c r="AM453" s="939"/>
      <c r="AN453" s="939"/>
    </row>
    <row r="454" spans="1:40" ht="15" customHeight="1">
      <c r="A454" s="939"/>
      <c r="B454" s="939"/>
      <c r="C454" s="939"/>
      <c r="D454" s="939"/>
      <c r="E454" s="939"/>
      <c r="F454" s="939"/>
      <c r="G454" s="939"/>
      <c r="H454" s="939"/>
      <c r="I454" s="939"/>
      <c r="J454" s="939"/>
      <c r="K454" s="939"/>
      <c r="L454" s="939"/>
      <c r="M454" s="939"/>
      <c r="N454" s="939"/>
      <c r="O454" s="939"/>
      <c r="P454" s="939"/>
      <c r="Q454" s="939"/>
      <c r="R454" s="939"/>
      <c r="S454" s="939"/>
      <c r="T454" s="939"/>
      <c r="U454" s="939"/>
      <c r="V454" s="939"/>
      <c r="W454" s="939"/>
      <c r="X454" s="939"/>
      <c r="Y454" s="939"/>
      <c r="Z454" s="939"/>
      <c r="AA454" s="939"/>
      <c r="AB454" s="939"/>
      <c r="AC454" s="939"/>
      <c r="AD454" s="939"/>
      <c r="AE454" s="939"/>
      <c r="AF454" s="939"/>
      <c r="AG454" s="939"/>
      <c r="AH454" s="939"/>
      <c r="AI454" s="939"/>
      <c r="AJ454" s="939"/>
      <c r="AK454" s="939"/>
      <c r="AL454" s="939"/>
      <c r="AM454" s="939"/>
      <c r="AN454" s="939"/>
    </row>
    <row r="455" spans="1:40" ht="15" customHeight="1">
      <c r="A455" s="939"/>
      <c r="B455" s="939"/>
      <c r="C455" s="939"/>
      <c r="D455" s="939"/>
      <c r="E455" s="939"/>
      <c r="F455" s="939"/>
      <c r="G455" s="939"/>
      <c r="H455" s="939"/>
      <c r="I455" s="939"/>
      <c r="J455" s="939"/>
      <c r="K455" s="939"/>
      <c r="L455" s="939"/>
      <c r="M455" s="939"/>
      <c r="N455" s="939"/>
      <c r="O455" s="939"/>
      <c r="P455" s="939"/>
      <c r="Q455" s="939"/>
      <c r="R455" s="939"/>
      <c r="S455" s="939"/>
      <c r="T455" s="939"/>
      <c r="U455" s="939"/>
      <c r="V455" s="939"/>
      <c r="W455" s="939"/>
      <c r="X455" s="939"/>
      <c r="Y455" s="939"/>
      <c r="Z455" s="939"/>
      <c r="AA455" s="939"/>
      <c r="AB455" s="939"/>
      <c r="AC455" s="939"/>
      <c r="AD455" s="939"/>
      <c r="AE455" s="939"/>
      <c r="AF455" s="939"/>
      <c r="AG455" s="939"/>
      <c r="AH455" s="939"/>
      <c r="AI455" s="939"/>
      <c r="AJ455" s="939"/>
      <c r="AK455" s="939"/>
      <c r="AL455" s="939"/>
      <c r="AM455" s="939"/>
      <c r="AN455" s="939"/>
    </row>
    <row r="456" spans="1:40" ht="15" customHeight="1">
      <c r="A456" s="939"/>
      <c r="B456" s="939"/>
      <c r="C456" s="939"/>
      <c r="D456" s="939"/>
      <c r="E456" s="939"/>
      <c r="F456" s="939"/>
      <c r="G456" s="939"/>
      <c r="H456" s="939"/>
      <c r="I456" s="939"/>
      <c r="J456" s="939"/>
      <c r="K456" s="939"/>
      <c r="L456" s="939"/>
      <c r="M456" s="939"/>
      <c r="N456" s="939"/>
      <c r="O456" s="939"/>
      <c r="P456" s="939"/>
      <c r="Q456" s="939"/>
      <c r="R456" s="939"/>
      <c r="S456" s="939"/>
      <c r="T456" s="939"/>
      <c r="U456" s="939"/>
      <c r="V456" s="939"/>
      <c r="W456" s="939"/>
      <c r="X456" s="939"/>
      <c r="Y456" s="939"/>
      <c r="Z456" s="939"/>
      <c r="AA456" s="939"/>
      <c r="AB456" s="939"/>
      <c r="AC456" s="939"/>
      <c r="AD456" s="939"/>
      <c r="AE456" s="939"/>
      <c r="AF456" s="939"/>
      <c r="AG456" s="939"/>
      <c r="AH456" s="939"/>
      <c r="AI456" s="939"/>
      <c r="AJ456" s="939"/>
      <c r="AK456" s="939"/>
      <c r="AL456" s="939"/>
      <c r="AM456" s="939"/>
      <c r="AN456" s="939"/>
    </row>
    <row r="457" spans="1:40" ht="15" customHeight="1">
      <c r="A457" s="939"/>
      <c r="B457" s="939"/>
      <c r="C457" s="939"/>
      <c r="D457" s="939"/>
      <c r="E457" s="939"/>
      <c r="F457" s="939"/>
      <c r="G457" s="939"/>
      <c r="H457" s="939"/>
      <c r="I457" s="939"/>
      <c r="J457" s="939"/>
      <c r="K457" s="939"/>
      <c r="L457" s="939"/>
      <c r="M457" s="939"/>
      <c r="N457" s="939"/>
      <c r="O457" s="939"/>
      <c r="P457" s="939"/>
      <c r="Q457" s="939"/>
      <c r="R457" s="939"/>
      <c r="S457" s="939"/>
      <c r="T457" s="939"/>
      <c r="U457" s="939"/>
      <c r="V457" s="939"/>
      <c r="W457" s="939"/>
      <c r="X457" s="939"/>
      <c r="Y457" s="939"/>
      <c r="Z457" s="939"/>
      <c r="AA457" s="939"/>
      <c r="AB457" s="939"/>
      <c r="AC457" s="939"/>
      <c r="AD457" s="939"/>
      <c r="AE457" s="939"/>
      <c r="AF457" s="939"/>
      <c r="AG457" s="939"/>
      <c r="AH457" s="939"/>
      <c r="AI457" s="939"/>
      <c r="AJ457" s="939"/>
      <c r="AK457" s="939"/>
      <c r="AL457" s="939"/>
      <c r="AM457" s="939"/>
      <c r="AN457" s="939"/>
    </row>
    <row r="458" spans="1:40" ht="15" customHeight="1">
      <c r="A458" s="939"/>
      <c r="B458" s="939"/>
      <c r="C458" s="939"/>
      <c r="D458" s="939"/>
      <c r="E458" s="939"/>
      <c r="F458" s="939"/>
      <c r="G458" s="939"/>
      <c r="H458" s="939"/>
      <c r="I458" s="939"/>
      <c r="J458" s="939"/>
      <c r="K458" s="939"/>
      <c r="L458" s="939"/>
      <c r="M458" s="939"/>
      <c r="N458" s="939"/>
      <c r="O458" s="939"/>
      <c r="P458" s="939"/>
      <c r="Q458" s="939"/>
      <c r="R458" s="939"/>
      <c r="S458" s="939"/>
      <c r="T458" s="939"/>
      <c r="U458" s="939"/>
      <c r="V458" s="939"/>
      <c r="W458" s="939"/>
      <c r="X458" s="939"/>
      <c r="Y458" s="939"/>
      <c r="Z458" s="939"/>
      <c r="AA458" s="939"/>
      <c r="AB458" s="939"/>
      <c r="AC458" s="939"/>
      <c r="AD458" s="939"/>
      <c r="AE458" s="939"/>
      <c r="AF458" s="939"/>
      <c r="AG458" s="939"/>
      <c r="AH458" s="939"/>
      <c r="AI458" s="939"/>
      <c r="AJ458" s="939"/>
      <c r="AK458" s="939"/>
      <c r="AL458" s="939"/>
      <c r="AM458" s="939"/>
      <c r="AN458" s="939"/>
    </row>
    <row r="459" spans="1:40" ht="15" customHeight="1">
      <c r="A459" s="939"/>
      <c r="B459" s="939"/>
      <c r="C459" s="939"/>
      <c r="D459" s="939"/>
      <c r="E459" s="939"/>
      <c r="F459" s="939"/>
      <c r="G459" s="939"/>
      <c r="H459" s="939"/>
      <c r="I459" s="939"/>
      <c r="J459" s="939"/>
      <c r="K459" s="939"/>
      <c r="L459" s="939"/>
      <c r="M459" s="939"/>
      <c r="N459" s="939"/>
      <c r="O459" s="939"/>
      <c r="P459" s="939"/>
      <c r="Q459" s="939"/>
      <c r="R459" s="939"/>
      <c r="S459" s="939"/>
      <c r="T459" s="939"/>
      <c r="U459" s="939"/>
      <c r="V459" s="939"/>
      <c r="W459" s="939"/>
      <c r="X459" s="939"/>
      <c r="Y459" s="939"/>
      <c r="Z459" s="939"/>
      <c r="AA459" s="939"/>
      <c r="AB459" s="939"/>
      <c r="AC459" s="939"/>
      <c r="AD459" s="939"/>
      <c r="AE459" s="939"/>
      <c r="AF459" s="939"/>
      <c r="AG459" s="939"/>
      <c r="AH459" s="939"/>
      <c r="AI459" s="939"/>
      <c r="AJ459" s="939"/>
      <c r="AK459" s="939"/>
      <c r="AL459" s="939"/>
      <c r="AM459" s="939"/>
      <c r="AN459" s="939"/>
    </row>
    <row r="460" spans="1:40" ht="15" customHeight="1">
      <c r="A460" s="939"/>
      <c r="B460" s="939"/>
      <c r="C460" s="939"/>
      <c r="D460" s="939"/>
      <c r="E460" s="939"/>
      <c r="F460" s="939"/>
      <c r="G460" s="939"/>
      <c r="H460" s="939"/>
      <c r="I460" s="939"/>
      <c r="J460" s="939"/>
      <c r="K460" s="939"/>
      <c r="L460" s="939"/>
      <c r="M460" s="939"/>
      <c r="N460" s="939"/>
      <c r="O460" s="939"/>
      <c r="P460" s="939"/>
      <c r="Q460" s="939"/>
      <c r="R460" s="939"/>
      <c r="S460" s="939"/>
      <c r="T460" s="939"/>
      <c r="U460" s="939"/>
      <c r="V460" s="939"/>
      <c r="W460" s="939"/>
      <c r="X460" s="939"/>
      <c r="Y460" s="939"/>
      <c r="Z460" s="939"/>
      <c r="AA460" s="939"/>
      <c r="AB460" s="939"/>
      <c r="AC460" s="939"/>
      <c r="AD460" s="939"/>
      <c r="AE460" s="939"/>
      <c r="AF460" s="939"/>
      <c r="AG460" s="939"/>
      <c r="AH460" s="939"/>
      <c r="AI460" s="939"/>
      <c r="AJ460" s="939"/>
      <c r="AK460" s="939"/>
      <c r="AL460" s="939"/>
      <c r="AM460" s="939"/>
      <c r="AN460" s="939"/>
    </row>
    <row r="461" spans="1:40" ht="15" customHeight="1">
      <c r="A461" s="939"/>
      <c r="B461" s="939"/>
      <c r="C461" s="939"/>
      <c r="D461" s="939"/>
      <c r="E461" s="939"/>
      <c r="F461" s="939"/>
      <c r="G461" s="939"/>
      <c r="H461" s="939"/>
      <c r="I461" s="939"/>
      <c r="J461" s="939"/>
      <c r="K461" s="939"/>
      <c r="L461" s="939"/>
      <c r="M461" s="939"/>
      <c r="N461" s="939"/>
      <c r="O461" s="939"/>
      <c r="P461" s="939"/>
      <c r="Q461" s="939"/>
      <c r="R461" s="939"/>
      <c r="S461" s="939"/>
      <c r="T461" s="939"/>
      <c r="U461" s="939"/>
      <c r="V461" s="939"/>
      <c r="W461" s="939"/>
      <c r="X461" s="939"/>
      <c r="Y461" s="939"/>
      <c r="Z461" s="939"/>
      <c r="AA461" s="939"/>
      <c r="AB461" s="939"/>
      <c r="AC461" s="939"/>
      <c r="AD461" s="939"/>
      <c r="AE461" s="939"/>
      <c r="AF461" s="939"/>
      <c r="AG461" s="939"/>
      <c r="AH461" s="939"/>
      <c r="AI461" s="939"/>
      <c r="AJ461" s="939"/>
      <c r="AK461" s="939"/>
      <c r="AL461" s="939"/>
      <c r="AM461" s="939"/>
      <c r="AN461" s="939"/>
    </row>
    <row r="462" spans="1:40" ht="15" customHeight="1">
      <c r="A462" s="939"/>
      <c r="B462" s="939"/>
      <c r="C462" s="939"/>
      <c r="D462" s="939"/>
      <c r="E462" s="939"/>
      <c r="F462" s="939"/>
      <c r="G462" s="939"/>
      <c r="H462" s="939"/>
      <c r="I462" s="939"/>
      <c r="J462" s="939"/>
      <c r="K462" s="939"/>
      <c r="L462" s="939"/>
      <c r="M462" s="939"/>
      <c r="N462" s="939"/>
      <c r="O462" s="939"/>
      <c r="P462" s="939"/>
      <c r="Q462" s="939"/>
      <c r="R462" s="939"/>
      <c r="S462" s="939"/>
      <c r="T462" s="939"/>
      <c r="U462" s="939"/>
      <c r="V462" s="939"/>
      <c r="W462" s="939"/>
      <c r="X462" s="939"/>
      <c r="Y462" s="939"/>
      <c r="Z462" s="939"/>
      <c r="AA462" s="939"/>
      <c r="AB462" s="939"/>
      <c r="AC462" s="939"/>
      <c r="AD462" s="939"/>
      <c r="AE462" s="939"/>
      <c r="AF462" s="939"/>
      <c r="AG462" s="939"/>
      <c r="AH462" s="939"/>
      <c r="AI462" s="939"/>
      <c r="AJ462" s="939"/>
      <c r="AK462" s="939"/>
      <c r="AL462" s="939"/>
      <c r="AM462" s="939"/>
      <c r="AN462" s="939"/>
    </row>
    <row r="463" spans="1:40" ht="15" customHeight="1">
      <c r="A463" s="939"/>
      <c r="B463" s="939"/>
      <c r="C463" s="939"/>
      <c r="D463" s="939"/>
      <c r="E463" s="939"/>
      <c r="F463" s="939"/>
      <c r="G463" s="939"/>
      <c r="H463" s="939"/>
      <c r="I463" s="939"/>
      <c r="J463" s="939"/>
      <c r="K463" s="939"/>
      <c r="L463" s="939"/>
      <c r="M463" s="939"/>
      <c r="N463" s="939"/>
      <c r="O463" s="939"/>
      <c r="P463" s="939"/>
      <c r="Q463" s="939"/>
      <c r="R463" s="939"/>
      <c r="S463" s="939"/>
      <c r="T463" s="939"/>
      <c r="U463" s="939"/>
      <c r="V463" s="939"/>
      <c r="W463" s="939"/>
      <c r="X463" s="939"/>
      <c r="Y463" s="939"/>
      <c r="Z463" s="939"/>
      <c r="AA463" s="939"/>
      <c r="AB463" s="939"/>
      <c r="AC463" s="939"/>
      <c r="AD463" s="939"/>
      <c r="AE463" s="939"/>
      <c r="AF463" s="939"/>
      <c r="AG463" s="939"/>
      <c r="AH463" s="939"/>
      <c r="AI463" s="939"/>
      <c r="AJ463" s="939"/>
      <c r="AK463" s="939"/>
      <c r="AL463" s="939"/>
      <c r="AM463" s="939"/>
      <c r="AN463" s="939"/>
    </row>
    <row r="464" spans="1:40" ht="15" customHeight="1">
      <c r="A464" s="939"/>
      <c r="B464" s="939"/>
      <c r="C464" s="939"/>
      <c r="D464" s="939"/>
      <c r="E464" s="939"/>
      <c r="F464" s="939"/>
      <c r="G464" s="939"/>
      <c r="H464" s="939"/>
      <c r="I464" s="939"/>
      <c r="J464" s="939"/>
      <c r="K464" s="939"/>
      <c r="L464" s="939"/>
      <c r="M464" s="939"/>
      <c r="N464" s="939"/>
      <c r="O464" s="939"/>
      <c r="P464" s="939"/>
      <c r="Q464" s="939"/>
      <c r="R464" s="939"/>
      <c r="S464" s="939"/>
      <c r="T464" s="939"/>
      <c r="U464" s="939"/>
      <c r="V464" s="939"/>
      <c r="W464" s="939"/>
      <c r="X464" s="939"/>
      <c r="Y464" s="939"/>
      <c r="Z464" s="939"/>
      <c r="AA464" s="939"/>
      <c r="AB464" s="939"/>
      <c r="AC464" s="939"/>
      <c r="AD464" s="939"/>
      <c r="AE464" s="939"/>
      <c r="AF464" s="939"/>
      <c r="AG464" s="939"/>
      <c r="AH464" s="939"/>
      <c r="AI464" s="939"/>
      <c r="AJ464" s="939"/>
      <c r="AK464" s="939"/>
      <c r="AL464" s="939"/>
      <c r="AM464" s="939"/>
      <c r="AN464" s="939"/>
    </row>
    <row r="465" spans="1:40" ht="15" customHeight="1">
      <c r="A465" s="939"/>
      <c r="B465" s="939"/>
      <c r="C465" s="939"/>
      <c r="D465" s="939"/>
      <c r="E465" s="939"/>
      <c r="F465" s="939"/>
      <c r="G465" s="939"/>
      <c r="H465" s="939"/>
      <c r="I465" s="939"/>
      <c r="J465" s="939"/>
      <c r="K465" s="939"/>
      <c r="L465" s="939"/>
      <c r="M465" s="939"/>
      <c r="N465" s="939"/>
      <c r="O465" s="939"/>
      <c r="P465" s="939"/>
      <c r="Q465" s="939"/>
      <c r="R465" s="939"/>
      <c r="S465" s="939"/>
      <c r="T465" s="939"/>
      <c r="U465" s="939"/>
      <c r="V465" s="939"/>
      <c r="W465" s="939"/>
      <c r="X465" s="939"/>
      <c r="Y465" s="939"/>
      <c r="Z465" s="939"/>
      <c r="AA465" s="939"/>
      <c r="AB465" s="939"/>
      <c r="AC465" s="939"/>
      <c r="AD465" s="939"/>
      <c r="AE465" s="939"/>
      <c r="AF465" s="939"/>
      <c r="AG465" s="939"/>
      <c r="AH465" s="939"/>
      <c r="AI465" s="939"/>
      <c r="AJ465" s="939"/>
      <c r="AK465" s="939"/>
      <c r="AL465" s="939"/>
      <c r="AM465" s="939"/>
      <c r="AN465" s="939"/>
    </row>
    <row r="466" spans="1:40" ht="15" customHeight="1">
      <c r="A466" s="939"/>
      <c r="B466" s="939"/>
      <c r="C466" s="939"/>
      <c r="D466" s="939"/>
      <c r="E466" s="939"/>
      <c r="F466" s="939"/>
      <c r="G466" s="939"/>
      <c r="H466" s="939"/>
      <c r="I466" s="939"/>
      <c r="J466" s="939"/>
      <c r="K466" s="939"/>
      <c r="L466" s="939"/>
      <c r="M466" s="939"/>
      <c r="N466" s="939"/>
      <c r="O466" s="939"/>
      <c r="P466" s="939"/>
      <c r="Q466" s="939"/>
      <c r="R466" s="939"/>
      <c r="S466" s="939"/>
      <c r="T466" s="939"/>
      <c r="U466" s="939"/>
      <c r="V466" s="939"/>
      <c r="W466" s="939"/>
      <c r="X466" s="939"/>
      <c r="Y466" s="939"/>
      <c r="Z466" s="939"/>
      <c r="AA466" s="939"/>
      <c r="AB466" s="939"/>
      <c r="AC466" s="939"/>
      <c r="AD466" s="939"/>
      <c r="AE466" s="939"/>
      <c r="AF466" s="939"/>
      <c r="AG466" s="939"/>
      <c r="AH466" s="939"/>
      <c r="AI466" s="939"/>
      <c r="AJ466" s="939"/>
      <c r="AK466" s="939"/>
      <c r="AL466" s="939"/>
      <c r="AM466" s="939"/>
      <c r="AN466" s="939"/>
    </row>
    <row r="467" spans="1:40" ht="15" customHeight="1">
      <c r="A467" s="939"/>
      <c r="B467" s="939"/>
      <c r="C467" s="939"/>
      <c r="D467" s="939"/>
      <c r="E467" s="939"/>
      <c r="F467" s="939"/>
      <c r="G467" s="939"/>
      <c r="H467" s="939"/>
      <c r="I467" s="939"/>
      <c r="J467" s="939"/>
      <c r="K467" s="939"/>
      <c r="L467" s="939"/>
      <c r="M467" s="939"/>
      <c r="N467" s="939"/>
      <c r="O467" s="939"/>
      <c r="P467" s="939"/>
      <c r="Q467" s="939"/>
      <c r="R467" s="939"/>
      <c r="S467" s="939"/>
      <c r="T467" s="939"/>
      <c r="U467" s="939"/>
      <c r="V467" s="939"/>
      <c r="W467" s="939"/>
      <c r="X467" s="939"/>
      <c r="Y467" s="939"/>
      <c r="Z467" s="939"/>
      <c r="AA467" s="939"/>
      <c r="AB467" s="939"/>
      <c r="AC467" s="939"/>
      <c r="AD467" s="939"/>
      <c r="AE467" s="939"/>
      <c r="AF467" s="939"/>
      <c r="AG467" s="939"/>
      <c r="AH467" s="939"/>
      <c r="AI467" s="939"/>
      <c r="AJ467" s="939"/>
      <c r="AK467" s="939"/>
      <c r="AL467" s="939"/>
      <c r="AM467" s="939"/>
      <c r="AN467" s="939"/>
    </row>
    <row r="468" spans="1:40" ht="15" customHeight="1">
      <c r="A468" s="939"/>
      <c r="B468" s="939"/>
      <c r="C468" s="939"/>
      <c r="D468" s="939"/>
      <c r="E468" s="939"/>
      <c r="F468" s="939"/>
      <c r="G468" s="939"/>
      <c r="H468" s="939"/>
      <c r="I468" s="939"/>
      <c r="J468" s="939"/>
      <c r="K468" s="939"/>
      <c r="L468" s="939"/>
      <c r="M468" s="939"/>
      <c r="N468" s="939"/>
      <c r="O468" s="939"/>
      <c r="P468" s="939"/>
      <c r="Q468" s="939"/>
      <c r="R468" s="939"/>
      <c r="S468" s="939"/>
      <c r="T468" s="939"/>
      <c r="U468" s="939"/>
      <c r="V468" s="939"/>
      <c r="W468" s="939"/>
      <c r="X468" s="939"/>
      <c r="Y468" s="939"/>
      <c r="Z468" s="939"/>
      <c r="AA468" s="939"/>
      <c r="AB468" s="939"/>
      <c r="AC468" s="939"/>
      <c r="AD468" s="939"/>
      <c r="AE468" s="939"/>
      <c r="AF468" s="939"/>
      <c r="AG468" s="939"/>
      <c r="AH468" s="939"/>
      <c r="AI468" s="939"/>
      <c r="AJ468" s="939"/>
      <c r="AK468" s="939"/>
      <c r="AL468" s="939"/>
      <c r="AM468" s="939"/>
      <c r="AN468" s="939"/>
    </row>
    <row r="469" spans="1:40" ht="15" customHeight="1">
      <c r="A469" s="939"/>
      <c r="B469" s="939"/>
      <c r="C469" s="939"/>
      <c r="D469" s="939"/>
      <c r="E469" s="939"/>
      <c r="F469" s="939"/>
      <c r="G469" s="939"/>
      <c r="H469" s="939"/>
      <c r="I469" s="939"/>
      <c r="J469" s="939"/>
      <c r="K469" s="939"/>
      <c r="L469" s="939"/>
      <c r="M469" s="939"/>
      <c r="N469" s="939"/>
      <c r="O469" s="939"/>
      <c r="P469" s="939"/>
      <c r="Q469" s="939"/>
      <c r="R469" s="939"/>
      <c r="S469" s="939"/>
      <c r="T469" s="939"/>
      <c r="U469" s="939"/>
      <c r="V469" s="939"/>
      <c r="W469" s="939"/>
      <c r="X469" s="939"/>
      <c r="Y469" s="939"/>
      <c r="Z469" s="939"/>
      <c r="AA469" s="939"/>
      <c r="AB469" s="939"/>
      <c r="AC469" s="939"/>
      <c r="AD469" s="939"/>
      <c r="AE469" s="939"/>
      <c r="AF469" s="939"/>
      <c r="AG469" s="939"/>
      <c r="AH469" s="939"/>
      <c r="AI469" s="939"/>
      <c r="AJ469" s="939"/>
      <c r="AK469" s="939"/>
      <c r="AL469" s="939"/>
      <c r="AM469" s="939"/>
      <c r="AN469" s="939"/>
    </row>
    <row r="470" spans="1:40" ht="15" customHeight="1">
      <c r="A470" s="939"/>
      <c r="B470" s="939"/>
      <c r="C470" s="939"/>
      <c r="D470" s="939"/>
      <c r="E470" s="939"/>
      <c r="F470" s="939"/>
      <c r="G470" s="939"/>
      <c r="H470" s="939"/>
      <c r="I470" s="939"/>
      <c r="J470" s="939"/>
      <c r="K470" s="939"/>
      <c r="L470" s="939"/>
      <c r="M470" s="939"/>
      <c r="N470" s="939"/>
      <c r="O470" s="939"/>
      <c r="P470" s="939"/>
      <c r="Q470" s="939"/>
      <c r="R470" s="939"/>
      <c r="S470" s="939"/>
      <c r="T470" s="939"/>
      <c r="U470" s="939"/>
      <c r="V470" s="939"/>
      <c r="W470" s="939"/>
      <c r="X470" s="939"/>
      <c r="Y470" s="939"/>
      <c r="Z470" s="939"/>
      <c r="AA470" s="939"/>
      <c r="AB470" s="939"/>
      <c r="AC470" s="939"/>
      <c r="AD470" s="939"/>
      <c r="AE470" s="939"/>
      <c r="AF470" s="939"/>
      <c r="AG470" s="939"/>
      <c r="AH470" s="939"/>
      <c r="AI470" s="939"/>
      <c r="AJ470" s="939"/>
      <c r="AK470" s="939"/>
      <c r="AL470" s="939"/>
      <c r="AM470" s="939"/>
      <c r="AN470" s="939"/>
    </row>
    <row r="471" spans="1:40" ht="15" customHeight="1">
      <c r="A471" s="939"/>
      <c r="B471" s="939"/>
      <c r="C471" s="939"/>
      <c r="D471" s="939"/>
      <c r="E471" s="939"/>
      <c r="F471" s="939"/>
      <c r="G471" s="939"/>
      <c r="H471" s="939"/>
      <c r="I471" s="939"/>
      <c r="J471" s="939"/>
      <c r="K471" s="939"/>
      <c r="L471" s="939"/>
      <c r="M471" s="939"/>
      <c r="N471" s="939"/>
      <c r="O471" s="939"/>
      <c r="P471" s="939"/>
      <c r="Q471" s="939"/>
      <c r="R471" s="939"/>
      <c r="S471" s="939"/>
      <c r="T471" s="939"/>
      <c r="U471" s="939"/>
      <c r="V471" s="939"/>
      <c r="W471" s="939"/>
      <c r="X471" s="939"/>
      <c r="Y471" s="939"/>
      <c r="Z471" s="939"/>
      <c r="AA471" s="939"/>
      <c r="AB471" s="939"/>
      <c r="AC471" s="939"/>
      <c r="AD471" s="939"/>
      <c r="AE471" s="939"/>
      <c r="AF471" s="939"/>
      <c r="AG471" s="939"/>
      <c r="AH471" s="939"/>
      <c r="AI471" s="939"/>
      <c r="AJ471" s="939"/>
      <c r="AK471" s="939"/>
      <c r="AL471" s="939"/>
      <c r="AM471" s="939"/>
      <c r="AN471" s="939"/>
    </row>
    <row r="472" spans="1:40" ht="15" customHeight="1">
      <c r="A472" s="939"/>
      <c r="B472" s="939"/>
      <c r="C472" s="939"/>
      <c r="D472" s="939"/>
      <c r="E472" s="939"/>
      <c r="F472" s="939"/>
      <c r="G472" s="939"/>
      <c r="H472" s="939"/>
      <c r="I472" s="939"/>
      <c r="J472" s="939"/>
      <c r="K472" s="939"/>
      <c r="L472" s="939"/>
      <c r="M472" s="939"/>
      <c r="N472" s="939"/>
      <c r="O472" s="939"/>
      <c r="P472" s="939"/>
      <c r="Q472" s="939"/>
      <c r="R472" s="939"/>
      <c r="S472" s="939"/>
      <c r="T472" s="939"/>
      <c r="U472" s="939"/>
      <c r="V472" s="939"/>
      <c r="W472" s="939"/>
      <c r="X472" s="939"/>
      <c r="Y472" s="939"/>
      <c r="Z472" s="939"/>
      <c r="AA472" s="939"/>
      <c r="AB472" s="939"/>
      <c r="AC472" s="939"/>
      <c r="AD472" s="939"/>
      <c r="AE472" s="939"/>
      <c r="AF472" s="939"/>
      <c r="AG472" s="939"/>
      <c r="AH472" s="939"/>
      <c r="AI472" s="939"/>
      <c r="AJ472" s="939"/>
      <c r="AK472" s="939"/>
      <c r="AL472" s="939"/>
      <c r="AM472" s="939"/>
      <c r="AN472" s="939"/>
    </row>
    <row r="473" spans="1:40" ht="15" customHeight="1">
      <c r="A473" s="939"/>
      <c r="B473" s="939"/>
      <c r="C473" s="939"/>
      <c r="D473" s="939"/>
      <c r="E473" s="939"/>
      <c r="F473" s="939"/>
      <c r="G473" s="939"/>
      <c r="H473" s="939"/>
      <c r="I473" s="939"/>
      <c r="J473" s="939"/>
      <c r="K473" s="939"/>
      <c r="L473" s="939"/>
      <c r="M473" s="939"/>
      <c r="N473" s="939"/>
      <c r="O473" s="939"/>
      <c r="P473" s="939"/>
      <c r="Q473" s="939"/>
      <c r="R473" s="939"/>
      <c r="S473" s="939"/>
      <c r="T473" s="939"/>
      <c r="U473" s="939"/>
      <c r="V473" s="939"/>
      <c r="W473" s="939"/>
      <c r="X473" s="939"/>
      <c r="Y473" s="939"/>
      <c r="Z473" s="939"/>
      <c r="AA473" s="939"/>
      <c r="AB473" s="939"/>
      <c r="AC473" s="939"/>
      <c r="AD473" s="939"/>
      <c r="AE473" s="939"/>
      <c r="AF473" s="939"/>
      <c r="AG473" s="939"/>
      <c r="AH473" s="939"/>
      <c r="AI473" s="939"/>
      <c r="AJ473" s="939"/>
      <c r="AK473" s="939"/>
      <c r="AL473" s="939"/>
      <c r="AM473" s="939"/>
      <c r="AN473" s="939"/>
    </row>
    <row r="474" spans="1:40" ht="15" customHeight="1">
      <c r="A474" s="939"/>
      <c r="B474" s="939"/>
      <c r="C474" s="939"/>
      <c r="D474" s="939"/>
      <c r="E474" s="939"/>
      <c r="F474" s="939"/>
      <c r="G474" s="939"/>
      <c r="H474" s="939"/>
      <c r="I474" s="939"/>
      <c r="J474" s="939"/>
      <c r="K474" s="939"/>
      <c r="L474" s="939"/>
      <c r="M474" s="939"/>
      <c r="N474" s="939"/>
      <c r="O474" s="939"/>
      <c r="P474" s="939"/>
      <c r="Q474" s="939"/>
      <c r="R474" s="939"/>
      <c r="S474" s="939"/>
      <c r="T474" s="939"/>
      <c r="U474" s="939"/>
      <c r="V474" s="939"/>
      <c r="W474" s="939"/>
      <c r="X474" s="939"/>
      <c r="Y474" s="939"/>
      <c r="Z474" s="939"/>
      <c r="AA474" s="939"/>
      <c r="AB474" s="939"/>
      <c r="AC474" s="939"/>
      <c r="AD474" s="939"/>
      <c r="AE474" s="939"/>
      <c r="AF474" s="939"/>
      <c r="AG474" s="939"/>
      <c r="AH474" s="939"/>
      <c r="AI474" s="939"/>
      <c r="AJ474" s="939"/>
      <c r="AK474" s="939"/>
      <c r="AL474" s="939"/>
      <c r="AM474" s="939"/>
      <c r="AN474" s="939"/>
    </row>
    <row r="475" spans="1:40" ht="15" customHeight="1">
      <c r="A475" s="939"/>
      <c r="B475" s="939"/>
      <c r="C475" s="939"/>
      <c r="D475" s="939"/>
      <c r="E475" s="939"/>
      <c r="F475" s="939"/>
      <c r="G475" s="939"/>
      <c r="H475" s="939"/>
      <c r="I475" s="939"/>
      <c r="J475" s="939"/>
      <c r="K475" s="939"/>
      <c r="L475" s="939"/>
      <c r="M475" s="939"/>
      <c r="N475" s="939"/>
      <c r="O475" s="939"/>
      <c r="P475" s="939"/>
      <c r="Q475" s="939"/>
      <c r="R475" s="939"/>
      <c r="S475" s="939"/>
      <c r="T475" s="939"/>
      <c r="U475" s="939"/>
      <c r="V475" s="939"/>
      <c r="W475" s="939"/>
      <c r="X475" s="939"/>
      <c r="Y475" s="939"/>
      <c r="Z475" s="939"/>
      <c r="AA475" s="939"/>
      <c r="AB475" s="939"/>
      <c r="AC475" s="939"/>
      <c r="AD475" s="939"/>
      <c r="AE475" s="939"/>
      <c r="AF475" s="939"/>
      <c r="AG475" s="939"/>
      <c r="AH475" s="939"/>
      <c r="AI475" s="939"/>
      <c r="AJ475" s="939"/>
      <c r="AK475" s="939"/>
      <c r="AL475" s="939"/>
      <c r="AM475" s="939"/>
      <c r="AN475" s="939"/>
    </row>
    <row r="476" spans="1:40" ht="15" customHeight="1">
      <c r="A476" s="939"/>
      <c r="B476" s="939"/>
      <c r="C476" s="939"/>
      <c r="D476" s="939"/>
      <c r="E476" s="939"/>
      <c r="F476" s="939"/>
      <c r="G476" s="939"/>
      <c r="H476" s="939"/>
      <c r="I476" s="939"/>
      <c r="J476" s="939"/>
      <c r="K476" s="939"/>
      <c r="L476" s="939"/>
      <c r="M476" s="939"/>
      <c r="N476" s="939"/>
      <c r="O476" s="939"/>
      <c r="P476" s="939"/>
      <c r="Q476" s="939"/>
      <c r="R476" s="939"/>
      <c r="S476" s="939"/>
      <c r="T476" s="939"/>
      <c r="U476" s="939"/>
      <c r="V476" s="939"/>
      <c r="W476" s="939"/>
      <c r="X476" s="939"/>
      <c r="Y476" s="939"/>
      <c r="Z476" s="939"/>
      <c r="AA476" s="939"/>
      <c r="AB476" s="939"/>
      <c r="AC476" s="939"/>
      <c r="AD476" s="939"/>
      <c r="AE476" s="939"/>
      <c r="AF476" s="939"/>
      <c r="AG476" s="939"/>
      <c r="AH476" s="939"/>
      <c r="AI476" s="939"/>
      <c r="AJ476" s="939"/>
      <c r="AK476" s="939"/>
      <c r="AL476" s="939"/>
      <c r="AM476" s="939"/>
      <c r="AN476" s="939"/>
    </row>
    <row r="477" spans="1:40" ht="15" customHeight="1">
      <c r="A477" s="939"/>
      <c r="B477" s="939"/>
      <c r="C477" s="939"/>
      <c r="D477" s="939"/>
      <c r="E477" s="939"/>
      <c r="F477" s="939"/>
      <c r="G477" s="939"/>
      <c r="H477" s="939"/>
      <c r="I477" s="939"/>
      <c r="J477" s="939"/>
      <c r="K477" s="939"/>
      <c r="L477" s="939"/>
      <c r="M477" s="939"/>
      <c r="N477" s="939"/>
      <c r="O477" s="939"/>
      <c r="P477" s="939"/>
      <c r="Q477" s="939"/>
      <c r="R477" s="939"/>
      <c r="S477" s="939"/>
      <c r="T477" s="939"/>
      <c r="U477" s="939"/>
      <c r="V477" s="939"/>
      <c r="W477" s="939"/>
      <c r="X477" s="939"/>
      <c r="Y477" s="939"/>
      <c r="Z477" s="939"/>
      <c r="AA477" s="939"/>
      <c r="AB477" s="939"/>
      <c r="AC477" s="939"/>
      <c r="AD477" s="939"/>
      <c r="AE477" s="939"/>
      <c r="AF477" s="939"/>
      <c r="AG477" s="939"/>
      <c r="AH477" s="939"/>
      <c r="AI477" s="939"/>
      <c r="AJ477" s="939"/>
      <c r="AK477" s="939"/>
      <c r="AL477" s="939"/>
      <c r="AM477" s="939"/>
      <c r="AN477" s="939"/>
    </row>
    <row r="478" spans="1:40" ht="15" customHeight="1">
      <c r="A478" s="939"/>
      <c r="B478" s="939"/>
      <c r="C478" s="939"/>
      <c r="D478" s="939"/>
      <c r="E478" s="939"/>
      <c r="F478" s="939"/>
      <c r="G478" s="939"/>
      <c r="H478" s="939"/>
      <c r="I478" s="939"/>
      <c r="J478" s="939"/>
      <c r="K478" s="939"/>
      <c r="L478" s="939"/>
      <c r="M478" s="939"/>
      <c r="N478" s="939"/>
      <c r="O478" s="939"/>
      <c r="P478" s="939"/>
      <c r="Q478" s="939"/>
      <c r="R478" s="939"/>
      <c r="S478" s="939"/>
      <c r="T478" s="939"/>
      <c r="U478" s="939"/>
      <c r="V478" s="939"/>
      <c r="W478" s="939"/>
      <c r="X478" s="939"/>
      <c r="Y478" s="939"/>
      <c r="Z478" s="939"/>
      <c r="AA478" s="939"/>
      <c r="AB478" s="939"/>
      <c r="AC478" s="939"/>
      <c r="AD478" s="939"/>
      <c r="AE478" s="939"/>
      <c r="AF478" s="939"/>
      <c r="AG478" s="939"/>
      <c r="AH478" s="939"/>
      <c r="AI478" s="939"/>
      <c r="AJ478" s="939"/>
      <c r="AK478" s="939"/>
      <c r="AL478" s="939"/>
      <c r="AM478" s="939"/>
      <c r="AN478" s="939"/>
    </row>
    <row r="479" spans="1:40" ht="15" customHeight="1">
      <c r="A479" s="939"/>
      <c r="B479" s="939"/>
      <c r="C479" s="939"/>
      <c r="D479" s="939"/>
      <c r="E479" s="939"/>
      <c r="F479" s="939"/>
      <c r="G479" s="939"/>
      <c r="H479" s="939"/>
      <c r="I479" s="939"/>
      <c r="J479" s="939"/>
      <c r="K479" s="939"/>
      <c r="L479" s="939"/>
      <c r="M479" s="939"/>
      <c r="N479" s="939"/>
      <c r="O479" s="939"/>
      <c r="P479" s="939"/>
      <c r="Q479" s="939"/>
      <c r="R479" s="939"/>
      <c r="S479" s="939"/>
      <c r="T479" s="939"/>
      <c r="U479" s="939"/>
      <c r="V479" s="939"/>
      <c r="W479" s="939"/>
      <c r="X479" s="939"/>
      <c r="Y479" s="939"/>
      <c r="Z479" s="939"/>
      <c r="AA479" s="939"/>
      <c r="AB479" s="939"/>
      <c r="AC479" s="939"/>
      <c r="AD479" s="939"/>
      <c r="AE479" s="939"/>
      <c r="AF479" s="939"/>
      <c r="AG479" s="939"/>
      <c r="AH479" s="939"/>
      <c r="AI479" s="939"/>
      <c r="AJ479" s="939"/>
      <c r="AK479" s="939"/>
      <c r="AL479" s="939"/>
      <c r="AM479" s="939"/>
      <c r="AN479" s="939"/>
    </row>
    <row r="480" spans="1:40" ht="15" customHeight="1">
      <c r="A480" s="939"/>
      <c r="B480" s="939"/>
      <c r="C480" s="939"/>
      <c r="D480" s="939"/>
      <c r="E480" s="939"/>
      <c r="F480" s="939"/>
      <c r="G480" s="939"/>
      <c r="H480" s="939"/>
      <c r="I480" s="939"/>
      <c r="J480" s="939"/>
      <c r="K480" s="939"/>
      <c r="L480" s="939"/>
      <c r="M480" s="939"/>
      <c r="N480" s="939"/>
      <c r="O480" s="939"/>
      <c r="P480" s="939"/>
      <c r="Q480" s="939"/>
      <c r="R480" s="939"/>
      <c r="S480" s="939"/>
      <c r="T480" s="939"/>
      <c r="U480" s="939"/>
      <c r="V480" s="939"/>
      <c r="W480" s="939"/>
      <c r="X480" s="939"/>
      <c r="Y480" s="939"/>
      <c r="Z480" s="939"/>
      <c r="AA480" s="939"/>
      <c r="AB480" s="939"/>
      <c r="AC480" s="939"/>
      <c r="AD480" s="939"/>
      <c r="AE480" s="939"/>
      <c r="AF480" s="939"/>
      <c r="AG480" s="939"/>
      <c r="AH480" s="939"/>
      <c r="AI480" s="939"/>
      <c r="AJ480" s="939"/>
      <c r="AK480" s="939"/>
      <c r="AL480" s="939"/>
      <c r="AM480" s="939"/>
      <c r="AN480" s="939"/>
    </row>
    <row r="481" spans="1:40" ht="15" customHeight="1">
      <c r="A481" s="939"/>
      <c r="B481" s="939"/>
      <c r="C481" s="939"/>
      <c r="D481" s="939"/>
      <c r="E481" s="939"/>
      <c r="F481" s="939"/>
      <c r="G481" s="939"/>
      <c r="H481" s="939"/>
      <c r="I481" s="939"/>
      <c r="J481" s="939"/>
      <c r="K481" s="939"/>
      <c r="L481" s="939"/>
      <c r="M481" s="939"/>
      <c r="N481" s="939"/>
      <c r="O481" s="939"/>
      <c r="P481" s="939"/>
      <c r="Q481" s="939"/>
      <c r="R481" s="939"/>
      <c r="S481" s="939"/>
      <c r="T481" s="939"/>
      <c r="U481" s="939"/>
      <c r="V481" s="939"/>
      <c r="W481" s="939"/>
      <c r="X481" s="939"/>
      <c r="Y481" s="939"/>
      <c r="Z481" s="939"/>
      <c r="AA481" s="939"/>
      <c r="AB481" s="939"/>
      <c r="AC481" s="939"/>
      <c r="AD481" s="939"/>
      <c r="AE481" s="939"/>
      <c r="AF481" s="939"/>
      <c r="AG481" s="939"/>
      <c r="AH481" s="939"/>
      <c r="AI481" s="939"/>
      <c r="AJ481" s="939"/>
      <c r="AK481" s="939"/>
      <c r="AL481" s="939"/>
      <c r="AM481" s="939"/>
      <c r="AN481" s="939"/>
    </row>
    <row r="482" spans="1:40" ht="15" customHeight="1">
      <c r="A482" s="939"/>
      <c r="B482" s="939"/>
      <c r="C482" s="939"/>
      <c r="D482" s="939"/>
      <c r="E482" s="939"/>
      <c r="F482" s="939"/>
      <c r="G482" s="939"/>
      <c r="H482" s="939"/>
      <c r="I482" s="939"/>
      <c r="J482" s="939"/>
      <c r="K482" s="939"/>
      <c r="L482" s="939"/>
      <c r="M482" s="939"/>
      <c r="N482" s="939"/>
      <c r="O482" s="939"/>
      <c r="P482" s="939"/>
      <c r="Q482" s="939"/>
      <c r="R482" s="939"/>
      <c r="S482" s="939"/>
      <c r="T482" s="939"/>
      <c r="U482" s="939"/>
      <c r="V482" s="939"/>
      <c r="W482" s="939"/>
      <c r="X482" s="939"/>
      <c r="Y482" s="939"/>
      <c r="Z482" s="939"/>
      <c r="AA482" s="939"/>
      <c r="AB482" s="939"/>
      <c r="AC482" s="939"/>
      <c r="AD482" s="939"/>
      <c r="AE482" s="939"/>
      <c r="AF482" s="939"/>
      <c r="AG482" s="939"/>
      <c r="AH482" s="939"/>
      <c r="AI482" s="939"/>
      <c r="AJ482" s="939"/>
      <c r="AK482" s="939"/>
      <c r="AL482" s="939"/>
      <c r="AM482" s="939"/>
      <c r="AN482" s="939"/>
    </row>
    <row r="483" spans="1:40" ht="15" customHeight="1">
      <c r="A483" s="939"/>
      <c r="B483" s="939"/>
      <c r="C483" s="939"/>
      <c r="D483" s="939"/>
      <c r="E483" s="939"/>
      <c r="F483" s="939"/>
      <c r="G483" s="939"/>
      <c r="H483" s="939"/>
      <c r="I483" s="939"/>
      <c r="J483" s="939"/>
      <c r="K483" s="939"/>
      <c r="L483" s="939"/>
      <c r="M483" s="939"/>
      <c r="N483" s="939"/>
      <c r="O483" s="939"/>
      <c r="P483" s="939"/>
      <c r="Q483" s="939"/>
      <c r="R483" s="939"/>
      <c r="S483" s="939"/>
      <c r="T483" s="939"/>
      <c r="U483" s="939"/>
      <c r="V483" s="939"/>
      <c r="W483" s="939"/>
      <c r="X483" s="939"/>
      <c r="Y483" s="939"/>
      <c r="Z483" s="939"/>
      <c r="AA483" s="939"/>
      <c r="AB483" s="939"/>
      <c r="AC483" s="939"/>
      <c r="AD483" s="939"/>
      <c r="AE483" s="939"/>
      <c r="AF483" s="939"/>
      <c r="AG483" s="939"/>
      <c r="AH483" s="939"/>
      <c r="AI483" s="939"/>
      <c r="AJ483" s="939"/>
      <c r="AK483" s="939"/>
      <c r="AL483" s="939"/>
      <c r="AM483" s="939"/>
      <c r="AN483" s="939"/>
    </row>
    <row r="484" spans="1:40" ht="15" customHeight="1">
      <c r="A484" s="939"/>
      <c r="B484" s="939"/>
      <c r="C484" s="939"/>
      <c r="D484" s="939"/>
      <c r="E484" s="939"/>
      <c r="F484" s="939"/>
      <c r="G484" s="939"/>
      <c r="H484" s="939"/>
      <c r="I484" s="939"/>
      <c r="J484" s="939"/>
      <c r="K484" s="939"/>
      <c r="L484" s="939"/>
      <c r="M484" s="939"/>
      <c r="N484" s="939"/>
      <c r="O484" s="939"/>
      <c r="P484" s="939"/>
      <c r="Q484" s="939"/>
      <c r="R484" s="939"/>
      <c r="S484" s="939"/>
      <c r="T484" s="939"/>
      <c r="U484" s="939"/>
      <c r="V484" s="939"/>
      <c r="W484" s="939"/>
      <c r="X484" s="939"/>
      <c r="Y484" s="939"/>
      <c r="Z484" s="939"/>
      <c r="AA484" s="939"/>
      <c r="AB484" s="939"/>
      <c r="AC484" s="939"/>
      <c r="AD484" s="939"/>
      <c r="AE484" s="939"/>
      <c r="AF484" s="939"/>
      <c r="AG484" s="939"/>
      <c r="AH484" s="939"/>
      <c r="AI484" s="939"/>
      <c r="AJ484" s="939"/>
      <c r="AK484" s="939"/>
      <c r="AL484" s="939"/>
      <c r="AM484" s="939"/>
      <c r="AN484" s="939"/>
    </row>
    <row r="485" spans="1:40" ht="15" customHeight="1">
      <c r="A485" s="939"/>
      <c r="B485" s="939"/>
      <c r="C485" s="939"/>
      <c r="D485" s="939"/>
      <c r="E485" s="939"/>
      <c r="F485" s="939"/>
      <c r="G485" s="939"/>
      <c r="H485" s="939"/>
      <c r="I485" s="939"/>
      <c r="J485" s="939"/>
      <c r="K485" s="939"/>
      <c r="L485" s="939"/>
      <c r="M485" s="939"/>
      <c r="N485" s="939"/>
      <c r="O485" s="939"/>
      <c r="P485" s="939"/>
      <c r="Q485" s="939"/>
      <c r="R485" s="939"/>
      <c r="S485" s="939"/>
      <c r="T485" s="939"/>
      <c r="U485" s="939"/>
      <c r="V485" s="939"/>
      <c r="W485" s="939"/>
      <c r="X485" s="939"/>
      <c r="Y485" s="939"/>
      <c r="Z485" s="939"/>
      <c r="AA485" s="939"/>
      <c r="AB485" s="939"/>
      <c r="AC485" s="939"/>
      <c r="AD485" s="939"/>
      <c r="AE485" s="939"/>
      <c r="AF485" s="939"/>
      <c r="AG485" s="939"/>
      <c r="AH485" s="939"/>
      <c r="AI485" s="939"/>
      <c r="AJ485" s="939"/>
      <c r="AK485" s="939"/>
      <c r="AL485" s="939"/>
      <c r="AM485" s="939"/>
      <c r="AN485" s="939"/>
    </row>
    <row r="486" spans="1:40" ht="15" customHeight="1">
      <c r="A486" s="939"/>
      <c r="B486" s="939"/>
      <c r="C486" s="939"/>
      <c r="D486" s="939"/>
      <c r="E486" s="939"/>
      <c r="F486" s="939"/>
      <c r="G486" s="939"/>
      <c r="H486" s="939"/>
      <c r="I486" s="939"/>
      <c r="J486" s="939"/>
      <c r="K486" s="939"/>
      <c r="L486" s="939"/>
      <c r="M486" s="939"/>
      <c r="N486" s="939"/>
      <c r="O486" s="939"/>
      <c r="P486" s="939"/>
      <c r="Q486" s="939"/>
      <c r="R486" s="939"/>
      <c r="S486" s="939"/>
      <c r="T486" s="939"/>
      <c r="U486" s="939"/>
      <c r="V486" s="939"/>
      <c r="W486" s="939"/>
      <c r="X486" s="939"/>
      <c r="Y486" s="939"/>
      <c r="Z486" s="939"/>
      <c r="AA486" s="939"/>
      <c r="AB486" s="939"/>
      <c r="AC486" s="939"/>
      <c r="AD486" s="939"/>
      <c r="AE486" s="939"/>
      <c r="AF486" s="939"/>
      <c r="AG486" s="939"/>
      <c r="AH486" s="939"/>
      <c r="AI486" s="939"/>
      <c r="AJ486" s="939"/>
      <c r="AK486" s="939"/>
      <c r="AL486" s="939"/>
      <c r="AM486" s="939"/>
      <c r="AN486" s="939"/>
    </row>
    <row r="487" spans="1:40" ht="15" customHeight="1">
      <c r="A487" s="939"/>
      <c r="B487" s="939"/>
      <c r="C487" s="939"/>
      <c r="D487" s="939"/>
      <c r="E487" s="939"/>
      <c r="F487" s="939"/>
      <c r="G487" s="939"/>
      <c r="H487" s="939"/>
      <c r="I487" s="939"/>
      <c r="J487" s="939"/>
      <c r="K487" s="939"/>
      <c r="L487" s="939"/>
      <c r="M487" s="939"/>
      <c r="N487" s="939"/>
      <c r="O487" s="939"/>
      <c r="P487" s="939"/>
      <c r="Q487" s="939"/>
      <c r="R487" s="939"/>
      <c r="S487" s="939"/>
      <c r="T487" s="939"/>
      <c r="U487" s="939"/>
      <c r="V487" s="939"/>
      <c r="W487" s="939"/>
      <c r="X487" s="939"/>
      <c r="Y487" s="939"/>
      <c r="Z487" s="939"/>
      <c r="AA487" s="939"/>
      <c r="AB487" s="939"/>
      <c r="AC487" s="939"/>
      <c r="AD487" s="939"/>
      <c r="AE487" s="939"/>
      <c r="AF487" s="939"/>
      <c r="AG487" s="939"/>
      <c r="AH487" s="939"/>
      <c r="AI487" s="939"/>
      <c r="AJ487" s="939"/>
      <c r="AK487" s="939"/>
      <c r="AL487" s="939"/>
      <c r="AM487" s="939"/>
      <c r="AN487" s="939"/>
    </row>
    <row r="488" spans="1:40" ht="15" customHeight="1">
      <c r="A488" s="939"/>
      <c r="B488" s="939"/>
      <c r="C488" s="939"/>
      <c r="D488" s="939"/>
      <c r="E488" s="939"/>
      <c r="F488" s="939"/>
      <c r="G488" s="939"/>
      <c r="H488" s="939"/>
      <c r="I488" s="939"/>
      <c r="J488" s="939"/>
      <c r="K488" s="939"/>
      <c r="L488" s="939"/>
      <c r="M488" s="939"/>
      <c r="N488" s="939"/>
      <c r="O488" s="939"/>
      <c r="P488" s="939"/>
      <c r="Q488" s="939"/>
      <c r="R488" s="939"/>
      <c r="S488" s="939"/>
      <c r="T488" s="939"/>
      <c r="U488" s="939"/>
      <c r="V488" s="939"/>
      <c r="W488" s="939"/>
      <c r="X488" s="939"/>
      <c r="Y488" s="939"/>
      <c r="Z488" s="939"/>
      <c r="AA488" s="939"/>
      <c r="AB488" s="939"/>
      <c r="AC488" s="939"/>
      <c r="AD488" s="939"/>
      <c r="AE488" s="939"/>
      <c r="AF488" s="939"/>
      <c r="AG488" s="939"/>
      <c r="AH488" s="939"/>
      <c r="AI488" s="939"/>
      <c r="AJ488" s="939"/>
      <c r="AK488" s="939"/>
      <c r="AL488" s="939"/>
      <c r="AM488" s="939"/>
      <c r="AN488" s="939"/>
    </row>
    <row r="489" spans="1:40" ht="15" customHeight="1">
      <c r="A489" s="939"/>
      <c r="B489" s="939"/>
      <c r="C489" s="939"/>
      <c r="D489" s="939"/>
      <c r="E489" s="939"/>
      <c r="F489" s="939"/>
      <c r="G489" s="939"/>
      <c r="H489" s="939"/>
      <c r="I489" s="939"/>
      <c r="J489" s="939"/>
      <c r="K489" s="939"/>
      <c r="L489" s="939"/>
      <c r="M489" s="939"/>
      <c r="N489" s="939"/>
      <c r="O489" s="939"/>
      <c r="P489" s="939"/>
      <c r="Q489" s="939"/>
      <c r="R489" s="939"/>
      <c r="S489" s="939"/>
      <c r="T489" s="939"/>
      <c r="U489" s="939"/>
      <c r="V489" s="939"/>
      <c r="W489" s="939"/>
      <c r="X489" s="939"/>
      <c r="Y489" s="939"/>
      <c r="Z489" s="939"/>
      <c r="AA489" s="939"/>
      <c r="AB489" s="939"/>
      <c r="AC489" s="939"/>
      <c r="AD489" s="939"/>
      <c r="AE489" s="939"/>
      <c r="AF489" s="939"/>
      <c r="AG489" s="939"/>
      <c r="AH489" s="939"/>
      <c r="AI489" s="939"/>
      <c r="AJ489" s="939"/>
      <c r="AK489" s="939"/>
      <c r="AL489" s="939"/>
      <c r="AM489" s="939"/>
      <c r="AN489" s="939"/>
    </row>
    <row r="490" spans="1:40" ht="15" customHeight="1">
      <c r="A490" s="939"/>
      <c r="B490" s="939"/>
      <c r="C490" s="939"/>
      <c r="D490" s="939"/>
      <c r="E490" s="939"/>
      <c r="F490" s="939"/>
      <c r="G490" s="939"/>
      <c r="H490" s="939"/>
      <c r="I490" s="939"/>
      <c r="J490" s="939"/>
      <c r="K490" s="939"/>
      <c r="L490" s="939"/>
      <c r="M490" s="939"/>
      <c r="N490" s="939"/>
      <c r="O490" s="939"/>
      <c r="P490" s="939"/>
      <c r="Q490" s="939"/>
      <c r="R490" s="939"/>
      <c r="S490" s="939"/>
      <c r="T490" s="939"/>
      <c r="U490" s="939"/>
      <c r="V490" s="939"/>
      <c r="W490" s="939"/>
      <c r="X490" s="939"/>
      <c r="Y490" s="939"/>
      <c r="Z490" s="939"/>
      <c r="AA490" s="939"/>
      <c r="AB490" s="939"/>
      <c r="AC490" s="939"/>
      <c r="AD490" s="939"/>
      <c r="AE490" s="939"/>
      <c r="AF490" s="939"/>
      <c r="AG490" s="939"/>
      <c r="AH490" s="939"/>
      <c r="AI490" s="939"/>
      <c r="AJ490" s="939"/>
      <c r="AK490" s="939"/>
      <c r="AL490" s="939"/>
      <c r="AM490" s="939"/>
      <c r="AN490" s="939"/>
    </row>
    <row r="491" spans="1:40" ht="15" customHeight="1">
      <c r="A491" s="939"/>
      <c r="B491" s="939"/>
      <c r="C491" s="939"/>
      <c r="D491" s="939"/>
      <c r="E491" s="939"/>
      <c r="F491" s="939"/>
      <c r="G491" s="939"/>
      <c r="H491" s="939"/>
      <c r="I491" s="939"/>
      <c r="J491" s="939"/>
      <c r="K491" s="939"/>
      <c r="L491" s="939"/>
      <c r="M491" s="939"/>
      <c r="N491" s="939"/>
      <c r="O491" s="939"/>
      <c r="P491" s="939"/>
      <c r="Q491" s="939"/>
      <c r="R491" s="939"/>
      <c r="S491" s="939"/>
      <c r="T491" s="939"/>
      <c r="U491" s="939"/>
      <c r="V491" s="939"/>
      <c r="W491" s="939"/>
      <c r="X491" s="939"/>
      <c r="Y491" s="939"/>
      <c r="Z491" s="939"/>
      <c r="AA491" s="939"/>
      <c r="AB491" s="939"/>
      <c r="AC491" s="939"/>
      <c r="AD491" s="939"/>
      <c r="AE491" s="939"/>
      <c r="AF491" s="939"/>
      <c r="AG491" s="939"/>
      <c r="AH491" s="939"/>
      <c r="AI491" s="939"/>
      <c r="AJ491" s="939"/>
      <c r="AK491" s="939"/>
      <c r="AL491" s="939"/>
      <c r="AM491" s="939"/>
      <c r="AN491" s="939"/>
    </row>
    <row r="492" spans="1:40" ht="15" customHeight="1">
      <c r="A492" s="939"/>
      <c r="B492" s="939"/>
      <c r="C492" s="939"/>
      <c r="D492" s="939"/>
      <c r="E492" s="939"/>
      <c r="F492" s="939"/>
      <c r="G492" s="939"/>
      <c r="H492" s="939"/>
      <c r="I492" s="939"/>
      <c r="J492" s="939"/>
      <c r="K492" s="939"/>
      <c r="L492" s="939"/>
      <c r="M492" s="939"/>
      <c r="N492" s="939"/>
      <c r="O492" s="939"/>
      <c r="P492" s="939"/>
      <c r="Q492" s="939"/>
      <c r="R492" s="939"/>
      <c r="S492" s="939"/>
      <c r="T492" s="939"/>
      <c r="U492" s="939"/>
      <c r="V492" s="939"/>
      <c r="W492" s="939"/>
      <c r="X492" s="939"/>
      <c r="Y492" s="939"/>
      <c r="Z492" s="939"/>
      <c r="AA492" s="939"/>
      <c r="AB492" s="939"/>
      <c r="AC492" s="939"/>
      <c r="AD492" s="939"/>
      <c r="AE492" s="939"/>
      <c r="AF492" s="939"/>
      <c r="AG492" s="939"/>
      <c r="AH492" s="939"/>
      <c r="AI492" s="939"/>
      <c r="AJ492" s="939"/>
      <c r="AK492" s="939"/>
      <c r="AL492" s="939"/>
      <c r="AM492" s="939"/>
      <c r="AN492" s="939"/>
    </row>
    <row r="493" spans="1:40" ht="15" customHeight="1">
      <c r="A493" s="939"/>
      <c r="B493" s="939"/>
      <c r="C493" s="939"/>
      <c r="D493" s="939"/>
      <c r="E493" s="939"/>
      <c r="F493" s="939"/>
      <c r="G493" s="939"/>
      <c r="H493" s="939"/>
      <c r="I493" s="939"/>
      <c r="J493" s="939"/>
      <c r="K493" s="939"/>
      <c r="L493" s="939"/>
      <c r="M493" s="939"/>
      <c r="N493" s="939"/>
      <c r="O493" s="939"/>
      <c r="P493" s="939"/>
      <c r="Q493" s="939"/>
      <c r="R493" s="939"/>
      <c r="S493" s="939"/>
      <c r="T493" s="939"/>
      <c r="U493" s="939"/>
      <c r="V493" s="939"/>
      <c r="W493" s="939"/>
      <c r="X493" s="939"/>
      <c r="Y493" s="939"/>
      <c r="Z493" s="939"/>
      <c r="AA493" s="939"/>
      <c r="AB493" s="939"/>
      <c r="AC493" s="939"/>
      <c r="AD493" s="939"/>
      <c r="AE493" s="939"/>
      <c r="AF493" s="939"/>
      <c r="AG493" s="939"/>
      <c r="AH493" s="939"/>
      <c r="AI493" s="939"/>
      <c r="AJ493" s="939"/>
      <c r="AK493" s="939"/>
      <c r="AL493" s="939"/>
      <c r="AM493" s="939"/>
      <c r="AN493" s="939"/>
    </row>
    <row r="494" spans="1:40" ht="15" customHeight="1">
      <c r="A494" s="939"/>
      <c r="B494" s="939"/>
      <c r="C494" s="939"/>
      <c r="D494" s="939"/>
      <c r="E494" s="939"/>
      <c r="F494" s="939"/>
      <c r="G494" s="939"/>
      <c r="H494" s="939"/>
      <c r="I494" s="939"/>
      <c r="J494" s="939"/>
      <c r="K494" s="939"/>
      <c r="L494" s="939"/>
      <c r="M494" s="939"/>
      <c r="N494" s="939"/>
      <c r="O494" s="939"/>
      <c r="P494" s="939"/>
      <c r="Q494" s="939"/>
      <c r="R494" s="939"/>
      <c r="S494" s="939"/>
      <c r="T494" s="939"/>
      <c r="U494" s="939"/>
      <c r="V494" s="939"/>
      <c r="W494" s="939"/>
      <c r="X494" s="939"/>
      <c r="Y494" s="939"/>
      <c r="Z494" s="939"/>
      <c r="AA494" s="939"/>
      <c r="AB494" s="939"/>
      <c r="AC494" s="939"/>
      <c r="AD494" s="939"/>
      <c r="AE494" s="939"/>
      <c r="AF494" s="939"/>
      <c r="AG494" s="939"/>
      <c r="AH494" s="939"/>
      <c r="AI494" s="939"/>
      <c r="AJ494" s="939"/>
      <c r="AK494" s="939"/>
      <c r="AL494" s="939"/>
      <c r="AM494" s="939"/>
      <c r="AN494" s="939"/>
    </row>
    <row r="495" spans="1:40" ht="15" customHeight="1">
      <c r="A495" s="939"/>
      <c r="B495" s="939"/>
      <c r="C495" s="939"/>
      <c r="D495" s="939"/>
      <c r="E495" s="939"/>
      <c r="F495" s="939"/>
      <c r="G495" s="939"/>
      <c r="H495" s="939"/>
      <c r="I495" s="939"/>
      <c r="J495" s="939"/>
      <c r="K495" s="939"/>
      <c r="L495" s="939"/>
      <c r="M495" s="939"/>
      <c r="N495" s="939"/>
      <c r="O495" s="939"/>
      <c r="P495" s="939"/>
      <c r="Q495" s="939"/>
      <c r="R495" s="939"/>
      <c r="S495" s="939"/>
      <c r="T495" s="939"/>
      <c r="U495" s="939"/>
      <c r="V495" s="939"/>
      <c r="W495" s="939"/>
      <c r="X495" s="939"/>
      <c r="Y495" s="939"/>
      <c r="Z495" s="939"/>
      <c r="AA495" s="939"/>
      <c r="AB495" s="939"/>
      <c r="AC495" s="939"/>
      <c r="AD495" s="939"/>
      <c r="AE495" s="939"/>
      <c r="AF495" s="939"/>
      <c r="AG495" s="939"/>
      <c r="AH495" s="939"/>
      <c r="AI495" s="939"/>
      <c r="AJ495" s="939"/>
      <c r="AK495" s="939"/>
      <c r="AL495" s="939"/>
      <c r="AM495" s="939"/>
      <c r="AN495" s="939"/>
    </row>
    <row r="496" spans="1:40" ht="15" customHeight="1">
      <c r="A496" s="939"/>
      <c r="B496" s="939"/>
      <c r="C496" s="939"/>
      <c r="D496" s="939"/>
      <c r="E496" s="939"/>
      <c r="F496" s="939"/>
      <c r="G496" s="939"/>
      <c r="H496" s="939"/>
      <c r="I496" s="939"/>
      <c r="J496" s="939"/>
      <c r="K496" s="939"/>
      <c r="L496" s="939"/>
      <c r="M496" s="939"/>
      <c r="N496" s="939"/>
      <c r="O496" s="939"/>
      <c r="P496" s="939"/>
      <c r="Q496" s="939"/>
      <c r="R496" s="939"/>
      <c r="S496" s="939"/>
      <c r="T496" s="939"/>
      <c r="U496" s="939"/>
      <c r="V496" s="939"/>
      <c r="W496" s="939"/>
      <c r="X496" s="939"/>
      <c r="Y496" s="939"/>
      <c r="Z496" s="939"/>
      <c r="AA496" s="939"/>
      <c r="AB496" s="939"/>
      <c r="AC496" s="939"/>
      <c r="AD496" s="939"/>
      <c r="AE496" s="939"/>
      <c r="AF496" s="939"/>
      <c r="AG496" s="939"/>
      <c r="AH496" s="939"/>
      <c r="AI496" s="939"/>
      <c r="AJ496" s="939"/>
      <c r="AK496" s="939"/>
      <c r="AL496" s="939"/>
      <c r="AM496" s="939"/>
      <c r="AN496" s="939"/>
    </row>
    <row r="497" spans="1:40" ht="15" customHeight="1">
      <c r="A497" s="939"/>
      <c r="B497" s="939"/>
      <c r="C497" s="939"/>
      <c r="D497" s="939"/>
      <c r="E497" s="939"/>
      <c r="F497" s="939"/>
      <c r="G497" s="939"/>
      <c r="H497" s="939"/>
      <c r="I497" s="939"/>
      <c r="J497" s="939"/>
      <c r="K497" s="939"/>
      <c r="L497" s="939"/>
      <c r="M497" s="939"/>
      <c r="N497" s="939"/>
      <c r="O497" s="939"/>
      <c r="P497" s="939"/>
      <c r="Q497" s="939"/>
      <c r="R497" s="939"/>
      <c r="S497" s="939"/>
      <c r="T497" s="939"/>
      <c r="U497" s="939"/>
      <c r="V497" s="939"/>
      <c r="W497" s="939"/>
      <c r="X497" s="939"/>
      <c r="Y497" s="939"/>
      <c r="Z497" s="939"/>
      <c r="AA497" s="939"/>
      <c r="AB497" s="939"/>
      <c r="AC497" s="939"/>
      <c r="AD497" s="939"/>
      <c r="AE497" s="939"/>
      <c r="AF497" s="939"/>
      <c r="AG497" s="939"/>
      <c r="AH497" s="939"/>
      <c r="AI497" s="939"/>
      <c r="AJ497" s="939"/>
      <c r="AK497" s="939"/>
      <c r="AL497" s="939"/>
      <c r="AM497" s="939"/>
      <c r="AN497" s="939"/>
    </row>
    <row r="498" spans="1:40" ht="15" customHeight="1">
      <c r="A498" s="939"/>
      <c r="B498" s="939"/>
      <c r="C498" s="939"/>
      <c r="D498" s="939"/>
      <c r="E498" s="939"/>
      <c r="F498" s="939"/>
      <c r="G498" s="939"/>
      <c r="H498" s="939"/>
      <c r="I498" s="939"/>
      <c r="J498" s="939"/>
      <c r="K498" s="939"/>
      <c r="L498" s="939"/>
      <c r="M498" s="939"/>
      <c r="N498" s="939"/>
      <c r="O498" s="939"/>
      <c r="P498" s="939"/>
      <c r="Q498" s="939"/>
      <c r="R498" s="939"/>
      <c r="S498" s="939"/>
      <c r="T498" s="939"/>
      <c r="U498" s="939"/>
      <c r="V498" s="939"/>
      <c r="W498" s="939"/>
      <c r="X498" s="939"/>
      <c r="Y498" s="939"/>
      <c r="Z498" s="939"/>
      <c r="AA498" s="939"/>
      <c r="AB498" s="939"/>
      <c r="AC498" s="939"/>
      <c r="AD498" s="939"/>
      <c r="AE498" s="939"/>
      <c r="AF498" s="939"/>
      <c r="AG498" s="939"/>
      <c r="AH498" s="939"/>
      <c r="AI498" s="939"/>
      <c r="AJ498" s="939"/>
      <c r="AK498" s="939"/>
      <c r="AL498" s="939"/>
      <c r="AM498" s="939"/>
      <c r="AN498" s="939"/>
    </row>
    <row r="499" spans="1:40" ht="15" customHeight="1">
      <c r="A499" s="939"/>
      <c r="B499" s="939"/>
      <c r="C499" s="939"/>
      <c r="D499" s="939"/>
      <c r="E499" s="939"/>
      <c r="F499" s="939"/>
      <c r="G499" s="939"/>
      <c r="H499" s="939"/>
      <c r="I499" s="939"/>
      <c r="J499" s="939"/>
      <c r="K499" s="939"/>
      <c r="L499" s="939"/>
      <c r="M499" s="939"/>
      <c r="N499" s="939"/>
      <c r="O499" s="939"/>
      <c r="P499" s="939"/>
      <c r="Q499" s="939"/>
      <c r="R499" s="939"/>
      <c r="S499" s="939"/>
      <c r="T499" s="939"/>
      <c r="U499" s="939"/>
      <c r="V499" s="939"/>
      <c r="W499" s="939"/>
      <c r="X499" s="939"/>
      <c r="Y499" s="939"/>
      <c r="Z499" s="939"/>
      <c r="AA499" s="939"/>
      <c r="AB499" s="939"/>
      <c r="AC499" s="939"/>
      <c r="AD499" s="939"/>
      <c r="AE499" s="939"/>
      <c r="AF499" s="939"/>
      <c r="AG499" s="939"/>
      <c r="AH499" s="939"/>
      <c r="AI499" s="939"/>
      <c r="AJ499" s="939"/>
      <c r="AK499" s="939"/>
      <c r="AL499" s="939"/>
      <c r="AM499" s="939"/>
      <c r="AN499" s="939"/>
    </row>
    <row r="500" spans="1:40" ht="15" customHeight="1">
      <c r="A500" s="939"/>
      <c r="B500" s="939"/>
      <c r="C500" s="939"/>
      <c r="D500" s="939"/>
      <c r="E500" s="939"/>
      <c r="F500" s="939"/>
      <c r="G500" s="939"/>
      <c r="H500" s="939"/>
      <c r="I500" s="939"/>
      <c r="J500" s="939"/>
      <c r="K500" s="939"/>
      <c r="L500" s="939"/>
      <c r="M500" s="939"/>
      <c r="N500" s="939"/>
      <c r="O500" s="939"/>
      <c r="P500" s="939"/>
      <c r="Q500" s="939"/>
      <c r="R500" s="939"/>
      <c r="S500" s="939"/>
      <c r="T500" s="939"/>
      <c r="U500" s="939"/>
      <c r="V500" s="939"/>
      <c r="W500" s="939"/>
      <c r="X500" s="939"/>
      <c r="Y500" s="939"/>
      <c r="Z500" s="939"/>
      <c r="AA500" s="939"/>
      <c r="AB500" s="939"/>
      <c r="AC500" s="939"/>
      <c r="AD500" s="939"/>
      <c r="AE500" s="939"/>
      <c r="AF500" s="939"/>
      <c r="AG500" s="939"/>
      <c r="AH500" s="939"/>
      <c r="AI500" s="939"/>
      <c r="AJ500" s="939"/>
      <c r="AK500" s="939"/>
      <c r="AL500" s="939"/>
      <c r="AM500" s="939"/>
      <c r="AN500" s="939"/>
    </row>
    <row r="501" spans="1:40" ht="15" customHeight="1">
      <c r="A501" s="939"/>
      <c r="B501" s="939"/>
      <c r="C501" s="939"/>
      <c r="D501" s="939"/>
      <c r="E501" s="939"/>
      <c r="F501" s="939"/>
      <c r="G501" s="939"/>
      <c r="H501" s="939"/>
      <c r="I501" s="939"/>
      <c r="J501" s="939"/>
      <c r="K501" s="939"/>
      <c r="L501" s="939"/>
      <c r="M501" s="939"/>
      <c r="N501" s="939"/>
      <c r="O501" s="939"/>
      <c r="P501" s="939"/>
      <c r="Q501" s="939"/>
      <c r="R501" s="939"/>
      <c r="S501" s="939"/>
      <c r="T501" s="939"/>
      <c r="U501" s="939"/>
      <c r="V501" s="939"/>
      <c r="W501" s="939"/>
      <c r="X501" s="939"/>
      <c r="Y501" s="939"/>
      <c r="Z501" s="939"/>
      <c r="AA501" s="939"/>
      <c r="AB501" s="939"/>
      <c r="AC501" s="939"/>
      <c r="AD501" s="939"/>
      <c r="AE501" s="939"/>
      <c r="AF501" s="939"/>
      <c r="AG501" s="939"/>
      <c r="AH501" s="939"/>
      <c r="AI501" s="939"/>
      <c r="AJ501" s="939"/>
      <c r="AK501" s="939"/>
      <c r="AL501" s="939"/>
      <c r="AM501" s="939"/>
      <c r="AN501" s="939"/>
    </row>
    <row r="502" spans="1:40" ht="15" customHeight="1">
      <c r="A502" s="939"/>
      <c r="B502" s="939"/>
      <c r="C502" s="939"/>
      <c r="D502" s="939"/>
      <c r="E502" s="939"/>
      <c r="F502" s="939"/>
      <c r="G502" s="939"/>
      <c r="H502" s="939"/>
      <c r="I502" s="939"/>
      <c r="J502" s="939"/>
      <c r="K502" s="939"/>
      <c r="L502" s="939"/>
      <c r="M502" s="939"/>
      <c r="N502" s="939"/>
      <c r="O502" s="939"/>
      <c r="P502" s="939"/>
      <c r="Q502" s="939"/>
      <c r="R502" s="939"/>
      <c r="S502" s="939"/>
      <c r="T502" s="939"/>
      <c r="U502" s="939"/>
      <c r="V502" s="939"/>
      <c r="W502" s="939"/>
      <c r="X502" s="939"/>
      <c r="Y502" s="939"/>
      <c r="Z502" s="939"/>
      <c r="AA502" s="939"/>
      <c r="AB502" s="939"/>
      <c r="AC502" s="939"/>
      <c r="AD502" s="939"/>
      <c r="AE502" s="939"/>
      <c r="AF502" s="939"/>
      <c r="AG502" s="939"/>
      <c r="AH502" s="939"/>
      <c r="AI502" s="939"/>
      <c r="AJ502" s="939"/>
      <c r="AK502" s="939"/>
      <c r="AL502" s="939"/>
      <c r="AM502" s="939"/>
      <c r="AN502" s="939"/>
    </row>
    <row r="503" spans="1:40" ht="15" customHeight="1">
      <c r="A503" s="939"/>
      <c r="B503" s="939"/>
      <c r="C503" s="939"/>
      <c r="D503" s="939"/>
      <c r="E503" s="939"/>
      <c r="F503" s="939"/>
      <c r="G503" s="939"/>
      <c r="H503" s="939"/>
      <c r="I503" s="939"/>
      <c r="J503" s="939"/>
      <c r="K503" s="939"/>
      <c r="L503" s="939"/>
      <c r="M503" s="939"/>
      <c r="N503" s="939"/>
      <c r="O503" s="939"/>
      <c r="P503" s="939"/>
      <c r="Q503" s="939"/>
      <c r="R503" s="939"/>
      <c r="S503" s="939"/>
      <c r="T503" s="939"/>
      <c r="U503" s="939"/>
      <c r="V503" s="939"/>
      <c r="W503" s="939"/>
      <c r="X503" s="939"/>
      <c r="Y503" s="939"/>
      <c r="Z503" s="939"/>
      <c r="AA503" s="939"/>
      <c r="AB503" s="939"/>
      <c r="AC503" s="939"/>
      <c r="AD503" s="939"/>
      <c r="AE503" s="939"/>
      <c r="AF503" s="939"/>
      <c r="AG503" s="939"/>
      <c r="AH503" s="939"/>
      <c r="AI503" s="939"/>
      <c r="AJ503" s="939"/>
      <c r="AK503" s="939"/>
      <c r="AL503" s="939"/>
      <c r="AM503" s="939"/>
      <c r="AN503" s="939"/>
    </row>
    <row r="504" spans="1:40" ht="15" customHeight="1">
      <c r="A504" s="939"/>
      <c r="B504" s="939"/>
      <c r="C504" s="939"/>
      <c r="D504" s="939"/>
      <c r="E504" s="939"/>
      <c r="F504" s="939"/>
      <c r="G504" s="939"/>
      <c r="H504" s="939"/>
      <c r="I504" s="939"/>
      <c r="J504" s="939"/>
      <c r="K504" s="939"/>
      <c r="L504" s="939"/>
      <c r="M504" s="939"/>
      <c r="N504" s="939"/>
      <c r="O504" s="939"/>
      <c r="P504" s="939"/>
      <c r="Q504" s="939"/>
      <c r="R504" s="939"/>
      <c r="S504" s="939"/>
      <c r="T504" s="939"/>
      <c r="U504" s="939"/>
      <c r="V504" s="939"/>
      <c r="W504" s="939"/>
      <c r="X504" s="939"/>
      <c r="Y504" s="939"/>
      <c r="Z504" s="939"/>
      <c r="AA504" s="939"/>
      <c r="AB504" s="939"/>
      <c r="AC504" s="939"/>
      <c r="AD504" s="939"/>
      <c r="AE504" s="939"/>
      <c r="AF504" s="939"/>
      <c r="AG504" s="939"/>
      <c r="AH504" s="939"/>
      <c r="AI504" s="939"/>
      <c r="AJ504" s="939"/>
      <c r="AK504" s="939"/>
      <c r="AL504" s="939"/>
      <c r="AM504" s="939"/>
      <c r="AN504" s="939"/>
    </row>
    <row r="505" spans="1:40" ht="15" customHeight="1">
      <c r="A505" s="939"/>
      <c r="B505" s="939"/>
      <c r="C505" s="939"/>
      <c r="D505" s="939"/>
      <c r="E505" s="939"/>
      <c r="F505" s="939"/>
      <c r="G505" s="939"/>
      <c r="H505" s="939"/>
      <c r="I505" s="939"/>
      <c r="J505" s="939"/>
      <c r="K505" s="939"/>
      <c r="L505" s="939"/>
      <c r="M505" s="939"/>
      <c r="N505" s="939"/>
      <c r="O505" s="939"/>
      <c r="P505" s="939"/>
      <c r="Q505" s="939"/>
      <c r="R505" s="939"/>
      <c r="S505" s="939"/>
      <c r="T505" s="939"/>
      <c r="U505" s="939"/>
      <c r="V505" s="939"/>
      <c r="W505" s="939"/>
      <c r="X505" s="939"/>
      <c r="Y505" s="939"/>
      <c r="Z505" s="939"/>
      <c r="AA505" s="939"/>
      <c r="AB505" s="939"/>
      <c r="AC505" s="939"/>
      <c r="AD505" s="939"/>
      <c r="AE505" s="939"/>
      <c r="AF505" s="939"/>
      <c r="AG505" s="939"/>
      <c r="AH505" s="939"/>
      <c r="AI505" s="939"/>
      <c r="AJ505" s="939"/>
      <c r="AK505" s="939"/>
      <c r="AL505" s="939"/>
      <c r="AM505" s="939"/>
      <c r="AN505" s="939"/>
    </row>
    <row r="506" spans="1:40" ht="15" customHeight="1">
      <c r="A506" s="939"/>
      <c r="B506" s="939"/>
      <c r="C506" s="939"/>
      <c r="D506" s="939"/>
      <c r="E506" s="939"/>
      <c r="F506" s="939"/>
      <c r="G506" s="939"/>
      <c r="H506" s="939"/>
      <c r="I506" s="939"/>
      <c r="J506" s="939"/>
      <c r="K506" s="939"/>
      <c r="L506" s="939"/>
      <c r="M506" s="939"/>
      <c r="N506" s="939"/>
      <c r="O506" s="939"/>
      <c r="P506" s="939"/>
      <c r="Q506" s="939"/>
      <c r="R506" s="939"/>
      <c r="S506" s="939"/>
      <c r="T506" s="939"/>
      <c r="U506" s="939"/>
      <c r="V506" s="939"/>
      <c r="W506" s="939"/>
      <c r="X506" s="939"/>
      <c r="Y506" s="939"/>
      <c r="Z506" s="939"/>
      <c r="AA506" s="939"/>
      <c r="AB506" s="939"/>
      <c r="AC506" s="939"/>
      <c r="AD506" s="939"/>
      <c r="AE506" s="939"/>
      <c r="AF506" s="939"/>
      <c r="AG506" s="939"/>
      <c r="AH506" s="939"/>
      <c r="AI506" s="939"/>
      <c r="AJ506" s="939"/>
      <c r="AK506" s="939"/>
      <c r="AL506" s="939"/>
      <c r="AM506" s="939"/>
      <c r="AN506" s="939"/>
    </row>
    <row r="507" spans="1:40" ht="15" customHeight="1">
      <c r="A507" s="939"/>
      <c r="B507" s="939"/>
      <c r="C507" s="939"/>
      <c r="D507" s="939"/>
      <c r="E507" s="939"/>
      <c r="F507" s="939"/>
      <c r="G507" s="939"/>
      <c r="H507" s="939"/>
      <c r="I507" s="939"/>
      <c r="J507" s="939"/>
      <c r="K507" s="939"/>
      <c r="L507" s="939"/>
      <c r="M507" s="939"/>
      <c r="N507" s="939"/>
      <c r="O507" s="939"/>
      <c r="P507" s="939"/>
      <c r="Q507" s="939"/>
      <c r="R507" s="939"/>
      <c r="S507" s="939"/>
      <c r="T507" s="939"/>
      <c r="U507" s="939"/>
      <c r="V507" s="939"/>
      <c r="W507" s="939"/>
      <c r="X507" s="939"/>
      <c r="Y507" s="939"/>
      <c r="Z507" s="939"/>
      <c r="AA507" s="939"/>
      <c r="AB507" s="939"/>
      <c r="AC507" s="939"/>
      <c r="AD507" s="939"/>
      <c r="AE507" s="939"/>
      <c r="AF507" s="939"/>
      <c r="AG507" s="939"/>
      <c r="AH507" s="939"/>
      <c r="AI507" s="939"/>
      <c r="AJ507" s="939"/>
      <c r="AK507" s="939"/>
      <c r="AL507" s="939"/>
      <c r="AM507" s="939"/>
      <c r="AN507" s="939"/>
    </row>
    <row r="508" spans="1:40" ht="15" customHeight="1">
      <c r="A508" s="939"/>
      <c r="B508" s="939"/>
      <c r="C508" s="939"/>
      <c r="D508" s="939"/>
      <c r="E508" s="939"/>
      <c r="F508" s="939"/>
      <c r="G508" s="939"/>
      <c r="H508" s="939"/>
      <c r="I508" s="939"/>
      <c r="J508" s="939"/>
      <c r="K508" s="939"/>
      <c r="L508" s="939"/>
      <c r="M508" s="939"/>
      <c r="N508" s="939"/>
      <c r="O508" s="939"/>
      <c r="P508" s="939"/>
      <c r="Q508" s="939"/>
      <c r="R508" s="939"/>
      <c r="S508" s="939"/>
      <c r="T508" s="939"/>
      <c r="U508" s="939"/>
      <c r="V508" s="939"/>
      <c r="W508" s="939"/>
      <c r="X508" s="939"/>
      <c r="Y508" s="939"/>
      <c r="Z508" s="939"/>
      <c r="AA508" s="939"/>
      <c r="AB508" s="939"/>
      <c r="AC508" s="939"/>
      <c r="AD508" s="939"/>
      <c r="AE508" s="939"/>
      <c r="AF508" s="939"/>
      <c r="AG508" s="939"/>
      <c r="AH508" s="939"/>
      <c r="AI508" s="939"/>
      <c r="AJ508" s="939"/>
      <c r="AK508" s="939"/>
      <c r="AL508" s="939"/>
      <c r="AM508" s="939"/>
      <c r="AN508" s="939"/>
    </row>
    <row r="509" spans="1:40" ht="15" customHeight="1">
      <c r="A509" s="939"/>
      <c r="B509" s="939"/>
      <c r="C509" s="939"/>
      <c r="D509" s="939"/>
      <c r="E509" s="939"/>
      <c r="F509" s="939"/>
      <c r="G509" s="939"/>
      <c r="H509" s="939"/>
      <c r="I509" s="939"/>
      <c r="J509" s="939"/>
      <c r="K509" s="939"/>
      <c r="L509" s="939"/>
      <c r="M509" s="939"/>
      <c r="N509" s="939"/>
      <c r="O509" s="939"/>
      <c r="P509" s="939"/>
      <c r="Q509" s="939"/>
      <c r="R509" s="939"/>
      <c r="S509" s="939"/>
      <c r="T509" s="939"/>
      <c r="U509" s="939"/>
      <c r="V509" s="939"/>
      <c r="W509" s="939"/>
      <c r="X509" s="939"/>
      <c r="Y509" s="939"/>
      <c r="Z509" s="939"/>
      <c r="AA509" s="939"/>
      <c r="AB509" s="939"/>
      <c r="AC509" s="939"/>
      <c r="AD509" s="939"/>
      <c r="AE509" s="939"/>
      <c r="AF509" s="939"/>
      <c r="AG509" s="939"/>
      <c r="AH509" s="939"/>
      <c r="AI509" s="939"/>
      <c r="AJ509" s="939"/>
      <c r="AK509" s="939"/>
      <c r="AL509" s="939"/>
      <c r="AM509" s="939"/>
      <c r="AN509" s="939"/>
    </row>
    <row r="510" spans="1:40" ht="15" customHeight="1">
      <c r="A510" s="939"/>
      <c r="B510" s="939"/>
      <c r="C510" s="939"/>
      <c r="D510" s="939"/>
      <c r="E510" s="939"/>
      <c r="F510" s="939"/>
      <c r="G510" s="939"/>
      <c r="H510" s="939"/>
      <c r="I510" s="939"/>
      <c r="J510" s="939"/>
      <c r="K510" s="939"/>
      <c r="L510" s="939"/>
      <c r="M510" s="939"/>
      <c r="N510" s="939"/>
      <c r="O510" s="939"/>
      <c r="P510" s="939"/>
      <c r="Q510" s="939"/>
      <c r="R510" s="939"/>
      <c r="S510" s="939"/>
      <c r="T510" s="939"/>
      <c r="U510" s="939"/>
      <c r="V510" s="939"/>
      <c r="W510" s="939"/>
      <c r="X510" s="939"/>
      <c r="Y510" s="939"/>
      <c r="Z510" s="939"/>
      <c r="AA510" s="939"/>
      <c r="AB510" s="939"/>
      <c r="AC510" s="939"/>
      <c r="AD510" s="939"/>
      <c r="AE510" s="939"/>
      <c r="AF510" s="939"/>
      <c r="AG510" s="939"/>
      <c r="AH510" s="939"/>
      <c r="AI510" s="939"/>
      <c r="AJ510" s="939"/>
      <c r="AK510" s="939"/>
      <c r="AL510" s="939"/>
      <c r="AM510" s="939"/>
      <c r="AN510" s="939"/>
    </row>
    <row r="511" spans="1:40" ht="15" customHeight="1">
      <c r="A511" s="939"/>
      <c r="B511" s="939"/>
      <c r="C511" s="939"/>
      <c r="D511" s="939"/>
      <c r="E511" s="939"/>
      <c r="F511" s="939"/>
      <c r="G511" s="939"/>
      <c r="H511" s="939"/>
      <c r="I511" s="939"/>
      <c r="J511" s="939"/>
      <c r="K511" s="939"/>
      <c r="L511" s="939"/>
      <c r="M511" s="939"/>
      <c r="N511" s="939"/>
      <c r="O511" s="939"/>
      <c r="P511" s="939"/>
      <c r="Q511" s="939"/>
      <c r="R511" s="939"/>
      <c r="S511" s="939"/>
      <c r="T511" s="939"/>
      <c r="U511" s="939"/>
      <c r="V511" s="939"/>
      <c r="W511" s="939"/>
      <c r="X511" s="939"/>
      <c r="Y511" s="939"/>
      <c r="Z511" s="939"/>
      <c r="AA511" s="939"/>
      <c r="AB511" s="939"/>
      <c r="AC511" s="939"/>
      <c r="AD511" s="939"/>
      <c r="AE511" s="939"/>
      <c r="AF511" s="939"/>
      <c r="AG511" s="939"/>
      <c r="AH511" s="939"/>
      <c r="AI511" s="939"/>
      <c r="AJ511" s="939"/>
      <c r="AK511" s="939"/>
      <c r="AL511" s="939"/>
      <c r="AM511" s="939"/>
      <c r="AN511" s="939"/>
    </row>
    <row r="512" spans="1:40" ht="15" customHeight="1">
      <c r="A512" s="939"/>
      <c r="B512" s="939"/>
      <c r="C512" s="939"/>
      <c r="D512" s="939"/>
      <c r="E512" s="939"/>
      <c r="F512" s="939"/>
      <c r="G512" s="939"/>
      <c r="H512" s="939"/>
      <c r="I512" s="939"/>
      <c r="J512" s="939"/>
      <c r="K512" s="939"/>
      <c r="L512" s="939"/>
      <c r="M512" s="939"/>
      <c r="N512" s="939"/>
      <c r="O512" s="939"/>
      <c r="P512" s="939"/>
      <c r="Q512" s="939"/>
      <c r="R512" s="939"/>
      <c r="S512" s="939"/>
      <c r="T512" s="939"/>
      <c r="U512" s="939"/>
      <c r="V512" s="939"/>
      <c r="W512" s="939"/>
      <c r="X512" s="939"/>
      <c r="Y512" s="939"/>
      <c r="Z512" s="939"/>
      <c r="AA512" s="939"/>
      <c r="AB512" s="939"/>
      <c r="AC512" s="939"/>
      <c r="AD512" s="939"/>
      <c r="AE512" s="939"/>
      <c r="AF512" s="939"/>
      <c r="AG512" s="939"/>
      <c r="AH512" s="939"/>
      <c r="AI512" s="939"/>
      <c r="AJ512" s="939"/>
      <c r="AK512" s="939"/>
      <c r="AL512" s="939"/>
      <c r="AM512" s="939"/>
      <c r="AN512" s="939"/>
    </row>
    <row r="513" spans="1:40" ht="15" customHeight="1">
      <c r="A513" s="939"/>
      <c r="B513" s="939"/>
      <c r="C513" s="939"/>
      <c r="D513" s="939"/>
      <c r="E513" s="939"/>
      <c r="F513" s="939"/>
      <c r="G513" s="939"/>
      <c r="H513" s="939"/>
      <c r="I513" s="939"/>
      <c r="J513" s="939"/>
      <c r="K513" s="939"/>
      <c r="L513" s="939"/>
      <c r="M513" s="939"/>
      <c r="N513" s="939"/>
      <c r="O513" s="939"/>
      <c r="P513" s="939"/>
      <c r="Q513" s="939"/>
      <c r="R513" s="939"/>
      <c r="S513" s="939"/>
      <c r="T513" s="939"/>
      <c r="U513" s="939"/>
      <c r="V513" s="939"/>
      <c r="W513" s="939"/>
      <c r="X513" s="939"/>
      <c r="Y513" s="939"/>
      <c r="Z513" s="939"/>
      <c r="AA513" s="939"/>
      <c r="AB513" s="939"/>
      <c r="AC513" s="939"/>
      <c r="AD513" s="939"/>
      <c r="AE513" s="939"/>
      <c r="AF513" s="939"/>
      <c r="AG513" s="939"/>
      <c r="AH513" s="939"/>
      <c r="AI513" s="939"/>
      <c r="AJ513" s="939"/>
      <c r="AK513" s="939"/>
      <c r="AL513" s="939"/>
      <c r="AM513" s="939"/>
      <c r="AN513" s="939"/>
    </row>
    <row r="514" spans="1:40" ht="15" customHeight="1">
      <c r="A514" s="939"/>
      <c r="B514" s="939"/>
      <c r="C514" s="939"/>
      <c r="D514" s="939"/>
      <c r="E514" s="939"/>
      <c r="F514" s="939"/>
      <c r="G514" s="939"/>
      <c r="H514" s="939"/>
      <c r="I514" s="939"/>
      <c r="J514" s="939"/>
      <c r="K514" s="939"/>
      <c r="L514" s="939"/>
      <c r="M514" s="939"/>
      <c r="N514" s="939"/>
      <c r="O514" s="939"/>
      <c r="P514" s="939"/>
      <c r="Q514" s="939"/>
      <c r="R514" s="939"/>
      <c r="S514" s="939"/>
      <c r="T514" s="939"/>
      <c r="U514" s="939"/>
      <c r="V514" s="939"/>
      <c r="W514" s="939"/>
      <c r="X514" s="939"/>
      <c r="Y514" s="939"/>
      <c r="Z514" s="939"/>
      <c r="AA514" s="939"/>
      <c r="AB514" s="939"/>
      <c r="AC514" s="939"/>
      <c r="AD514" s="939"/>
      <c r="AE514" s="939"/>
      <c r="AF514" s="939"/>
      <c r="AG514" s="939"/>
      <c r="AH514" s="939"/>
      <c r="AI514" s="939"/>
      <c r="AJ514" s="939"/>
      <c r="AK514" s="939"/>
      <c r="AL514" s="939"/>
      <c r="AM514" s="939"/>
      <c r="AN514" s="939"/>
    </row>
    <row r="515" spans="1:40" ht="15" customHeight="1">
      <c r="A515" s="939"/>
      <c r="B515" s="939"/>
      <c r="C515" s="939"/>
      <c r="D515" s="939"/>
      <c r="E515" s="939"/>
      <c r="F515" s="939"/>
      <c r="G515" s="939"/>
      <c r="H515" s="939"/>
      <c r="I515" s="939"/>
      <c r="J515" s="939"/>
      <c r="K515" s="939"/>
      <c r="L515" s="939"/>
      <c r="M515" s="939"/>
      <c r="N515" s="939"/>
      <c r="O515" s="939"/>
      <c r="P515" s="939"/>
      <c r="Q515" s="939"/>
      <c r="R515" s="939"/>
      <c r="S515" s="939"/>
      <c r="T515" s="939"/>
      <c r="U515" s="939"/>
      <c r="V515" s="939"/>
      <c r="W515" s="939"/>
      <c r="X515" s="939"/>
      <c r="Y515" s="939"/>
      <c r="Z515" s="939"/>
      <c r="AA515" s="939"/>
      <c r="AB515" s="939"/>
      <c r="AC515" s="939"/>
      <c r="AD515" s="939"/>
      <c r="AE515" s="939"/>
      <c r="AF515" s="939"/>
      <c r="AG515" s="939"/>
      <c r="AH515" s="939"/>
      <c r="AI515" s="939"/>
      <c r="AJ515" s="939"/>
      <c r="AK515" s="939"/>
      <c r="AL515" s="939"/>
      <c r="AM515" s="939"/>
      <c r="AN515" s="939"/>
    </row>
    <row r="516" spans="1:40" ht="15" customHeight="1">
      <c r="A516" s="939"/>
      <c r="B516" s="939"/>
      <c r="C516" s="939"/>
      <c r="D516" s="939"/>
      <c r="E516" s="939"/>
      <c r="F516" s="939"/>
      <c r="G516" s="939"/>
      <c r="H516" s="939"/>
      <c r="I516" s="939"/>
      <c r="J516" s="939"/>
      <c r="K516" s="939"/>
      <c r="L516" s="939"/>
      <c r="M516" s="939"/>
      <c r="N516" s="939"/>
      <c r="O516" s="939"/>
      <c r="P516" s="939"/>
      <c r="Q516" s="939"/>
      <c r="R516" s="939"/>
      <c r="S516" s="939"/>
      <c r="T516" s="939"/>
      <c r="U516" s="939"/>
      <c r="V516" s="939"/>
      <c r="W516" s="939"/>
      <c r="X516" s="939"/>
      <c r="Y516" s="939"/>
      <c r="Z516" s="939"/>
      <c r="AA516" s="939"/>
      <c r="AB516" s="939"/>
      <c r="AC516" s="939"/>
      <c r="AD516" s="939"/>
      <c r="AE516" s="939"/>
      <c r="AF516" s="939"/>
      <c r="AG516" s="939"/>
      <c r="AH516" s="939"/>
      <c r="AI516" s="939"/>
      <c r="AJ516" s="939"/>
      <c r="AK516" s="939"/>
      <c r="AL516" s="939"/>
      <c r="AM516" s="939"/>
      <c r="AN516" s="939"/>
    </row>
    <row r="517" spans="1:40" ht="15" customHeight="1">
      <c r="A517" s="939"/>
      <c r="B517" s="939"/>
      <c r="C517" s="939"/>
      <c r="D517" s="939"/>
      <c r="E517" s="939"/>
      <c r="F517" s="939"/>
      <c r="G517" s="939"/>
      <c r="H517" s="939"/>
      <c r="I517" s="939"/>
      <c r="J517" s="939"/>
      <c r="K517" s="939"/>
      <c r="L517" s="939"/>
      <c r="M517" s="939"/>
      <c r="N517" s="939"/>
      <c r="O517" s="939"/>
      <c r="P517" s="939"/>
      <c r="Q517" s="939"/>
      <c r="R517" s="939"/>
      <c r="S517" s="939"/>
      <c r="T517" s="939"/>
      <c r="U517" s="939"/>
      <c r="V517" s="939"/>
      <c r="W517" s="939"/>
      <c r="X517" s="939"/>
      <c r="Y517" s="939"/>
      <c r="Z517" s="939"/>
      <c r="AA517" s="939"/>
      <c r="AB517" s="939"/>
      <c r="AC517" s="939"/>
      <c r="AD517" s="939"/>
      <c r="AE517" s="939"/>
      <c r="AF517" s="939"/>
      <c r="AG517" s="939"/>
      <c r="AH517" s="939"/>
      <c r="AI517" s="939"/>
      <c r="AJ517" s="939"/>
      <c r="AK517" s="939"/>
      <c r="AL517" s="939"/>
      <c r="AM517" s="939"/>
      <c r="AN517" s="939"/>
    </row>
    <row r="518" spans="1:40" ht="15" customHeight="1">
      <c r="A518" s="939"/>
      <c r="B518" s="939"/>
      <c r="C518" s="939"/>
      <c r="D518" s="939"/>
      <c r="E518" s="939"/>
      <c r="F518" s="939"/>
      <c r="G518" s="939"/>
      <c r="H518" s="939"/>
      <c r="I518" s="939"/>
      <c r="J518" s="939"/>
      <c r="K518" s="939"/>
      <c r="L518" s="939"/>
      <c r="M518" s="939"/>
      <c r="N518" s="939"/>
      <c r="O518" s="939"/>
      <c r="P518" s="939"/>
      <c r="Q518" s="939"/>
      <c r="R518" s="939"/>
      <c r="S518" s="939"/>
      <c r="T518" s="939"/>
      <c r="U518" s="939"/>
      <c r="V518" s="939"/>
      <c r="W518" s="939"/>
      <c r="X518" s="939"/>
      <c r="Y518" s="939"/>
      <c r="Z518" s="939"/>
      <c r="AA518" s="939"/>
      <c r="AB518" s="939"/>
      <c r="AC518" s="939"/>
      <c r="AD518" s="939"/>
      <c r="AE518" s="939"/>
      <c r="AF518" s="939"/>
      <c r="AG518" s="939"/>
      <c r="AH518" s="939"/>
      <c r="AI518" s="939"/>
      <c r="AJ518" s="939"/>
      <c r="AK518" s="939"/>
      <c r="AL518" s="939"/>
      <c r="AM518" s="939"/>
      <c r="AN518" s="939"/>
    </row>
    <row r="519" spans="1:40" ht="15" customHeight="1">
      <c r="A519" s="939"/>
      <c r="B519" s="939"/>
      <c r="C519" s="939"/>
      <c r="D519" s="939"/>
      <c r="E519" s="939"/>
      <c r="F519" s="939"/>
      <c r="G519" s="939"/>
      <c r="H519" s="939"/>
      <c r="I519" s="939"/>
      <c r="J519" s="939"/>
      <c r="K519" s="939"/>
      <c r="L519" s="939"/>
      <c r="M519" s="939"/>
      <c r="N519" s="939"/>
      <c r="O519" s="939"/>
      <c r="P519" s="939"/>
      <c r="Q519" s="939"/>
      <c r="R519" s="939"/>
      <c r="S519" s="939"/>
      <c r="T519" s="939"/>
      <c r="U519" s="939"/>
      <c r="V519" s="939"/>
      <c r="W519" s="939"/>
      <c r="X519" s="939"/>
      <c r="Y519" s="939"/>
      <c r="Z519" s="939"/>
      <c r="AA519" s="939"/>
      <c r="AB519" s="939"/>
      <c r="AC519" s="939"/>
      <c r="AD519" s="939"/>
      <c r="AE519" s="939"/>
      <c r="AF519" s="939"/>
      <c r="AG519" s="939"/>
      <c r="AH519" s="939"/>
      <c r="AI519" s="939"/>
      <c r="AJ519" s="939"/>
      <c r="AK519" s="939"/>
      <c r="AL519" s="939"/>
      <c r="AM519" s="939"/>
      <c r="AN519" s="939"/>
    </row>
    <row r="520" spans="1:40" ht="15" customHeight="1">
      <c r="A520" s="939"/>
      <c r="B520" s="939"/>
      <c r="C520" s="939"/>
      <c r="D520" s="939"/>
      <c r="E520" s="939"/>
      <c r="F520" s="939"/>
      <c r="G520" s="939"/>
      <c r="H520" s="939"/>
      <c r="I520" s="939"/>
      <c r="J520" s="939"/>
      <c r="K520" s="939"/>
      <c r="L520" s="939"/>
      <c r="M520" s="939"/>
      <c r="N520" s="939"/>
      <c r="O520" s="939"/>
      <c r="P520" s="939"/>
      <c r="Q520" s="939"/>
      <c r="R520" s="939"/>
      <c r="S520" s="939"/>
      <c r="T520" s="939"/>
      <c r="U520" s="939"/>
      <c r="V520" s="939"/>
      <c r="W520" s="939"/>
      <c r="X520" s="939"/>
      <c r="Y520" s="939"/>
      <c r="Z520" s="939"/>
      <c r="AA520" s="939"/>
      <c r="AB520" s="939"/>
      <c r="AC520" s="939"/>
      <c r="AD520" s="939"/>
      <c r="AE520" s="939"/>
      <c r="AF520" s="939"/>
      <c r="AG520" s="939"/>
      <c r="AH520" s="939"/>
      <c r="AI520" s="939"/>
      <c r="AJ520" s="939"/>
      <c r="AK520" s="939"/>
      <c r="AL520" s="939"/>
      <c r="AM520" s="939"/>
      <c r="AN520" s="939"/>
    </row>
    <row r="521" spans="1:40" ht="15" customHeight="1">
      <c r="A521" s="939"/>
      <c r="B521" s="939"/>
      <c r="C521" s="939"/>
      <c r="D521" s="939"/>
      <c r="E521" s="939"/>
      <c r="F521" s="939"/>
      <c r="G521" s="939"/>
      <c r="H521" s="939"/>
      <c r="I521" s="939"/>
      <c r="J521" s="939"/>
      <c r="K521" s="939"/>
      <c r="L521" s="939"/>
      <c r="M521" s="939"/>
      <c r="N521" s="939"/>
      <c r="O521" s="939"/>
      <c r="P521" s="939"/>
      <c r="Q521" s="939"/>
      <c r="R521" s="939"/>
      <c r="S521" s="939"/>
      <c r="T521" s="939"/>
      <c r="U521" s="939"/>
      <c r="V521" s="939"/>
      <c r="W521" s="939"/>
      <c r="X521" s="939"/>
      <c r="Y521" s="939"/>
      <c r="Z521" s="939"/>
      <c r="AA521" s="939"/>
      <c r="AB521" s="939"/>
      <c r="AC521" s="939"/>
      <c r="AD521" s="939"/>
      <c r="AE521" s="939"/>
      <c r="AF521" s="939"/>
      <c r="AG521" s="939"/>
      <c r="AH521" s="939"/>
      <c r="AI521" s="939"/>
      <c r="AJ521" s="939"/>
      <c r="AK521" s="939"/>
      <c r="AL521" s="939"/>
      <c r="AM521" s="939"/>
      <c r="AN521" s="939"/>
    </row>
    <row r="522" spans="1:40" ht="15" customHeight="1">
      <c r="A522" s="939"/>
      <c r="B522" s="939"/>
      <c r="C522" s="939"/>
      <c r="D522" s="939"/>
      <c r="E522" s="939"/>
      <c r="F522" s="939"/>
      <c r="G522" s="939"/>
      <c r="H522" s="939"/>
      <c r="I522" s="939"/>
      <c r="J522" s="939"/>
      <c r="K522" s="939"/>
      <c r="L522" s="939"/>
      <c r="M522" s="939"/>
      <c r="N522" s="939"/>
      <c r="O522" s="939"/>
      <c r="P522" s="939"/>
      <c r="Q522" s="939"/>
      <c r="R522" s="939"/>
      <c r="S522" s="939"/>
      <c r="T522" s="939"/>
      <c r="U522" s="939"/>
      <c r="V522" s="939"/>
      <c r="W522" s="939"/>
      <c r="X522" s="939"/>
      <c r="Y522" s="939"/>
      <c r="Z522" s="939"/>
      <c r="AA522" s="939"/>
      <c r="AB522" s="939"/>
      <c r="AC522" s="939"/>
      <c r="AD522" s="939"/>
      <c r="AE522" s="939"/>
      <c r="AF522" s="939"/>
      <c r="AG522" s="939"/>
      <c r="AH522" s="939"/>
      <c r="AI522" s="939"/>
      <c r="AJ522" s="939"/>
      <c r="AK522" s="939"/>
      <c r="AL522" s="939"/>
      <c r="AM522" s="939"/>
      <c r="AN522" s="939"/>
    </row>
    <row r="523" spans="1:40" ht="15" customHeight="1">
      <c r="A523" s="939"/>
      <c r="B523" s="939"/>
      <c r="C523" s="939"/>
      <c r="D523" s="939"/>
      <c r="E523" s="939"/>
      <c r="F523" s="939"/>
      <c r="G523" s="939"/>
      <c r="H523" s="939"/>
      <c r="I523" s="939"/>
      <c r="J523" s="939"/>
      <c r="K523" s="939"/>
      <c r="L523" s="939"/>
      <c r="M523" s="939"/>
      <c r="N523" s="939"/>
      <c r="O523" s="939"/>
      <c r="P523" s="939"/>
      <c r="Q523" s="939"/>
      <c r="R523" s="939"/>
      <c r="S523" s="939"/>
      <c r="T523" s="939"/>
      <c r="U523" s="939"/>
      <c r="V523" s="939"/>
      <c r="W523" s="939"/>
      <c r="X523" s="939"/>
      <c r="Y523" s="939"/>
      <c r="Z523" s="939"/>
      <c r="AA523" s="939"/>
      <c r="AB523" s="939"/>
      <c r="AC523" s="939"/>
      <c r="AD523" s="939"/>
      <c r="AE523" s="939"/>
      <c r="AF523" s="939"/>
      <c r="AG523" s="939"/>
      <c r="AH523" s="939"/>
      <c r="AI523" s="939"/>
      <c r="AJ523" s="939"/>
      <c r="AK523" s="939"/>
      <c r="AL523" s="939"/>
      <c r="AM523" s="939"/>
      <c r="AN523" s="939"/>
    </row>
    <row r="524" spans="1:40" ht="15" customHeight="1">
      <c r="A524" s="939"/>
      <c r="B524" s="939"/>
      <c r="C524" s="939"/>
      <c r="D524" s="939"/>
      <c r="E524" s="939"/>
      <c r="F524" s="939"/>
      <c r="G524" s="939"/>
      <c r="H524" s="939"/>
      <c r="I524" s="939"/>
      <c r="J524" s="939"/>
      <c r="K524" s="939"/>
      <c r="L524" s="939"/>
      <c r="M524" s="939"/>
      <c r="N524" s="939"/>
      <c r="O524" s="939"/>
      <c r="P524" s="939"/>
      <c r="Q524" s="939"/>
      <c r="R524" s="939"/>
      <c r="S524" s="939"/>
      <c r="T524" s="939"/>
      <c r="U524" s="939"/>
      <c r="V524" s="939"/>
      <c r="W524" s="939"/>
      <c r="X524" s="939"/>
      <c r="Y524" s="939"/>
      <c r="Z524" s="939"/>
      <c r="AA524" s="939"/>
      <c r="AB524" s="939"/>
      <c r="AC524" s="939"/>
      <c r="AD524" s="939"/>
      <c r="AE524" s="939"/>
      <c r="AF524" s="939"/>
      <c r="AG524" s="939"/>
      <c r="AH524" s="939"/>
      <c r="AI524" s="939"/>
      <c r="AJ524" s="939"/>
      <c r="AK524" s="939"/>
      <c r="AL524" s="939"/>
      <c r="AM524" s="939"/>
      <c r="AN524" s="939"/>
    </row>
    <row r="525" spans="1:40" ht="15" customHeight="1">
      <c r="A525" s="939"/>
      <c r="B525" s="939"/>
      <c r="C525" s="939"/>
      <c r="D525" s="939"/>
      <c r="E525" s="939"/>
      <c r="F525" s="939"/>
      <c r="G525" s="939"/>
      <c r="H525" s="939"/>
      <c r="I525" s="939"/>
      <c r="J525" s="939"/>
      <c r="K525" s="939"/>
      <c r="L525" s="939"/>
      <c r="M525" s="939"/>
      <c r="N525" s="939"/>
      <c r="O525" s="939"/>
      <c r="P525" s="939"/>
      <c r="Q525" s="939"/>
      <c r="R525" s="939"/>
      <c r="S525" s="939"/>
      <c r="T525" s="939"/>
      <c r="U525" s="939"/>
      <c r="V525" s="939"/>
      <c r="W525" s="939"/>
      <c r="X525" s="939"/>
      <c r="Y525" s="939"/>
      <c r="Z525" s="939"/>
      <c r="AA525" s="939"/>
      <c r="AB525" s="939"/>
      <c r="AC525" s="939"/>
      <c r="AD525" s="939"/>
      <c r="AE525" s="939"/>
      <c r="AF525" s="939"/>
      <c r="AG525" s="939"/>
      <c r="AH525" s="939"/>
      <c r="AI525" s="939"/>
      <c r="AJ525" s="939"/>
      <c r="AK525" s="939"/>
      <c r="AL525" s="939"/>
      <c r="AM525" s="939"/>
      <c r="AN525" s="939"/>
    </row>
    <row r="526" spans="1:40" ht="15" customHeight="1">
      <c r="A526" s="939"/>
      <c r="B526" s="939"/>
      <c r="C526" s="939"/>
      <c r="D526" s="939"/>
      <c r="E526" s="939"/>
      <c r="F526" s="939"/>
      <c r="G526" s="939"/>
      <c r="H526" s="939"/>
      <c r="I526" s="939"/>
      <c r="J526" s="939"/>
      <c r="K526" s="939"/>
      <c r="L526" s="939"/>
      <c r="M526" s="939"/>
      <c r="N526" s="939"/>
      <c r="O526" s="939"/>
      <c r="P526" s="939"/>
      <c r="Q526" s="939"/>
      <c r="R526" s="939"/>
      <c r="S526" s="939"/>
      <c r="T526" s="939"/>
      <c r="U526" s="939"/>
      <c r="V526" s="939"/>
      <c r="W526" s="939"/>
      <c r="X526" s="939"/>
      <c r="Y526" s="939"/>
      <c r="Z526" s="939"/>
      <c r="AA526" s="939"/>
      <c r="AB526" s="939"/>
      <c r="AC526" s="939"/>
      <c r="AD526" s="939"/>
      <c r="AE526" s="939"/>
      <c r="AF526" s="939"/>
      <c r="AG526" s="939"/>
      <c r="AH526" s="939"/>
      <c r="AI526" s="939"/>
      <c r="AJ526" s="939"/>
      <c r="AK526" s="939"/>
      <c r="AL526" s="939"/>
      <c r="AM526" s="939"/>
      <c r="AN526" s="939"/>
    </row>
    <row r="527" spans="1:40" ht="15" customHeight="1">
      <c r="A527" s="939"/>
      <c r="B527" s="939"/>
      <c r="C527" s="939"/>
      <c r="D527" s="939"/>
      <c r="E527" s="939"/>
      <c r="F527" s="939"/>
      <c r="G527" s="939"/>
      <c r="H527" s="939"/>
      <c r="I527" s="939"/>
      <c r="J527" s="939"/>
      <c r="K527" s="939"/>
      <c r="L527" s="939"/>
      <c r="M527" s="939"/>
      <c r="N527" s="939"/>
      <c r="O527" s="939"/>
      <c r="P527" s="939"/>
      <c r="Q527" s="939"/>
      <c r="R527" s="939"/>
      <c r="S527" s="939"/>
      <c r="T527" s="939"/>
      <c r="U527" s="939"/>
      <c r="V527" s="939"/>
      <c r="W527" s="939"/>
      <c r="X527" s="939"/>
      <c r="Y527" s="939"/>
      <c r="Z527" s="939"/>
      <c r="AA527" s="939"/>
      <c r="AB527" s="939"/>
      <c r="AC527" s="939"/>
      <c r="AD527" s="939"/>
      <c r="AE527" s="939"/>
      <c r="AF527" s="939"/>
      <c r="AG527" s="939"/>
      <c r="AH527" s="939"/>
      <c r="AI527" s="939"/>
      <c r="AJ527" s="939"/>
      <c r="AK527" s="939"/>
      <c r="AL527" s="939"/>
      <c r="AM527" s="939"/>
      <c r="AN527" s="939"/>
    </row>
    <row r="528" spans="1:40" ht="15" customHeight="1">
      <c r="A528" s="939"/>
      <c r="B528" s="939"/>
      <c r="C528" s="939"/>
      <c r="D528" s="939"/>
      <c r="E528" s="939"/>
      <c r="F528" s="939"/>
      <c r="G528" s="939"/>
      <c r="H528" s="939"/>
      <c r="I528" s="939"/>
      <c r="J528" s="939"/>
      <c r="K528" s="939"/>
      <c r="L528" s="939"/>
      <c r="M528" s="939"/>
      <c r="N528" s="939"/>
      <c r="O528" s="939"/>
      <c r="P528" s="939"/>
      <c r="Q528" s="939"/>
      <c r="R528" s="939"/>
      <c r="S528" s="939"/>
      <c r="T528" s="939"/>
      <c r="U528" s="939"/>
      <c r="V528" s="939"/>
      <c r="W528" s="939"/>
      <c r="X528" s="939"/>
      <c r="Y528" s="939"/>
      <c r="Z528" s="939"/>
      <c r="AA528" s="939"/>
      <c r="AB528" s="939"/>
      <c r="AC528" s="939"/>
      <c r="AD528" s="939"/>
      <c r="AE528" s="939"/>
      <c r="AF528" s="939"/>
      <c r="AG528" s="939"/>
      <c r="AH528" s="939"/>
      <c r="AI528" s="939"/>
      <c r="AJ528" s="939"/>
      <c r="AK528" s="939"/>
      <c r="AL528" s="939"/>
      <c r="AM528" s="939"/>
      <c r="AN528" s="939"/>
    </row>
    <row r="529" spans="1:40" ht="15" customHeight="1">
      <c r="A529" s="939"/>
      <c r="B529" s="939"/>
      <c r="C529" s="939"/>
      <c r="D529" s="939"/>
      <c r="E529" s="939"/>
      <c r="F529" s="939"/>
      <c r="G529" s="939"/>
      <c r="H529" s="939"/>
      <c r="I529" s="939"/>
      <c r="J529" s="939"/>
      <c r="K529" s="939"/>
      <c r="L529" s="939"/>
      <c r="M529" s="939"/>
      <c r="N529" s="939"/>
      <c r="O529" s="939"/>
      <c r="P529" s="939"/>
      <c r="Q529" s="939"/>
      <c r="R529" s="939"/>
      <c r="S529" s="939"/>
      <c r="T529" s="939"/>
      <c r="U529" s="939"/>
      <c r="V529" s="939"/>
      <c r="W529" s="939"/>
      <c r="X529" s="939"/>
      <c r="Y529" s="939"/>
      <c r="Z529" s="939"/>
      <c r="AA529" s="939"/>
      <c r="AB529" s="939"/>
      <c r="AC529" s="939"/>
      <c r="AD529" s="939"/>
      <c r="AE529" s="939"/>
      <c r="AF529" s="939"/>
      <c r="AG529" s="939"/>
      <c r="AH529" s="939"/>
      <c r="AI529" s="939"/>
      <c r="AJ529" s="939"/>
      <c r="AK529" s="939"/>
      <c r="AL529" s="939"/>
      <c r="AM529" s="939"/>
      <c r="AN529" s="939"/>
    </row>
    <row r="530" spans="1:40" ht="15" customHeight="1">
      <c r="A530" s="939"/>
      <c r="B530" s="939"/>
      <c r="C530" s="939"/>
      <c r="D530" s="939"/>
      <c r="E530" s="939"/>
      <c r="F530" s="939"/>
      <c r="G530" s="939"/>
      <c r="H530" s="939"/>
      <c r="I530" s="939"/>
      <c r="J530" s="939"/>
      <c r="K530" s="939"/>
      <c r="L530" s="939"/>
      <c r="M530" s="939"/>
      <c r="N530" s="939"/>
      <c r="O530" s="939"/>
      <c r="P530" s="939"/>
      <c r="Q530" s="939"/>
      <c r="R530" s="939"/>
      <c r="S530" s="939"/>
      <c r="T530" s="939"/>
      <c r="U530" s="939"/>
      <c r="V530" s="939"/>
      <c r="W530" s="939"/>
      <c r="X530" s="939"/>
      <c r="Y530" s="939"/>
      <c r="Z530" s="939"/>
      <c r="AA530" s="939"/>
      <c r="AB530" s="939"/>
      <c r="AC530" s="939"/>
      <c r="AD530" s="939"/>
      <c r="AE530" s="939"/>
      <c r="AF530" s="939"/>
      <c r="AG530" s="939"/>
      <c r="AH530" s="939"/>
      <c r="AI530" s="939"/>
      <c r="AJ530" s="939"/>
      <c r="AK530" s="939"/>
      <c r="AL530" s="939"/>
      <c r="AM530" s="939"/>
      <c r="AN530" s="939"/>
    </row>
    <row r="531" spans="1:40" ht="15" customHeight="1">
      <c r="A531" s="939"/>
      <c r="B531" s="939"/>
      <c r="C531" s="939"/>
      <c r="D531" s="939"/>
      <c r="E531" s="939"/>
      <c r="F531" s="939"/>
      <c r="G531" s="939"/>
      <c r="H531" s="939"/>
      <c r="I531" s="939"/>
      <c r="J531" s="939"/>
      <c r="K531" s="939"/>
      <c r="L531" s="939"/>
      <c r="M531" s="939"/>
      <c r="N531" s="939"/>
      <c r="O531" s="939"/>
      <c r="P531" s="939"/>
      <c r="Q531" s="939"/>
      <c r="R531" s="939"/>
      <c r="S531" s="939"/>
      <c r="T531" s="939"/>
      <c r="U531" s="939"/>
      <c r="V531" s="939"/>
      <c r="W531" s="939"/>
      <c r="X531" s="939"/>
      <c r="Y531" s="939"/>
      <c r="Z531" s="939"/>
      <c r="AA531" s="939"/>
      <c r="AB531" s="939"/>
      <c r="AC531" s="939"/>
      <c r="AD531" s="939"/>
      <c r="AE531" s="939"/>
      <c r="AF531" s="939"/>
      <c r="AG531" s="939"/>
      <c r="AH531" s="939"/>
      <c r="AI531" s="939"/>
      <c r="AJ531" s="939"/>
      <c r="AK531" s="939"/>
      <c r="AL531" s="939"/>
      <c r="AM531" s="939"/>
      <c r="AN531" s="939"/>
    </row>
    <row r="532" spans="1:40" ht="15" customHeight="1">
      <c r="A532" s="939"/>
      <c r="B532" s="939"/>
      <c r="C532" s="939"/>
      <c r="D532" s="939"/>
      <c r="E532" s="939"/>
      <c r="F532" s="939"/>
      <c r="G532" s="939"/>
      <c r="H532" s="939"/>
      <c r="I532" s="939"/>
      <c r="J532" s="939"/>
      <c r="K532" s="939"/>
      <c r="L532" s="939"/>
      <c r="M532" s="939"/>
      <c r="N532" s="939"/>
      <c r="O532" s="939"/>
      <c r="P532" s="939"/>
      <c r="Q532" s="939"/>
      <c r="R532" s="939"/>
      <c r="S532" s="939"/>
      <c r="T532" s="939"/>
      <c r="U532" s="939"/>
      <c r="V532" s="939"/>
      <c r="W532" s="939"/>
      <c r="X532" s="939"/>
      <c r="Y532" s="939"/>
      <c r="Z532" s="939"/>
      <c r="AA532" s="939"/>
      <c r="AB532" s="939"/>
      <c r="AC532" s="939"/>
      <c r="AD532" s="939"/>
      <c r="AE532" s="939"/>
      <c r="AF532" s="939"/>
      <c r="AG532" s="939"/>
      <c r="AH532" s="939"/>
      <c r="AI532" s="939"/>
      <c r="AJ532" s="939"/>
      <c r="AK532" s="939"/>
      <c r="AL532" s="939"/>
      <c r="AM532" s="939"/>
      <c r="AN532" s="939"/>
    </row>
    <row r="533" spans="1:40" ht="15" customHeight="1">
      <c r="A533" s="939"/>
      <c r="B533" s="939"/>
      <c r="C533" s="939"/>
      <c r="D533" s="939"/>
      <c r="E533" s="939"/>
      <c r="F533" s="939"/>
      <c r="G533" s="939"/>
      <c r="H533" s="939"/>
      <c r="I533" s="939"/>
      <c r="J533" s="939"/>
      <c r="K533" s="939"/>
      <c r="L533" s="939"/>
      <c r="M533" s="939"/>
      <c r="N533" s="939"/>
      <c r="O533" s="939"/>
      <c r="P533" s="939"/>
      <c r="Q533" s="939"/>
      <c r="R533" s="939"/>
      <c r="S533" s="939"/>
      <c r="T533" s="939"/>
      <c r="U533" s="939"/>
      <c r="V533" s="939"/>
      <c r="W533" s="939"/>
      <c r="X533" s="939"/>
      <c r="Y533" s="939"/>
      <c r="Z533" s="939"/>
      <c r="AA533" s="939"/>
      <c r="AB533" s="939"/>
      <c r="AC533" s="939"/>
      <c r="AD533" s="939"/>
      <c r="AE533" s="939"/>
      <c r="AF533" s="939"/>
      <c r="AG533" s="939"/>
      <c r="AH533" s="939"/>
      <c r="AI533" s="939"/>
      <c r="AJ533" s="939"/>
      <c r="AK533" s="939"/>
      <c r="AL533" s="939"/>
      <c r="AM533" s="939"/>
      <c r="AN533" s="939"/>
    </row>
    <row r="534" spans="1:40" ht="15" customHeight="1">
      <c r="A534" s="939"/>
      <c r="B534" s="939"/>
      <c r="C534" s="939"/>
      <c r="D534" s="939"/>
      <c r="E534" s="939"/>
      <c r="F534" s="939"/>
      <c r="G534" s="939"/>
      <c r="H534" s="939"/>
      <c r="I534" s="939"/>
      <c r="J534" s="939"/>
      <c r="K534" s="939"/>
      <c r="L534" s="939"/>
      <c r="M534" s="939"/>
      <c r="N534" s="939"/>
      <c r="O534" s="939"/>
      <c r="P534" s="939"/>
      <c r="Q534" s="939"/>
      <c r="R534" s="939"/>
      <c r="S534" s="939"/>
      <c r="T534" s="939"/>
      <c r="U534" s="939"/>
      <c r="V534" s="939"/>
      <c r="W534" s="939"/>
      <c r="X534" s="939"/>
      <c r="Y534" s="939"/>
      <c r="Z534" s="939"/>
      <c r="AA534" s="939"/>
      <c r="AB534" s="939"/>
      <c r="AC534" s="939"/>
      <c r="AD534" s="939"/>
      <c r="AE534" s="939"/>
      <c r="AF534" s="939"/>
      <c r="AG534" s="939"/>
      <c r="AH534" s="939"/>
      <c r="AI534" s="939"/>
      <c r="AJ534" s="939"/>
      <c r="AK534" s="939"/>
      <c r="AL534" s="939"/>
      <c r="AM534" s="939"/>
      <c r="AN534" s="939"/>
    </row>
    <row r="535" spans="1:40" ht="15" customHeight="1">
      <c r="A535" s="939"/>
      <c r="B535" s="939"/>
      <c r="C535" s="939"/>
      <c r="D535" s="939"/>
      <c r="E535" s="939"/>
      <c r="F535" s="939"/>
      <c r="G535" s="939"/>
      <c r="H535" s="939"/>
      <c r="I535" s="939"/>
      <c r="J535" s="939"/>
      <c r="K535" s="939"/>
      <c r="L535" s="939"/>
      <c r="M535" s="939"/>
      <c r="N535" s="939"/>
      <c r="O535" s="939"/>
      <c r="P535" s="939"/>
      <c r="Q535" s="939"/>
      <c r="R535" s="939"/>
      <c r="S535" s="939"/>
      <c r="T535" s="939"/>
      <c r="U535" s="939"/>
      <c r="V535" s="939"/>
      <c r="W535" s="939"/>
      <c r="X535" s="939"/>
      <c r="Y535" s="939"/>
      <c r="Z535" s="939"/>
      <c r="AA535" s="939"/>
      <c r="AB535" s="939"/>
      <c r="AC535" s="939"/>
      <c r="AD535" s="939"/>
      <c r="AE535" s="939"/>
      <c r="AF535" s="939"/>
      <c r="AG535" s="939"/>
      <c r="AH535" s="939"/>
      <c r="AI535" s="939"/>
      <c r="AJ535" s="939"/>
      <c r="AK535" s="939"/>
      <c r="AL535" s="939"/>
      <c r="AM535" s="939"/>
      <c r="AN535" s="939"/>
    </row>
    <row r="536" spans="1:40" ht="15" customHeight="1">
      <c r="A536" s="939"/>
      <c r="B536" s="939"/>
      <c r="C536" s="939"/>
      <c r="D536" s="939"/>
      <c r="E536" s="939"/>
      <c r="F536" s="939"/>
      <c r="G536" s="939"/>
      <c r="H536" s="939"/>
      <c r="I536" s="939"/>
      <c r="J536" s="939"/>
      <c r="K536" s="939"/>
      <c r="L536" s="939"/>
      <c r="M536" s="939"/>
      <c r="N536" s="939"/>
      <c r="O536" s="939"/>
      <c r="P536" s="939"/>
      <c r="Q536" s="939"/>
      <c r="R536" s="939"/>
      <c r="S536" s="939"/>
      <c r="T536" s="939"/>
      <c r="U536" s="939"/>
      <c r="V536" s="939"/>
      <c r="W536" s="939"/>
      <c r="X536" s="939"/>
      <c r="Y536" s="939"/>
      <c r="Z536" s="939"/>
      <c r="AA536" s="939"/>
      <c r="AB536" s="939"/>
      <c r="AC536" s="939"/>
      <c r="AD536" s="939"/>
      <c r="AE536" s="939"/>
      <c r="AF536" s="939"/>
      <c r="AG536" s="939"/>
      <c r="AH536" s="939"/>
      <c r="AI536" s="939"/>
      <c r="AJ536" s="939"/>
      <c r="AK536" s="939"/>
      <c r="AL536" s="939"/>
      <c r="AM536" s="939"/>
      <c r="AN536" s="939"/>
    </row>
    <row r="537" spans="1:40" ht="15" customHeight="1">
      <c r="A537" s="939"/>
      <c r="B537" s="939"/>
      <c r="C537" s="939"/>
      <c r="D537" s="939"/>
      <c r="E537" s="939"/>
      <c r="F537" s="939"/>
      <c r="G537" s="939"/>
      <c r="H537" s="939"/>
      <c r="I537" s="939"/>
      <c r="J537" s="939"/>
      <c r="K537" s="939"/>
      <c r="L537" s="939"/>
      <c r="M537" s="939"/>
      <c r="N537" s="939"/>
      <c r="O537" s="939"/>
      <c r="P537" s="939"/>
      <c r="Q537" s="939"/>
      <c r="R537" s="939"/>
      <c r="S537" s="939"/>
      <c r="T537" s="939"/>
      <c r="U537" s="939"/>
      <c r="V537" s="939"/>
      <c r="W537" s="939"/>
      <c r="X537" s="939"/>
      <c r="Y537" s="939"/>
      <c r="Z537" s="939"/>
      <c r="AA537" s="939"/>
      <c r="AB537" s="939"/>
      <c r="AC537" s="939"/>
      <c r="AD537" s="939"/>
      <c r="AE537" s="939"/>
      <c r="AF537" s="939"/>
      <c r="AG537" s="939"/>
      <c r="AH537" s="939"/>
      <c r="AI537" s="939"/>
      <c r="AJ537" s="939"/>
      <c r="AK537" s="939"/>
      <c r="AL537" s="939"/>
      <c r="AM537" s="939"/>
      <c r="AN537" s="939"/>
    </row>
    <row r="538" spans="1:40" ht="15" customHeight="1">
      <c r="A538" s="939"/>
      <c r="B538" s="939"/>
      <c r="C538" s="939"/>
      <c r="D538" s="939"/>
      <c r="E538" s="939"/>
      <c r="F538" s="939"/>
      <c r="G538" s="939"/>
      <c r="H538" s="939"/>
      <c r="I538" s="939"/>
      <c r="J538" s="939"/>
      <c r="K538" s="939"/>
      <c r="L538" s="939"/>
      <c r="M538" s="939"/>
      <c r="N538" s="939"/>
      <c r="O538" s="939"/>
      <c r="P538" s="939"/>
      <c r="Q538" s="939"/>
      <c r="R538" s="939"/>
      <c r="S538" s="939"/>
      <c r="T538" s="939"/>
      <c r="U538" s="939"/>
      <c r="V538" s="939"/>
      <c r="W538" s="939"/>
      <c r="X538" s="939"/>
      <c r="Y538" s="939"/>
      <c r="Z538" s="939"/>
      <c r="AA538" s="939"/>
      <c r="AB538" s="939"/>
      <c r="AC538" s="939"/>
      <c r="AD538" s="939"/>
      <c r="AE538" s="939"/>
      <c r="AF538" s="939"/>
      <c r="AG538" s="939"/>
      <c r="AH538" s="939"/>
      <c r="AI538" s="939"/>
      <c r="AJ538" s="939"/>
      <c r="AK538" s="939"/>
      <c r="AL538" s="939"/>
      <c r="AM538" s="939"/>
      <c r="AN538" s="939"/>
    </row>
    <row r="539" spans="1:40" ht="15" customHeight="1">
      <c r="A539" s="939"/>
      <c r="B539" s="939"/>
      <c r="C539" s="939"/>
      <c r="D539" s="939"/>
      <c r="E539" s="939"/>
      <c r="F539" s="939"/>
      <c r="G539" s="939"/>
      <c r="H539" s="939"/>
      <c r="I539" s="939"/>
      <c r="J539" s="939"/>
      <c r="K539" s="939"/>
      <c r="L539" s="939"/>
      <c r="M539" s="939"/>
      <c r="N539" s="939"/>
      <c r="O539" s="939"/>
      <c r="P539" s="939"/>
      <c r="Q539" s="939"/>
      <c r="R539" s="939"/>
      <c r="S539" s="939"/>
      <c r="T539" s="939"/>
      <c r="U539" s="939"/>
      <c r="V539" s="939"/>
      <c r="W539" s="939"/>
      <c r="X539" s="939"/>
      <c r="Y539" s="939"/>
      <c r="Z539" s="939"/>
      <c r="AA539" s="939"/>
      <c r="AB539" s="939"/>
      <c r="AC539" s="939"/>
      <c r="AD539" s="939"/>
      <c r="AE539" s="939"/>
      <c r="AF539" s="939"/>
      <c r="AG539" s="939"/>
      <c r="AH539" s="939"/>
      <c r="AI539" s="939"/>
      <c r="AJ539" s="939"/>
      <c r="AK539" s="939"/>
      <c r="AL539" s="939"/>
      <c r="AM539" s="939"/>
      <c r="AN539" s="939"/>
    </row>
    <row r="540" spans="1:40" ht="15" customHeight="1">
      <c r="A540" s="939"/>
      <c r="B540" s="939"/>
      <c r="C540" s="939"/>
      <c r="D540" s="939"/>
      <c r="E540" s="939"/>
      <c r="F540" s="939"/>
      <c r="G540" s="939"/>
      <c r="H540" s="939"/>
      <c r="I540" s="939"/>
      <c r="J540" s="939"/>
      <c r="K540" s="939"/>
      <c r="L540" s="939"/>
      <c r="M540" s="939"/>
      <c r="N540" s="939"/>
      <c r="O540" s="939"/>
      <c r="P540" s="939"/>
      <c r="Q540" s="939"/>
      <c r="R540" s="939"/>
      <c r="S540" s="939"/>
      <c r="T540" s="939"/>
      <c r="U540" s="939"/>
      <c r="V540" s="939"/>
      <c r="W540" s="939"/>
      <c r="X540" s="939"/>
      <c r="Y540" s="939"/>
      <c r="Z540" s="939"/>
      <c r="AA540" s="939"/>
      <c r="AB540" s="939"/>
      <c r="AC540" s="939"/>
      <c r="AD540" s="939"/>
      <c r="AE540" s="939"/>
      <c r="AF540" s="939"/>
      <c r="AG540" s="939"/>
      <c r="AH540" s="939"/>
      <c r="AI540" s="939"/>
      <c r="AJ540" s="939"/>
      <c r="AK540" s="939"/>
      <c r="AL540" s="939"/>
      <c r="AM540" s="939"/>
      <c r="AN540" s="939"/>
    </row>
    <row r="541" spans="1:40" ht="15" customHeight="1">
      <c r="A541" s="939"/>
      <c r="B541" s="939"/>
      <c r="C541" s="939"/>
      <c r="D541" s="939"/>
      <c r="E541" s="939"/>
      <c r="F541" s="939"/>
      <c r="G541" s="939"/>
      <c r="H541" s="939"/>
      <c r="I541" s="939"/>
      <c r="J541" s="939"/>
      <c r="K541" s="939"/>
      <c r="L541" s="939"/>
      <c r="M541" s="939"/>
      <c r="N541" s="939"/>
      <c r="O541" s="939"/>
      <c r="P541" s="939"/>
      <c r="Q541" s="939"/>
      <c r="R541" s="939"/>
      <c r="S541" s="939"/>
      <c r="T541" s="939"/>
      <c r="U541" s="939"/>
      <c r="V541" s="939"/>
      <c r="W541" s="939"/>
      <c r="X541" s="939"/>
      <c r="Y541" s="939"/>
      <c r="Z541" s="939"/>
      <c r="AA541" s="939"/>
      <c r="AB541" s="939"/>
      <c r="AC541" s="939"/>
      <c r="AD541" s="939"/>
      <c r="AE541" s="939"/>
      <c r="AF541" s="939"/>
      <c r="AG541" s="939"/>
      <c r="AH541" s="939"/>
      <c r="AI541" s="939"/>
      <c r="AJ541" s="939"/>
      <c r="AK541" s="939"/>
      <c r="AL541" s="939"/>
      <c r="AM541" s="939"/>
      <c r="AN541" s="939"/>
    </row>
    <row r="542" spans="1:40" ht="15" customHeight="1">
      <c r="A542" s="939"/>
      <c r="B542" s="939"/>
      <c r="C542" s="939"/>
      <c r="D542" s="939"/>
      <c r="E542" s="939"/>
      <c r="F542" s="939"/>
      <c r="G542" s="939"/>
      <c r="H542" s="939"/>
      <c r="I542" s="939"/>
      <c r="J542" s="939"/>
      <c r="K542" s="939"/>
      <c r="L542" s="939"/>
      <c r="M542" s="939"/>
      <c r="N542" s="939"/>
      <c r="O542" s="939"/>
      <c r="P542" s="939"/>
      <c r="Q542" s="939"/>
      <c r="R542" s="939"/>
      <c r="S542" s="939"/>
      <c r="T542" s="939"/>
      <c r="U542" s="939"/>
      <c r="V542" s="939"/>
      <c r="W542" s="939"/>
      <c r="X542" s="939"/>
      <c r="Y542" s="939"/>
      <c r="Z542" s="939"/>
      <c r="AA542" s="939"/>
      <c r="AB542" s="939"/>
      <c r="AC542" s="939"/>
      <c r="AD542" s="939"/>
      <c r="AE542" s="939"/>
      <c r="AF542" s="939"/>
      <c r="AG542" s="939"/>
      <c r="AH542" s="939"/>
      <c r="AI542" s="939"/>
      <c r="AJ542" s="939"/>
      <c r="AK542" s="939"/>
      <c r="AL542" s="939"/>
      <c r="AM542" s="939"/>
      <c r="AN542" s="939"/>
    </row>
    <row r="543" spans="1:40" ht="15" customHeight="1">
      <c r="A543" s="939"/>
      <c r="B543" s="939"/>
      <c r="C543" s="939"/>
      <c r="D543" s="939"/>
      <c r="E543" s="939"/>
      <c r="F543" s="939"/>
      <c r="G543" s="939"/>
      <c r="H543" s="939"/>
      <c r="I543" s="939"/>
      <c r="J543" s="939"/>
      <c r="K543" s="939"/>
      <c r="L543" s="939"/>
      <c r="M543" s="939"/>
      <c r="N543" s="939"/>
      <c r="O543" s="939"/>
      <c r="P543" s="939"/>
      <c r="Q543" s="939"/>
      <c r="R543" s="939"/>
      <c r="S543" s="939"/>
      <c r="T543" s="939"/>
      <c r="U543" s="939"/>
      <c r="V543" s="939"/>
      <c r="W543" s="939"/>
      <c r="X543" s="939"/>
      <c r="Y543" s="939"/>
      <c r="Z543" s="939"/>
      <c r="AA543" s="939"/>
      <c r="AB543" s="939"/>
      <c r="AC543" s="939"/>
      <c r="AD543" s="939"/>
      <c r="AE543" s="939"/>
      <c r="AF543" s="939"/>
      <c r="AG543" s="939"/>
      <c r="AH543" s="939"/>
      <c r="AI543" s="939"/>
      <c r="AJ543" s="939"/>
      <c r="AK543" s="939"/>
      <c r="AL543" s="939"/>
      <c r="AM543" s="939"/>
      <c r="AN543" s="939"/>
    </row>
    <row r="544" spans="1:40" ht="15" customHeight="1">
      <c r="A544" s="939"/>
      <c r="B544" s="939"/>
      <c r="C544" s="939"/>
      <c r="D544" s="939"/>
      <c r="E544" s="939"/>
      <c r="F544" s="939"/>
      <c r="G544" s="939"/>
      <c r="H544" s="939"/>
      <c r="I544" s="939"/>
      <c r="J544" s="939"/>
      <c r="K544" s="939"/>
      <c r="L544" s="939"/>
      <c r="M544" s="939"/>
      <c r="N544" s="939"/>
      <c r="O544" s="939"/>
      <c r="P544" s="939"/>
      <c r="Q544" s="939"/>
      <c r="R544" s="939"/>
      <c r="S544" s="939"/>
      <c r="T544" s="939"/>
      <c r="U544" s="939"/>
      <c r="V544" s="939"/>
      <c r="W544" s="939"/>
      <c r="X544" s="939"/>
      <c r="Y544" s="939"/>
      <c r="Z544" s="939"/>
      <c r="AA544" s="939"/>
      <c r="AB544" s="939"/>
      <c r="AC544" s="939"/>
      <c r="AD544" s="939"/>
      <c r="AE544" s="939"/>
      <c r="AF544" s="939"/>
      <c r="AG544" s="939"/>
      <c r="AH544" s="939"/>
      <c r="AI544" s="939"/>
      <c r="AJ544" s="939"/>
      <c r="AK544" s="939"/>
      <c r="AL544" s="939"/>
      <c r="AM544" s="939"/>
      <c r="AN544" s="939"/>
    </row>
    <row r="545" spans="1:40" ht="15" customHeight="1">
      <c r="A545" s="939"/>
      <c r="B545" s="939"/>
      <c r="C545" s="939"/>
      <c r="D545" s="939"/>
      <c r="E545" s="939"/>
      <c r="F545" s="939"/>
      <c r="G545" s="939"/>
      <c r="H545" s="939"/>
      <c r="I545" s="939"/>
      <c r="J545" s="939"/>
      <c r="K545" s="939"/>
      <c r="L545" s="939"/>
      <c r="M545" s="939"/>
      <c r="N545" s="939"/>
      <c r="O545" s="939"/>
      <c r="P545" s="939"/>
      <c r="Q545" s="939"/>
      <c r="R545" s="939"/>
      <c r="S545" s="939"/>
      <c r="T545" s="939"/>
      <c r="U545" s="939"/>
      <c r="V545" s="939"/>
      <c r="W545" s="939"/>
      <c r="X545" s="939"/>
      <c r="Y545" s="939"/>
      <c r="Z545" s="939"/>
      <c r="AA545" s="939"/>
      <c r="AB545" s="939"/>
      <c r="AC545" s="939"/>
      <c r="AD545" s="939"/>
      <c r="AE545" s="939"/>
      <c r="AF545" s="939"/>
      <c r="AG545" s="939"/>
      <c r="AH545" s="939"/>
      <c r="AI545" s="939"/>
      <c r="AJ545" s="939"/>
      <c r="AK545" s="939"/>
      <c r="AL545" s="939"/>
      <c r="AM545" s="939"/>
      <c r="AN545" s="939"/>
    </row>
    <row r="546" spans="1:40" ht="15" customHeight="1">
      <c r="A546" s="939"/>
      <c r="B546" s="939"/>
      <c r="C546" s="939"/>
      <c r="D546" s="939"/>
      <c r="E546" s="939"/>
      <c r="F546" s="939"/>
      <c r="G546" s="939"/>
      <c r="H546" s="939"/>
      <c r="I546" s="939"/>
      <c r="J546" s="939"/>
      <c r="K546" s="939"/>
      <c r="L546" s="939"/>
      <c r="M546" s="939"/>
      <c r="N546" s="939"/>
      <c r="O546" s="939"/>
      <c r="P546" s="939"/>
      <c r="Q546" s="939"/>
      <c r="R546" s="939"/>
      <c r="S546" s="939"/>
      <c r="T546" s="939"/>
      <c r="U546" s="939"/>
      <c r="V546" s="939"/>
      <c r="W546" s="939"/>
      <c r="X546" s="939"/>
      <c r="Y546" s="939"/>
      <c r="Z546" s="939"/>
      <c r="AA546" s="939"/>
      <c r="AB546" s="939"/>
      <c r="AC546" s="939"/>
      <c r="AD546" s="939"/>
      <c r="AE546" s="939"/>
      <c r="AF546" s="939"/>
      <c r="AG546" s="939"/>
      <c r="AH546" s="939"/>
      <c r="AI546" s="939"/>
      <c r="AJ546" s="939"/>
      <c r="AK546" s="939"/>
      <c r="AL546" s="939"/>
      <c r="AM546" s="939"/>
      <c r="AN546" s="939"/>
    </row>
    <row r="547" spans="1:40" ht="15" customHeight="1">
      <c r="A547" s="939"/>
      <c r="B547" s="939"/>
      <c r="C547" s="939"/>
      <c r="D547" s="939"/>
      <c r="E547" s="939"/>
      <c r="F547" s="939"/>
      <c r="G547" s="939"/>
      <c r="H547" s="939"/>
      <c r="I547" s="939"/>
      <c r="J547" s="939"/>
      <c r="K547" s="939"/>
      <c r="L547" s="939"/>
      <c r="M547" s="939"/>
      <c r="N547" s="939"/>
      <c r="O547" s="939"/>
      <c r="P547" s="939"/>
      <c r="Q547" s="939"/>
      <c r="R547" s="939"/>
      <c r="S547" s="939"/>
      <c r="T547" s="939"/>
      <c r="U547" s="939"/>
      <c r="V547" s="939"/>
      <c r="W547" s="939"/>
      <c r="X547" s="939"/>
      <c r="Y547" s="939"/>
      <c r="Z547" s="939"/>
      <c r="AA547" s="939"/>
      <c r="AB547" s="939"/>
      <c r="AC547" s="939"/>
      <c r="AD547" s="939"/>
      <c r="AE547" s="939"/>
      <c r="AF547" s="939"/>
      <c r="AG547" s="939"/>
      <c r="AH547" s="939"/>
      <c r="AI547" s="939"/>
      <c r="AJ547" s="939"/>
      <c r="AK547" s="939"/>
      <c r="AL547" s="939"/>
      <c r="AM547" s="939"/>
      <c r="AN547" s="939"/>
    </row>
    <row r="548" spans="1:40" ht="15" customHeight="1">
      <c r="A548" s="939"/>
      <c r="B548" s="939"/>
      <c r="C548" s="939"/>
      <c r="D548" s="939"/>
      <c r="E548" s="939"/>
      <c r="F548" s="939"/>
      <c r="G548" s="939"/>
      <c r="H548" s="939"/>
      <c r="I548" s="939"/>
      <c r="J548" s="939"/>
      <c r="K548" s="939"/>
      <c r="L548" s="939"/>
      <c r="M548" s="939"/>
      <c r="N548" s="939"/>
      <c r="O548" s="939"/>
      <c r="P548" s="939"/>
      <c r="Q548" s="939"/>
      <c r="R548" s="939"/>
      <c r="S548" s="939"/>
      <c r="T548" s="939"/>
      <c r="U548" s="939"/>
      <c r="V548" s="939"/>
      <c r="W548" s="939"/>
      <c r="X548" s="939"/>
      <c r="Y548" s="939"/>
      <c r="Z548" s="939"/>
      <c r="AA548" s="939"/>
      <c r="AB548" s="939"/>
      <c r="AC548" s="939"/>
      <c r="AD548" s="939"/>
      <c r="AE548" s="939"/>
      <c r="AF548" s="939"/>
      <c r="AG548" s="939"/>
      <c r="AH548" s="939"/>
      <c r="AI548" s="939"/>
      <c r="AJ548" s="939"/>
      <c r="AK548" s="939"/>
      <c r="AL548" s="939"/>
      <c r="AM548" s="939"/>
      <c r="AN548" s="939"/>
    </row>
    <row r="549" spans="1:40" ht="15" customHeight="1">
      <c r="A549" s="939"/>
      <c r="B549" s="939"/>
      <c r="C549" s="939"/>
      <c r="D549" s="939"/>
      <c r="E549" s="939"/>
      <c r="F549" s="939"/>
      <c r="G549" s="939"/>
      <c r="H549" s="939"/>
      <c r="I549" s="939"/>
      <c r="J549" s="939"/>
      <c r="K549" s="939"/>
      <c r="L549" s="939"/>
      <c r="M549" s="939"/>
      <c r="N549" s="939"/>
      <c r="O549" s="939"/>
      <c r="P549" s="939"/>
      <c r="Q549" s="939"/>
      <c r="R549" s="939"/>
      <c r="S549" s="939"/>
      <c r="T549" s="939"/>
      <c r="U549" s="939"/>
      <c r="V549" s="939"/>
      <c r="W549" s="939"/>
      <c r="X549" s="939"/>
      <c r="Y549" s="939"/>
      <c r="Z549" s="939"/>
      <c r="AA549" s="939"/>
      <c r="AB549" s="939"/>
      <c r="AC549" s="939"/>
      <c r="AD549" s="939"/>
      <c r="AE549" s="939"/>
      <c r="AF549" s="939"/>
      <c r="AG549" s="939"/>
      <c r="AH549" s="939"/>
      <c r="AI549" s="939"/>
      <c r="AJ549" s="939"/>
      <c r="AK549" s="939"/>
      <c r="AL549" s="939"/>
      <c r="AM549" s="939"/>
      <c r="AN549" s="939"/>
    </row>
    <row r="550" spans="1:40" ht="15" customHeight="1">
      <c r="A550" s="939"/>
      <c r="B550" s="939"/>
      <c r="C550" s="939"/>
      <c r="D550" s="939"/>
      <c r="E550" s="939"/>
      <c r="F550" s="939"/>
      <c r="G550" s="939"/>
      <c r="H550" s="939"/>
      <c r="I550" s="939"/>
      <c r="J550" s="939"/>
      <c r="K550" s="939"/>
      <c r="L550" s="939"/>
      <c r="M550" s="939"/>
      <c r="N550" s="939"/>
      <c r="O550" s="939"/>
      <c r="P550" s="939"/>
      <c r="Q550" s="939"/>
      <c r="R550" s="939"/>
      <c r="S550" s="939"/>
      <c r="T550" s="939"/>
      <c r="U550" s="939"/>
      <c r="V550" s="939"/>
      <c r="W550" s="939"/>
      <c r="X550" s="939"/>
      <c r="Y550" s="939"/>
      <c r="Z550" s="939"/>
      <c r="AA550" s="939"/>
      <c r="AB550" s="939"/>
      <c r="AC550" s="939"/>
      <c r="AD550" s="939"/>
      <c r="AE550" s="939"/>
      <c r="AF550" s="939"/>
      <c r="AG550" s="939"/>
      <c r="AH550" s="939"/>
      <c r="AI550" s="939"/>
      <c r="AJ550" s="939"/>
      <c r="AK550" s="939"/>
      <c r="AL550" s="939"/>
      <c r="AM550" s="939"/>
      <c r="AN550" s="939"/>
    </row>
    <row r="551" spans="1:40" ht="15" customHeight="1">
      <c r="A551" s="939"/>
      <c r="B551" s="939"/>
      <c r="C551" s="939"/>
      <c r="D551" s="939"/>
      <c r="E551" s="939"/>
      <c r="F551" s="939"/>
      <c r="G551" s="939"/>
      <c r="H551" s="939"/>
      <c r="I551" s="939"/>
      <c r="J551" s="939"/>
      <c r="K551" s="939"/>
      <c r="L551" s="939"/>
      <c r="M551" s="939"/>
      <c r="N551" s="939"/>
      <c r="O551" s="939"/>
      <c r="P551" s="939"/>
      <c r="Q551" s="939"/>
      <c r="R551" s="939"/>
      <c r="S551" s="939"/>
      <c r="T551" s="939"/>
      <c r="U551" s="939"/>
      <c r="V551" s="939"/>
      <c r="W551" s="939"/>
      <c r="X551" s="939"/>
      <c r="Y551" s="939"/>
      <c r="Z551" s="939"/>
      <c r="AA551" s="939"/>
      <c r="AB551" s="939"/>
      <c r="AC551" s="939"/>
      <c r="AD551" s="939"/>
      <c r="AE551" s="939"/>
      <c r="AF551" s="939"/>
      <c r="AG551" s="939"/>
      <c r="AH551" s="939"/>
      <c r="AI551" s="939"/>
      <c r="AJ551" s="939"/>
      <c r="AK551" s="939"/>
      <c r="AL551" s="939"/>
      <c r="AM551" s="939"/>
      <c r="AN551" s="939"/>
    </row>
    <row r="552" spans="1:40" ht="15" customHeight="1">
      <c r="A552" s="939"/>
      <c r="B552" s="939"/>
      <c r="C552" s="939"/>
      <c r="D552" s="939"/>
      <c r="E552" s="939"/>
      <c r="F552" s="939"/>
      <c r="G552" s="939"/>
      <c r="H552" s="939"/>
      <c r="I552" s="939"/>
      <c r="J552" s="939"/>
      <c r="K552" s="939"/>
      <c r="L552" s="939"/>
      <c r="M552" s="939"/>
      <c r="N552" s="939"/>
      <c r="O552" s="939"/>
      <c r="P552" s="939"/>
      <c r="Q552" s="939"/>
      <c r="R552" s="939"/>
      <c r="S552" s="939"/>
      <c r="T552" s="939"/>
      <c r="U552" s="939"/>
      <c r="V552" s="939"/>
      <c r="W552" s="939"/>
      <c r="X552" s="939"/>
      <c r="Y552" s="939"/>
      <c r="Z552" s="939"/>
      <c r="AA552" s="939"/>
      <c r="AB552" s="939"/>
      <c r="AC552" s="939"/>
      <c r="AD552" s="939"/>
      <c r="AE552" s="939"/>
      <c r="AF552" s="939"/>
      <c r="AG552" s="939"/>
      <c r="AH552" s="939"/>
      <c r="AI552" s="939"/>
      <c r="AJ552" s="939"/>
      <c r="AK552" s="939"/>
      <c r="AL552" s="939"/>
      <c r="AM552" s="939"/>
      <c r="AN552" s="939"/>
    </row>
    <row r="553" spans="1:40" ht="15" customHeight="1">
      <c r="A553" s="939"/>
      <c r="B553" s="939"/>
      <c r="C553" s="939"/>
      <c r="D553" s="939"/>
      <c r="E553" s="939"/>
      <c r="F553" s="939"/>
      <c r="G553" s="939"/>
      <c r="H553" s="939"/>
      <c r="I553" s="939"/>
      <c r="J553" s="939"/>
      <c r="K553" s="939"/>
      <c r="L553" s="939"/>
      <c r="M553" s="939"/>
      <c r="N553" s="939"/>
      <c r="O553" s="939"/>
      <c r="P553" s="939"/>
      <c r="Q553" s="939"/>
      <c r="R553" s="939"/>
      <c r="S553" s="939"/>
      <c r="T553" s="939"/>
      <c r="U553" s="939"/>
      <c r="V553" s="939"/>
      <c r="W553" s="939"/>
      <c r="X553" s="939"/>
      <c r="Y553" s="939"/>
      <c r="Z553" s="939"/>
      <c r="AA553" s="939"/>
      <c r="AB553" s="939"/>
      <c r="AC553" s="939"/>
      <c r="AD553" s="939"/>
      <c r="AE553" s="939"/>
      <c r="AF553" s="939"/>
      <c r="AG553" s="939"/>
      <c r="AH553" s="939"/>
      <c r="AI553" s="939"/>
      <c r="AJ553" s="939"/>
      <c r="AK553" s="939"/>
      <c r="AL553" s="939"/>
      <c r="AM553" s="939"/>
      <c r="AN553" s="939"/>
    </row>
    <row r="554" spans="1:40" ht="15" customHeight="1">
      <c r="A554" s="939"/>
      <c r="B554" s="939"/>
      <c r="C554" s="939"/>
      <c r="D554" s="939"/>
      <c r="E554" s="939"/>
      <c r="F554" s="939"/>
      <c r="G554" s="939"/>
      <c r="H554" s="939"/>
      <c r="I554" s="939"/>
      <c r="J554" s="939"/>
      <c r="K554" s="939"/>
      <c r="L554" s="939"/>
      <c r="M554" s="939"/>
      <c r="N554" s="939"/>
      <c r="O554" s="939"/>
      <c r="P554" s="939"/>
      <c r="Q554" s="939"/>
      <c r="R554" s="939"/>
      <c r="S554" s="939"/>
      <c r="T554" s="939"/>
      <c r="U554" s="939"/>
      <c r="V554" s="939"/>
      <c r="W554" s="939"/>
      <c r="X554" s="939"/>
      <c r="Y554" s="939"/>
      <c r="Z554" s="939"/>
      <c r="AA554" s="939"/>
      <c r="AB554" s="939"/>
      <c r="AC554" s="939"/>
      <c r="AD554" s="939"/>
      <c r="AE554" s="939"/>
      <c r="AF554" s="939"/>
      <c r="AG554" s="939"/>
      <c r="AH554" s="939"/>
      <c r="AI554" s="939"/>
      <c r="AJ554" s="939"/>
      <c r="AK554" s="939"/>
      <c r="AL554" s="939"/>
      <c r="AM554" s="939"/>
      <c r="AN554" s="939"/>
    </row>
    <row r="555" spans="1:40" ht="15" customHeight="1">
      <c r="A555" s="939"/>
      <c r="B555" s="939"/>
      <c r="C555" s="939"/>
      <c r="D555" s="939"/>
      <c r="E555" s="939"/>
      <c r="F555" s="939"/>
      <c r="G555" s="939"/>
      <c r="H555" s="939"/>
      <c r="I555" s="939"/>
      <c r="J555" s="939"/>
      <c r="K555" s="939"/>
      <c r="L555" s="939"/>
      <c r="M555" s="939"/>
      <c r="N555" s="939"/>
      <c r="O555" s="939"/>
      <c r="P555" s="939"/>
      <c r="Q555" s="939"/>
      <c r="R555" s="939"/>
      <c r="S555" s="939"/>
      <c r="T555" s="939"/>
      <c r="U555" s="939"/>
      <c r="V555" s="939"/>
      <c r="W555" s="939"/>
      <c r="X555" s="939"/>
      <c r="Y555" s="939"/>
      <c r="Z555" s="939"/>
      <c r="AA555" s="939"/>
      <c r="AB555" s="939"/>
      <c r="AC555" s="939"/>
      <c r="AD555" s="939"/>
      <c r="AE555" s="939"/>
      <c r="AF555" s="939"/>
      <c r="AG555" s="939"/>
      <c r="AH555" s="939"/>
      <c r="AI555" s="939"/>
      <c r="AJ555" s="939"/>
      <c r="AK555" s="939"/>
      <c r="AL555" s="939"/>
      <c r="AM555" s="939"/>
      <c r="AN555" s="939"/>
    </row>
    <row r="556" spans="1:40" ht="15" customHeight="1">
      <c r="A556" s="939"/>
      <c r="B556" s="939"/>
      <c r="C556" s="939"/>
      <c r="D556" s="939"/>
      <c r="E556" s="939"/>
      <c r="F556" s="939"/>
      <c r="G556" s="939"/>
      <c r="H556" s="939"/>
      <c r="I556" s="939"/>
      <c r="J556" s="939"/>
      <c r="K556" s="939"/>
      <c r="L556" s="939"/>
      <c r="M556" s="939"/>
      <c r="N556" s="939"/>
      <c r="O556" s="939"/>
      <c r="P556" s="939"/>
      <c r="Q556" s="939"/>
      <c r="R556" s="939"/>
      <c r="S556" s="939"/>
      <c r="T556" s="939"/>
      <c r="U556" s="939"/>
      <c r="V556" s="939"/>
      <c r="W556" s="939"/>
      <c r="X556" s="939"/>
      <c r="Y556" s="939"/>
      <c r="Z556" s="939"/>
      <c r="AA556" s="939"/>
      <c r="AB556" s="939"/>
      <c r="AC556" s="939"/>
      <c r="AD556" s="939"/>
      <c r="AE556" s="939"/>
      <c r="AF556" s="939"/>
      <c r="AG556" s="939"/>
      <c r="AH556" s="939"/>
      <c r="AI556" s="939"/>
      <c r="AJ556" s="939"/>
      <c r="AK556" s="939"/>
      <c r="AL556" s="939"/>
      <c r="AM556" s="939"/>
      <c r="AN556" s="939"/>
    </row>
    <row r="557" spans="1:40" ht="15" customHeight="1">
      <c r="A557" s="939"/>
      <c r="B557" s="939"/>
      <c r="C557" s="939"/>
      <c r="D557" s="939"/>
      <c r="E557" s="939"/>
      <c r="F557" s="939"/>
      <c r="G557" s="939"/>
      <c r="H557" s="939"/>
      <c r="I557" s="939"/>
      <c r="J557" s="939"/>
      <c r="K557" s="939"/>
      <c r="L557" s="939"/>
      <c r="M557" s="939"/>
      <c r="N557" s="939"/>
      <c r="O557" s="939"/>
      <c r="P557" s="939"/>
      <c r="Q557" s="939"/>
      <c r="R557" s="939"/>
      <c r="S557" s="939"/>
      <c r="T557" s="939"/>
      <c r="U557" s="939"/>
      <c r="V557" s="939"/>
      <c r="W557" s="939"/>
      <c r="X557" s="939"/>
      <c r="Y557" s="939"/>
      <c r="Z557" s="939"/>
      <c r="AA557" s="939"/>
      <c r="AB557" s="939"/>
      <c r="AC557" s="939"/>
      <c r="AD557" s="939"/>
      <c r="AE557" s="939"/>
      <c r="AF557" s="939"/>
      <c r="AG557" s="939"/>
      <c r="AH557" s="939"/>
      <c r="AI557" s="939"/>
      <c r="AJ557" s="939"/>
      <c r="AK557" s="939"/>
      <c r="AL557" s="939"/>
      <c r="AM557" s="939"/>
      <c r="AN557" s="939"/>
    </row>
    <row r="558" spans="1:40" ht="15" customHeight="1">
      <c r="A558" s="939"/>
      <c r="B558" s="939"/>
      <c r="C558" s="939"/>
      <c r="D558" s="939"/>
      <c r="E558" s="939"/>
      <c r="F558" s="939"/>
      <c r="G558" s="939"/>
      <c r="H558" s="939"/>
      <c r="I558" s="939"/>
      <c r="J558" s="939"/>
      <c r="K558" s="939"/>
      <c r="L558" s="939"/>
      <c r="M558" s="939"/>
      <c r="N558" s="939"/>
      <c r="O558" s="939"/>
      <c r="P558" s="939"/>
      <c r="Q558" s="939"/>
      <c r="R558" s="939"/>
      <c r="S558" s="939"/>
      <c r="T558" s="939"/>
      <c r="U558" s="939"/>
      <c r="V558" s="939"/>
      <c r="W558" s="939"/>
      <c r="X558" s="939"/>
      <c r="Y558" s="939"/>
      <c r="Z558" s="939"/>
      <c r="AA558" s="939"/>
      <c r="AB558" s="939"/>
      <c r="AC558" s="939"/>
      <c r="AD558" s="939"/>
      <c r="AE558" s="939"/>
      <c r="AF558" s="939"/>
      <c r="AG558" s="939"/>
      <c r="AH558" s="939"/>
      <c r="AI558" s="939"/>
      <c r="AJ558" s="939"/>
      <c r="AK558" s="939"/>
      <c r="AL558" s="939"/>
      <c r="AM558" s="939"/>
      <c r="AN558" s="939"/>
    </row>
    <row r="559" spans="1:40" ht="15" customHeight="1">
      <c r="A559" s="939"/>
      <c r="B559" s="939"/>
      <c r="C559" s="939"/>
      <c r="D559" s="939"/>
      <c r="E559" s="939"/>
      <c r="F559" s="939"/>
      <c r="G559" s="939"/>
      <c r="H559" s="939"/>
      <c r="I559" s="939"/>
      <c r="J559" s="939"/>
      <c r="K559" s="939"/>
      <c r="L559" s="939"/>
      <c r="M559" s="939"/>
      <c r="N559" s="939"/>
      <c r="O559" s="939"/>
      <c r="P559" s="939"/>
      <c r="Q559" s="939"/>
      <c r="R559" s="939"/>
      <c r="S559" s="939"/>
      <c r="T559" s="939"/>
      <c r="U559" s="939"/>
      <c r="V559" s="939"/>
      <c r="W559" s="939"/>
      <c r="X559" s="939"/>
      <c r="Y559" s="939"/>
      <c r="Z559" s="939"/>
      <c r="AA559" s="939"/>
      <c r="AB559" s="939"/>
      <c r="AC559" s="939"/>
      <c r="AD559" s="939"/>
      <c r="AE559" s="939"/>
      <c r="AF559" s="939"/>
      <c r="AG559" s="939"/>
      <c r="AH559" s="939"/>
      <c r="AI559" s="939"/>
      <c r="AJ559" s="939"/>
      <c r="AK559" s="939"/>
      <c r="AL559" s="939"/>
      <c r="AM559" s="939"/>
      <c r="AN559" s="939"/>
    </row>
    <row r="560" spans="1:40" ht="15" customHeight="1">
      <c r="A560" s="939"/>
      <c r="B560" s="939"/>
      <c r="C560" s="939"/>
      <c r="D560" s="939"/>
      <c r="E560" s="939"/>
      <c r="F560" s="939"/>
      <c r="G560" s="939"/>
      <c r="H560" s="939"/>
      <c r="I560" s="939"/>
      <c r="J560" s="939"/>
      <c r="K560" s="939"/>
      <c r="L560" s="939"/>
      <c r="M560" s="939"/>
      <c r="N560" s="939"/>
      <c r="O560" s="939"/>
      <c r="P560" s="939"/>
      <c r="Q560" s="939"/>
      <c r="R560" s="939"/>
      <c r="S560" s="939"/>
      <c r="T560" s="939"/>
      <c r="U560" s="939"/>
      <c r="V560" s="939"/>
      <c r="W560" s="939"/>
      <c r="X560" s="939"/>
      <c r="Y560" s="939"/>
      <c r="Z560" s="939"/>
      <c r="AA560" s="939"/>
      <c r="AB560" s="939"/>
      <c r="AC560" s="939"/>
      <c r="AD560" s="939"/>
      <c r="AE560" s="939"/>
      <c r="AF560" s="939"/>
      <c r="AG560" s="939"/>
      <c r="AH560" s="939"/>
      <c r="AI560" s="939"/>
      <c r="AJ560" s="939"/>
      <c r="AK560" s="939"/>
      <c r="AL560" s="939"/>
      <c r="AM560" s="939"/>
      <c r="AN560" s="939"/>
    </row>
    <row r="561" spans="1:40" ht="15" customHeight="1">
      <c r="A561" s="939"/>
      <c r="B561" s="939"/>
      <c r="C561" s="939"/>
      <c r="D561" s="939"/>
      <c r="E561" s="939"/>
      <c r="F561" s="939"/>
      <c r="G561" s="939"/>
      <c r="H561" s="939"/>
      <c r="I561" s="939"/>
      <c r="J561" s="939"/>
      <c r="K561" s="939"/>
      <c r="L561" s="939"/>
      <c r="M561" s="939"/>
      <c r="N561" s="939"/>
      <c r="O561" s="939"/>
      <c r="P561" s="939"/>
      <c r="Q561" s="939"/>
      <c r="R561" s="939"/>
      <c r="S561" s="939"/>
      <c r="T561" s="939"/>
      <c r="U561" s="939"/>
      <c r="V561" s="939"/>
      <c r="W561" s="939"/>
      <c r="X561" s="939"/>
      <c r="Y561" s="939"/>
      <c r="Z561" s="939"/>
      <c r="AA561" s="939"/>
      <c r="AB561" s="939"/>
      <c r="AC561" s="939"/>
      <c r="AD561" s="939"/>
      <c r="AE561" s="939"/>
      <c r="AF561" s="939"/>
      <c r="AG561" s="939"/>
      <c r="AH561" s="939"/>
      <c r="AI561" s="939"/>
      <c r="AJ561" s="939"/>
      <c r="AK561" s="939"/>
      <c r="AL561" s="939"/>
      <c r="AM561" s="939"/>
      <c r="AN561" s="939"/>
    </row>
    <row r="562" spans="1:40" ht="15" customHeight="1">
      <c r="A562" s="939"/>
      <c r="B562" s="939"/>
      <c r="C562" s="939"/>
      <c r="D562" s="939"/>
      <c r="E562" s="939"/>
      <c r="F562" s="939"/>
      <c r="G562" s="939"/>
      <c r="H562" s="939"/>
      <c r="I562" s="939"/>
      <c r="J562" s="939"/>
      <c r="K562" s="939"/>
      <c r="L562" s="939"/>
      <c r="M562" s="939"/>
      <c r="N562" s="939"/>
      <c r="O562" s="939"/>
      <c r="P562" s="939"/>
      <c r="Q562" s="939"/>
      <c r="R562" s="939"/>
      <c r="S562" s="939"/>
      <c r="T562" s="939"/>
      <c r="U562" s="939"/>
      <c r="V562" s="939"/>
      <c r="W562" s="939"/>
      <c r="X562" s="939"/>
      <c r="Y562" s="939"/>
      <c r="Z562" s="939"/>
      <c r="AA562" s="939"/>
      <c r="AB562" s="939"/>
      <c r="AC562" s="939"/>
      <c r="AD562" s="939"/>
      <c r="AE562" s="939"/>
      <c r="AF562" s="939"/>
      <c r="AG562" s="939"/>
      <c r="AH562" s="939"/>
      <c r="AI562" s="939"/>
      <c r="AJ562" s="939"/>
      <c r="AK562" s="939"/>
      <c r="AL562" s="939"/>
      <c r="AM562" s="939"/>
      <c r="AN562" s="939"/>
    </row>
    <row r="563" spans="1:40" ht="15" customHeight="1">
      <c r="A563" s="939"/>
      <c r="B563" s="939"/>
      <c r="C563" s="939"/>
      <c r="D563" s="939"/>
      <c r="E563" s="939"/>
      <c r="F563" s="939"/>
      <c r="G563" s="939"/>
      <c r="H563" s="939"/>
      <c r="I563" s="939"/>
      <c r="J563" s="939"/>
      <c r="K563" s="939"/>
      <c r="L563" s="939"/>
      <c r="M563" s="939"/>
      <c r="N563" s="939"/>
      <c r="O563" s="939"/>
      <c r="P563" s="939"/>
      <c r="Q563" s="939"/>
      <c r="R563" s="939"/>
      <c r="S563" s="939"/>
      <c r="T563" s="939"/>
      <c r="U563" s="939"/>
      <c r="V563" s="939"/>
      <c r="W563" s="939"/>
      <c r="X563" s="939"/>
      <c r="Y563" s="939"/>
      <c r="Z563" s="939"/>
      <c r="AA563" s="939"/>
      <c r="AB563" s="939"/>
      <c r="AC563" s="939"/>
      <c r="AD563" s="939"/>
      <c r="AE563" s="939"/>
      <c r="AF563" s="939"/>
      <c r="AG563" s="939"/>
      <c r="AH563" s="939"/>
      <c r="AI563" s="939"/>
      <c r="AJ563" s="939"/>
      <c r="AK563" s="939"/>
      <c r="AL563" s="939"/>
      <c r="AM563" s="939"/>
      <c r="AN563" s="939"/>
    </row>
    <row r="564" spans="1:40" ht="15" customHeight="1">
      <c r="A564" s="939"/>
      <c r="B564" s="939"/>
      <c r="C564" s="939"/>
      <c r="D564" s="939"/>
      <c r="E564" s="939"/>
      <c r="F564" s="939"/>
      <c r="G564" s="939"/>
      <c r="H564" s="939"/>
      <c r="I564" s="939"/>
      <c r="J564" s="939"/>
      <c r="K564" s="939"/>
      <c r="L564" s="939"/>
      <c r="M564" s="939"/>
      <c r="N564" s="939"/>
      <c r="O564" s="939"/>
      <c r="P564" s="939"/>
      <c r="Q564" s="939"/>
      <c r="R564" s="939"/>
      <c r="S564" s="939"/>
      <c r="T564" s="939"/>
      <c r="U564" s="939"/>
      <c r="V564" s="939"/>
      <c r="W564" s="939"/>
      <c r="X564" s="939"/>
      <c r="Y564" s="939"/>
      <c r="Z564" s="939"/>
      <c r="AA564" s="939"/>
      <c r="AB564" s="939"/>
      <c r="AC564" s="939"/>
      <c r="AD564" s="939"/>
      <c r="AE564" s="939"/>
      <c r="AF564" s="939"/>
      <c r="AG564" s="939"/>
      <c r="AH564" s="939"/>
      <c r="AI564" s="939"/>
      <c r="AJ564" s="939"/>
      <c r="AK564" s="939"/>
      <c r="AL564" s="939"/>
      <c r="AM564" s="939"/>
      <c r="AN564" s="939"/>
    </row>
    <row r="565" spans="1:40" ht="15" customHeight="1">
      <c r="A565" s="939"/>
      <c r="B565" s="939"/>
      <c r="C565" s="939"/>
      <c r="D565" s="939"/>
      <c r="E565" s="939"/>
      <c r="F565" s="939"/>
      <c r="G565" s="939"/>
      <c r="H565" s="939"/>
      <c r="I565" s="939"/>
      <c r="J565" s="939"/>
      <c r="K565" s="939"/>
      <c r="L565" s="939"/>
      <c r="M565" s="939"/>
      <c r="N565" s="939"/>
      <c r="O565" s="939"/>
      <c r="P565" s="939"/>
      <c r="Q565" s="939"/>
      <c r="R565" s="939"/>
      <c r="S565" s="939"/>
      <c r="T565" s="939"/>
      <c r="U565" s="939"/>
      <c r="V565" s="939"/>
      <c r="W565" s="939"/>
      <c r="X565" s="939"/>
      <c r="Y565" s="939"/>
      <c r="Z565" s="939"/>
      <c r="AA565" s="939"/>
      <c r="AB565" s="939"/>
      <c r="AC565" s="939"/>
      <c r="AD565" s="939"/>
      <c r="AE565" s="939"/>
      <c r="AF565" s="939"/>
      <c r="AG565" s="939"/>
      <c r="AH565" s="939"/>
      <c r="AI565" s="939"/>
      <c r="AJ565" s="939"/>
      <c r="AK565" s="939"/>
      <c r="AL565" s="939"/>
      <c r="AM565" s="939"/>
      <c r="AN565" s="939"/>
    </row>
    <row r="566" spans="1:40" ht="15" customHeight="1">
      <c r="A566" s="939"/>
      <c r="B566" s="939"/>
      <c r="C566" s="939"/>
      <c r="D566" s="939"/>
      <c r="E566" s="939"/>
      <c r="F566" s="939"/>
      <c r="G566" s="939"/>
      <c r="H566" s="939"/>
      <c r="I566" s="939"/>
      <c r="J566" s="939"/>
      <c r="K566" s="939"/>
      <c r="L566" s="939"/>
      <c r="M566" s="939"/>
      <c r="N566" s="939"/>
      <c r="O566" s="939"/>
      <c r="P566" s="939"/>
      <c r="Q566" s="939"/>
      <c r="R566" s="939"/>
      <c r="S566" s="939"/>
      <c r="T566" s="939"/>
      <c r="U566" s="939"/>
      <c r="V566" s="939"/>
      <c r="W566" s="939"/>
      <c r="X566" s="939"/>
      <c r="Y566" s="939"/>
      <c r="Z566" s="939"/>
      <c r="AA566" s="939"/>
      <c r="AB566" s="939"/>
      <c r="AC566" s="939"/>
      <c r="AD566" s="939"/>
      <c r="AE566" s="939"/>
      <c r="AF566" s="939"/>
      <c r="AG566" s="939"/>
      <c r="AH566" s="939"/>
      <c r="AI566" s="939"/>
      <c r="AJ566" s="939"/>
      <c r="AK566" s="939"/>
      <c r="AL566" s="939"/>
      <c r="AM566" s="939"/>
      <c r="AN566" s="939"/>
    </row>
    <row r="567" spans="1:40" ht="15" customHeight="1">
      <c r="A567" s="939"/>
      <c r="B567" s="939"/>
      <c r="C567" s="939"/>
      <c r="D567" s="939"/>
      <c r="E567" s="939"/>
      <c r="F567" s="939"/>
      <c r="G567" s="939"/>
      <c r="H567" s="939"/>
      <c r="I567" s="939"/>
      <c r="J567" s="939"/>
      <c r="K567" s="939"/>
      <c r="L567" s="939"/>
      <c r="M567" s="939"/>
      <c r="N567" s="939"/>
      <c r="O567" s="939"/>
      <c r="P567" s="939"/>
      <c r="Q567" s="939"/>
      <c r="R567" s="939"/>
      <c r="S567" s="939"/>
      <c r="T567" s="939"/>
      <c r="U567" s="939"/>
      <c r="V567" s="939"/>
      <c r="W567" s="939"/>
      <c r="X567" s="939"/>
      <c r="Y567" s="939"/>
      <c r="Z567" s="939"/>
      <c r="AA567" s="939"/>
      <c r="AB567" s="939"/>
      <c r="AC567" s="939"/>
      <c r="AD567" s="939"/>
      <c r="AE567" s="939"/>
      <c r="AF567" s="939"/>
      <c r="AG567" s="939"/>
      <c r="AH567" s="939"/>
      <c r="AI567" s="939"/>
      <c r="AJ567" s="939"/>
      <c r="AK567" s="939"/>
      <c r="AL567" s="939"/>
      <c r="AM567" s="939"/>
      <c r="AN567" s="939"/>
    </row>
    <row r="568" spans="1:40" ht="15" customHeight="1">
      <c r="A568" s="939"/>
      <c r="B568" s="939"/>
      <c r="C568" s="939"/>
      <c r="D568" s="939"/>
      <c r="E568" s="939"/>
      <c r="F568" s="939"/>
      <c r="G568" s="939"/>
      <c r="H568" s="939"/>
      <c r="I568" s="939"/>
      <c r="J568" s="939"/>
      <c r="K568" s="939"/>
      <c r="L568" s="939"/>
      <c r="M568" s="939"/>
      <c r="N568" s="939"/>
      <c r="O568" s="939"/>
      <c r="P568" s="939"/>
      <c r="Q568" s="939"/>
      <c r="R568" s="939"/>
      <c r="S568" s="939"/>
      <c r="T568" s="939"/>
      <c r="U568" s="939"/>
      <c r="V568" s="939"/>
      <c r="W568" s="939"/>
      <c r="X568" s="939"/>
      <c r="Y568" s="939"/>
      <c r="Z568" s="939"/>
      <c r="AA568" s="939"/>
      <c r="AB568" s="939"/>
      <c r="AC568" s="939"/>
      <c r="AD568" s="939"/>
      <c r="AE568" s="939"/>
      <c r="AF568" s="939"/>
      <c r="AG568" s="939"/>
      <c r="AH568" s="939"/>
      <c r="AI568" s="939"/>
      <c r="AJ568" s="939"/>
      <c r="AK568" s="939"/>
      <c r="AL568" s="939"/>
      <c r="AM568" s="939"/>
      <c r="AN568" s="939"/>
    </row>
    <row r="569" spans="1:40" ht="15" customHeight="1">
      <c r="A569" s="939"/>
      <c r="B569" s="939"/>
      <c r="C569" s="939"/>
      <c r="D569" s="939"/>
      <c r="E569" s="939"/>
      <c r="F569" s="939"/>
      <c r="G569" s="939"/>
      <c r="H569" s="939"/>
      <c r="I569" s="939"/>
      <c r="J569" s="939"/>
      <c r="K569" s="939"/>
      <c r="L569" s="939"/>
      <c r="M569" s="939"/>
      <c r="N569" s="939"/>
      <c r="O569" s="939"/>
      <c r="P569" s="939"/>
      <c r="Q569" s="939"/>
      <c r="R569" s="939"/>
      <c r="S569" s="939"/>
      <c r="T569" s="939"/>
      <c r="U569" s="939"/>
      <c r="V569" s="939"/>
      <c r="W569" s="939"/>
      <c r="X569" s="939"/>
      <c r="Y569" s="939"/>
      <c r="Z569" s="939"/>
      <c r="AA569" s="939"/>
      <c r="AB569" s="939"/>
      <c r="AC569" s="939"/>
      <c r="AD569" s="939"/>
      <c r="AE569" s="939"/>
      <c r="AF569" s="939"/>
      <c r="AG569" s="939"/>
      <c r="AH569" s="939"/>
      <c r="AI569" s="939"/>
      <c r="AJ569" s="939"/>
      <c r="AK569" s="939"/>
      <c r="AL569" s="939"/>
      <c r="AM569" s="939"/>
      <c r="AN569" s="939"/>
    </row>
    <row r="570" spans="1:40" ht="15" customHeight="1">
      <c r="A570" s="939"/>
      <c r="B570" s="939"/>
      <c r="C570" s="939"/>
      <c r="D570" s="939"/>
      <c r="E570" s="939"/>
      <c r="F570" s="939"/>
      <c r="G570" s="939"/>
      <c r="H570" s="939"/>
      <c r="I570" s="939"/>
      <c r="J570" s="939"/>
      <c r="K570" s="939"/>
      <c r="L570" s="939"/>
      <c r="M570" s="939"/>
      <c r="N570" s="939"/>
      <c r="O570" s="939"/>
      <c r="P570" s="939"/>
      <c r="Q570" s="939"/>
      <c r="R570" s="939"/>
      <c r="S570" s="939"/>
      <c r="T570" s="939"/>
      <c r="U570" s="939"/>
      <c r="V570" s="939"/>
      <c r="W570" s="939"/>
      <c r="X570" s="939"/>
      <c r="Y570" s="939"/>
      <c r="Z570" s="939"/>
      <c r="AA570" s="939"/>
      <c r="AB570" s="939"/>
      <c r="AC570" s="939"/>
      <c r="AD570" s="939"/>
      <c r="AE570" s="939"/>
      <c r="AF570" s="939"/>
      <c r="AG570" s="939"/>
      <c r="AH570" s="939"/>
      <c r="AI570" s="939"/>
      <c r="AJ570" s="939"/>
      <c r="AK570" s="939"/>
      <c r="AL570" s="939"/>
      <c r="AM570" s="939"/>
      <c r="AN570" s="939"/>
    </row>
    <row r="571" spans="1:40" ht="15" customHeight="1">
      <c r="A571" s="939"/>
      <c r="B571" s="939"/>
      <c r="C571" s="939"/>
      <c r="D571" s="939"/>
      <c r="E571" s="939"/>
      <c r="F571" s="939"/>
      <c r="G571" s="939"/>
      <c r="H571" s="939"/>
      <c r="I571" s="939"/>
      <c r="J571" s="939"/>
      <c r="K571" s="939"/>
      <c r="L571" s="939"/>
      <c r="M571" s="939"/>
      <c r="N571" s="939"/>
      <c r="O571" s="939"/>
      <c r="P571" s="939"/>
      <c r="Q571" s="939"/>
      <c r="R571" s="939"/>
      <c r="S571" s="939"/>
      <c r="T571" s="939"/>
      <c r="U571" s="939"/>
      <c r="V571" s="939"/>
      <c r="W571" s="939"/>
      <c r="X571" s="939"/>
      <c r="Y571" s="939"/>
      <c r="Z571" s="939"/>
      <c r="AA571" s="939"/>
      <c r="AB571" s="939"/>
      <c r="AC571" s="939"/>
      <c r="AD571" s="939"/>
      <c r="AE571" s="939"/>
      <c r="AF571" s="939"/>
      <c r="AG571" s="939"/>
      <c r="AH571" s="939"/>
      <c r="AI571" s="939"/>
      <c r="AJ571" s="939"/>
      <c r="AK571" s="939"/>
      <c r="AL571" s="939"/>
      <c r="AM571" s="939"/>
      <c r="AN571" s="939"/>
    </row>
    <row r="572" spans="1:40" ht="15" customHeight="1">
      <c r="A572" s="939"/>
      <c r="B572" s="939"/>
      <c r="C572" s="939"/>
      <c r="D572" s="939"/>
      <c r="E572" s="939"/>
      <c r="F572" s="939"/>
      <c r="G572" s="939"/>
      <c r="H572" s="939"/>
      <c r="I572" s="939"/>
      <c r="J572" s="939"/>
      <c r="K572" s="939"/>
      <c r="L572" s="939"/>
      <c r="M572" s="939"/>
      <c r="N572" s="939"/>
      <c r="O572" s="939"/>
      <c r="P572" s="939"/>
      <c r="Q572" s="939"/>
      <c r="R572" s="939"/>
      <c r="S572" s="939"/>
      <c r="T572" s="939"/>
      <c r="U572" s="939"/>
      <c r="V572" s="939"/>
      <c r="W572" s="939"/>
      <c r="X572" s="939"/>
      <c r="Y572" s="939"/>
      <c r="Z572" s="939"/>
      <c r="AA572" s="939"/>
      <c r="AB572" s="939"/>
      <c r="AC572" s="939"/>
      <c r="AD572" s="939"/>
      <c r="AE572" s="939"/>
      <c r="AF572" s="939"/>
      <c r="AG572" s="939"/>
      <c r="AH572" s="939"/>
      <c r="AI572" s="939"/>
      <c r="AJ572" s="939"/>
      <c r="AK572" s="939"/>
      <c r="AL572" s="939"/>
      <c r="AM572" s="939"/>
      <c r="AN572" s="939"/>
    </row>
    <row r="573" spans="1:40" ht="15" customHeight="1">
      <c r="A573" s="939"/>
      <c r="B573" s="939"/>
      <c r="C573" s="939"/>
      <c r="D573" s="939"/>
      <c r="E573" s="939"/>
      <c r="F573" s="939"/>
      <c r="G573" s="939"/>
      <c r="H573" s="939"/>
      <c r="I573" s="939"/>
      <c r="J573" s="939"/>
      <c r="K573" s="939"/>
      <c r="L573" s="939"/>
      <c r="M573" s="939"/>
      <c r="N573" s="939"/>
      <c r="O573" s="939"/>
      <c r="P573" s="939"/>
      <c r="Q573" s="939"/>
      <c r="R573" s="939"/>
      <c r="S573" s="939"/>
      <c r="T573" s="939"/>
      <c r="U573" s="939"/>
      <c r="V573" s="939"/>
      <c r="W573" s="939"/>
      <c r="X573" s="939"/>
      <c r="Y573" s="939"/>
      <c r="Z573" s="939"/>
      <c r="AA573" s="939"/>
      <c r="AB573" s="939"/>
      <c r="AC573" s="939"/>
      <c r="AD573" s="939"/>
      <c r="AE573" s="939"/>
      <c r="AF573" s="939"/>
      <c r="AG573" s="939"/>
      <c r="AH573" s="939"/>
      <c r="AI573" s="939"/>
      <c r="AJ573" s="939"/>
      <c r="AK573" s="939"/>
      <c r="AL573" s="939"/>
      <c r="AM573" s="939"/>
      <c r="AN573" s="939"/>
    </row>
    <row r="574" spans="1:40" ht="15" customHeight="1">
      <c r="A574" s="939"/>
      <c r="B574" s="939"/>
      <c r="C574" s="939"/>
      <c r="D574" s="939"/>
      <c r="E574" s="939"/>
      <c r="F574" s="939"/>
      <c r="G574" s="939"/>
      <c r="H574" s="939"/>
      <c r="I574" s="939"/>
      <c r="J574" s="939"/>
      <c r="K574" s="939"/>
      <c r="L574" s="939"/>
      <c r="M574" s="939"/>
      <c r="N574" s="939"/>
      <c r="O574" s="939"/>
      <c r="P574" s="939"/>
      <c r="Q574" s="939"/>
      <c r="R574" s="939"/>
      <c r="S574" s="939"/>
      <c r="T574" s="939"/>
      <c r="U574" s="939"/>
      <c r="V574" s="939"/>
      <c r="W574" s="939"/>
      <c r="X574" s="939"/>
      <c r="Y574" s="939"/>
      <c r="Z574" s="939"/>
      <c r="AA574" s="939"/>
      <c r="AB574" s="939"/>
      <c r="AC574" s="939"/>
      <c r="AD574" s="939"/>
      <c r="AE574" s="939"/>
      <c r="AF574" s="939"/>
      <c r="AG574" s="939"/>
      <c r="AH574" s="939"/>
      <c r="AI574" s="939"/>
      <c r="AJ574" s="939"/>
      <c r="AK574" s="939"/>
      <c r="AL574" s="939"/>
      <c r="AM574" s="939"/>
      <c r="AN574" s="939"/>
    </row>
    <row r="575" spans="1:40" ht="15" customHeight="1">
      <c r="A575" s="939"/>
      <c r="B575" s="939"/>
      <c r="C575" s="939"/>
      <c r="D575" s="939"/>
      <c r="E575" s="939"/>
      <c r="F575" s="939"/>
      <c r="G575" s="939"/>
      <c r="H575" s="939"/>
      <c r="I575" s="939"/>
      <c r="J575" s="939"/>
      <c r="K575" s="939"/>
      <c r="L575" s="939"/>
      <c r="M575" s="939"/>
      <c r="N575" s="939"/>
      <c r="O575" s="939"/>
      <c r="P575" s="939"/>
      <c r="Q575" s="939"/>
      <c r="R575" s="939"/>
      <c r="S575" s="939"/>
      <c r="T575" s="939"/>
      <c r="U575" s="939"/>
      <c r="V575" s="939"/>
      <c r="W575" s="939"/>
      <c r="X575" s="939"/>
      <c r="Y575" s="939"/>
      <c r="Z575" s="939"/>
      <c r="AA575" s="939"/>
      <c r="AB575" s="939"/>
      <c r="AC575" s="939"/>
      <c r="AD575" s="939"/>
      <c r="AE575" s="939"/>
      <c r="AF575" s="939"/>
      <c r="AG575" s="939"/>
      <c r="AH575" s="939"/>
      <c r="AI575" s="939"/>
      <c r="AJ575" s="939"/>
      <c r="AK575" s="939"/>
      <c r="AL575" s="939"/>
      <c r="AM575" s="939"/>
      <c r="AN575" s="939"/>
    </row>
    <row r="576" spans="1:40" ht="15" customHeight="1">
      <c r="A576" s="939"/>
      <c r="B576" s="939"/>
      <c r="C576" s="939"/>
      <c r="D576" s="939"/>
      <c r="E576" s="939"/>
      <c r="F576" s="939"/>
      <c r="G576" s="939"/>
      <c r="H576" s="939"/>
      <c r="I576" s="939"/>
      <c r="J576" s="939"/>
      <c r="K576" s="939"/>
      <c r="L576" s="939"/>
      <c r="M576" s="939"/>
      <c r="N576" s="939"/>
      <c r="O576" s="939"/>
      <c r="P576" s="939"/>
      <c r="Q576" s="939"/>
      <c r="R576" s="939"/>
      <c r="S576" s="939"/>
      <c r="T576" s="939"/>
      <c r="U576" s="939"/>
      <c r="V576" s="939"/>
      <c r="W576" s="939"/>
      <c r="X576" s="939"/>
      <c r="Y576" s="939"/>
      <c r="Z576" s="939"/>
      <c r="AA576" s="939"/>
      <c r="AB576" s="939"/>
      <c r="AC576" s="939"/>
      <c r="AD576" s="939"/>
      <c r="AE576" s="939"/>
      <c r="AF576" s="939"/>
      <c r="AG576" s="939"/>
      <c r="AH576" s="939"/>
      <c r="AI576" s="939"/>
      <c r="AJ576" s="939"/>
      <c r="AK576" s="939"/>
      <c r="AL576" s="939"/>
      <c r="AM576" s="939"/>
      <c r="AN576" s="939"/>
    </row>
    <row r="577" spans="1:40" ht="15" customHeight="1">
      <c r="A577" s="939"/>
      <c r="B577" s="939"/>
      <c r="C577" s="939"/>
      <c r="D577" s="939"/>
      <c r="E577" s="939"/>
      <c r="F577" s="939"/>
      <c r="G577" s="939"/>
      <c r="H577" s="939"/>
      <c r="I577" s="939"/>
      <c r="J577" s="939"/>
      <c r="K577" s="939"/>
      <c r="L577" s="939"/>
      <c r="M577" s="939"/>
      <c r="N577" s="939"/>
      <c r="O577" s="939"/>
      <c r="P577" s="939"/>
      <c r="Q577" s="939"/>
      <c r="R577" s="939"/>
      <c r="S577" s="939"/>
      <c r="T577" s="939"/>
      <c r="U577" s="939"/>
      <c r="V577" s="939"/>
      <c r="W577" s="939"/>
      <c r="X577" s="939"/>
      <c r="Y577" s="939"/>
      <c r="Z577" s="939"/>
      <c r="AA577" s="939"/>
      <c r="AB577" s="939"/>
      <c r="AC577" s="939"/>
      <c r="AD577" s="939"/>
      <c r="AE577" s="939"/>
      <c r="AF577" s="939"/>
      <c r="AG577" s="939"/>
      <c r="AH577" s="939"/>
      <c r="AI577" s="939"/>
      <c r="AJ577" s="939"/>
      <c r="AK577" s="939"/>
      <c r="AL577" s="939"/>
      <c r="AM577" s="939"/>
      <c r="AN577" s="939"/>
    </row>
    <row r="578" spans="1:40" ht="15" customHeight="1">
      <c r="A578" s="939"/>
      <c r="B578" s="939"/>
      <c r="C578" s="939"/>
      <c r="D578" s="939"/>
      <c r="E578" s="939"/>
      <c r="F578" s="939"/>
      <c r="G578" s="939"/>
      <c r="H578" s="939"/>
      <c r="I578" s="939"/>
      <c r="J578" s="939"/>
      <c r="K578" s="939"/>
      <c r="L578" s="939"/>
      <c r="M578" s="939"/>
      <c r="N578" s="939"/>
      <c r="O578" s="939"/>
      <c r="P578" s="939"/>
      <c r="Q578" s="939"/>
      <c r="R578" s="939"/>
      <c r="S578" s="939"/>
      <c r="T578" s="939"/>
      <c r="U578" s="939"/>
      <c r="V578" s="939"/>
      <c r="W578" s="939"/>
      <c r="X578" s="939"/>
      <c r="Y578" s="939"/>
      <c r="Z578" s="939"/>
      <c r="AA578" s="939"/>
      <c r="AB578" s="939"/>
      <c r="AC578" s="939"/>
      <c r="AD578" s="939"/>
      <c r="AE578" s="939"/>
      <c r="AF578" s="939"/>
      <c r="AG578" s="939"/>
      <c r="AH578" s="939"/>
      <c r="AI578" s="939"/>
      <c r="AJ578" s="939"/>
      <c r="AK578" s="939"/>
      <c r="AL578" s="939"/>
      <c r="AM578" s="939"/>
      <c r="AN578" s="939"/>
    </row>
    <row r="579" spans="1:40" ht="15" customHeight="1">
      <c r="A579" s="939"/>
      <c r="B579" s="939"/>
      <c r="C579" s="939"/>
      <c r="D579" s="939"/>
      <c r="E579" s="939"/>
      <c r="F579" s="939"/>
      <c r="G579" s="939"/>
      <c r="H579" s="939"/>
      <c r="I579" s="939"/>
      <c r="J579" s="939"/>
      <c r="K579" s="939"/>
      <c r="L579" s="939"/>
      <c r="M579" s="939"/>
      <c r="N579" s="939"/>
      <c r="O579" s="939"/>
      <c r="P579" s="939"/>
      <c r="Q579" s="939"/>
      <c r="R579" s="939"/>
      <c r="S579" s="939"/>
      <c r="T579" s="939"/>
      <c r="U579" s="939"/>
      <c r="V579" s="939"/>
      <c r="W579" s="939"/>
      <c r="X579" s="939"/>
      <c r="Y579" s="939"/>
      <c r="Z579" s="939"/>
      <c r="AA579" s="939"/>
      <c r="AB579" s="939"/>
      <c r="AC579" s="939"/>
      <c r="AD579" s="939"/>
      <c r="AE579" s="939"/>
      <c r="AF579" s="939"/>
      <c r="AG579" s="939"/>
      <c r="AH579" s="939"/>
      <c r="AI579" s="939"/>
      <c r="AJ579" s="939"/>
      <c r="AK579" s="939"/>
      <c r="AL579" s="939"/>
      <c r="AM579" s="939"/>
      <c r="AN579" s="939"/>
    </row>
    <row r="580" spans="1:40" ht="15" customHeight="1">
      <c r="A580" s="939"/>
      <c r="B580" s="939"/>
      <c r="C580" s="939"/>
      <c r="D580" s="939"/>
      <c r="E580" s="939"/>
      <c r="F580" s="939"/>
      <c r="G580" s="939"/>
      <c r="H580" s="939"/>
      <c r="I580" s="939"/>
      <c r="J580" s="939"/>
      <c r="K580" s="939"/>
      <c r="L580" s="939"/>
      <c r="M580" s="939"/>
      <c r="N580" s="939"/>
      <c r="O580" s="939"/>
      <c r="P580" s="939"/>
      <c r="Q580" s="939"/>
      <c r="R580" s="939"/>
      <c r="S580" s="939"/>
      <c r="T580" s="939"/>
      <c r="U580" s="939"/>
      <c r="V580" s="939"/>
      <c r="W580" s="939"/>
      <c r="X580" s="939"/>
      <c r="Y580" s="939"/>
      <c r="Z580" s="939"/>
      <c r="AA580" s="939"/>
      <c r="AB580" s="939"/>
      <c r="AC580" s="939"/>
      <c r="AD580" s="939"/>
      <c r="AE580" s="939"/>
      <c r="AF580" s="939"/>
      <c r="AG580" s="939"/>
      <c r="AH580" s="939"/>
      <c r="AI580" s="939"/>
      <c r="AJ580" s="939"/>
      <c r="AK580" s="939"/>
      <c r="AL580" s="939"/>
      <c r="AM580" s="939"/>
      <c r="AN580" s="939"/>
    </row>
    <row r="581" spans="1:40" ht="15" customHeight="1">
      <c r="A581" s="939"/>
      <c r="B581" s="939"/>
      <c r="C581" s="939"/>
      <c r="D581" s="939"/>
      <c r="E581" s="939"/>
      <c r="F581" s="939"/>
      <c r="G581" s="939"/>
      <c r="H581" s="939"/>
      <c r="I581" s="939"/>
      <c r="J581" s="939"/>
      <c r="K581" s="939"/>
      <c r="L581" s="939"/>
      <c r="M581" s="939"/>
      <c r="N581" s="939"/>
      <c r="O581" s="939"/>
      <c r="P581" s="939"/>
      <c r="Q581" s="939"/>
      <c r="R581" s="939"/>
      <c r="S581" s="939"/>
      <c r="T581" s="939"/>
      <c r="U581" s="939"/>
      <c r="V581" s="939"/>
      <c r="W581" s="939"/>
      <c r="X581" s="939"/>
      <c r="Y581" s="939"/>
      <c r="Z581" s="939"/>
      <c r="AA581" s="939"/>
      <c r="AB581" s="939"/>
      <c r="AC581" s="939"/>
      <c r="AD581" s="939"/>
      <c r="AE581" s="939"/>
      <c r="AF581" s="939"/>
      <c r="AG581" s="939"/>
      <c r="AH581" s="939"/>
      <c r="AI581" s="939"/>
      <c r="AJ581" s="939"/>
      <c r="AK581" s="939"/>
      <c r="AL581" s="939"/>
      <c r="AM581" s="939"/>
      <c r="AN581" s="939"/>
    </row>
    <row r="582" spans="1:40" ht="15" customHeight="1">
      <c r="A582" s="939"/>
      <c r="B582" s="939"/>
      <c r="C582" s="939"/>
      <c r="D582" s="939"/>
      <c r="E582" s="939"/>
      <c r="F582" s="939"/>
      <c r="G582" s="939"/>
      <c r="H582" s="939"/>
      <c r="I582" s="939"/>
      <c r="J582" s="939"/>
      <c r="K582" s="939"/>
      <c r="L582" s="939"/>
      <c r="M582" s="939"/>
      <c r="N582" s="939"/>
      <c r="O582" s="939"/>
      <c r="P582" s="939"/>
      <c r="Q582" s="939"/>
      <c r="R582" s="939"/>
      <c r="S582" s="939"/>
      <c r="T582" s="939"/>
      <c r="U582" s="939"/>
      <c r="V582" s="939"/>
      <c r="W582" s="939"/>
      <c r="X582" s="939"/>
      <c r="Y582" s="939"/>
      <c r="Z582" s="939"/>
      <c r="AA582" s="939"/>
      <c r="AB582" s="939"/>
      <c r="AC582" s="939"/>
      <c r="AD582" s="939"/>
      <c r="AE582" s="939"/>
      <c r="AF582" s="939"/>
      <c r="AG582" s="939"/>
      <c r="AH582" s="939"/>
      <c r="AI582" s="939"/>
      <c r="AJ582" s="939"/>
      <c r="AK582" s="939"/>
      <c r="AL582" s="939"/>
      <c r="AM582" s="939"/>
      <c r="AN582" s="939"/>
    </row>
    <row r="583" spans="1:40" ht="15" customHeight="1">
      <c r="A583" s="939"/>
      <c r="B583" s="939"/>
      <c r="C583" s="939"/>
      <c r="D583" s="939"/>
      <c r="E583" s="939"/>
      <c r="F583" s="939"/>
      <c r="G583" s="939"/>
      <c r="H583" s="939"/>
      <c r="I583" s="939"/>
      <c r="J583" s="939"/>
      <c r="K583" s="939"/>
      <c r="L583" s="939"/>
      <c r="M583" s="939"/>
      <c r="N583" s="939"/>
      <c r="O583" s="939"/>
      <c r="P583" s="939"/>
      <c r="Q583" s="939"/>
      <c r="R583" s="939"/>
      <c r="S583" s="939"/>
      <c r="T583" s="939"/>
      <c r="U583" s="939"/>
      <c r="V583" s="939"/>
      <c r="W583" s="939"/>
      <c r="X583" s="939"/>
      <c r="Y583" s="939"/>
      <c r="Z583" s="939"/>
      <c r="AA583" s="939"/>
      <c r="AB583" s="939"/>
      <c r="AC583" s="939"/>
      <c r="AD583" s="939"/>
      <c r="AE583" s="939"/>
      <c r="AF583" s="939"/>
      <c r="AG583" s="939"/>
      <c r="AH583" s="939"/>
      <c r="AI583" s="939"/>
      <c r="AJ583" s="939"/>
      <c r="AK583" s="939"/>
      <c r="AL583" s="939"/>
      <c r="AM583" s="939"/>
      <c r="AN583" s="939"/>
    </row>
    <row r="584" spans="1:40" ht="15" customHeight="1">
      <c r="A584" s="939"/>
      <c r="B584" s="939"/>
      <c r="C584" s="939"/>
      <c r="D584" s="939"/>
      <c r="E584" s="939"/>
      <c r="F584" s="939"/>
      <c r="G584" s="939"/>
      <c r="H584" s="939"/>
      <c r="I584" s="939"/>
      <c r="J584" s="939"/>
      <c r="K584" s="939"/>
      <c r="L584" s="939"/>
      <c r="M584" s="939"/>
      <c r="N584" s="939"/>
      <c r="O584" s="939"/>
      <c r="P584" s="939"/>
      <c r="Q584" s="939"/>
      <c r="R584" s="939"/>
      <c r="S584" s="939"/>
      <c r="T584" s="939"/>
      <c r="U584" s="939"/>
      <c r="V584" s="939"/>
      <c r="W584" s="939"/>
      <c r="X584" s="939"/>
      <c r="Y584" s="939"/>
      <c r="Z584" s="939"/>
      <c r="AA584" s="939"/>
      <c r="AB584" s="939"/>
      <c r="AC584" s="939"/>
      <c r="AD584" s="939"/>
      <c r="AE584" s="939"/>
      <c r="AF584" s="939"/>
      <c r="AG584" s="939"/>
      <c r="AH584" s="939"/>
      <c r="AI584" s="939"/>
      <c r="AJ584" s="939"/>
      <c r="AK584" s="939"/>
      <c r="AL584" s="939"/>
      <c r="AM584" s="939"/>
      <c r="AN584" s="939"/>
    </row>
    <row r="585" spans="1:40" ht="15" customHeight="1">
      <c r="A585" s="939"/>
      <c r="B585" s="939"/>
      <c r="C585" s="939"/>
      <c r="D585" s="939"/>
      <c r="E585" s="939"/>
      <c r="F585" s="939"/>
      <c r="G585" s="939"/>
      <c r="H585" s="939"/>
      <c r="I585" s="939"/>
      <c r="J585" s="939"/>
      <c r="K585" s="939"/>
      <c r="L585" s="939"/>
      <c r="M585" s="939"/>
      <c r="N585" s="939"/>
      <c r="O585" s="939"/>
      <c r="P585" s="939"/>
      <c r="Q585" s="939"/>
      <c r="R585" s="939"/>
      <c r="S585" s="939"/>
      <c r="T585" s="939"/>
      <c r="U585" s="939"/>
      <c r="V585" s="939"/>
      <c r="W585" s="939"/>
      <c r="X585" s="939"/>
      <c r="Y585" s="939"/>
      <c r="Z585" s="939"/>
      <c r="AA585" s="939"/>
      <c r="AB585" s="939"/>
      <c r="AC585" s="939"/>
      <c r="AD585" s="939"/>
      <c r="AE585" s="939"/>
      <c r="AF585" s="939"/>
      <c r="AG585" s="939"/>
      <c r="AH585" s="939"/>
      <c r="AI585" s="939"/>
      <c r="AJ585" s="939"/>
      <c r="AK585" s="939"/>
      <c r="AL585" s="939"/>
      <c r="AM585" s="939"/>
      <c r="AN585" s="939"/>
    </row>
    <row r="586" spans="1:40" ht="15" customHeight="1">
      <c r="A586" s="939"/>
      <c r="B586" s="939"/>
      <c r="C586" s="939"/>
      <c r="D586" s="939"/>
      <c r="E586" s="939"/>
      <c r="F586" s="939"/>
      <c r="G586" s="939"/>
      <c r="H586" s="939"/>
      <c r="I586" s="939"/>
      <c r="J586" s="939"/>
      <c r="K586" s="939"/>
      <c r="L586" s="939"/>
      <c r="M586" s="939"/>
      <c r="N586" s="939"/>
      <c r="O586" s="939"/>
      <c r="P586" s="939"/>
      <c r="Q586" s="939"/>
      <c r="R586" s="939"/>
      <c r="S586" s="939"/>
      <c r="T586" s="939"/>
      <c r="U586" s="939"/>
      <c r="V586" s="939"/>
      <c r="W586" s="939"/>
      <c r="X586" s="939"/>
      <c r="Y586" s="939"/>
      <c r="Z586" s="939"/>
      <c r="AA586" s="939"/>
      <c r="AB586" s="939"/>
      <c r="AC586" s="939"/>
      <c r="AD586" s="939"/>
      <c r="AE586" s="939"/>
      <c r="AF586" s="939"/>
      <c r="AG586" s="939"/>
      <c r="AH586" s="939"/>
      <c r="AI586" s="939"/>
      <c r="AJ586" s="939"/>
      <c r="AK586" s="939"/>
      <c r="AL586" s="939"/>
      <c r="AM586" s="939"/>
      <c r="AN586" s="939"/>
    </row>
    <row r="587" spans="1:40" ht="15" customHeight="1">
      <c r="A587" s="939"/>
      <c r="B587" s="939"/>
      <c r="C587" s="939"/>
      <c r="D587" s="939"/>
      <c r="E587" s="939"/>
      <c r="F587" s="939"/>
      <c r="G587" s="939"/>
      <c r="H587" s="939"/>
      <c r="I587" s="939"/>
      <c r="J587" s="939"/>
      <c r="K587" s="939"/>
      <c r="L587" s="939"/>
      <c r="M587" s="939"/>
      <c r="N587" s="939"/>
      <c r="O587" s="939"/>
      <c r="P587" s="939"/>
      <c r="Q587" s="939"/>
      <c r="R587" s="939"/>
      <c r="S587" s="939"/>
      <c r="T587" s="939"/>
      <c r="U587" s="939"/>
      <c r="V587" s="939"/>
      <c r="W587" s="939"/>
      <c r="X587" s="939"/>
      <c r="Y587" s="939"/>
      <c r="Z587" s="939"/>
      <c r="AA587" s="939"/>
      <c r="AB587" s="939"/>
      <c r="AC587" s="939"/>
      <c r="AD587" s="939"/>
      <c r="AE587" s="939"/>
      <c r="AF587" s="939"/>
      <c r="AG587" s="939"/>
      <c r="AH587" s="939"/>
      <c r="AI587" s="939"/>
      <c r="AJ587" s="939"/>
      <c r="AK587" s="939"/>
      <c r="AL587" s="939"/>
      <c r="AM587" s="939"/>
      <c r="AN587" s="939"/>
    </row>
    <row r="588" spans="1:40" ht="15" customHeight="1">
      <c r="A588" s="939"/>
      <c r="B588" s="939"/>
      <c r="C588" s="939"/>
      <c r="D588" s="939"/>
      <c r="E588" s="939"/>
      <c r="F588" s="939"/>
      <c r="G588" s="939"/>
      <c r="H588" s="939"/>
      <c r="I588" s="939"/>
      <c r="J588" s="939"/>
      <c r="K588" s="939"/>
      <c r="L588" s="939"/>
      <c r="M588" s="939"/>
      <c r="N588" s="939"/>
      <c r="O588" s="939"/>
      <c r="P588" s="939"/>
      <c r="Q588" s="939"/>
      <c r="R588" s="939"/>
      <c r="S588" s="939"/>
      <c r="T588" s="939"/>
      <c r="U588" s="939"/>
      <c r="V588" s="939"/>
      <c r="W588" s="939"/>
      <c r="X588" s="939"/>
      <c r="Y588" s="939"/>
      <c r="Z588" s="939"/>
      <c r="AA588" s="939"/>
      <c r="AB588" s="939"/>
      <c r="AC588" s="939"/>
      <c r="AD588" s="939"/>
      <c r="AE588" s="939"/>
      <c r="AF588" s="939"/>
      <c r="AG588" s="939"/>
      <c r="AH588" s="939"/>
      <c r="AI588" s="939"/>
      <c r="AJ588" s="939"/>
      <c r="AK588" s="939"/>
      <c r="AL588" s="939"/>
      <c r="AM588" s="939"/>
      <c r="AN588" s="939"/>
    </row>
    <row r="589" spans="1:40" ht="15" customHeight="1">
      <c r="A589" s="939"/>
      <c r="B589" s="939"/>
      <c r="C589" s="939"/>
      <c r="D589" s="939"/>
      <c r="E589" s="939"/>
      <c r="F589" s="939"/>
      <c r="G589" s="939"/>
      <c r="H589" s="939"/>
      <c r="I589" s="939"/>
      <c r="J589" s="939"/>
      <c r="K589" s="939"/>
      <c r="L589" s="939"/>
      <c r="M589" s="939"/>
      <c r="N589" s="939"/>
      <c r="O589" s="939"/>
      <c r="P589" s="939"/>
      <c r="Q589" s="939"/>
      <c r="R589" s="939"/>
      <c r="S589" s="939"/>
      <c r="T589" s="939"/>
      <c r="U589" s="939"/>
      <c r="V589" s="939"/>
      <c r="W589" s="939"/>
      <c r="X589" s="939"/>
      <c r="Y589" s="939"/>
      <c r="Z589" s="939"/>
      <c r="AA589" s="939"/>
      <c r="AB589" s="939"/>
      <c r="AC589" s="939"/>
      <c r="AD589" s="939"/>
      <c r="AE589" s="939"/>
      <c r="AF589" s="939"/>
      <c r="AG589" s="939"/>
      <c r="AH589" s="939"/>
      <c r="AI589" s="939"/>
      <c r="AJ589" s="939"/>
      <c r="AK589" s="939"/>
      <c r="AL589" s="939"/>
      <c r="AM589" s="939"/>
      <c r="AN589" s="939"/>
    </row>
    <row r="590" spans="1:40" ht="15" customHeight="1">
      <c r="A590" s="939"/>
      <c r="B590" s="939"/>
      <c r="C590" s="939"/>
      <c r="D590" s="939"/>
      <c r="E590" s="939"/>
      <c r="F590" s="939"/>
      <c r="G590" s="939"/>
      <c r="H590" s="939"/>
      <c r="I590" s="939"/>
      <c r="J590" s="939"/>
      <c r="K590" s="939"/>
      <c r="L590" s="939"/>
      <c r="M590" s="939"/>
      <c r="N590" s="939"/>
      <c r="O590" s="939"/>
      <c r="P590" s="939"/>
      <c r="Q590" s="939"/>
      <c r="R590" s="939"/>
      <c r="S590" s="939"/>
      <c r="T590" s="939"/>
      <c r="U590" s="939"/>
      <c r="V590" s="939"/>
      <c r="W590" s="939"/>
      <c r="X590" s="939"/>
      <c r="Y590" s="939"/>
      <c r="Z590" s="939"/>
      <c r="AA590" s="939"/>
      <c r="AB590" s="939"/>
      <c r="AC590" s="939"/>
      <c r="AD590" s="939"/>
      <c r="AE590" s="939"/>
      <c r="AF590" s="939"/>
      <c r="AG590" s="939"/>
      <c r="AH590" s="939"/>
      <c r="AI590" s="939"/>
      <c r="AJ590" s="939"/>
      <c r="AK590" s="939"/>
      <c r="AL590" s="939"/>
      <c r="AM590" s="939"/>
      <c r="AN590" s="939"/>
    </row>
    <row r="591" spans="1:40" ht="15" customHeight="1">
      <c r="A591" s="939"/>
      <c r="B591" s="939"/>
      <c r="C591" s="939"/>
      <c r="D591" s="939"/>
      <c r="E591" s="939"/>
      <c r="F591" s="939"/>
      <c r="G591" s="939"/>
      <c r="H591" s="939"/>
      <c r="I591" s="939"/>
      <c r="J591" s="939"/>
      <c r="K591" s="939"/>
      <c r="L591" s="939"/>
      <c r="M591" s="939"/>
      <c r="N591" s="939"/>
      <c r="O591" s="939"/>
      <c r="P591" s="939"/>
      <c r="Q591" s="939"/>
      <c r="R591" s="939"/>
      <c r="S591" s="939"/>
      <c r="T591" s="939"/>
      <c r="U591" s="939"/>
      <c r="V591" s="939"/>
      <c r="W591" s="939"/>
      <c r="X591" s="939"/>
      <c r="Y591" s="939"/>
      <c r="Z591" s="939"/>
      <c r="AA591" s="939"/>
      <c r="AB591" s="939"/>
      <c r="AC591" s="939"/>
      <c r="AD591" s="939"/>
      <c r="AE591" s="939"/>
      <c r="AF591" s="939"/>
      <c r="AG591" s="939"/>
      <c r="AH591" s="939"/>
      <c r="AI591" s="939"/>
      <c r="AJ591" s="939"/>
      <c r="AK591" s="939"/>
      <c r="AL591" s="939"/>
      <c r="AM591" s="939"/>
      <c r="AN591" s="939"/>
    </row>
    <row r="592" spans="1:40" ht="15" customHeight="1">
      <c r="A592" s="939"/>
      <c r="B592" s="939"/>
      <c r="C592" s="939"/>
      <c r="D592" s="939"/>
      <c r="E592" s="939"/>
      <c r="F592" s="939"/>
      <c r="G592" s="939"/>
      <c r="H592" s="939"/>
      <c r="I592" s="939"/>
      <c r="J592" s="939"/>
      <c r="K592" s="939"/>
      <c r="L592" s="939"/>
      <c r="M592" s="939"/>
      <c r="N592" s="939"/>
      <c r="O592" s="939"/>
      <c r="P592" s="939"/>
      <c r="Q592" s="939"/>
      <c r="R592" s="939"/>
      <c r="S592" s="939"/>
      <c r="T592" s="939"/>
      <c r="U592" s="939"/>
      <c r="V592" s="939"/>
      <c r="W592" s="939"/>
      <c r="X592" s="939"/>
      <c r="Y592" s="939"/>
      <c r="Z592" s="939"/>
      <c r="AA592" s="939"/>
      <c r="AB592" s="939"/>
      <c r="AC592" s="939"/>
      <c r="AD592" s="939"/>
      <c r="AE592" s="939"/>
      <c r="AF592" s="939"/>
      <c r="AG592" s="939"/>
      <c r="AH592" s="939"/>
      <c r="AI592" s="939"/>
      <c r="AJ592" s="939"/>
      <c r="AK592" s="939"/>
      <c r="AL592" s="939"/>
      <c r="AM592" s="939"/>
      <c r="AN592" s="939"/>
    </row>
    <row r="593" spans="1:40" ht="15" customHeight="1">
      <c r="A593" s="939"/>
      <c r="B593" s="939"/>
      <c r="C593" s="939"/>
      <c r="D593" s="939"/>
      <c r="E593" s="939"/>
      <c r="F593" s="939"/>
      <c r="G593" s="939"/>
      <c r="H593" s="939"/>
      <c r="I593" s="939"/>
      <c r="J593" s="939"/>
      <c r="K593" s="939"/>
      <c r="L593" s="939"/>
      <c r="M593" s="939"/>
      <c r="N593" s="939"/>
      <c r="O593" s="939"/>
      <c r="P593" s="939"/>
      <c r="Q593" s="939"/>
      <c r="R593" s="939"/>
      <c r="S593" s="939"/>
      <c r="T593" s="939"/>
      <c r="U593" s="939"/>
      <c r="V593" s="939"/>
      <c r="W593" s="939"/>
      <c r="X593" s="939"/>
      <c r="Y593" s="939"/>
      <c r="Z593" s="939"/>
      <c r="AA593" s="939"/>
      <c r="AB593" s="939"/>
      <c r="AC593" s="939"/>
      <c r="AD593" s="939"/>
      <c r="AE593" s="939"/>
      <c r="AF593" s="939"/>
      <c r="AG593" s="939"/>
      <c r="AH593" s="939"/>
      <c r="AI593" s="939"/>
      <c r="AJ593" s="939"/>
      <c r="AK593" s="939"/>
      <c r="AL593" s="939"/>
      <c r="AM593" s="939"/>
      <c r="AN593" s="939"/>
    </row>
    <row r="594" spans="1:40" ht="15" customHeight="1">
      <c r="A594" s="939"/>
      <c r="B594" s="939"/>
      <c r="C594" s="939"/>
      <c r="D594" s="939"/>
      <c r="E594" s="939"/>
      <c r="F594" s="939"/>
      <c r="G594" s="939"/>
      <c r="H594" s="939"/>
      <c r="I594" s="939"/>
      <c r="J594" s="939"/>
      <c r="K594" s="939"/>
      <c r="L594" s="939"/>
      <c r="M594" s="939"/>
      <c r="N594" s="939"/>
      <c r="O594" s="939"/>
      <c r="P594" s="939"/>
      <c r="Q594" s="939"/>
      <c r="R594" s="939"/>
      <c r="S594" s="939"/>
      <c r="T594" s="939"/>
      <c r="U594" s="939"/>
      <c r="V594" s="939"/>
      <c r="W594" s="939"/>
      <c r="X594" s="939"/>
      <c r="Y594" s="939"/>
      <c r="Z594" s="939"/>
      <c r="AA594" s="939"/>
      <c r="AB594" s="939"/>
      <c r="AC594" s="939"/>
      <c r="AD594" s="939"/>
      <c r="AE594" s="939"/>
      <c r="AF594" s="939"/>
      <c r="AG594" s="939"/>
      <c r="AH594" s="939"/>
      <c r="AI594" s="939"/>
      <c r="AJ594" s="939"/>
      <c r="AK594" s="939"/>
      <c r="AL594" s="939"/>
      <c r="AM594" s="939"/>
      <c r="AN594" s="939"/>
    </row>
    <row r="595" spans="1:40" ht="15" customHeight="1">
      <c r="A595" s="939"/>
      <c r="B595" s="939"/>
      <c r="C595" s="939"/>
      <c r="D595" s="939"/>
      <c r="E595" s="939"/>
      <c r="F595" s="939"/>
      <c r="G595" s="939"/>
      <c r="H595" s="939"/>
      <c r="I595" s="939"/>
      <c r="J595" s="939"/>
      <c r="K595" s="939"/>
      <c r="L595" s="939"/>
      <c r="M595" s="939"/>
      <c r="N595" s="939"/>
      <c r="O595" s="939"/>
      <c r="P595" s="939"/>
      <c r="Q595" s="939"/>
      <c r="R595" s="939"/>
      <c r="S595" s="939"/>
      <c r="T595" s="939"/>
      <c r="U595" s="939"/>
      <c r="V595" s="939"/>
      <c r="W595" s="939"/>
      <c r="X595" s="939"/>
      <c r="Y595" s="939"/>
      <c r="Z595" s="939"/>
      <c r="AA595" s="939"/>
      <c r="AB595" s="939"/>
      <c r="AC595" s="939"/>
      <c r="AD595" s="939"/>
      <c r="AE595" s="939"/>
      <c r="AF595" s="939"/>
      <c r="AG595" s="939"/>
      <c r="AH595" s="939"/>
      <c r="AI595" s="939"/>
      <c r="AJ595" s="939"/>
      <c r="AK595" s="939"/>
      <c r="AL595" s="939"/>
      <c r="AM595" s="939"/>
      <c r="AN595" s="939"/>
    </row>
    <row r="596" spans="1:40" ht="15" customHeight="1">
      <c r="A596" s="939"/>
      <c r="B596" s="939"/>
      <c r="C596" s="939"/>
      <c r="D596" s="939"/>
      <c r="E596" s="939"/>
      <c r="F596" s="939"/>
      <c r="G596" s="939"/>
      <c r="H596" s="939"/>
      <c r="I596" s="939"/>
      <c r="J596" s="939"/>
      <c r="K596" s="939"/>
      <c r="L596" s="939"/>
      <c r="M596" s="939"/>
      <c r="N596" s="939"/>
      <c r="O596" s="939"/>
      <c r="P596" s="939"/>
      <c r="Q596" s="939"/>
      <c r="R596" s="939"/>
      <c r="S596" s="939"/>
      <c r="T596" s="939"/>
      <c r="U596" s="939"/>
      <c r="V596" s="939"/>
      <c r="W596" s="939"/>
      <c r="X596" s="939"/>
      <c r="Y596" s="939"/>
      <c r="Z596" s="939"/>
      <c r="AA596" s="939"/>
      <c r="AB596" s="939"/>
      <c r="AC596" s="939"/>
      <c r="AD596" s="939"/>
      <c r="AE596" s="939"/>
      <c r="AF596" s="939"/>
      <c r="AG596" s="939"/>
      <c r="AH596" s="939"/>
      <c r="AI596" s="939"/>
      <c r="AJ596" s="939"/>
      <c r="AK596" s="939"/>
      <c r="AL596" s="939"/>
      <c r="AM596" s="939"/>
      <c r="AN596" s="939"/>
    </row>
    <row r="597" spans="1:40" ht="15" customHeight="1">
      <c r="A597" s="939"/>
      <c r="B597" s="939"/>
      <c r="C597" s="939"/>
      <c r="D597" s="939"/>
      <c r="E597" s="939"/>
      <c r="F597" s="939"/>
      <c r="G597" s="939"/>
      <c r="H597" s="939"/>
      <c r="I597" s="939"/>
      <c r="J597" s="939"/>
      <c r="K597" s="939"/>
      <c r="L597" s="939"/>
      <c r="M597" s="939"/>
      <c r="N597" s="939"/>
      <c r="O597" s="939"/>
      <c r="P597" s="939"/>
      <c r="Q597" s="939"/>
      <c r="R597" s="939"/>
      <c r="S597" s="939"/>
      <c r="T597" s="939"/>
      <c r="U597" s="939"/>
      <c r="V597" s="939"/>
      <c r="W597" s="939"/>
      <c r="X597" s="939"/>
      <c r="Y597" s="939"/>
      <c r="Z597" s="939"/>
      <c r="AA597" s="939"/>
      <c r="AB597" s="939"/>
      <c r="AC597" s="939"/>
      <c r="AD597" s="939"/>
      <c r="AE597" s="939"/>
      <c r="AF597" s="939"/>
      <c r="AG597" s="939"/>
      <c r="AH597" s="939"/>
      <c r="AI597" s="939"/>
      <c r="AJ597" s="939"/>
      <c r="AK597" s="939"/>
      <c r="AL597" s="939"/>
      <c r="AM597" s="939"/>
      <c r="AN597" s="939"/>
    </row>
    <row r="598" spans="1:40" ht="15" customHeight="1">
      <c r="A598" s="939"/>
      <c r="B598" s="939"/>
      <c r="C598" s="939"/>
      <c r="D598" s="939"/>
      <c r="E598" s="939"/>
      <c r="F598" s="939"/>
      <c r="G598" s="939"/>
      <c r="H598" s="939"/>
      <c r="I598" s="939"/>
      <c r="J598" s="939"/>
      <c r="K598" s="939"/>
      <c r="L598" s="939"/>
      <c r="M598" s="939"/>
      <c r="N598" s="939"/>
      <c r="O598" s="939"/>
      <c r="P598" s="939"/>
      <c r="Q598" s="939"/>
      <c r="R598" s="939"/>
      <c r="S598" s="939"/>
      <c r="T598" s="939"/>
      <c r="U598" s="939"/>
      <c r="V598" s="939"/>
      <c r="W598" s="939"/>
      <c r="X598" s="939"/>
      <c r="Y598" s="939"/>
      <c r="Z598" s="939"/>
      <c r="AA598" s="939"/>
      <c r="AB598" s="939"/>
      <c r="AC598" s="939"/>
      <c r="AD598" s="939"/>
      <c r="AE598" s="939"/>
      <c r="AF598" s="939"/>
      <c r="AG598" s="939"/>
      <c r="AH598" s="939"/>
      <c r="AI598" s="939"/>
      <c r="AJ598" s="939"/>
      <c r="AK598" s="939"/>
      <c r="AL598" s="939"/>
      <c r="AM598" s="939"/>
      <c r="AN598" s="939"/>
    </row>
    <row r="599" spans="1:40" ht="15" customHeight="1">
      <c r="A599" s="939"/>
      <c r="B599" s="939"/>
      <c r="C599" s="939"/>
      <c r="D599" s="939"/>
      <c r="E599" s="939"/>
      <c r="F599" s="939"/>
      <c r="G599" s="939"/>
      <c r="H599" s="939"/>
      <c r="I599" s="939"/>
      <c r="J599" s="939"/>
      <c r="K599" s="939"/>
      <c r="L599" s="939"/>
      <c r="M599" s="939"/>
      <c r="N599" s="939"/>
      <c r="O599" s="939"/>
      <c r="P599" s="939"/>
      <c r="Q599" s="939"/>
      <c r="R599" s="939"/>
      <c r="S599" s="939"/>
      <c r="T599" s="939"/>
      <c r="U599" s="939"/>
      <c r="V599" s="939"/>
      <c r="W599" s="939"/>
      <c r="X599" s="939"/>
      <c r="Y599" s="939"/>
      <c r="Z599" s="939"/>
      <c r="AA599" s="939"/>
      <c r="AB599" s="939"/>
      <c r="AC599" s="939"/>
      <c r="AD599" s="939"/>
      <c r="AE599" s="939"/>
      <c r="AF599" s="939"/>
      <c r="AG599" s="939"/>
      <c r="AH599" s="939"/>
      <c r="AI599" s="939"/>
      <c r="AJ599" s="939"/>
      <c r="AK599" s="939"/>
      <c r="AL599" s="939"/>
      <c r="AM599" s="939"/>
      <c r="AN599" s="939"/>
    </row>
    <row r="600" spans="1:40" ht="15" customHeight="1">
      <c r="A600" s="939"/>
      <c r="B600" s="939"/>
      <c r="C600" s="939"/>
      <c r="D600" s="939"/>
      <c r="E600" s="939"/>
      <c r="F600" s="939"/>
      <c r="G600" s="939"/>
      <c r="H600" s="939"/>
      <c r="I600" s="939"/>
      <c r="J600" s="939"/>
      <c r="K600" s="939"/>
      <c r="L600" s="939"/>
      <c r="M600" s="939"/>
      <c r="N600" s="939"/>
      <c r="O600" s="939"/>
      <c r="P600" s="939"/>
      <c r="Q600" s="939"/>
      <c r="R600" s="939"/>
      <c r="S600" s="939"/>
      <c r="T600" s="939"/>
      <c r="U600" s="939"/>
      <c r="V600" s="939"/>
      <c r="W600" s="939"/>
      <c r="X600" s="939"/>
      <c r="Y600" s="939"/>
      <c r="Z600" s="939"/>
      <c r="AA600" s="939"/>
      <c r="AB600" s="939"/>
      <c r="AC600" s="939"/>
      <c r="AD600" s="939"/>
      <c r="AE600" s="939"/>
      <c r="AF600" s="939"/>
      <c r="AG600" s="939"/>
      <c r="AH600" s="939"/>
      <c r="AI600" s="939"/>
      <c r="AJ600" s="939"/>
      <c r="AK600" s="939"/>
      <c r="AL600" s="939"/>
      <c r="AM600" s="939"/>
      <c r="AN600" s="939"/>
    </row>
    <row r="601" spans="1:40" ht="15" customHeight="1">
      <c r="A601" s="939"/>
      <c r="B601" s="939"/>
      <c r="C601" s="939"/>
      <c r="D601" s="939"/>
      <c r="E601" s="939"/>
      <c r="F601" s="939"/>
      <c r="G601" s="939"/>
      <c r="H601" s="939"/>
      <c r="I601" s="939"/>
      <c r="J601" s="939"/>
      <c r="K601" s="939"/>
      <c r="L601" s="939"/>
      <c r="M601" s="939"/>
      <c r="N601" s="939"/>
      <c r="O601" s="939"/>
      <c r="P601" s="939"/>
      <c r="Q601" s="939"/>
      <c r="R601" s="939"/>
      <c r="S601" s="939"/>
      <c r="T601" s="939"/>
      <c r="U601" s="939"/>
      <c r="V601" s="939"/>
      <c r="W601" s="939"/>
      <c r="X601" s="939"/>
      <c r="Y601" s="939"/>
      <c r="Z601" s="939"/>
      <c r="AA601" s="939"/>
      <c r="AB601" s="939"/>
      <c r="AC601" s="939"/>
      <c r="AD601" s="939"/>
      <c r="AE601" s="939"/>
      <c r="AF601" s="939"/>
      <c r="AG601" s="939"/>
      <c r="AH601" s="939"/>
      <c r="AI601" s="939"/>
      <c r="AJ601" s="939"/>
      <c r="AK601" s="939"/>
      <c r="AL601" s="939"/>
      <c r="AM601" s="939"/>
      <c r="AN601" s="939"/>
    </row>
    <row r="602" spans="1:40" ht="15" customHeight="1">
      <c r="A602" s="939"/>
      <c r="B602" s="939"/>
      <c r="C602" s="939"/>
      <c r="D602" s="939"/>
      <c r="E602" s="939"/>
      <c r="F602" s="939"/>
      <c r="G602" s="939"/>
      <c r="H602" s="939"/>
      <c r="I602" s="939"/>
      <c r="J602" s="939"/>
      <c r="K602" s="939"/>
      <c r="L602" s="939"/>
      <c r="M602" s="939"/>
      <c r="N602" s="939"/>
      <c r="O602" s="939"/>
      <c r="P602" s="939"/>
      <c r="Q602" s="939"/>
      <c r="R602" s="939"/>
      <c r="S602" s="939"/>
      <c r="T602" s="939"/>
      <c r="U602" s="939"/>
      <c r="V602" s="939"/>
      <c r="W602" s="939"/>
      <c r="X602" s="939"/>
      <c r="Y602" s="939"/>
      <c r="Z602" s="939"/>
      <c r="AA602" s="939"/>
      <c r="AB602" s="939"/>
      <c r="AC602" s="939"/>
      <c r="AD602" s="939"/>
      <c r="AE602" s="939"/>
      <c r="AF602" s="939"/>
      <c r="AG602" s="939"/>
      <c r="AH602" s="939"/>
      <c r="AI602" s="939"/>
      <c r="AJ602" s="939"/>
      <c r="AK602" s="939"/>
      <c r="AL602" s="939"/>
      <c r="AM602" s="939"/>
      <c r="AN602" s="939"/>
    </row>
    <row r="603" spans="1:40" ht="15" customHeight="1">
      <c r="A603" s="939"/>
      <c r="B603" s="939"/>
      <c r="C603" s="939"/>
      <c r="D603" s="939"/>
      <c r="E603" s="939"/>
      <c r="F603" s="939"/>
      <c r="G603" s="939"/>
      <c r="H603" s="939"/>
      <c r="I603" s="939"/>
      <c r="J603" s="939"/>
      <c r="K603" s="939"/>
      <c r="L603" s="939"/>
      <c r="M603" s="939"/>
      <c r="N603" s="939"/>
      <c r="O603" s="939"/>
      <c r="P603" s="939"/>
      <c r="Q603" s="939"/>
      <c r="R603" s="939"/>
      <c r="S603" s="939"/>
      <c r="T603" s="939"/>
      <c r="U603" s="939"/>
      <c r="V603" s="939"/>
      <c r="W603" s="939"/>
      <c r="X603" s="939"/>
      <c r="Y603" s="939"/>
      <c r="Z603" s="939"/>
      <c r="AA603" s="939"/>
      <c r="AB603" s="939"/>
      <c r="AC603" s="939"/>
      <c r="AD603" s="939"/>
      <c r="AE603" s="939"/>
      <c r="AF603" s="939"/>
      <c r="AG603" s="939"/>
      <c r="AH603" s="939"/>
      <c r="AI603" s="939"/>
      <c r="AJ603" s="939"/>
      <c r="AK603" s="939"/>
      <c r="AL603" s="939"/>
      <c r="AM603" s="939"/>
      <c r="AN603" s="939"/>
    </row>
    <row r="604" spans="1:40" ht="15" customHeight="1">
      <c r="A604" s="939"/>
      <c r="B604" s="939"/>
      <c r="C604" s="939"/>
      <c r="D604" s="939"/>
      <c r="E604" s="939"/>
      <c r="F604" s="939"/>
      <c r="G604" s="939"/>
      <c r="H604" s="939"/>
      <c r="I604" s="939"/>
      <c r="J604" s="939"/>
      <c r="K604" s="939"/>
      <c r="L604" s="939"/>
      <c r="M604" s="939"/>
      <c r="N604" s="939"/>
      <c r="O604" s="939"/>
      <c r="P604" s="939"/>
      <c r="Q604" s="939"/>
      <c r="R604" s="939"/>
      <c r="S604" s="939"/>
      <c r="T604" s="939"/>
      <c r="U604" s="939"/>
      <c r="V604" s="939"/>
      <c r="W604" s="939"/>
      <c r="X604" s="939"/>
      <c r="Y604" s="939"/>
      <c r="Z604" s="939"/>
      <c r="AA604" s="939"/>
      <c r="AB604" s="939"/>
      <c r="AC604" s="939"/>
      <c r="AD604" s="939"/>
      <c r="AE604" s="939"/>
      <c r="AF604" s="939"/>
      <c r="AG604" s="939"/>
      <c r="AH604" s="939"/>
      <c r="AI604" s="939"/>
      <c r="AJ604" s="939"/>
      <c r="AK604" s="939"/>
      <c r="AL604" s="939"/>
      <c r="AM604" s="939"/>
      <c r="AN604" s="939"/>
    </row>
    <row r="605" spans="1:40" ht="15" customHeight="1">
      <c r="A605" s="939"/>
      <c r="B605" s="939"/>
      <c r="C605" s="939"/>
      <c r="D605" s="939"/>
      <c r="E605" s="939"/>
      <c r="F605" s="939"/>
      <c r="G605" s="939"/>
      <c r="H605" s="939"/>
      <c r="I605" s="939"/>
      <c r="J605" s="939"/>
      <c r="K605" s="939"/>
      <c r="L605" s="939"/>
      <c r="M605" s="939"/>
      <c r="N605" s="939"/>
      <c r="O605" s="939"/>
      <c r="P605" s="939"/>
      <c r="Q605" s="939"/>
      <c r="R605" s="939"/>
      <c r="S605" s="939"/>
      <c r="T605" s="939"/>
      <c r="U605" s="939"/>
      <c r="V605" s="939"/>
      <c r="W605" s="939"/>
      <c r="X605" s="939"/>
      <c r="Y605" s="939"/>
      <c r="Z605" s="939"/>
      <c r="AA605" s="939"/>
      <c r="AB605" s="939"/>
      <c r="AC605" s="939"/>
      <c r="AD605" s="939"/>
      <c r="AE605" s="939"/>
      <c r="AF605" s="939"/>
      <c r="AG605" s="939"/>
      <c r="AH605" s="939"/>
      <c r="AI605" s="939"/>
      <c r="AJ605" s="939"/>
      <c r="AK605" s="939"/>
      <c r="AL605" s="939"/>
      <c r="AM605" s="939"/>
      <c r="AN605" s="939"/>
    </row>
    <row r="606" spans="1:40" ht="15" customHeight="1">
      <c r="A606" s="939"/>
      <c r="B606" s="939"/>
      <c r="C606" s="939"/>
      <c r="D606" s="939"/>
      <c r="E606" s="939"/>
      <c r="F606" s="939"/>
      <c r="G606" s="939"/>
      <c r="H606" s="939"/>
      <c r="I606" s="939"/>
      <c r="J606" s="939"/>
      <c r="K606" s="939"/>
      <c r="L606" s="939"/>
      <c r="M606" s="939"/>
      <c r="N606" s="939"/>
      <c r="O606" s="939"/>
      <c r="P606" s="939"/>
      <c r="Q606" s="939"/>
      <c r="R606" s="939"/>
      <c r="S606" s="939"/>
      <c r="T606" s="939"/>
      <c r="U606" s="939"/>
      <c r="V606" s="939"/>
      <c r="W606" s="939"/>
      <c r="X606" s="939"/>
      <c r="Y606" s="939"/>
      <c r="Z606" s="939"/>
      <c r="AA606" s="939"/>
      <c r="AB606" s="939"/>
      <c r="AC606" s="939"/>
      <c r="AD606" s="939"/>
      <c r="AE606" s="939"/>
      <c r="AF606" s="939"/>
      <c r="AG606" s="939"/>
      <c r="AH606" s="939"/>
      <c r="AI606" s="939"/>
      <c r="AJ606" s="939"/>
      <c r="AK606" s="939"/>
      <c r="AL606" s="939"/>
      <c r="AM606" s="939"/>
      <c r="AN606" s="939"/>
    </row>
    <row r="607" spans="1:40" ht="15" customHeight="1">
      <c r="A607" s="939"/>
      <c r="B607" s="939"/>
      <c r="C607" s="939"/>
      <c r="D607" s="939"/>
      <c r="E607" s="939"/>
      <c r="F607" s="939"/>
      <c r="G607" s="939"/>
      <c r="H607" s="939"/>
      <c r="I607" s="939"/>
      <c r="J607" s="939"/>
      <c r="K607" s="939"/>
      <c r="L607" s="939"/>
      <c r="M607" s="939"/>
      <c r="N607" s="939"/>
      <c r="O607" s="939"/>
      <c r="P607" s="939"/>
      <c r="Q607" s="939"/>
      <c r="R607" s="939"/>
      <c r="S607" s="939"/>
      <c r="T607" s="939"/>
      <c r="U607" s="939"/>
      <c r="V607" s="939"/>
      <c r="W607" s="939"/>
      <c r="X607" s="939"/>
      <c r="Y607" s="939"/>
      <c r="Z607" s="939"/>
      <c r="AA607" s="939"/>
      <c r="AB607" s="939"/>
      <c r="AC607" s="939"/>
      <c r="AD607" s="939"/>
      <c r="AE607" s="939"/>
      <c r="AF607" s="939"/>
      <c r="AG607" s="939"/>
      <c r="AH607" s="939"/>
      <c r="AI607" s="939"/>
      <c r="AJ607" s="939"/>
      <c r="AK607" s="939"/>
      <c r="AL607" s="939"/>
      <c r="AM607" s="939"/>
      <c r="AN607" s="939"/>
    </row>
    <row r="608" spans="1:40" ht="15" customHeight="1">
      <c r="A608" s="939"/>
      <c r="B608" s="939"/>
      <c r="C608" s="939"/>
      <c r="D608" s="939"/>
      <c r="E608" s="939"/>
      <c r="F608" s="939"/>
      <c r="G608" s="939"/>
      <c r="H608" s="939"/>
      <c r="I608" s="939"/>
      <c r="J608" s="939"/>
      <c r="K608" s="939"/>
      <c r="L608" s="939"/>
      <c r="M608" s="939"/>
      <c r="N608" s="939"/>
      <c r="O608" s="939"/>
      <c r="P608" s="939"/>
      <c r="Q608" s="939"/>
      <c r="R608" s="939"/>
      <c r="S608" s="939"/>
      <c r="T608" s="939"/>
      <c r="U608" s="939"/>
      <c r="V608" s="939"/>
      <c r="W608" s="939"/>
      <c r="X608" s="939"/>
      <c r="Y608" s="939"/>
      <c r="Z608" s="939"/>
      <c r="AA608" s="939"/>
      <c r="AB608" s="939"/>
      <c r="AC608" s="939"/>
      <c r="AD608" s="939"/>
      <c r="AE608" s="939"/>
      <c r="AF608" s="939"/>
      <c r="AG608" s="939"/>
      <c r="AH608" s="939"/>
      <c r="AI608" s="939"/>
      <c r="AJ608" s="939"/>
      <c r="AK608" s="939"/>
      <c r="AL608" s="939"/>
      <c r="AM608" s="939"/>
      <c r="AN608" s="939"/>
    </row>
    <row r="609" spans="1:40" ht="15" customHeight="1">
      <c r="A609" s="939"/>
      <c r="B609" s="939"/>
      <c r="C609" s="939"/>
      <c r="D609" s="939"/>
      <c r="E609" s="939"/>
      <c r="F609" s="939"/>
      <c r="G609" s="939"/>
      <c r="H609" s="939"/>
      <c r="I609" s="939"/>
      <c r="J609" s="939"/>
      <c r="K609" s="939"/>
      <c r="L609" s="939"/>
      <c r="M609" s="939"/>
      <c r="N609" s="939"/>
      <c r="O609" s="939"/>
      <c r="P609" s="939"/>
      <c r="Q609" s="939"/>
      <c r="R609" s="939"/>
      <c r="S609" s="939"/>
      <c r="T609" s="939"/>
      <c r="U609" s="939"/>
      <c r="V609" s="939"/>
      <c r="W609" s="939"/>
      <c r="X609" s="939"/>
      <c r="Y609" s="939"/>
      <c r="Z609" s="939"/>
      <c r="AA609" s="939"/>
      <c r="AB609" s="939"/>
      <c r="AC609" s="939"/>
      <c r="AD609" s="939"/>
      <c r="AE609" s="939"/>
      <c r="AF609" s="939"/>
      <c r="AG609" s="939"/>
      <c r="AH609" s="939"/>
      <c r="AI609" s="939"/>
      <c r="AJ609" s="939"/>
      <c r="AK609" s="939"/>
      <c r="AL609" s="939"/>
      <c r="AM609" s="939"/>
      <c r="AN609" s="939"/>
    </row>
    <row r="610" spans="1:40" ht="15" customHeight="1">
      <c r="A610" s="939"/>
      <c r="B610" s="939"/>
      <c r="C610" s="939"/>
      <c r="D610" s="939"/>
      <c r="E610" s="939"/>
      <c r="F610" s="939"/>
      <c r="G610" s="939"/>
      <c r="H610" s="939"/>
      <c r="I610" s="939"/>
      <c r="J610" s="939"/>
      <c r="K610" s="939"/>
      <c r="L610" s="939"/>
      <c r="M610" s="939"/>
      <c r="N610" s="939"/>
      <c r="O610" s="939"/>
      <c r="P610" s="939"/>
      <c r="Q610" s="939"/>
      <c r="R610" s="939"/>
      <c r="S610" s="939"/>
      <c r="T610" s="939"/>
      <c r="U610" s="939"/>
      <c r="V610" s="939"/>
      <c r="W610" s="939"/>
      <c r="X610" s="939"/>
      <c r="Y610" s="939"/>
      <c r="Z610" s="939"/>
      <c r="AA610" s="939"/>
      <c r="AB610" s="939"/>
      <c r="AC610" s="939"/>
      <c r="AD610" s="939"/>
      <c r="AE610" s="939"/>
      <c r="AF610" s="939"/>
      <c r="AG610" s="939"/>
      <c r="AH610" s="939"/>
      <c r="AI610" s="939"/>
      <c r="AJ610" s="939"/>
      <c r="AK610" s="939"/>
      <c r="AL610" s="939"/>
      <c r="AM610" s="939"/>
      <c r="AN610" s="939"/>
    </row>
    <row r="611" spans="1:40" ht="15" customHeight="1">
      <c r="A611" s="939"/>
      <c r="B611" s="939"/>
      <c r="C611" s="939"/>
      <c r="D611" s="939"/>
      <c r="E611" s="939"/>
      <c r="F611" s="939"/>
      <c r="G611" s="939"/>
      <c r="H611" s="939"/>
      <c r="I611" s="939"/>
      <c r="J611" s="939"/>
      <c r="K611" s="939"/>
      <c r="L611" s="939"/>
      <c r="M611" s="939"/>
      <c r="N611" s="939"/>
      <c r="O611" s="939"/>
      <c r="P611" s="939"/>
      <c r="Q611" s="939"/>
      <c r="R611" s="939"/>
      <c r="S611" s="939"/>
      <c r="T611" s="939"/>
      <c r="U611" s="939"/>
      <c r="V611" s="939"/>
      <c r="W611" s="939"/>
      <c r="X611" s="939"/>
      <c r="Y611" s="939"/>
      <c r="Z611" s="939"/>
      <c r="AA611" s="939"/>
      <c r="AB611" s="939"/>
      <c r="AC611" s="939"/>
      <c r="AD611" s="939"/>
      <c r="AE611" s="939"/>
      <c r="AF611" s="939"/>
      <c r="AG611" s="939"/>
      <c r="AH611" s="939"/>
      <c r="AI611" s="939"/>
      <c r="AJ611" s="939"/>
      <c r="AK611" s="939"/>
      <c r="AL611" s="939"/>
      <c r="AM611" s="939"/>
      <c r="AN611" s="939"/>
    </row>
    <row r="612" spans="1:40" ht="15" customHeight="1">
      <c r="A612" s="939"/>
      <c r="B612" s="939"/>
      <c r="C612" s="939"/>
      <c r="D612" s="939"/>
      <c r="E612" s="939"/>
      <c r="F612" s="939"/>
      <c r="G612" s="939"/>
      <c r="H612" s="939"/>
      <c r="I612" s="939"/>
      <c r="J612" s="939"/>
      <c r="K612" s="939"/>
      <c r="L612" s="939"/>
      <c r="M612" s="939"/>
      <c r="N612" s="939"/>
      <c r="O612" s="939"/>
      <c r="P612" s="939"/>
      <c r="Q612" s="939"/>
      <c r="R612" s="939"/>
      <c r="S612" s="939"/>
      <c r="T612" s="939"/>
      <c r="U612" s="939"/>
      <c r="V612" s="939"/>
      <c r="W612" s="939"/>
      <c r="X612" s="939"/>
      <c r="Y612" s="939"/>
      <c r="Z612" s="939"/>
      <c r="AA612" s="939"/>
      <c r="AB612" s="939"/>
      <c r="AC612" s="939"/>
      <c r="AD612" s="939"/>
      <c r="AE612" s="939"/>
      <c r="AF612" s="939"/>
      <c r="AG612" s="939"/>
      <c r="AH612" s="939"/>
      <c r="AI612" s="939"/>
      <c r="AJ612" s="939"/>
      <c r="AK612" s="939"/>
      <c r="AL612" s="939"/>
      <c r="AM612" s="939"/>
      <c r="AN612" s="939"/>
    </row>
    <row r="613" spans="1:40" ht="15" customHeight="1">
      <c r="A613" s="939"/>
      <c r="B613" s="939"/>
      <c r="C613" s="939"/>
      <c r="D613" s="939"/>
      <c r="E613" s="939"/>
      <c r="F613" s="939"/>
      <c r="G613" s="939"/>
      <c r="H613" s="939"/>
      <c r="I613" s="939"/>
      <c r="J613" s="939"/>
      <c r="K613" s="939"/>
      <c r="L613" s="939"/>
      <c r="M613" s="939"/>
      <c r="N613" s="939"/>
      <c r="O613" s="939"/>
      <c r="P613" s="939"/>
      <c r="Q613" s="939"/>
      <c r="R613" s="939"/>
      <c r="S613" s="939"/>
      <c r="T613" s="939"/>
      <c r="U613" s="939"/>
      <c r="V613" s="939"/>
      <c r="W613" s="939"/>
      <c r="X613" s="939"/>
      <c r="Y613" s="939"/>
      <c r="Z613" s="939"/>
      <c r="AA613" s="939"/>
      <c r="AB613" s="939"/>
      <c r="AC613" s="939"/>
      <c r="AD613" s="939"/>
      <c r="AE613" s="939"/>
      <c r="AF613" s="939"/>
      <c r="AG613" s="939"/>
      <c r="AH613" s="939"/>
      <c r="AI613" s="939"/>
      <c r="AJ613" s="939"/>
      <c r="AK613" s="939"/>
      <c r="AL613" s="939"/>
      <c r="AM613" s="939"/>
      <c r="AN613" s="939"/>
    </row>
    <row r="614" spans="1:40" ht="15" customHeight="1">
      <c r="A614" s="939"/>
      <c r="B614" s="939"/>
      <c r="C614" s="939"/>
      <c r="D614" s="939"/>
      <c r="E614" s="939"/>
      <c r="F614" s="939"/>
      <c r="G614" s="939"/>
      <c r="H614" s="939"/>
      <c r="I614" s="939"/>
      <c r="J614" s="939"/>
      <c r="K614" s="939"/>
      <c r="L614" s="939"/>
      <c r="M614" s="939"/>
      <c r="N614" s="939"/>
      <c r="O614" s="939"/>
      <c r="P614" s="939"/>
      <c r="Q614" s="939"/>
      <c r="R614" s="939"/>
      <c r="S614" s="939"/>
      <c r="T614" s="939"/>
      <c r="U614" s="939"/>
      <c r="V614" s="939"/>
      <c r="W614" s="939"/>
      <c r="X614" s="939"/>
      <c r="Y614" s="939"/>
      <c r="Z614" s="939"/>
      <c r="AA614" s="939"/>
      <c r="AB614" s="939"/>
      <c r="AC614" s="939"/>
      <c r="AD614" s="939"/>
      <c r="AE614" s="939"/>
      <c r="AF614" s="939"/>
      <c r="AG614" s="939"/>
      <c r="AH614" s="939"/>
      <c r="AI614" s="939"/>
      <c r="AJ614" s="939"/>
      <c r="AK614" s="939"/>
      <c r="AL614" s="939"/>
      <c r="AM614" s="939"/>
      <c r="AN614" s="939"/>
    </row>
    <row r="615" spans="1:40" ht="15" customHeight="1">
      <c r="A615" s="939"/>
      <c r="B615" s="939"/>
      <c r="C615" s="939"/>
      <c r="D615" s="939"/>
      <c r="E615" s="939"/>
      <c r="F615" s="939"/>
      <c r="G615" s="939"/>
      <c r="H615" s="939"/>
      <c r="I615" s="939"/>
      <c r="J615" s="939"/>
      <c r="K615" s="939"/>
      <c r="L615" s="939"/>
      <c r="M615" s="939"/>
      <c r="N615" s="939"/>
      <c r="O615" s="939"/>
      <c r="P615" s="939"/>
      <c r="Q615" s="939"/>
      <c r="R615" s="939"/>
      <c r="S615" s="939"/>
      <c r="T615" s="939"/>
      <c r="U615" s="939"/>
      <c r="V615" s="939"/>
      <c r="W615" s="939"/>
      <c r="X615" s="939"/>
      <c r="Y615" s="939"/>
      <c r="Z615" s="939"/>
      <c r="AA615" s="939"/>
      <c r="AB615" s="939"/>
      <c r="AC615" s="939"/>
      <c r="AD615" s="939"/>
      <c r="AE615" s="939"/>
      <c r="AF615" s="939"/>
      <c r="AG615" s="939"/>
      <c r="AH615" s="939"/>
      <c r="AI615" s="939"/>
      <c r="AJ615" s="939"/>
      <c r="AK615" s="939"/>
      <c r="AL615" s="939"/>
      <c r="AM615" s="939"/>
      <c r="AN615" s="939"/>
    </row>
    <row r="616" spans="1:40" ht="15" customHeight="1">
      <c r="A616" s="939"/>
      <c r="B616" s="939"/>
      <c r="C616" s="939"/>
      <c r="D616" s="939"/>
      <c r="E616" s="939"/>
      <c r="F616" s="939"/>
      <c r="G616" s="939"/>
      <c r="H616" s="939"/>
      <c r="I616" s="939"/>
      <c r="J616" s="939"/>
      <c r="K616" s="939"/>
      <c r="L616" s="939"/>
      <c r="M616" s="939"/>
      <c r="N616" s="939"/>
      <c r="O616" s="939"/>
      <c r="P616" s="939"/>
      <c r="Q616" s="939"/>
      <c r="R616" s="939"/>
      <c r="S616" s="939"/>
      <c r="T616" s="939"/>
      <c r="U616" s="939"/>
      <c r="V616" s="939"/>
      <c r="W616" s="939"/>
      <c r="X616" s="939"/>
      <c r="Y616" s="939"/>
      <c r="Z616" s="939"/>
      <c r="AA616" s="939"/>
      <c r="AB616" s="939"/>
      <c r="AC616" s="939"/>
      <c r="AD616" s="939"/>
      <c r="AE616" s="939"/>
      <c r="AF616" s="939"/>
      <c r="AG616" s="939"/>
      <c r="AH616" s="939"/>
      <c r="AI616" s="939"/>
      <c r="AJ616" s="939"/>
      <c r="AK616" s="939"/>
      <c r="AL616" s="939"/>
      <c r="AM616" s="939"/>
      <c r="AN616" s="939"/>
    </row>
    <row r="617" spans="1:40" ht="15" customHeight="1">
      <c r="A617" s="939"/>
      <c r="B617" s="939"/>
      <c r="C617" s="939"/>
      <c r="D617" s="939"/>
      <c r="E617" s="939"/>
      <c r="F617" s="939"/>
      <c r="G617" s="939"/>
      <c r="H617" s="939"/>
      <c r="I617" s="939"/>
      <c r="J617" s="939"/>
      <c r="K617" s="939"/>
      <c r="L617" s="939"/>
      <c r="M617" s="939"/>
      <c r="N617" s="939"/>
      <c r="O617" s="939"/>
      <c r="P617" s="939"/>
      <c r="Q617" s="939"/>
      <c r="R617" s="939"/>
      <c r="S617" s="939"/>
      <c r="T617" s="939"/>
      <c r="U617" s="939"/>
      <c r="V617" s="939"/>
      <c r="W617" s="939"/>
      <c r="X617" s="939"/>
      <c r="Y617" s="939"/>
      <c r="Z617" s="939"/>
      <c r="AA617" s="939"/>
      <c r="AB617" s="939"/>
      <c r="AC617" s="939"/>
      <c r="AD617" s="939"/>
      <c r="AE617" s="939"/>
      <c r="AF617" s="939"/>
      <c r="AG617" s="939"/>
      <c r="AH617" s="939"/>
      <c r="AI617" s="939"/>
      <c r="AJ617" s="939"/>
      <c r="AK617" s="939"/>
      <c r="AL617" s="939"/>
      <c r="AM617" s="939"/>
      <c r="AN617" s="939"/>
    </row>
    <row r="618" spans="1:40" ht="15" customHeight="1">
      <c r="A618" s="939"/>
      <c r="B618" s="939"/>
      <c r="C618" s="939"/>
      <c r="D618" s="939"/>
      <c r="E618" s="939"/>
      <c r="F618" s="939"/>
      <c r="G618" s="939"/>
      <c r="H618" s="939"/>
      <c r="I618" s="939"/>
      <c r="J618" s="939"/>
      <c r="K618" s="939"/>
      <c r="L618" s="939"/>
      <c r="M618" s="939"/>
      <c r="N618" s="939"/>
      <c r="O618" s="939"/>
      <c r="P618" s="939"/>
      <c r="Q618" s="939"/>
      <c r="R618" s="939"/>
      <c r="S618" s="939"/>
      <c r="T618" s="939"/>
      <c r="U618" s="939"/>
      <c r="V618" s="939"/>
      <c r="W618" s="939"/>
      <c r="X618" s="939"/>
      <c r="Y618" s="939"/>
      <c r="Z618" s="939"/>
      <c r="AA618" s="939"/>
      <c r="AB618" s="939"/>
      <c r="AC618" s="939"/>
      <c r="AD618" s="939"/>
      <c r="AE618" s="939"/>
      <c r="AF618" s="939"/>
      <c r="AG618" s="939"/>
      <c r="AH618" s="939"/>
      <c r="AI618" s="939"/>
      <c r="AJ618" s="939"/>
      <c r="AK618" s="939"/>
      <c r="AL618" s="939"/>
      <c r="AM618" s="939"/>
      <c r="AN618" s="939"/>
    </row>
    <row r="619" spans="1:40" ht="15" customHeight="1">
      <c r="A619" s="939"/>
      <c r="B619" s="939"/>
      <c r="C619" s="939"/>
      <c r="D619" s="939"/>
      <c r="E619" s="939"/>
      <c r="F619" s="939"/>
      <c r="G619" s="939"/>
      <c r="H619" s="939"/>
      <c r="I619" s="939"/>
      <c r="J619" s="939"/>
      <c r="K619" s="939"/>
      <c r="L619" s="939"/>
      <c r="M619" s="939"/>
      <c r="N619" s="939"/>
      <c r="O619" s="939"/>
      <c r="P619" s="939"/>
      <c r="Q619" s="939"/>
      <c r="R619" s="939"/>
      <c r="S619" s="939"/>
      <c r="T619" s="939"/>
      <c r="U619" s="939"/>
      <c r="V619" s="939"/>
      <c r="W619" s="939"/>
      <c r="X619" s="939"/>
      <c r="Y619" s="939"/>
      <c r="Z619" s="939"/>
      <c r="AA619" s="939"/>
      <c r="AB619" s="939"/>
      <c r="AC619" s="939"/>
      <c r="AD619" s="939"/>
      <c r="AE619" s="939"/>
      <c r="AF619" s="939"/>
      <c r="AG619" s="939"/>
      <c r="AH619" s="939"/>
      <c r="AI619" s="939"/>
      <c r="AJ619" s="939"/>
      <c r="AK619" s="939"/>
      <c r="AL619" s="939"/>
      <c r="AM619" s="939"/>
      <c r="AN619" s="939"/>
    </row>
    <row r="620" spans="1:40" ht="15" customHeight="1">
      <c r="A620" s="939"/>
      <c r="B620" s="939"/>
      <c r="C620" s="939"/>
      <c r="D620" s="939"/>
      <c r="E620" s="939"/>
      <c r="F620" s="939"/>
      <c r="G620" s="939"/>
      <c r="H620" s="939"/>
      <c r="I620" s="939"/>
      <c r="J620" s="939"/>
      <c r="K620" s="939"/>
      <c r="L620" s="939"/>
      <c r="M620" s="939"/>
      <c r="N620" s="939"/>
      <c r="O620" s="939"/>
      <c r="P620" s="939"/>
      <c r="Q620" s="939"/>
      <c r="R620" s="939"/>
      <c r="S620" s="939"/>
      <c r="T620" s="939"/>
      <c r="U620" s="939"/>
      <c r="V620" s="939"/>
      <c r="W620" s="939"/>
      <c r="X620" s="939"/>
      <c r="Y620" s="939"/>
      <c r="Z620" s="939"/>
      <c r="AA620" s="939"/>
      <c r="AB620" s="939"/>
      <c r="AC620" s="939"/>
      <c r="AD620" s="939"/>
      <c r="AE620" s="939"/>
      <c r="AF620" s="939"/>
      <c r="AG620" s="939"/>
      <c r="AH620" s="939"/>
      <c r="AI620" s="939"/>
      <c r="AJ620" s="939"/>
      <c r="AK620" s="939"/>
      <c r="AL620" s="939"/>
      <c r="AM620" s="939"/>
      <c r="AN620" s="939"/>
    </row>
    <row r="621" spans="1:40" ht="15" customHeight="1">
      <c r="A621" s="939"/>
      <c r="B621" s="939"/>
      <c r="C621" s="939"/>
      <c r="D621" s="939"/>
      <c r="E621" s="939"/>
      <c r="F621" s="939"/>
      <c r="G621" s="939"/>
      <c r="H621" s="939"/>
      <c r="I621" s="939"/>
      <c r="J621" s="939"/>
      <c r="K621" s="939"/>
      <c r="L621" s="939"/>
      <c r="M621" s="939"/>
      <c r="N621" s="939"/>
      <c r="O621" s="939"/>
      <c r="P621" s="939"/>
      <c r="Q621" s="939"/>
      <c r="R621" s="939"/>
      <c r="S621" s="939"/>
      <c r="T621" s="939"/>
      <c r="U621" s="939"/>
      <c r="V621" s="939"/>
      <c r="W621" s="939"/>
      <c r="X621" s="939"/>
      <c r="Y621" s="939"/>
      <c r="Z621" s="939"/>
      <c r="AA621" s="939"/>
      <c r="AB621" s="939"/>
      <c r="AC621" s="939"/>
      <c r="AD621" s="939"/>
      <c r="AE621" s="939"/>
      <c r="AF621" s="939"/>
      <c r="AG621" s="939"/>
      <c r="AH621" s="939"/>
      <c r="AI621" s="939"/>
      <c r="AJ621" s="939"/>
      <c r="AK621" s="939"/>
      <c r="AL621" s="939"/>
      <c r="AM621" s="939"/>
      <c r="AN621" s="939"/>
    </row>
    <row r="622" spans="1:40" ht="15" customHeight="1">
      <c r="A622" s="939"/>
      <c r="B622" s="939"/>
      <c r="C622" s="939"/>
      <c r="D622" s="939"/>
      <c r="E622" s="939"/>
      <c r="F622" s="939"/>
      <c r="G622" s="939"/>
      <c r="H622" s="939"/>
      <c r="I622" s="939"/>
      <c r="J622" s="939"/>
      <c r="K622" s="939"/>
      <c r="L622" s="939"/>
      <c r="M622" s="939"/>
      <c r="N622" s="939"/>
      <c r="O622" s="939"/>
      <c r="P622" s="939"/>
      <c r="Q622" s="939"/>
      <c r="R622" s="939"/>
      <c r="S622" s="939"/>
      <c r="T622" s="939"/>
      <c r="U622" s="939"/>
      <c r="V622" s="939"/>
      <c r="W622" s="939"/>
      <c r="X622" s="939"/>
      <c r="Y622" s="939"/>
      <c r="Z622" s="939"/>
      <c r="AA622" s="939"/>
      <c r="AB622" s="939"/>
      <c r="AC622" s="939"/>
      <c r="AD622" s="939"/>
      <c r="AE622" s="939"/>
      <c r="AF622" s="939"/>
      <c r="AG622" s="939"/>
      <c r="AH622" s="939"/>
      <c r="AI622" s="939"/>
      <c r="AJ622" s="939"/>
      <c r="AK622" s="939"/>
      <c r="AL622" s="939"/>
      <c r="AM622" s="939"/>
      <c r="AN622" s="939"/>
    </row>
    <row r="623" spans="1:40" ht="15" customHeight="1">
      <c r="A623" s="939"/>
      <c r="B623" s="939"/>
      <c r="C623" s="939"/>
      <c r="D623" s="939"/>
      <c r="E623" s="939"/>
      <c r="F623" s="939"/>
      <c r="G623" s="939"/>
      <c r="H623" s="939"/>
      <c r="I623" s="939"/>
      <c r="J623" s="939"/>
      <c r="K623" s="939"/>
      <c r="L623" s="939"/>
      <c r="M623" s="939"/>
      <c r="N623" s="939"/>
      <c r="O623" s="939"/>
      <c r="P623" s="939"/>
      <c r="Q623" s="939"/>
      <c r="R623" s="939"/>
      <c r="S623" s="939"/>
      <c r="T623" s="939"/>
      <c r="U623" s="939"/>
      <c r="V623" s="939"/>
      <c r="W623" s="939"/>
      <c r="X623" s="939"/>
      <c r="Y623" s="939"/>
      <c r="Z623" s="939"/>
      <c r="AA623" s="939"/>
      <c r="AB623" s="939"/>
      <c r="AC623" s="939"/>
      <c r="AD623" s="939"/>
      <c r="AE623" s="939"/>
      <c r="AF623" s="939"/>
      <c r="AG623" s="939"/>
      <c r="AH623" s="939"/>
      <c r="AI623" s="939"/>
      <c r="AJ623" s="939"/>
      <c r="AK623" s="939"/>
      <c r="AL623" s="939"/>
      <c r="AM623" s="939"/>
      <c r="AN623" s="939"/>
    </row>
    <row r="624" spans="1:40" ht="15" customHeight="1">
      <c r="A624" s="939"/>
      <c r="B624" s="939"/>
      <c r="C624" s="939"/>
      <c r="D624" s="939"/>
      <c r="E624" s="939"/>
      <c r="F624" s="939"/>
      <c r="G624" s="939"/>
      <c r="H624" s="939"/>
      <c r="I624" s="939"/>
      <c r="J624" s="939"/>
      <c r="K624" s="939"/>
      <c r="L624" s="939"/>
      <c r="M624" s="939"/>
      <c r="N624" s="939"/>
      <c r="O624" s="939"/>
      <c r="P624" s="939"/>
      <c r="Q624" s="939"/>
      <c r="R624" s="939"/>
      <c r="S624" s="939"/>
      <c r="T624" s="939"/>
      <c r="U624" s="939"/>
      <c r="V624" s="939"/>
      <c r="W624" s="939"/>
      <c r="X624" s="939"/>
      <c r="Y624" s="939"/>
      <c r="Z624" s="939"/>
      <c r="AA624" s="939"/>
      <c r="AB624" s="939"/>
      <c r="AC624" s="939"/>
      <c r="AD624" s="939"/>
      <c r="AE624" s="939"/>
      <c r="AF624" s="939"/>
      <c r="AG624" s="939"/>
      <c r="AH624" s="939"/>
      <c r="AI624" s="939"/>
      <c r="AJ624" s="939"/>
      <c r="AK624" s="939"/>
      <c r="AL624" s="939"/>
      <c r="AM624" s="939"/>
      <c r="AN624" s="939"/>
    </row>
    <row r="625" spans="1:40" ht="15" customHeight="1">
      <c r="A625" s="939"/>
      <c r="B625" s="939"/>
      <c r="C625" s="939"/>
      <c r="D625" s="939"/>
      <c r="E625" s="939"/>
      <c r="F625" s="939"/>
      <c r="G625" s="939"/>
      <c r="H625" s="939"/>
      <c r="I625" s="939"/>
      <c r="J625" s="939"/>
      <c r="K625" s="939"/>
      <c r="L625" s="939"/>
      <c r="M625" s="939"/>
      <c r="N625" s="939"/>
      <c r="O625" s="939"/>
      <c r="P625" s="939"/>
      <c r="Q625" s="939"/>
      <c r="R625" s="939"/>
      <c r="S625" s="939"/>
      <c r="T625" s="939"/>
      <c r="U625" s="939"/>
      <c r="V625" s="939"/>
      <c r="W625" s="939"/>
      <c r="X625" s="939"/>
      <c r="Y625" s="939"/>
      <c r="Z625" s="939"/>
      <c r="AA625" s="939"/>
      <c r="AB625" s="939"/>
      <c r="AC625" s="939"/>
      <c r="AD625" s="939"/>
      <c r="AE625" s="939"/>
      <c r="AF625" s="939"/>
      <c r="AG625" s="939"/>
      <c r="AH625" s="939"/>
      <c r="AI625" s="939"/>
      <c r="AJ625" s="939"/>
      <c r="AK625" s="939"/>
      <c r="AL625" s="939"/>
      <c r="AM625" s="939"/>
      <c r="AN625" s="939"/>
    </row>
    <row r="626" spans="1:40" ht="15" customHeight="1">
      <c r="A626" s="939"/>
      <c r="B626" s="939"/>
      <c r="C626" s="939"/>
      <c r="D626" s="939"/>
      <c r="E626" s="939"/>
      <c r="F626" s="939"/>
      <c r="G626" s="939"/>
      <c r="H626" s="939"/>
      <c r="I626" s="939"/>
      <c r="J626" s="939"/>
      <c r="K626" s="939"/>
      <c r="L626" s="939"/>
      <c r="M626" s="939"/>
      <c r="N626" s="939"/>
      <c r="O626" s="939"/>
      <c r="P626" s="939"/>
      <c r="Q626" s="939"/>
      <c r="R626" s="939"/>
      <c r="S626" s="939"/>
      <c r="T626" s="939"/>
      <c r="U626" s="939"/>
      <c r="V626" s="939"/>
      <c r="W626" s="939"/>
      <c r="X626" s="939"/>
      <c r="Y626" s="939"/>
      <c r="Z626" s="939"/>
      <c r="AA626" s="939"/>
      <c r="AB626" s="939"/>
      <c r="AC626" s="939"/>
      <c r="AD626" s="939"/>
      <c r="AE626" s="939"/>
      <c r="AF626" s="939"/>
      <c r="AG626" s="939"/>
      <c r="AH626" s="939"/>
      <c r="AI626" s="939"/>
      <c r="AJ626" s="939"/>
      <c r="AK626" s="939"/>
      <c r="AL626" s="939"/>
      <c r="AM626" s="939"/>
      <c r="AN626" s="939"/>
    </row>
    <row r="627" spans="1:40" ht="15" customHeight="1">
      <c r="A627" s="939"/>
      <c r="B627" s="939"/>
      <c r="C627" s="939"/>
      <c r="D627" s="939"/>
      <c r="E627" s="939"/>
      <c r="F627" s="939"/>
      <c r="G627" s="939"/>
      <c r="H627" s="939"/>
      <c r="I627" s="939"/>
      <c r="J627" s="939"/>
      <c r="K627" s="939"/>
      <c r="L627" s="939"/>
      <c r="M627" s="939"/>
      <c r="N627" s="939"/>
      <c r="O627" s="939"/>
      <c r="P627" s="939"/>
      <c r="Q627" s="939"/>
      <c r="R627" s="939"/>
      <c r="S627" s="939"/>
      <c r="T627" s="939"/>
      <c r="U627" s="939"/>
      <c r="V627" s="939"/>
      <c r="W627" s="939"/>
      <c r="X627" s="939"/>
      <c r="Y627" s="939"/>
      <c r="Z627" s="939"/>
      <c r="AA627" s="939"/>
      <c r="AB627" s="939"/>
      <c r="AC627" s="939"/>
      <c r="AD627" s="939"/>
      <c r="AE627" s="939"/>
      <c r="AF627" s="939"/>
      <c r="AG627" s="939"/>
      <c r="AH627" s="939"/>
      <c r="AI627" s="939"/>
      <c r="AJ627" s="939"/>
      <c r="AK627" s="939"/>
      <c r="AL627" s="939"/>
      <c r="AM627" s="939"/>
      <c r="AN627" s="939"/>
    </row>
    <row r="628" spans="1:40" ht="15" customHeight="1">
      <c r="A628" s="939"/>
      <c r="B628" s="939"/>
      <c r="C628" s="939"/>
      <c r="D628" s="939"/>
      <c r="E628" s="939"/>
      <c r="F628" s="939"/>
      <c r="G628" s="939"/>
      <c r="H628" s="939"/>
      <c r="I628" s="939"/>
      <c r="J628" s="939"/>
      <c r="K628" s="939"/>
      <c r="L628" s="939"/>
      <c r="M628" s="939"/>
      <c r="N628" s="939"/>
      <c r="O628" s="939"/>
      <c r="P628" s="939"/>
      <c r="Q628" s="939"/>
      <c r="R628" s="939"/>
      <c r="S628" s="939"/>
      <c r="T628" s="939"/>
      <c r="U628" s="939"/>
      <c r="V628" s="939"/>
      <c r="W628" s="939"/>
      <c r="X628" s="939"/>
      <c r="Y628" s="939"/>
      <c r="Z628" s="939"/>
      <c r="AA628" s="939"/>
      <c r="AB628" s="939"/>
      <c r="AC628" s="939"/>
      <c r="AD628" s="939"/>
      <c r="AE628" s="939"/>
      <c r="AF628" s="939"/>
      <c r="AG628" s="939"/>
      <c r="AH628" s="939"/>
      <c r="AI628" s="939"/>
      <c r="AJ628" s="939"/>
      <c r="AK628" s="939"/>
      <c r="AL628" s="939"/>
      <c r="AM628" s="939"/>
      <c r="AN628" s="939"/>
    </row>
    <row r="629" spans="1:40" ht="15" customHeight="1">
      <c r="A629" s="939"/>
      <c r="B629" s="939"/>
      <c r="C629" s="939"/>
      <c r="D629" s="939"/>
      <c r="E629" s="939"/>
      <c r="F629" s="939"/>
      <c r="G629" s="939"/>
      <c r="H629" s="939"/>
      <c r="I629" s="939"/>
      <c r="J629" s="939"/>
      <c r="K629" s="939"/>
      <c r="L629" s="939"/>
      <c r="M629" s="939"/>
      <c r="N629" s="939"/>
      <c r="O629" s="939"/>
      <c r="P629" s="939"/>
      <c r="Q629" s="939"/>
      <c r="R629" s="939"/>
      <c r="S629" s="939"/>
      <c r="T629" s="939"/>
      <c r="U629" s="939"/>
      <c r="V629" s="939"/>
      <c r="W629" s="939"/>
      <c r="X629" s="939"/>
      <c r="Y629" s="939"/>
      <c r="Z629" s="939"/>
      <c r="AA629" s="939"/>
      <c r="AB629" s="939"/>
      <c r="AC629" s="939"/>
      <c r="AD629" s="939"/>
      <c r="AE629" s="939"/>
      <c r="AF629" s="939"/>
      <c r="AG629" s="939"/>
      <c r="AH629" s="939"/>
      <c r="AI629" s="939"/>
      <c r="AJ629" s="939"/>
      <c r="AK629" s="939"/>
      <c r="AL629" s="939"/>
      <c r="AM629" s="939"/>
      <c r="AN629" s="939"/>
    </row>
    <row r="630" spans="1:40" ht="15" customHeight="1">
      <c r="A630" s="939"/>
      <c r="B630" s="939"/>
      <c r="C630" s="939"/>
      <c r="D630" s="939"/>
      <c r="E630" s="939"/>
      <c r="F630" s="939"/>
      <c r="G630" s="939"/>
      <c r="H630" s="939"/>
      <c r="I630" s="939"/>
      <c r="J630" s="939"/>
      <c r="K630" s="939"/>
      <c r="L630" s="939"/>
      <c r="M630" s="939"/>
      <c r="N630" s="939"/>
      <c r="O630" s="939"/>
      <c r="P630" s="939"/>
      <c r="Q630" s="939"/>
      <c r="R630" s="939"/>
      <c r="S630" s="939"/>
      <c r="T630" s="939"/>
      <c r="U630" s="939"/>
      <c r="V630" s="939"/>
      <c r="W630" s="939"/>
      <c r="X630" s="939"/>
      <c r="Y630" s="939"/>
      <c r="Z630" s="939"/>
      <c r="AA630" s="939"/>
      <c r="AB630" s="939"/>
      <c r="AC630" s="939"/>
      <c r="AD630" s="939"/>
      <c r="AE630" s="939"/>
      <c r="AF630" s="939"/>
      <c r="AG630" s="939"/>
      <c r="AH630" s="939"/>
      <c r="AI630" s="939"/>
      <c r="AJ630" s="939"/>
      <c r="AK630" s="939"/>
      <c r="AL630" s="939"/>
      <c r="AM630" s="939"/>
      <c r="AN630" s="939"/>
    </row>
    <row r="631" spans="1:40" ht="15" customHeight="1">
      <c r="A631" s="939"/>
      <c r="B631" s="939"/>
      <c r="C631" s="939"/>
      <c r="D631" s="939"/>
      <c r="E631" s="939"/>
      <c r="F631" s="939"/>
      <c r="G631" s="939"/>
      <c r="H631" s="939"/>
      <c r="I631" s="939"/>
      <c r="J631" s="939"/>
      <c r="K631" s="939"/>
      <c r="L631" s="939"/>
      <c r="M631" s="939"/>
      <c r="N631" s="939"/>
      <c r="O631" s="939"/>
      <c r="P631" s="939"/>
      <c r="Q631" s="939"/>
      <c r="R631" s="939"/>
      <c r="S631" s="939"/>
      <c r="T631" s="939"/>
      <c r="U631" s="939"/>
      <c r="V631" s="939"/>
      <c r="W631" s="939"/>
      <c r="X631" s="939"/>
      <c r="Y631" s="939"/>
      <c r="Z631" s="939"/>
      <c r="AA631" s="939"/>
      <c r="AB631" s="939"/>
      <c r="AC631" s="939"/>
      <c r="AD631" s="939"/>
      <c r="AE631" s="939"/>
      <c r="AF631" s="939"/>
      <c r="AG631" s="939"/>
      <c r="AH631" s="939"/>
      <c r="AI631" s="939"/>
      <c r="AJ631" s="939"/>
      <c r="AK631" s="939"/>
      <c r="AL631" s="939"/>
      <c r="AM631" s="939"/>
      <c r="AN631" s="939"/>
    </row>
    <row r="632" spans="1:40" ht="15" customHeight="1">
      <c r="A632" s="939"/>
      <c r="B632" s="939"/>
      <c r="C632" s="939"/>
      <c r="D632" s="939"/>
      <c r="E632" s="939"/>
      <c r="F632" s="939"/>
      <c r="G632" s="939"/>
      <c r="H632" s="939"/>
      <c r="I632" s="939"/>
      <c r="J632" s="939"/>
      <c r="K632" s="939"/>
      <c r="L632" s="939"/>
      <c r="M632" s="939"/>
      <c r="N632" s="939"/>
      <c r="O632" s="939"/>
      <c r="P632" s="939"/>
      <c r="Q632" s="939"/>
      <c r="R632" s="939"/>
      <c r="S632" s="939"/>
      <c r="T632" s="939"/>
      <c r="U632" s="939"/>
      <c r="V632" s="939"/>
      <c r="W632" s="939"/>
      <c r="X632" s="939"/>
      <c r="Y632" s="939"/>
      <c r="Z632" s="939"/>
      <c r="AA632" s="939"/>
      <c r="AB632" s="939"/>
      <c r="AC632" s="939"/>
      <c r="AD632" s="939"/>
      <c r="AE632" s="939"/>
      <c r="AF632" s="939"/>
      <c r="AG632" s="939"/>
      <c r="AH632" s="939"/>
      <c r="AI632" s="939"/>
      <c r="AJ632" s="939"/>
      <c r="AK632" s="939"/>
      <c r="AL632" s="939"/>
      <c r="AM632" s="939"/>
      <c r="AN632" s="939"/>
    </row>
    <row r="633" spans="1:40" ht="15" customHeight="1">
      <c r="A633" s="939"/>
      <c r="B633" s="939"/>
      <c r="C633" s="939"/>
      <c r="D633" s="939"/>
      <c r="E633" s="939"/>
      <c r="F633" s="939"/>
      <c r="G633" s="939"/>
      <c r="H633" s="939"/>
      <c r="I633" s="939"/>
      <c r="J633" s="939"/>
      <c r="K633" s="939"/>
      <c r="L633" s="939"/>
      <c r="M633" s="939"/>
      <c r="N633" s="939"/>
      <c r="O633" s="939"/>
      <c r="P633" s="939"/>
      <c r="Q633" s="939"/>
      <c r="R633" s="939"/>
      <c r="S633" s="939"/>
      <c r="T633" s="939"/>
      <c r="U633" s="939"/>
      <c r="V633" s="939"/>
      <c r="W633" s="939"/>
      <c r="X633" s="939"/>
      <c r="Y633" s="939"/>
      <c r="Z633" s="939"/>
      <c r="AA633" s="939"/>
      <c r="AB633" s="939"/>
      <c r="AC633" s="939"/>
      <c r="AD633" s="939"/>
      <c r="AE633" s="939"/>
      <c r="AF633" s="939"/>
      <c r="AG633" s="939"/>
      <c r="AH633" s="939"/>
      <c r="AI633" s="939"/>
      <c r="AJ633" s="939"/>
      <c r="AK633" s="939"/>
      <c r="AL633" s="939"/>
      <c r="AM633" s="939"/>
      <c r="AN633" s="939"/>
    </row>
    <row r="634" spans="1:40" ht="15" customHeight="1">
      <c r="A634" s="939"/>
      <c r="B634" s="939"/>
      <c r="C634" s="939"/>
      <c r="D634" s="939"/>
      <c r="E634" s="939"/>
      <c r="F634" s="939"/>
      <c r="G634" s="939"/>
      <c r="H634" s="939"/>
      <c r="I634" s="939"/>
      <c r="J634" s="939"/>
      <c r="K634" s="939"/>
      <c r="L634" s="939"/>
      <c r="M634" s="939"/>
      <c r="N634" s="939"/>
      <c r="O634" s="939"/>
      <c r="P634" s="939"/>
      <c r="Q634" s="939"/>
      <c r="R634" s="939"/>
      <c r="S634" s="939"/>
      <c r="T634" s="939"/>
      <c r="U634" s="939"/>
      <c r="V634" s="939"/>
      <c r="W634" s="939"/>
      <c r="X634" s="939"/>
      <c r="Y634" s="939"/>
      <c r="Z634" s="939"/>
      <c r="AA634" s="939"/>
      <c r="AB634" s="939"/>
      <c r="AC634" s="939"/>
      <c r="AD634" s="939"/>
      <c r="AE634" s="939"/>
      <c r="AF634" s="939"/>
      <c r="AG634" s="939"/>
      <c r="AH634" s="939"/>
      <c r="AI634" s="939"/>
      <c r="AJ634" s="939"/>
      <c r="AK634" s="939"/>
      <c r="AL634" s="939"/>
      <c r="AM634" s="939"/>
      <c r="AN634" s="939"/>
    </row>
    <row r="635" spans="1:40" ht="15" customHeight="1">
      <c r="A635" s="939"/>
      <c r="B635" s="939"/>
      <c r="C635" s="939"/>
      <c r="D635" s="939"/>
      <c r="E635" s="939"/>
      <c r="F635" s="939"/>
      <c r="G635" s="939"/>
      <c r="H635" s="939"/>
      <c r="I635" s="939"/>
      <c r="J635" s="939"/>
      <c r="K635" s="939"/>
      <c r="L635" s="939"/>
      <c r="M635" s="939"/>
      <c r="N635" s="939"/>
      <c r="O635" s="939"/>
      <c r="P635" s="939"/>
      <c r="Q635" s="939"/>
      <c r="R635" s="939"/>
      <c r="S635" s="939"/>
      <c r="T635" s="939"/>
      <c r="U635" s="939"/>
      <c r="V635" s="939"/>
      <c r="W635" s="939"/>
      <c r="X635" s="939"/>
      <c r="Y635" s="939"/>
      <c r="Z635" s="939"/>
      <c r="AA635" s="939"/>
      <c r="AB635" s="939"/>
      <c r="AC635" s="939"/>
      <c r="AD635" s="939"/>
      <c r="AE635" s="939"/>
      <c r="AF635" s="939"/>
      <c r="AG635" s="939"/>
      <c r="AH635" s="939"/>
      <c r="AI635" s="939"/>
      <c r="AJ635" s="939"/>
      <c r="AK635" s="939"/>
      <c r="AL635" s="939"/>
      <c r="AM635" s="939"/>
      <c r="AN635" s="939"/>
    </row>
    <row r="636" spans="1:40" ht="15" customHeight="1">
      <c r="A636" s="939"/>
      <c r="B636" s="939"/>
      <c r="C636" s="939"/>
      <c r="D636" s="939"/>
      <c r="E636" s="939"/>
      <c r="F636" s="939"/>
      <c r="G636" s="939"/>
      <c r="H636" s="939"/>
      <c r="I636" s="939"/>
      <c r="J636" s="939"/>
      <c r="K636" s="939"/>
      <c r="L636" s="939"/>
      <c r="M636" s="939"/>
      <c r="N636" s="939"/>
      <c r="O636" s="939"/>
      <c r="P636" s="939"/>
      <c r="Q636" s="939"/>
      <c r="R636" s="939"/>
      <c r="S636" s="939"/>
      <c r="T636" s="939"/>
      <c r="U636" s="939"/>
      <c r="V636" s="939"/>
      <c r="W636" s="939"/>
      <c r="X636" s="939"/>
      <c r="Y636" s="939"/>
      <c r="Z636" s="939"/>
      <c r="AA636" s="939"/>
      <c r="AB636" s="939"/>
      <c r="AC636" s="939"/>
      <c r="AD636" s="939"/>
      <c r="AE636" s="939"/>
      <c r="AF636" s="939"/>
      <c r="AG636" s="939"/>
      <c r="AH636" s="939"/>
      <c r="AI636" s="939"/>
      <c r="AJ636" s="939"/>
      <c r="AK636" s="939"/>
      <c r="AL636" s="939"/>
      <c r="AM636" s="939"/>
      <c r="AN636" s="939"/>
    </row>
    <row r="637" spans="1:40" ht="15" customHeight="1">
      <c r="A637" s="939"/>
      <c r="B637" s="939"/>
      <c r="C637" s="939"/>
      <c r="D637" s="939"/>
      <c r="E637" s="939"/>
      <c r="F637" s="939"/>
      <c r="G637" s="939"/>
      <c r="H637" s="939"/>
      <c r="I637" s="939"/>
      <c r="J637" s="939"/>
      <c r="K637" s="939"/>
      <c r="L637" s="939"/>
      <c r="M637" s="939"/>
      <c r="N637" s="939"/>
      <c r="O637" s="939"/>
      <c r="P637" s="939"/>
      <c r="Q637" s="939"/>
      <c r="R637" s="939"/>
      <c r="S637" s="939"/>
      <c r="T637" s="939"/>
      <c r="U637" s="939"/>
      <c r="V637" s="939"/>
      <c r="W637" s="939"/>
      <c r="X637" s="939"/>
      <c r="Y637" s="939"/>
      <c r="Z637" s="939"/>
      <c r="AA637" s="939"/>
      <c r="AB637" s="939"/>
      <c r="AC637" s="939"/>
      <c r="AD637" s="939"/>
      <c r="AE637" s="939"/>
      <c r="AF637" s="939"/>
      <c r="AG637" s="939"/>
      <c r="AH637" s="939"/>
      <c r="AI637" s="939"/>
      <c r="AJ637" s="939"/>
      <c r="AK637" s="939"/>
      <c r="AL637" s="939"/>
      <c r="AM637" s="939"/>
      <c r="AN637" s="939"/>
    </row>
    <row r="638" spans="1:40" ht="15" customHeight="1">
      <c r="A638" s="939"/>
      <c r="B638" s="939"/>
      <c r="C638" s="939"/>
      <c r="D638" s="939"/>
      <c r="E638" s="939"/>
      <c r="F638" s="939"/>
      <c r="G638" s="939"/>
      <c r="H638" s="939"/>
      <c r="I638" s="939"/>
      <c r="J638" s="939"/>
      <c r="K638" s="939"/>
      <c r="L638" s="939"/>
      <c r="M638" s="939"/>
      <c r="N638" s="939"/>
      <c r="O638" s="939"/>
      <c r="P638" s="939"/>
      <c r="Q638" s="939"/>
      <c r="R638" s="939"/>
      <c r="S638" s="939"/>
      <c r="T638" s="939"/>
      <c r="U638" s="939"/>
      <c r="V638" s="939"/>
      <c r="W638" s="939"/>
      <c r="X638" s="939"/>
      <c r="Y638" s="939"/>
      <c r="Z638" s="939"/>
      <c r="AA638" s="939"/>
      <c r="AB638" s="939"/>
      <c r="AC638" s="939"/>
      <c r="AD638" s="939"/>
      <c r="AE638" s="939"/>
      <c r="AF638" s="939"/>
      <c r="AG638" s="939"/>
      <c r="AH638" s="939"/>
      <c r="AI638" s="939"/>
      <c r="AJ638" s="939"/>
      <c r="AK638" s="939"/>
      <c r="AL638" s="939"/>
      <c r="AM638" s="939"/>
      <c r="AN638" s="939"/>
    </row>
    <row r="639" spans="1:40" ht="15" customHeight="1">
      <c r="A639" s="939"/>
      <c r="B639" s="939"/>
      <c r="C639" s="939"/>
      <c r="D639" s="939"/>
      <c r="E639" s="939"/>
      <c r="F639" s="939"/>
      <c r="G639" s="939"/>
      <c r="H639" s="939"/>
      <c r="I639" s="939"/>
      <c r="J639" s="939"/>
      <c r="K639" s="939"/>
      <c r="L639" s="939"/>
      <c r="M639" s="939"/>
      <c r="N639" s="939"/>
      <c r="O639" s="939"/>
      <c r="P639" s="939"/>
      <c r="Q639" s="939"/>
      <c r="R639" s="939"/>
      <c r="S639" s="939"/>
      <c r="T639" s="939"/>
      <c r="U639" s="939"/>
      <c r="V639" s="939"/>
      <c r="W639" s="939"/>
      <c r="X639" s="939"/>
      <c r="Y639" s="939"/>
      <c r="Z639" s="939"/>
      <c r="AA639" s="939"/>
      <c r="AB639" s="939"/>
      <c r="AC639" s="939"/>
      <c r="AD639" s="939"/>
      <c r="AE639" s="939"/>
      <c r="AF639" s="939"/>
      <c r="AG639" s="939"/>
      <c r="AH639" s="939"/>
      <c r="AI639" s="939"/>
      <c r="AJ639" s="939"/>
      <c r="AK639" s="939"/>
      <c r="AL639" s="939"/>
      <c r="AM639" s="939"/>
      <c r="AN639" s="939"/>
    </row>
    <row r="640" spans="1:40" ht="15" customHeight="1">
      <c r="A640" s="939"/>
      <c r="B640" s="939"/>
      <c r="C640" s="939"/>
      <c r="D640" s="939"/>
      <c r="E640" s="939"/>
      <c r="F640" s="939"/>
      <c r="G640" s="939"/>
      <c r="H640" s="939"/>
      <c r="I640" s="939"/>
      <c r="J640" s="939"/>
      <c r="K640" s="939"/>
      <c r="L640" s="939"/>
      <c r="M640" s="939"/>
      <c r="N640" s="939"/>
      <c r="O640" s="939"/>
      <c r="P640" s="939"/>
      <c r="Q640" s="939"/>
      <c r="R640" s="939"/>
      <c r="S640" s="939"/>
      <c r="T640" s="939"/>
      <c r="U640" s="939"/>
      <c r="V640" s="939"/>
      <c r="W640" s="939"/>
      <c r="X640" s="939"/>
      <c r="Y640" s="939"/>
      <c r="Z640" s="939"/>
      <c r="AA640" s="939"/>
      <c r="AB640" s="939"/>
      <c r="AC640" s="939"/>
      <c r="AD640" s="939"/>
      <c r="AE640" s="939"/>
      <c r="AF640" s="939"/>
      <c r="AG640" s="939"/>
      <c r="AH640" s="939"/>
      <c r="AI640" s="939"/>
      <c r="AJ640" s="939"/>
      <c r="AK640" s="939"/>
      <c r="AL640" s="939"/>
      <c r="AM640" s="939"/>
      <c r="AN640" s="939"/>
    </row>
    <row r="641" spans="1:40" ht="15" customHeight="1">
      <c r="A641" s="939"/>
      <c r="B641" s="939"/>
      <c r="C641" s="939"/>
      <c r="D641" s="939"/>
      <c r="E641" s="939"/>
      <c r="F641" s="939"/>
      <c r="G641" s="939"/>
      <c r="H641" s="939"/>
      <c r="I641" s="939"/>
      <c r="J641" s="939"/>
      <c r="K641" s="939"/>
      <c r="L641" s="939"/>
      <c r="M641" s="939"/>
      <c r="N641" s="939"/>
      <c r="O641" s="939"/>
      <c r="P641" s="939"/>
      <c r="Q641" s="939"/>
      <c r="R641" s="939"/>
      <c r="S641" s="939"/>
      <c r="T641" s="939"/>
      <c r="U641" s="939"/>
      <c r="V641" s="939"/>
      <c r="W641" s="939"/>
      <c r="X641" s="939"/>
      <c r="Y641" s="939"/>
      <c r="Z641" s="939"/>
      <c r="AA641" s="939"/>
      <c r="AB641" s="939"/>
      <c r="AC641" s="939"/>
      <c r="AD641" s="939"/>
      <c r="AE641" s="939"/>
      <c r="AF641" s="939"/>
      <c r="AG641" s="939"/>
      <c r="AH641" s="939"/>
      <c r="AI641" s="939"/>
      <c r="AJ641" s="939"/>
      <c r="AK641" s="939"/>
      <c r="AL641" s="939"/>
      <c r="AM641" s="939"/>
      <c r="AN641" s="939"/>
    </row>
    <row r="642" spans="1:40" ht="15" customHeight="1">
      <c r="A642" s="939"/>
      <c r="B642" s="939"/>
      <c r="C642" s="939"/>
      <c r="D642" s="939"/>
      <c r="E642" s="939"/>
      <c r="F642" s="939"/>
      <c r="G642" s="939"/>
      <c r="H642" s="939"/>
      <c r="I642" s="939"/>
      <c r="J642" s="939"/>
      <c r="K642" s="939"/>
      <c r="L642" s="939"/>
      <c r="M642" s="939"/>
      <c r="N642" s="939"/>
      <c r="O642" s="939"/>
      <c r="P642" s="939"/>
      <c r="Q642" s="939"/>
      <c r="R642" s="939"/>
      <c r="S642" s="939"/>
      <c r="T642" s="939"/>
      <c r="U642" s="939"/>
      <c r="V642" s="939"/>
      <c r="W642" s="939"/>
      <c r="X642" s="939"/>
      <c r="Y642" s="939"/>
      <c r="Z642" s="939"/>
      <c r="AA642" s="939"/>
      <c r="AB642" s="939"/>
      <c r="AC642" s="939"/>
      <c r="AD642" s="939"/>
      <c r="AE642" s="939"/>
      <c r="AF642" s="939"/>
      <c r="AG642" s="939"/>
      <c r="AH642" s="939"/>
      <c r="AI642" s="939"/>
      <c r="AJ642" s="939"/>
      <c r="AK642" s="939"/>
      <c r="AL642" s="939"/>
      <c r="AM642" s="939"/>
      <c r="AN642" s="939"/>
    </row>
    <row r="643" spans="1:40" ht="15" customHeight="1">
      <c r="A643" s="939"/>
      <c r="B643" s="939"/>
      <c r="C643" s="939"/>
      <c r="D643" s="939"/>
      <c r="E643" s="939"/>
      <c r="F643" s="939"/>
      <c r="G643" s="939"/>
      <c r="H643" s="939"/>
      <c r="I643" s="939"/>
      <c r="J643" s="939"/>
      <c r="K643" s="939"/>
      <c r="L643" s="939"/>
      <c r="M643" s="939"/>
      <c r="N643" s="939"/>
      <c r="O643" s="939"/>
      <c r="P643" s="939"/>
      <c r="Q643" s="939"/>
      <c r="R643" s="939"/>
      <c r="S643" s="939"/>
      <c r="T643" s="939"/>
      <c r="U643" s="939"/>
      <c r="V643" s="939"/>
      <c r="W643" s="939"/>
      <c r="X643" s="939"/>
      <c r="Y643" s="939"/>
      <c r="Z643" s="939"/>
      <c r="AA643" s="939"/>
      <c r="AB643" s="939"/>
      <c r="AC643" s="939"/>
      <c r="AD643" s="939"/>
      <c r="AE643" s="939"/>
      <c r="AF643" s="939"/>
      <c r="AG643" s="939"/>
      <c r="AH643" s="939"/>
      <c r="AI643" s="939"/>
      <c r="AJ643" s="939"/>
      <c r="AK643" s="939"/>
      <c r="AL643" s="939"/>
      <c r="AM643" s="939"/>
      <c r="AN643" s="939"/>
    </row>
    <row r="644" spans="1:40" ht="15" customHeight="1">
      <c r="A644" s="939"/>
      <c r="B644" s="939"/>
      <c r="C644" s="939"/>
      <c r="D644" s="939"/>
      <c r="E644" s="939"/>
      <c r="F644" s="939"/>
      <c r="G644" s="939"/>
      <c r="H644" s="939"/>
      <c r="I644" s="939"/>
      <c r="J644" s="939"/>
      <c r="K644" s="939"/>
      <c r="L644" s="939"/>
      <c r="M644" s="939"/>
      <c r="N644" s="939"/>
      <c r="O644" s="939"/>
      <c r="P644" s="939"/>
      <c r="Q644" s="939"/>
      <c r="R644" s="939"/>
      <c r="S644" s="939"/>
      <c r="T644" s="939"/>
      <c r="U644" s="939"/>
      <c r="V644" s="939"/>
      <c r="W644" s="939"/>
      <c r="X644" s="939"/>
      <c r="Y644" s="939"/>
      <c r="Z644" s="939"/>
      <c r="AA644" s="939"/>
      <c r="AB644" s="939"/>
      <c r="AC644" s="939"/>
      <c r="AD644" s="939"/>
      <c r="AE644" s="939"/>
      <c r="AF644" s="939"/>
      <c r="AG644" s="939"/>
      <c r="AH644" s="939"/>
      <c r="AI644" s="939"/>
      <c r="AJ644" s="939"/>
      <c r="AK644" s="939"/>
      <c r="AL644" s="939"/>
      <c r="AM644" s="939"/>
      <c r="AN644" s="939"/>
    </row>
    <row r="645" spans="1:40" ht="15" customHeight="1">
      <c r="A645" s="939"/>
      <c r="B645" s="939"/>
      <c r="C645" s="939"/>
      <c r="D645" s="939"/>
      <c r="E645" s="939"/>
      <c r="F645" s="939"/>
      <c r="G645" s="939"/>
      <c r="H645" s="939"/>
      <c r="I645" s="939"/>
      <c r="J645" s="939"/>
      <c r="K645" s="939"/>
      <c r="L645" s="939"/>
      <c r="M645" s="939"/>
      <c r="N645" s="939"/>
      <c r="O645" s="939"/>
      <c r="P645" s="939"/>
      <c r="Q645" s="939"/>
      <c r="R645" s="939"/>
      <c r="S645" s="939"/>
      <c r="T645" s="939"/>
      <c r="U645" s="939"/>
      <c r="V645" s="939"/>
      <c r="W645" s="939"/>
      <c r="X645" s="939"/>
      <c r="Y645" s="939"/>
      <c r="Z645" s="939"/>
      <c r="AA645" s="939"/>
      <c r="AB645" s="939"/>
      <c r="AC645" s="939"/>
      <c r="AD645" s="939"/>
      <c r="AE645" s="939"/>
      <c r="AF645" s="939"/>
      <c r="AG645" s="939"/>
      <c r="AH645" s="939"/>
      <c r="AI645" s="939"/>
      <c r="AJ645" s="939"/>
      <c r="AK645" s="939"/>
      <c r="AL645" s="939"/>
      <c r="AM645" s="939"/>
      <c r="AN645" s="939"/>
    </row>
    <row r="646" spans="1:40" ht="15" customHeight="1">
      <c r="A646" s="939"/>
      <c r="B646" s="939"/>
      <c r="C646" s="939"/>
      <c r="D646" s="939"/>
      <c r="E646" s="939"/>
      <c r="F646" s="939"/>
      <c r="G646" s="939"/>
      <c r="H646" s="939"/>
      <c r="I646" s="939"/>
      <c r="J646" s="939"/>
      <c r="K646" s="939"/>
      <c r="L646" s="939"/>
      <c r="M646" s="939"/>
      <c r="N646" s="939"/>
      <c r="O646" s="939"/>
      <c r="P646" s="939"/>
      <c r="Q646" s="939"/>
      <c r="R646" s="939"/>
      <c r="S646" s="939"/>
      <c r="T646" s="939"/>
      <c r="U646" s="939"/>
      <c r="V646" s="939"/>
      <c r="W646" s="939"/>
      <c r="X646" s="939"/>
      <c r="Y646" s="939"/>
      <c r="Z646" s="939"/>
      <c r="AA646" s="939"/>
      <c r="AB646" s="939"/>
      <c r="AC646" s="939"/>
      <c r="AD646" s="939"/>
      <c r="AE646" s="939"/>
      <c r="AF646" s="939"/>
      <c r="AG646" s="939"/>
      <c r="AH646" s="939"/>
      <c r="AI646" s="939"/>
      <c r="AJ646" s="939"/>
      <c r="AK646" s="939"/>
      <c r="AL646" s="939"/>
      <c r="AM646" s="939"/>
      <c r="AN646" s="939"/>
    </row>
    <row r="647" spans="1:40" ht="15" customHeight="1">
      <c r="A647" s="939"/>
      <c r="B647" s="939"/>
      <c r="C647" s="939"/>
      <c r="D647" s="939"/>
      <c r="E647" s="939"/>
      <c r="F647" s="939"/>
      <c r="G647" s="939"/>
      <c r="H647" s="939"/>
      <c r="I647" s="939"/>
      <c r="J647" s="939"/>
      <c r="K647" s="939"/>
      <c r="L647" s="939"/>
      <c r="M647" s="939"/>
      <c r="N647" s="939"/>
      <c r="O647" s="939"/>
      <c r="P647" s="939"/>
      <c r="Q647" s="939"/>
      <c r="R647" s="939"/>
      <c r="S647" s="939"/>
      <c r="T647" s="939"/>
      <c r="U647" s="939"/>
      <c r="V647" s="939"/>
      <c r="W647" s="939"/>
      <c r="X647" s="939"/>
      <c r="Y647" s="939"/>
      <c r="Z647" s="939"/>
      <c r="AA647" s="939"/>
      <c r="AB647" s="939"/>
      <c r="AC647" s="939"/>
      <c r="AD647" s="939"/>
      <c r="AE647" s="939"/>
      <c r="AF647" s="939"/>
      <c r="AG647" s="939"/>
      <c r="AH647" s="939"/>
      <c r="AI647" s="939"/>
      <c r="AJ647" s="939"/>
      <c r="AK647" s="939"/>
      <c r="AL647" s="939"/>
      <c r="AM647" s="939"/>
      <c r="AN647" s="939"/>
    </row>
    <row r="648" spans="1:40" ht="15" customHeight="1">
      <c r="A648" s="939"/>
      <c r="B648" s="939"/>
      <c r="C648" s="939"/>
      <c r="D648" s="939"/>
      <c r="E648" s="939"/>
      <c r="F648" s="939"/>
      <c r="G648" s="939"/>
      <c r="H648" s="939"/>
      <c r="I648" s="939"/>
      <c r="J648" s="939"/>
      <c r="K648" s="939"/>
      <c r="L648" s="939"/>
      <c r="M648" s="939"/>
      <c r="N648" s="939"/>
      <c r="O648" s="939"/>
      <c r="P648" s="939"/>
      <c r="Q648" s="939"/>
      <c r="R648" s="939"/>
      <c r="S648" s="939"/>
      <c r="T648" s="939"/>
      <c r="U648" s="939"/>
      <c r="V648" s="939"/>
      <c r="W648" s="939"/>
      <c r="X648" s="939"/>
      <c r="Y648" s="939"/>
      <c r="Z648" s="939"/>
      <c r="AA648" s="939"/>
      <c r="AB648" s="939"/>
      <c r="AC648" s="939"/>
      <c r="AD648" s="939"/>
      <c r="AE648" s="939"/>
      <c r="AF648" s="939"/>
      <c r="AG648" s="939"/>
      <c r="AH648" s="939"/>
      <c r="AI648" s="939"/>
      <c r="AJ648" s="939"/>
      <c r="AK648" s="939"/>
      <c r="AL648" s="939"/>
      <c r="AM648" s="939"/>
      <c r="AN648" s="939"/>
    </row>
    <row r="649" spans="1:40" ht="15" customHeight="1">
      <c r="A649" s="939"/>
      <c r="B649" s="939"/>
      <c r="C649" s="939"/>
      <c r="D649" s="939"/>
      <c r="E649" s="939"/>
      <c r="F649" s="939"/>
      <c r="G649" s="939"/>
      <c r="H649" s="939"/>
      <c r="I649" s="939"/>
      <c r="J649" s="939"/>
      <c r="K649" s="939"/>
      <c r="L649" s="939"/>
      <c r="M649" s="939"/>
      <c r="N649" s="939"/>
      <c r="O649" s="939"/>
      <c r="P649" s="939"/>
      <c r="Q649" s="939"/>
      <c r="R649" s="939"/>
      <c r="S649" s="939"/>
      <c r="T649" s="939"/>
      <c r="U649" s="939"/>
      <c r="V649" s="939"/>
      <c r="W649" s="939"/>
      <c r="X649" s="939"/>
      <c r="Y649" s="939"/>
      <c r="Z649" s="939"/>
      <c r="AA649" s="939"/>
      <c r="AB649" s="939"/>
      <c r="AC649" s="939"/>
      <c r="AD649" s="939"/>
      <c r="AE649" s="939"/>
      <c r="AF649" s="939"/>
      <c r="AG649" s="939"/>
      <c r="AH649" s="939"/>
      <c r="AI649" s="939"/>
      <c r="AJ649" s="939"/>
      <c r="AK649" s="939"/>
      <c r="AL649" s="939"/>
      <c r="AM649" s="939"/>
      <c r="AN649" s="939"/>
    </row>
    <row r="650" spans="1:40" ht="15" customHeight="1">
      <c r="A650" s="939"/>
      <c r="B650" s="939"/>
      <c r="C650" s="939"/>
      <c r="D650" s="939"/>
      <c r="E650" s="939"/>
      <c r="F650" s="939"/>
      <c r="G650" s="939"/>
      <c r="H650" s="939"/>
      <c r="I650" s="939"/>
      <c r="J650" s="939"/>
      <c r="K650" s="939"/>
      <c r="L650" s="939"/>
      <c r="M650" s="939"/>
      <c r="N650" s="939"/>
      <c r="O650" s="939"/>
      <c r="P650" s="939"/>
      <c r="Q650" s="939"/>
      <c r="R650" s="939"/>
      <c r="S650" s="939"/>
      <c r="T650" s="939"/>
      <c r="U650" s="939"/>
      <c r="V650" s="939"/>
      <c r="W650" s="939"/>
      <c r="X650" s="939"/>
      <c r="Y650" s="939"/>
      <c r="Z650" s="939"/>
      <c r="AA650" s="939"/>
      <c r="AB650" s="939"/>
      <c r="AC650" s="939"/>
      <c r="AD650" s="939"/>
      <c r="AE650" s="939"/>
      <c r="AF650" s="939"/>
      <c r="AG650" s="939"/>
      <c r="AH650" s="939"/>
      <c r="AI650" s="939"/>
      <c r="AJ650" s="939"/>
      <c r="AK650" s="939"/>
      <c r="AL650" s="939"/>
      <c r="AM650" s="939"/>
      <c r="AN650" s="939"/>
    </row>
    <row r="651" spans="1:40" ht="15" customHeight="1">
      <c r="A651" s="939"/>
      <c r="B651" s="939"/>
      <c r="C651" s="939"/>
      <c r="D651" s="939"/>
      <c r="E651" s="939"/>
      <c r="F651" s="939"/>
      <c r="G651" s="939"/>
      <c r="H651" s="939"/>
      <c r="I651" s="939"/>
      <c r="J651" s="939"/>
      <c r="K651" s="939"/>
      <c r="L651" s="939"/>
      <c r="M651" s="939"/>
      <c r="N651" s="939"/>
      <c r="O651" s="939"/>
      <c r="P651" s="939"/>
      <c r="Q651" s="939"/>
      <c r="R651" s="939"/>
      <c r="S651" s="939"/>
      <c r="T651" s="939"/>
      <c r="U651" s="939"/>
      <c r="V651" s="939"/>
      <c r="W651" s="939"/>
      <c r="X651" s="939"/>
      <c r="Y651" s="939"/>
      <c r="Z651" s="939"/>
      <c r="AA651" s="939"/>
      <c r="AB651" s="939"/>
      <c r="AC651" s="939"/>
      <c r="AD651" s="939"/>
      <c r="AE651" s="939"/>
      <c r="AF651" s="939"/>
      <c r="AG651" s="939"/>
      <c r="AH651" s="939"/>
      <c r="AI651" s="939"/>
      <c r="AJ651" s="939"/>
      <c r="AK651" s="939"/>
      <c r="AL651" s="939"/>
      <c r="AM651" s="939"/>
      <c r="AN651" s="939"/>
    </row>
    <row r="652" spans="1:40" ht="15" customHeight="1">
      <c r="A652" s="939"/>
      <c r="B652" s="939"/>
      <c r="C652" s="939"/>
      <c r="D652" s="939"/>
      <c r="E652" s="939"/>
      <c r="F652" s="939"/>
      <c r="G652" s="939"/>
      <c r="H652" s="939"/>
      <c r="I652" s="939"/>
      <c r="J652" s="939"/>
      <c r="K652" s="939"/>
      <c r="L652" s="939"/>
      <c r="M652" s="939"/>
      <c r="N652" s="939"/>
      <c r="O652" s="939"/>
      <c r="P652" s="939"/>
      <c r="Q652" s="939"/>
      <c r="R652" s="939"/>
      <c r="S652" s="939"/>
      <c r="T652" s="939"/>
      <c r="U652" s="939"/>
      <c r="V652" s="939"/>
      <c r="W652" s="939"/>
      <c r="X652" s="939"/>
      <c r="Y652" s="939"/>
      <c r="Z652" s="939"/>
      <c r="AA652" s="939"/>
      <c r="AB652" s="939"/>
      <c r="AC652" s="939"/>
      <c r="AD652" s="939"/>
      <c r="AE652" s="939"/>
      <c r="AF652" s="939"/>
      <c r="AG652" s="939"/>
      <c r="AH652" s="939"/>
      <c r="AI652" s="939"/>
      <c r="AJ652" s="939"/>
      <c r="AK652" s="939"/>
      <c r="AL652" s="939"/>
      <c r="AM652" s="939"/>
      <c r="AN652" s="939"/>
    </row>
    <row r="653" spans="1:40" ht="15" customHeight="1">
      <c r="A653" s="939"/>
      <c r="B653" s="939"/>
      <c r="C653" s="939"/>
      <c r="D653" s="939"/>
      <c r="E653" s="939"/>
      <c r="F653" s="939"/>
      <c r="G653" s="939"/>
      <c r="H653" s="939"/>
      <c r="I653" s="939"/>
      <c r="J653" s="939"/>
      <c r="K653" s="939"/>
      <c r="L653" s="939"/>
      <c r="M653" s="939"/>
      <c r="N653" s="939"/>
      <c r="O653" s="939"/>
      <c r="P653" s="939"/>
      <c r="Q653" s="939"/>
      <c r="R653" s="939"/>
      <c r="S653" s="939"/>
      <c r="T653" s="939"/>
      <c r="U653" s="939"/>
      <c r="V653" s="939"/>
      <c r="W653" s="939"/>
      <c r="X653" s="939"/>
      <c r="Y653" s="939"/>
      <c r="Z653" s="939"/>
      <c r="AA653" s="939"/>
      <c r="AB653" s="939"/>
      <c r="AC653" s="939"/>
      <c r="AD653" s="939"/>
      <c r="AE653" s="939"/>
      <c r="AF653" s="939"/>
      <c r="AG653" s="939"/>
      <c r="AH653" s="939"/>
      <c r="AI653" s="939"/>
      <c r="AJ653" s="939"/>
      <c r="AK653" s="939"/>
      <c r="AL653" s="939"/>
      <c r="AM653" s="939"/>
      <c r="AN653" s="939"/>
    </row>
    <row r="654" spans="1:40" ht="15" customHeight="1">
      <c r="A654" s="939"/>
      <c r="B654" s="939"/>
      <c r="C654" s="939"/>
      <c r="D654" s="939"/>
      <c r="E654" s="939"/>
      <c r="F654" s="939"/>
      <c r="G654" s="939"/>
      <c r="H654" s="939"/>
      <c r="I654" s="939"/>
      <c r="J654" s="939"/>
      <c r="K654" s="939"/>
      <c r="L654" s="939"/>
      <c r="M654" s="939"/>
      <c r="N654" s="939"/>
      <c r="O654" s="939"/>
      <c r="P654" s="939"/>
      <c r="Q654" s="939"/>
      <c r="R654" s="939"/>
      <c r="S654" s="939"/>
      <c r="T654" s="939"/>
      <c r="U654" s="939"/>
      <c r="V654" s="939"/>
      <c r="W654" s="939"/>
      <c r="X654" s="939"/>
      <c r="Y654" s="939"/>
      <c r="Z654" s="939"/>
      <c r="AA654" s="939"/>
      <c r="AB654" s="939"/>
      <c r="AC654" s="939"/>
      <c r="AD654" s="939"/>
      <c r="AE654" s="939"/>
      <c r="AF654" s="939"/>
      <c r="AG654" s="939"/>
      <c r="AH654" s="939"/>
      <c r="AI654" s="939"/>
      <c r="AJ654" s="939"/>
      <c r="AK654" s="939"/>
      <c r="AL654" s="939"/>
      <c r="AM654" s="939"/>
      <c r="AN654" s="939"/>
    </row>
    <row r="655" spans="1:40" ht="15" customHeight="1">
      <c r="A655" s="939"/>
      <c r="B655" s="939"/>
      <c r="C655" s="939"/>
      <c r="D655" s="939"/>
      <c r="E655" s="939"/>
      <c r="F655" s="939"/>
      <c r="G655" s="939"/>
      <c r="H655" s="939"/>
      <c r="I655" s="939"/>
      <c r="J655" s="939"/>
      <c r="K655" s="939"/>
      <c r="L655" s="939"/>
      <c r="M655" s="939"/>
      <c r="N655" s="939"/>
      <c r="O655" s="939"/>
      <c r="P655" s="939"/>
      <c r="Q655" s="939"/>
      <c r="R655" s="939"/>
      <c r="S655" s="939"/>
      <c r="T655" s="939"/>
      <c r="U655" s="939"/>
      <c r="V655" s="939"/>
      <c r="W655" s="939"/>
      <c r="X655" s="939"/>
      <c r="Y655" s="939"/>
      <c r="Z655" s="939"/>
      <c r="AA655" s="939"/>
      <c r="AB655" s="939"/>
      <c r="AC655" s="939"/>
      <c r="AD655" s="939"/>
      <c r="AE655" s="939"/>
      <c r="AF655" s="939"/>
      <c r="AG655" s="939"/>
      <c r="AH655" s="939"/>
      <c r="AI655" s="939"/>
      <c r="AJ655" s="939"/>
      <c r="AK655" s="939"/>
      <c r="AL655" s="939"/>
      <c r="AM655" s="939"/>
      <c r="AN655" s="939"/>
    </row>
    <row r="656" spans="1:40" ht="15" customHeight="1">
      <c r="A656" s="939"/>
      <c r="B656" s="939"/>
      <c r="C656" s="939"/>
      <c r="D656" s="939"/>
      <c r="E656" s="939"/>
      <c r="F656" s="939"/>
      <c r="G656" s="939"/>
      <c r="H656" s="939"/>
      <c r="I656" s="939"/>
      <c r="J656" s="939"/>
      <c r="K656" s="939"/>
      <c r="L656" s="939"/>
      <c r="M656" s="939"/>
      <c r="N656" s="939"/>
      <c r="O656" s="939"/>
      <c r="P656" s="939"/>
      <c r="Q656" s="939"/>
      <c r="R656" s="939"/>
      <c r="S656" s="939"/>
      <c r="T656" s="939"/>
      <c r="U656" s="939"/>
      <c r="V656" s="939"/>
      <c r="W656" s="939"/>
      <c r="X656" s="939"/>
      <c r="Y656" s="939"/>
      <c r="Z656" s="939"/>
      <c r="AA656" s="939"/>
      <c r="AB656" s="939"/>
      <c r="AC656" s="939"/>
      <c r="AD656" s="939"/>
      <c r="AE656" s="939"/>
      <c r="AF656" s="939"/>
      <c r="AG656" s="939"/>
      <c r="AH656" s="939"/>
      <c r="AI656" s="939"/>
      <c r="AJ656" s="939"/>
      <c r="AK656" s="939"/>
      <c r="AL656" s="939"/>
      <c r="AM656" s="939"/>
      <c r="AN656" s="939"/>
    </row>
    <row r="657" spans="1:40" ht="15" customHeight="1">
      <c r="A657" s="939"/>
      <c r="B657" s="939"/>
      <c r="C657" s="939"/>
      <c r="D657" s="939"/>
      <c r="E657" s="939"/>
      <c r="F657" s="939"/>
      <c r="G657" s="939"/>
      <c r="H657" s="939"/>
      <c r="I657" s="939"/>
      <c r="J657" s="939"/>
      <c r="K657" s="939"/>
      <c r="L657" s="939"/>
      <c r="M657" s="939"/>
      <c r="N657" s="939"/>
      <c r="O657" s="939"/>
      <c r="P657" s="939"/>
      <c r="Q657" s="939"/>
      <c r="R657" s="939"/>
      <c r="S657" s="939"/>
      <c r="T657" s="939"/>
      <c r="U657" s="939"/>
      <c r="V657" s="939"/>
      <c r="W657" s="939"/>
      <c r="X657" s="939"/>
      <c r="Y657" s="939"/>
      <c r="Z657" s="939"/>
      <c r="AA657" s="939"/>
      <c r="AB657" s="939"/>
      <c r="AC657" s="939"/>
      <c r="AD657" s="939"/>
      <c r="AE657" s="939"/>
      <c r="AF657" s="939"/>
      <c r="AG657" s="939"/>
      <c r="AH657" s="939"/>
      <c r="AI657" s="939"/>
      <c r="AJ657" s="939"/>
      <c r="AK657" s="939"/>
      <c r="AL657" s="939"/>
      <c r="AM657" s="939"/>
      <c r="AN657" s="939"/>
    </row>
    <row r="658" spans="1:40" ht="15" customHeight="1">
      <c r="A658" s="939"/>
      <c r="B658" s="939"/>
      <c r="C658" s="939"/>
      <c r="D658" s="939"/>
      <c r="E658" s="939"/>
      <c r="F658" s="939"/>
      <c r="G658" s="939"/>
      <c r="H658" s="939"/>
      <c r="I658" s="939"/>
      <c r="J658" s="939"/>
      <c r="K658" s="939"/>
      <c r="L658" s="939"/>
      <c r="M658" s="939"/>
      <c r="N658" s="939"/>
      <c r="O658" s="939"/>
      <c r="P658" s="939"/>
      <c r="Q658" s="939"/>
      <c r="R658" s="939"/>
      <c r="S658" s="939"/>
      <c r="T658" s="939"/>
      <c r="U658" s="939"/>
      <c r="V658" s="939"/>
      <c r="W658" s="939"/>
      <c r="X658" s="939"/>
      <c r="Y658" s="939"/>
      <c r="Z658" s="939"/>
      <c r="AA658" s="939"/>
      <c r="AB658" s="939"/>
      <c r="AC658" s="939"/>
      <c r="AD658" s="939"/>
      <c r="AE658" s="939"/>
      <c r="AF658" s="939"/>
      <c r="AG658" s="939"/>
      <c r="AH658" s="939"/>
      <c r="AI658" s="939"/>
      <c r="AJ658" s="939"/>
      <c r="AK658" s="939"/>
      <c r="AL658" s="939"/>
      <c r="AM658" s="939"/>
      <c r="AN658" s="939"/>
    </row>
    <row r="659" spans="1:40" ht="15" customHeight="1">
      <c r="A659" s="939"/>
      <c r="B659" s="939"/>
      <c r="C659" s="939"/>
      <c r="D659" s="939"/>
      <c r="E659" s="939"/>
      <c r="F659" s="939"/>
      <c r="G659" s="939"/>
      <c r="H659" s="939"/>
      <c r="I659" s="939"/>
      <c r="J659" s="939"/>
      <c r="K659" s="939"/>
      <c r="L659" s="939"/>
      <c r="M659" s="939"/>
      <c r="N659" s="939"/>
      <c r="O659" s="939"/>
      <c r="P659" s="939"/>
      <c r="Q659" s="939"/>
      <c r="R659" s="939"/>
      <c r="S659" s="939"/>
      <c r="T659" s="939"/>
      <c r="U659" s="939"/>
      <c r="V659" s="939"/>
      <c r="W659" s="939"/>
      <c r="X659" s="939"/>
      <c r="Y659" s="939"/>
      <c r="Z659" s="939"/>
      <c r="AA659" s="939"/>
      <c r="AB659" s="939"/>
      <c r="AC659" s="939"/>
      <c r="AD659" s="939"/>
      <c r="AE659" s="939"/>
      <c r="AF659" s="939"/>
      <c r="AG659" s="939"/>
      <c r="AH659" s="939"/>
      <c r="AI659" s="939"/>
      <c r="AJ659" s="939"/>
      <c r="AK659" s="939"/>
      <c r="AL659" s="939"/>
      <c r="AM659" s="939"/>
      <c r="AN659" s="939"/>
    </row>
    <row r="660" spans="1:40" ht="15" customHeight="1">
      <c r="A660" s="939"/>
      <c r="B660" s="939"/>
      <c r="C660" s="939"/>
      <c r="D660" s="939"/>
      <c r="E660" s="939"/>
      <c r="F660" s="939"/>
      <c r="G660" s="939"/>
      <c r="H660" s="939"/>
      <c r="I660" s="939"/>
      <c r="J660" s="939"/>
      <c r="K660" s="939"/>
      <c r="L660" s="939"/>
      <c r="M660" s="939"/>
      <c r="N660" s="939"/>
      <c r="O660" s="939"/>
      <c r="P660" s="939"/>
      <c r="Q660" s="939"/>
      <c r="R660" s="939"/>
      <c r="S660" s="939"/>
      <c r="T660" s="939"/>
      <c r="U660" s="939"/>
      <c r="V660" s="939"/>
      <c r="W660" s="939"/>
      <c r="X660" s="939"/>
      <c r="Y660" s="939"/>
      <c r="Z660" s="939"/>
      <c r="AA660" s="939"/>
      <c r="AB660" s="939"/>
      <c r="AC660" s="939"/>
      <c r="AD660" s="939"/>
      <c r="AE660" s="939"/>
      <c r="AF660" s="939"/>
      <c r="AG660" s="939"/>
      <c r="AH660" s="939"/>
      <c r="AI660" s="939"/>
      <c r="AJ660" s="939"/>
      <c r="AK660" s="939"/>
      <c r="AL660" s="939"/>
      <c r="AM660" s="939"/>
      <c r="AN660" s="939"/>
    </row>
    <row r="661" spans="1:40" ht="15" customHeight="1">
      <c r="A661" s="939"/>
      <c r="B661" s="939"/>
      <c r="C661" s="939"/>
      <c r="D661" s="939"/>
      <c r="E661" s="939"/>
      <c r="F661" s="939"/>
      <c r="G661" s="939"/>
      <c r="H661" s="939"/>
      <c r="I661" s="939"/>
      <c r="J661" s="939"/>
      <c r="K661" s="939"/>
      <c r="L661" s="939"/>
      <c r="M661" s="939"/>
      <c r="N661" s="939"/>
      <c r="O661" s="939"/>
      <c r="P661" s="939"/>
      <c r="Q661" s="939"/>
      <c r="R661" s="939"/>
      <c r="S661" s="939"/>
      <c r="T661" s="939"/>
      <c r="U661" s="939"/>
      <c r="V661" s="939"/>
      <c r="W661" s="939"/>
      <c r="X661" s="939"/>
      <c r="Y661" s="939"/>
      <c r="Z661" s="939"/>
      <c r="AA661" s="939"/>
      <c r="AB661" s="939"/>
      <c r="AC661" s="939"/>
      <c r="AD661" s="939"/>
      <c r="AE661" s="939"/>
      <c r="AF661" s="939"/>
      <c r="AG661" s="939"/>
      <c r="AH661" s="939"/>
      <c r="AI661" s="939"/>
      <c r="AJ661" s="939"/>
      <c r="AK661" s="939"/>
      <c r="AL661" s="939"/>
      <c r="AM661" s="939"/>
      <c r="AN661" s="939"/>
    </row>
    <row r="662" spans="1:40" ht="15" customHeight="1">
      <c r="A662" s="939"/>
      <c r="B662" s="939"/>
      <c r="C662" s="939"/>
      <c r="D662" s="939"/>
      <c r="E662" s="939"/>
      <c r="F662" s="939"/>
      <c r="G662" s="939"/>
      <c r="H662" s="939"/>
      <c r="I662" s="939"/>
      <c r="J662" s="939"/>
      <c r="K662" s="939"/>
      <c r="L662" s="939"/>
      <c r="M662" s="939"/>
      <c r="N662" s="939"/>
      <c r="O662" s="939"/>
      <c r="P662" s="939"/>
      <c r="Q662" s="939"/>
      <c r="R662" s="939"/>
      <c r="S662" s="939"/>
      <c r="T662" s="939"/>
      <c r="U662" s="939"/>
      <c r="V662" s="939"/>
      <c r="W662" s="939"/>
      <c r="X662" s="939"/>
      <c r="Y662" s="939"/>
      <c r="Z662" s="939"/>
      <c r="AA662" s="939"/>
      <c r="AB662" s="939"/>
      <c r="AC662" s="939"/>
      <c r="AD662" s="939"/>
      <c r="AE662" s="939"/>
      <c r="AF662" s="939"/>
      <c r="AG662" s="939"/>
      <c r="AH662" s="939"/>
      <c r="AI662" s="939"/>
      <c r="AJ662" s="939"/>
      <c r="AK662" s="939"/>
      <c r="AL662" s="939"/>
      <c r="AM662" s="939"/>
      <c r="AN662" s="939"/>
    </row>
    <row r="663" spans="1:40" ht="15" customHeight="1">
      <c r="A663" s="939"/>
      <c r="B663" s="939"/>
      <c r="C663" s="939"/>
      <c r="D663" s="939"/>
      <c r="E663" s="939"/>
      <c r="F663" s="939"/>
      <c r="G663" s="939"/>
      <c r="H663" s="939"/>
      <c r="I663" s="939"/>
      <c r="J663" s="939"/>
      <c r="K663" s="939"/>
      <c r="L663" s="939"/>
      <c r="M663" s="939"/>
      <c r="N663" s="939"/>
      <c r="O663" s="939"/>
      <c r="P663" s="939"/>
      <c r="Q663" s="939"/>
      <c r="R663" s="939"/>
      <c r="S663" s="939"/>
      <c r="T663" s="939"/>
      <c r="U663" s="939"/>
      <c r="V663" s="939"/>
      <c r="W663" s="939"/>
      <c r="X663" s="939"/>
      <c r="Y663" s="939"/>
      <c r="Z663" s="939"/>
      <c r="AA663" s="939"/>
      <c r="AB663" s="939"/>
      <c r="AC663" s="939"/>
      <c r="AD663" s="939"/>
      <c r="AE663" s="939"/>
      <c r="AF663" s="939"/>
      <c r="AG663" s="939"/>
      <c r="AH663" s="939"/>
      <c r="AI663" s="939"/>
      <c r="AJ663" s="939"/>
      <c r="AK663" s="939"/>
      <c r="AL663" s="939"/>
      <c r="AM663" s="939"/>
      <c r="AN663" s="939"/>
    </row>
    <row r="664" spans="1:40" ht="15" customHeight="1">
      <c r="A664" s="939"/>
      <c r="B664" s="939"/>
      <c r="C664" s="939"/>
      <c r="D664" s="939"/>
      <c r="E664" s="939"/>
      <c r="F664" s="939"/>
      <c r="G664" s="939"/>
      <c r="H664" s="939"/>
      <c r="I664" s="939"/>
      <c r="J664" s="939"/>
      <c r="K664" s="939"/>
      <c r="L664" s="939"/>
      <c r="M664" s="939"/>
      <c r="N664" s="939"/>
      <c r="O664" s="939"/>
      <c r="P664" s="939"/>
      <c r="Q664" s="939"/>
      <c r="R664" s="939"/>
      <c r="S664" s="939"/>
      <c r="T664" s="939"/>
      <c r="U664" s="939"/>
      <c r="V664" s="939"/>
      <c r="W664" s="939"/>
      <c r="X664" s="939"/>
      <c r="Y664" s="939"/>
      <c r="Z664" s="939"/>
      <c r="AA664" s="939"/>
      <c r="AB664" s="939"/>
      <c r="AC664" s="939"/>
      <c r="AD664" s="939"/>
      <c r="AE664" s="939"/>
      <c r="AF664" s="939"/>
      <c r="AG664" s="939"/>
      <c r="AH664" s="939"/>
      <c r="AI664" s="939"/>
      <c r="AJ664" s="939"/>
      <c r="AK664" s="939"/>
      <c r="AL664" s="939"/>
      <c r="AM664" s="939"/>
      <c r="AN664" s="939"/>
    </row>
    <row r="665" spans="1:40" ht="15" customHeight="1">
      <c r="A665" s="939"/>
      <c r="B665" s="939"/>
      <c r="C665" s="939"/>
      <c r="D665" s="939"/>
      <c r="E665" s="939"/>
      <c r="F665" s="939"/>
      <c r="G665" s="939"/>
      <c r="H665" s="939"/>
      <c r="I665" s="939"/>
      <c r="J665" s="939"/>
      <c r="K665" s="939"/>
      <c r="L665" s="939"/>
      <c r="M665" s="939"/>
      <c r="N665" s="939"/>
      <c r="O665" s="939"/>
      <c r="P665" s="939"/>
      <c r="Q665" s="939"/>
      <c r="R665" s="939"/>
      <c r="S665" s="939"/>
      <c r="T665" s="939"/>
      <c r="U665" s="939"/>
      <c r="V665" s="939"/>
      <c r="W665" s="939"/>
      <c r="X665" s="939"/>
      <c r="Y665" s="939"/>
      <c r="Z665" s="939"/>
      <c r="AA665" s="939"/>
      <c r="AB665" s="939"/>
      <c r="AC665" s="939"/>
      <c r="AD665" s="939"/>
      <c r="AE665" s="939"/>
      <c r="AF665" s="939"/>
      <c r="AG665" s="939"/>
      <c r="AH665" s="939"/>
      <c r="AI665" s="939"/>
      <c r="AJ665" s="939"/>
      <c r="AK665" s="939"/>
      <c r="AL665" s="939"/>
      <c r="AM665" s="939"/>
      <c r="AN665" s="939"/>
    </row>
    <row r="666" spans="1:40" ht="15" customHeight="1">
      <c r="A666" s="939"/>
      <c r="B666" s="939"/>
      <c r="C666" s="939"/>
      <c r="D666" s="939"/>
      <c r="E666" s="939"/>
      <c r="F666" s="939"/>
      <c r="G666" s="939"/>
      <c r="H666" s="939"/>
      <c r="I666" s="939"/>
      <c r="J666" s="939"/>
      <c r="K666" s="939"/>
      <c r="L666" s="939"/>
      <c r="M666" s="939"/>
      <c r="N666" s="939"/>
      <c r="O666" s="939"/>
      <c r="P666" s="939"/>
      <c r="Q666" s="939"/>
      <c r="R666" s="939"/>
      <c r="S666" s="939"/>
      <c r="T666" s="939"/>
      <c r="U666" s="939"/>
      <c r="V666" s="939"/>
      <c r="W666" s="939"/>
      <c r="X666" s="939"/>
      <c r="Y666" s="939"/>
      <c r="Z666" s="939"/>
      <c r="AA666" s="939"/>
      <c r="AB666" s="939"/>
      <c r="AC666" s="939"/>
      <c r="AD666" s="939"/>
      <c r="AE666" s="939"/>
      <c r="AF666" s="939"/>
      <c r="AG666" s="939"/>
      <c r="AH666" s="939"/>
      <c r="AI666" s="939"/>
      <c r="AJ666" s="939"/>
      <c r="AK666" s="939"/>
      <c r="AL666" s="939"/>
      <c r="AM666" s="939"/>
      <c r="AN666" s="939"/>
    </row>
    <row r="667" spans="1:40" ht="15" customHeight="1">
      <c r="A667" s="939"/>
      <c r="B667" s="939"/>
      <c r="C667" s="939"/>
      <c r="D667" s="939"/>
      <c r="E667" s="939"/>
      <c r="F667" s="939"/>
      <c r="G667" s="939"/>
      <c r="H667" s="939"/>
      <c r="I667" s="939"/>
      <c r="J667" s="939"/>
      <c r="K667" s="939"/>
      <c r="L667" s="939"/>
      <c r="M667" s="939"/>
      <c r="N667" s="939"/>
      <c r="O667" s="939"/>
      <c r="P667" s="939"/>
      <c r="Q667" s="939"/>
      <c r="R667" s="939"/>
      <c r="S667" s="939"/>
      <c r="T667" s="939"/>
      <c r="U667" s="939"/>
      <c r="V667" s="939"/>
      <c r="W667" s="939"/>
      <c r="X667" s="939"/>
      <c r="Y667" s="939"/>
      <c r="Z667" s="939"/>
      <c r="AA667" s="939"/>
      <c r="AB667" s="939"/>
      <c r="AC667" s="939"/>
      <c r="AD667" s="939"/>
      <c r="AE667" s="939"/>
      <c r="AF667" s="939"/>
      <c r="AG667" s="939"/>
      <c r="AH667" s="939"/>
      <c r="AI667" s="939"/>
      <c r="AJ667" s="939"/>
      <c r="AK667" s="939"/>
      <c r="AL667" s="939"/>
      <c r="AM667" s="939"/>
      <c r="AN667" s="939"/>
    </row>
    <row r="668" spans="1:40" ht="15" customHeight="1">
      <c r="A668" s="939"/>
      <c r="B668" s="939"/>
      <c r="C668" s="939"/>
      <c r="D668" s="939"/>
      <c r="E668" s="939"/>
      <c r="F668" s="939"/>
      <c r="G668" s="939"/>
      <c r="H668" s="939"/>
      <c r="I668" s="939"/>
      <c r="J668" s="939"/>
      <c r="K668" s="939"/>
      <c r="L668" s="939"/>
      <c r="M668" s="939"/>
      <c r="N668" s="939"/>
      <c r="O668" s="939"/>
      <c r="P668" s="939"/>
      <c r="Q668" s="939"/>
      <c r="R668" s="939"/>
      <c r="S668" s="939"/>
      <c r="T668" s="939"/>
      <c r="U668" s="939"/>
      <c r="V668" s="939"/>
      <c r="W668" s="939"/>
      <c r="X668" s="939"/>
      <c r="Y668" s="939"/>
      <c r="Z668" s="939"/>
      <c r="AA668" s="939"/>
      <c r="AB668" s="939"/>
      <c r="AC668" s="939"/>
      <c r="AD668" s="939"/>
      <c r="AE668" s="939"/>
      <c r="AF668" s="939"/>
      <c r="AG668" s="939"/>
      <c r="AH668" s="939"/>
      <c r="AI668" s="939"/>
      <c r="AJ668" s="939"/>
      <c r="AK668" s="939"/>
      <c r="AL668" s="939"/>
      <c r="AM668" s="939"/>
      <c r="AN668" s="939"/>
    </row>
    <row r="669" spans="1:40" ht="15" customHeight="1">
      <c r="A669" s="939"/>
      <c r="B669" s="939"/>
      <c r="C669" s="939"/>
      <c r="D669" s="939"/>
      <c r="E669" s="939"/>
      <c r="F669" s="939"/>
      <c r="G669" s="939"/>
      <c r="H669" s="939"/>
      <c r="I669" s="939"/>
      <c r="J669" s="939"/>
      <c r="K669" s="939"/>
      <c r="L669" s="939"/>
      <c r="M669" s="939"/>
      <c r="N669" s="939"/>
      <c r="O669" s="939"/>
      <c r="P669" s="939"/>
      <c r="Q669" s="939"/>
      <c r="R669" s="939"/>
      <c r="S669" s="939"/>
      <c r="T669" s="939"/>
      <c r="U669" s="939"/>
      <c r="V669" s="939"/>
      <c r="W669" s="939"/>
      <c r="X669" s="939"/>
      <c r="Y669" s="939"/>
      <c r="Z669" s="939"/>
      <c r="AA669" s="939"/>
      <c r="AB669" s="939"/>
      <c r="AC669" s="939"/>
      <c r="AD669" s="939"/>
      <c r="AE669" s="939"/>
      <c r="AF669" s="939"/>
      <c r="AG669" s="939"/>
      <c r="AH669" s="939"/>
      <c r="AI669" s="939"/>
      <c r="AJ669" s="939"/>
      <c r="AK669" s="939"/>
      <c r="AL669" s="939"/>
      <c r="AM669" s="939"/>
      <c r="AN669" s="939"/>
    </row>
    <row r="670" spans="1:40" ht="15" customHeight="1">
      <c r="A670" s="939"/>
      <c r="B670" s="939"/>
      <c r="C670" s="939"/>
      <c r="D670" s="939"/>
      <c r="E670" s="939"/>
      <c r="F670" s="939"/>
      <c r="G670" s="939"/>
      <c r="H670" s="939"/>
      <c r="I670" s="939"/>
      <c r="J670" s="939"/>
      <c r="K670" s="939"/>
      <c r="L670" s="939"/>
      <c r="M670" s="939"/>
      <c r="N670" s="939"/>
      <c r="O670" s="939"/>
      <c r="P670" s="939"/>
      <c r="Q670" s="939"/>
      <c r="R670" s="939"/>
      <c r="S670" s="939"/>
      <c r="T670" s="939"/>
      <c r="U670" s="939"/>
      <c r="V670" s="939"/>
      <c r="W670" s="939"/>
      <c r="X670" s="939"/>
      <c r="Y670" s="939"/>
      <c r="Z670" s="939"/>
      <c r="AA670" s="939"/>
      <c r="AB670" s="939"/>
      <c r="AC670" s="939"/>
      <c r="AD670" s="939"/>
      <c r="AE670" s="939"/>
      <c r="AF670" s="939"/>
      <c r="AG670" s="939"/>
      <c r="AH670" s="939"/>
      <c r="AI670" s="939"/>
      <c r="AJ670" s="939"/>
      <c r="AK670" s="939"/>
      <c r="AL670" s="939"/>
      <c r="AM670" s="939"/>
      <c r="AN670" s="939"/>
    </row>
    <row r="671" spans="1:40" ht="15" customHeight="1">
      <c r="A671" s="939"/>
      <c r="B671" s="939"/>
      <c r="C671" s="939"/>
      <c r="D671" s="939"/>
      <c r="E671" s="939"/>
      <c r="F671" s="939"/>
      <c r="G671" s="939"/>
      <c r="H671" s="939"/>
      <c r="I671" s="939"/>
      <c r="J671" s="939"/>
      <c r="K671" s="939"/>
      <c r="L671" s="939"/>
      <c r="M671" s="939"/>
      <c r="N671" s="939"/>
      <c r="O671" s="939"/>
      <c r="P671" s="939"/>
      <c r="Q671" s="939"/>
      <c r="R671" s="939"/>
      <c r="S671" s="939"/>
      <c r="T671" s="939"/>
      <c r="U671" s="939"/>
      <c r="V671" s="939"/>
      <c r="W671" s="939"/>
      <c r="X671" s="939"/>
      <c r="Y671" s="939"/>
      <c r="Z671" s="939"/>
      <c r="AA671" s="939"/>
      <c r="AB671" s="939"/>
      <c r="AC671" s="939"/>
      <c r="AD671" s="939"/>
      <c r="AE671" s="939"/>
      <c r="AF671" s="939"/>
      <c r="AG671" s="939"/>
      <c r="AH671" s="939"/>
      <c r="AI671" s="939"/>
      <c r="AJ671" s="939"/>
      <c r="AK671" s="939"/>
      <c r="AL671" s="939"/>
      <c r="AM671" s="939"/>
      <c r="AN671" s="939"/>
    </row>
    <row r="672" spans="1:40" ht="15" customHeight="1">
      <c r="A672" s="939"/>
      <c r="B672" s="939"/>
      <c r="C672" s="939"/>
      <c r="D672" s="939"/>
      <c r="E672" s="939"/>
      <c r="F672" s="939"/>
      <c r="G672" s="939"/>
      <c r="H672" s="939"/>
      <c r="I672" s="939"/>
      <c r="J672" s="939"/>
      <c r="K672" s="939"/>
      <c r="L672" s="939"/>
      <c r="M672" s="939"/>
      <c r="N672" s="939"/>
      <c r="O672" s="939"/>
      <c r="P672" s="939"/>
      <c r="Q672" s="939"/>
      <c r="R672" s="939"/>
      <c r="S672" s="939"/>
      <c r="T672" s="939"/>
      <c r="U672" s="939"/>
      <c r="V672" s="939"/>
      <c r="W672" s="939"/>
      <c r="X672" s="939"/>
      <c r="Y672" s="939"/>
      <c r="Z672" s="939"/>
      <c r="AA672" s="939"/>
      <c r="AB672" s="939"/>
      <c r="AC672" s="939"/>
      <c r="AD672" s="939"/>
      <c r="AE672" s="939"/>
      <c r="AF672" s="939"/>
      <c r="AG672" s="939"/>
      <c r="AH672" s="939"/>
      <c r="AI672" s="939"/>
      <c r="AJ672" s="939"/>
      <c r="AK672" s="939"/>
      <c r="AL672" s="939"/>
      <c r="AM672" s="939"/>
      <c r="AN672" s="939"/>
    </row>
    <row r="673" spans="1:40" ht="15" customHeight="1">
      <c r="A673" s="939"/>
      <c r="B673" s="939"/>
      <c r="C673" s="939"/>
      <c r="D673" s="939"/>
      <c r="E673" s="939"/>
      <c r="F673" s="939"/>
      <c r="G673" s="939"/>
      <c r="H673" s="939"/>
      <c r="I673" s="939"/>
      <c r="J673" s="939"/>
      <c r="K673" s="939"/>
      <c r="L673" s="939"/>
      <c r="M673" s="939"/>
      <c r="N673" s="939"/>
      <c r="O673" s="939"/>
      <c r="P673" s="939"/>
      <c r="Q673" s="939"/>
      <c r="R673" s="939"/>
      <c r="S673" s="939"/>
      <c r="T673" s="939"/>
      <c r="U673" s="939"/>
      <c r="V673" s="939"/>
      <c r="W673" s="939"/>
      <c r="X673" s="939"/>
      <c r="Y673" s="939"/>
      <c r="Z673" s="939"/>
      <c r="AA673" s="939"/>
      <c r="AB673" s="939"/>
      <c r="AC673" s="939"/>
      <c r="AD673" s="939"/>
      <c r="AE673" s="939"/>
      <c r="AF673" s="939"/>
      <c r="AG673" s="939"/>
      <c r="AH673" s="939"/>
      <c r="AI673" s="939"/>
      <c r="AJ673" s="939"/>
      <c r="AK673" s="939"/>
      <c r="AL673" s="939"/>
      <c r="AM673" s="939"/>
      <c r="AN673" s="939"/>
    </row>
    <row r="674" spans="1:40" ht="15" customHeight="1">
      <c r="A674" s="939"/>
      <c r="B674" s="939"/>
      <c r="C674" s="939"/>
      <c r="D674" s="939"/>
      <c r="E674" s="939"/>
      <c r="F674" s="939"/>
      <c r="G674" s="939"/>
      <c r="H674" s="939"/>
      <c r="I674" s="939"/>
      <c r="J674" s="939"/>
      <c r="K674" s="939"/>
      <c r="L674" s="939"/>
      <c r="M674" s="939"/>
      <c r="N674" s="939"/>
      <c r="O674" s="939"/>
      <c r="P674" s="939"/>
      <c r="Q674" s="939"/>
      <c r="R674" s="939"/>
      <c r="S674" s="939"/>
      <c r="T674" s="939"/>
      <c r="U674" s="939"/>
      <c r="V674" s="939"/>
      <c r="W674" s="939"/>
      <c r="X674" s="939"/>
      <c r="Y674" s="939"/>
      <c r="Z674" s="939"/>
      <c r="AA674" s="939"/>
      <c r="AB674" s="939"/>
      <c r="AC674" s="939"/>
      <c r="AD674" s="939"/>
      <c r="AE674" s="939"/>
      <c r="AF674" s="939"/>
      <c r="AG674" s="939"/>
      <c r="AH674" s="939"/>
      <c r="AI674" s="939"/>
      <c r="AJ674" s="939"/>
      <c r="AK674" s="939"/>
      <c r="AL674" s="939"/>
      <c r="AM674" s="939"/>
      <c r="AN674" s="939"/>
    </row>
    <row r="675" spans="1:40" ht="15" customHeight="1">
      <c r="A675" s="939"/>
      <c r="B675" s="939"/>
      <c r="C675" s="939"/>
      <c r="D675" s="939"/>
      <c r="E675" s="939"/>
      <c r="F675" s="939"/>
      <c r="G675" s="939"/>
      <c r="H675" s="939"/>
      <c r="I675" s="939"/>
      <c r="J675" s="939"/>
      <c r="K675" s="939"/>
      <c r="L675" s="939"/>
      <c r="M675" s="939"/>
      <c r="N675" s="939"/>
      <c r="O675" s="939"/>
      <c r="P675" s="939"/>
      <c r="Q675" s="939"/>
      <c r="R675" s="939"/>
      <c r="S675" s="939"/>
      <c r="T675" s="939"/>
      <c r="U675" s="939"/>
      <c r="V675" s="939"/>
      <c r="W675" s="939"/>
      <c r="X675" s="939"/>
      <c r="Y675" s="939"/>
      <c r="Z675" s="939"/>
      <c r="AA675" s="939"/>
      <c r="AB675" s="939"/>
      <c r="AC675" s="939"/>
      <c r="AD675" s="939"/>
      <c r="AE675" s="939"/>
      <c r="AF675" s="939"/>
      <c r="AG675" s="939"/>
      <c r="AH675" s="939"/>
      <c r="AI675" s="939"/>
      <c r="AJ675" s="939"/>
      <c r="AK675" s="939"/>
      <c r="AL675" s="939"/>
      <c r="AM675" s="939"/>
      <c r="AN675" s="939"/>
    </row>
    <row r="676" spans="1:40" ht="15" customHeight="1">
      <c r="A676" s="939"/>
      <c r="B676" s="939"/>
      <c r="C676" s="939"/>
      <c r="D676" s="939"/>
      <c r="E676" s="939"/>
      <c r="F676" s="939"/>
      <c r="G676" s="939"/>
      <c r="H676" s="939"/>
      <c r="I676" s="939"/>
      <c r="J676" s="939"/>
      <c r="K676" s="939"/>
      <c r="L676" s="939"/>
      <c r="M676" s="939"/>
      <c r="N676" s="939"/>
      <c r="O676" s="939"/>
      <c r="P676" s="939"/>
      <c r="Q676" s="939"/>
      <c r="R676" s="939"/>
      <c r="S676" s="939"/>
      <c r="T676" s="939"/>
      <c r="U676" s="939"/>
      <c r="V676" s="939"/>
      <c r="W676" s="939"/>
      <c r="X676" s="939"/>
      <c r="Y676" s="939"/>
      <c r="Z676" s="939"/>
      <c r="AA676" s="939"/>
      <c r="AB676" s="939"/>
      <c r="AC676" s="939"/>
      <c r="AD676" s="939"/>
      <c r="AE676" s="939"/>
      <c r="AF676" s="939"/>
      <c r="AG676" s="939"/>
      <c r="AH676" s="939"/>
      <c r="AI676" s="939"/>
      <c r="AJ676" s="939"/>
      <c r="AK676" s="939"/>
      <c r="AL676" s="939"/>
      <c r="AM676" s="939"/>
      <c r="AN676" s="939"/>
    </row>
    <row r="677" spans="1:40" ht="15" customHeight="1">
      <c r="A677" s="939"/>
      <c r="B677" s="939"/>
      <c r="C677" s="939"/>
      <c r="D677" s="939"/>
      <c r="E677" s="939"/>
      <c r="F677" s="939"/>
      <c r="G677" s="939"/>
      <c r="H677" s="939"/>
      <c r="I677" s="939"/>
      <c r="J677" s="939"/>
      <c r="K677" s="939"/>
      <c r="L677" s="939"/>
      <c r="M677" s="939"/>
      <c r="N677" s="939"/>
      <c r="O677" s="939"/>
      <c r="P677" s="939"/>
      <c r="Q677" s="939"/>
      <c r="R677" s="939"/>
      <c r="S677" s="939"/>
      <c r="T677" s="939"/>
      <c r="U677" s="939"/>
      <c r="V677" s="939"/>
      <c r="W677" s="939"/>
      <c r="X677" s="939"/>
      <c r="Y677" s="939"/>
      <c r="Z677" s="939"/>
      <c r="AA677" s="939"/>
      <c r="AB677" s="939"/>
      <c r="AC677" s="939"/>
      <c r="AD677" s="939"/>
      <c r="AE677" s="939"/>
      <c r="AF677" s="939"/>
      <c r="AG677" s="939"/>
      <c r="AH677" s="939"/>
      <c r="AI677" s="939"/>
      <c r="AJ677" s="939"/>
      <c r="AK677" s="939"/>
      <c r="AL677" s="939"/>
      <c r="AM677" s="939"/>
      <c r="AN677" s="939"/>
    </row>
    <row r="678" spans="1:40" ht="15" customHeight="1">
      <c r="A678" s="939"/>
      <c r="B678" s="939"/>
      <c r="C678" s="939"/>
      <c r="D678" s="939"/>
      <c r="E678" s="939"/>
      <c r="F678" s="939"/>
      <c r="G678" s="939"/>
      <c r="H678" s="939"/>
      <c r="I678" s="939"/>
      <c r="J678" s="939"/>
      <c r="K678" s="939"/>
      <c r="L678" s="939"/>
      <c r="M678" s="939"/>
      <c r="N678" s="939"/>
      <c r="O678" s="939"/>
      <c r="P678" s="939"/>
      <c r="Q678" s="939"/>
      <c r="R678" s="939"/>
      <c r="S678" s="939"/>
      <c r="T678" s="939"/>
      <c r="U678" s="939"/>
      <c r="V678" s="939"/>
      <c r="W678" s="939"/>
      <c r="X678" s="939"/>
      <c r="Y678" s="939"/>
      <c r="Z678" s="939"/>
      <c r="AA678" s="939"/>
      <c r="AB678" s="939"/>
      <c r="AC678" s="939"/>
      <c r="AD678" s="939"/>
      <c r="AE678" s="939"/>
      <c r="AF678" s="939"/>
      <c r="AG678" s="939"/>
      <c r="AH678" s="939"/>
      <c r="AI678" s="939"/>
      <c r="AJ678" s="939"/>
      <c r="AK678" s="939"/>
      <c r="AL678" s="939"/>
      <c r="AM678" s="939"/>
      <c r="AN678" s="939"/>
    </row>
    <row r="679" spans="1:40" ht="15" customHeight="1">
      <c r="A679" s="939"/>
      <c r="B679" s="939"/>
      <c r="C679" s="939"/>
      <c r="D679" s="939"/>
      <c r="E679" s="939"/>
      <c r="F679" s="939"/>
      <c r="G679" s="939"/>
      <c r="H679" s="939"/>
      <c r="I679" s="939"/>
      <c r="J679" s="939"/>
      <c r="K679" s="939"/>
      <c r="L679" s="939"/>
      <c r="M679" s="939"/>
      <c r="N679" s="939"/>
      <c r="O679" s="939"/>
      <c r="P679" s="939"/>
      <c r="Q679" s="939"/>
      <c r="R679" s="939"/>
      <c r="S679" s="939"/>
      <c r="T679" s="939"/>
      <c r="U679" s="939"/>
      <c r="V679" s="939"/>
      <c r="W679" s="939"/>
      <c r="X679" s="939"/>
      <c r="Y679" s="939"/>
      <c r="Z679" s="939"/>
      <c r="AA679" s="939"/>
      <c r="AB679" s="939"/>
      <c r="AC679" s="939"/>
      <c r="AD679" s="939"/>
      <c r="AE679" s="939"/>
      <c r="AF679" s="939"/>
      <c r="AG679" s="939"/>
      <c r="AH679" s="939"/>
      <c r="AI679" s="939"/>
      <c r="AJ679" s="939"/>
      <c r="AK679" s="939"/>
      <c r="AL679" s="939"/>
      <c r="AM679" s="939"/>
      <c r="AN679" s="939"/>
    </row>
    <row r="680" spans="1:40" ht="15" customHeight="1">
      <c r="A680" s="939"/>
      <c r="B680" s="939"/>
      <c r="C680" s="939"/>
      <c r="D680" s="939"/>
      <c r="E680" s="939"/>
      <c r="F680" s="939"/>
      <c r="G680" s="939"/>
      <c r="H680" s="939"/>
      <c r="I680" s="939"/>
      <c r="J680" s="939"/>
      <c r="K680" s="939"/>
      <c r="L680" s="939"/>
      <c r="M680" s="939"/>
      <c r="N680" s="939"/>
      <c r="O680" s="939"/>
      <c r="P680" s="939"/>
      <c r="Q680" s="939"/>
      <c r="R680" s="939"/>
      <c r="S680" s="939"/>
      <c r="T680" s="939"/>
      <c r="U680" s="939"/>
      <c r="V680" s="939"/>
      <c r="W680" s="939"/>
      <c r="X680" s="939"/>
      <c r="Y680" s="939"/>
      <c r="Z680" s="939"/>
      <c r="AA680" s="939"/>
      <c r="AB680" s="939"/>
      <c r="AC680" s="939"/>
      <c r="AD680" s="939"/>
      <c r="AE680" s="939"/>
      <c r="AF680" s="939"/>
      <c r="AG680" s="939"/>
      <c r="AH680" s="939"/>
      <c r="AI680" s="939"/>
      <c r="AJ680" s="939"/>
      <c r="AK680" s="939"/>
      <c r="AL680" s="939"/>
      <c r="AM680" s="939"/>
      <c r="AN680" s="939"/>
    </row>
    <row r="681" spans="1:40" ht="15" customHeight="1">
      <c r="A681" s="939"/>
      <c r="B681" s="939"/>
      <c r="C681" s="939"/>
      <c r="D681" s="939"/>
      <c r="E681" s="939"/>
      <c r="F681" s="939"/>
      <c r="G681" s="939"/>
      <c r="H681" s="939"/>
      <c r="I681" s="939"/>
      <c r="J681" s="939"/>
      <c r="K681" s="939"/>
      <c r="L681" s="939"/>
      <c r="M681" s="939"/>
      <c r="N681" s="939"/>
      <c r="O681" s="939"/>
      <c r="P681" s="939"/>
      <c r="Q681" s="939"/>
      <c r="R681" s="939"/>
      <c r="S681" s="939"/>
      <c r="T681" s="939"/>
      <c r="U681" s="939"/>
      <c r="V681" s="939"/>
      <c r="W681" s="939"/>
      <c r="X681" s="939"/>
      <c r="Y681" s="939"/>
      <c r="Z681" s="939"/>
      <c r="AA681" s="939"/>
      <c r="AB681" s="939"/>
      <c r="AC681" s="939"/>
      <c r="AD681" s="939"/>
      <c r="AE681" s="939"/>
      <c r="AF681" s="939"/>
      <c r="AG681" s="939"/>
      <c r="AH681" s="939"/>
      <c r="AI681" s="939"/>
      <c r="AJ681" s="939"/>
      <c r="AK681" s="939"/>
      <c r="AL681" s="939"/>
      <c r="AM681" s="939"/>
      <c r="AN681" s="939"/>
    </row>
    <row r="682" spans="1:40" ht="15" customHeight="1">
      <c r="A682" s="939"/>
      <c r="B682" s="939"/>
      <c r="C682" s="939"/>
      <c r="D682" s="939"/>
      <c r="E682" s="939"/>
      <c r="F682" s="939"/>
      <c r="G682" s="939"/>
      <c r="H682" s="939"/>
      <c r="I682" s="939"/>
      <c r="J682" s="939"/>
      <c r="K682" s="939"/>
      <c r="L682" s="939"/>
      <c r="M682" s="939"/>
      <c r="N682" s="939"/>
      <c r="O682" s="939"/>
      <c r="P682" s="939"/>
      <c r="Q682" s="939"/>
      <c r="R682" s="939"/>
      <c r="S682" s="939"/>
      <c r="T682" s="939"/>
      <c r="U682" s="939"/>
      <c r="V682" s="939"/>
      <c r="W682" s="939"/>
      <c r="X682" s="939"/>
      <c r="Y682" s="939"/>
      <c r="Z682" s="939"/>
      <c r="AA682" s="939"/>
      <c r="AB682" s="939"/>
      <c r="AC682" s="939"/>
      <c r="AD682" s="939"/>
      <c r="AE682" s="939"/>
      <c r="AF682" s="939"/>
      <c r="AG682" s="939"/>
      <c r="AH682" s="939"/>
      <c r="AI682" s="939"/>
      <c r="AJ682" s="939"/>
      <c r="AK682" s="939"/>
      <c r="AL682" s="939"/>
      <c r="AM682" s="939"/>
      <c r="AN682" s="939"/>
    </row>
    <row r="683" spans="1:40" ht="15" customHeight="1">
      <c r="A683" s="939"/>
      <c r="B683" s="939"/>
      <c r="C683" s="939"/>
      <c r="D683" s="939"/>
      <c r="E683" s="939"/>
      <c r="F683" s="939"/>
      <c r="G683" s="939"/>
      <c r="H683" s="939"/>
      <c r="I683" s="939"/>
      <c r="J683" s="939"/>
      <c r="K683" s="939"/>
      <c r="L683" s="939"/>
      <c r="M683" s="939"/>
      <c r="N683" s="939"/>
      <c r="O683" s="939"/>
      <c r="P683" s="939"/>
      <c r="Q683" s="939"/>
      <c r="R683" s="939"/>
      <c r="S683" s="939"/>
      <c r="T683" s="939"/>
      <c r="U683" s="939"/>
      <c r="V683" s="939"/>
      <c r="W683" s="939"/>
      <c r="X683" s="939"/>
      <c r="Y683" s="939"/>
      <c r="Z683" s="939"/>
      <c r="AA683" s="939"/>
      <c r="AB683" s="939"/>
      <c r="AC683" s="939"/>
      <c r="AD683" s="939"/>
      <c r="AE683" s="939"/>
      <c r="AF683" s="939"/>
      <c r="AG683" s="939"/>
      <c r="AH683" s="939"/>
      <c r="AI683" s="939"/>
      <c r="AJ683" s="939"/>
      <c r="AK683" s="939"/>
      <c r="AL683" s="939"/>
      <c r="AM683" s="939"/>
      <c r="AN683" s="939"/>
    </row>
    <row r="684" spans="1:40" ht="15" customHeight="1">
      <c r="A684" s="939"/>
      <c r="B684" s="939"/>
      <c r="C684" s="939"/>
      <c r="D684" s="939"/>
      <c r="E684" s="939"/>
      <c r="F684" s="939"/>
      <c r="G684" s="939"/>
      <c r="H684" s="939"/>
      <c r="I684" s="939"/>
      <c r="J684" s="939"/>
      <c r="K684" s="939"/>
      <c r="L684" s="939"/>
      <c r="M684" s="939"/>
      <c r="N684" s="939"/>
      <c r="O684" s="939"/>
      <c r="P684" s="939"/>
      <c r="Q684" s="939"/>
      <c r="R684" s="939"/>
      <c r="S684" s="939"/>
      <c r="T684" s="939"/>
      <c r="U684" s="939"/>
      <c r="V684" s="939"/>
      <c r="W684" s="939"/>
      <c r="X684" s="939"/>
      <c r="Y684" s="939"/>
      <c r="Z684" s="939"/>
      <c r="AA684" s="939"/>
      <c r="AB684" s="939"/>
      <c r="AC684" s="939"/>
      <c r="AD684" s="939"/>
      <c r="AE684" s="939"/>
      <c r="AF684" s="939"/>
      <c r="AG684" s="939"/>
      <c r="AH684" s="939"/>
      <c r="AI684" s="939"/>
      <c r="AJ684" s="939"/>
      <c r="AK684" s="939"/>
      <c r="AL684" s="939"/>
      <c r="AM684" s="939"/>
      <c r="AN684" s="939"/>
    </row>
    <row r="685" spans="1:40" ht="15" customHeight="1">
      <c r="A685" s="939"/>
      <c r="B685" s="939"/>
      <c r="C685" s="939"/>
      <c r="D685" s="939"/>
      <c r="E685" s="939"/>
      <c r="F685" s="939"/>
      <c r="G685" s="939"/>
      <c r="H685" s="939"/>
      <c r="I685" s="939"/>
      <c r="J685" s="939"/>
      <c r="K685" s="939"/>
      <c r="L685" s="939"/>
      <c r="M685" s="939"/>
      <c r="N685" s="939"/>
      <c r="O685" s="939"/>
      <c r="P685" s="939"/>
      <c r="Q685" s="939"/>
      <c r="R685" s="939"/>
      <c r="S685" s="939"/>
      <c r="T685" s="939"/>
      <c r="U685" s="939"/>
      <c r="V685" s="939"/>
      <c r="W685" s="939"/>
      <c r="X685" s="939"/>
      <c r="Y685" s="939"/>
      <c r="Z685" s="939"/>
      <c r="AA685" s="939"/>
      <c r="AB685" s="939"/>
      <c r="AC685" s="939"/>
      <c r="AD685" s="939"/>
      <c r="AE685" s="939"/>
      <c r="AF685" s="939"/>
      <c r="AG685" s="939"/>
      <c r="AH685" s="939"/>
      <c r="AI685" s="939"/>
      <c r="AJ685" s="939"/>
      <c r="AK685" s="939"/>
      <c r="AL685" s="939"/>
      <c r="AM685" s="939"/>
      <c r="AN685" s="939"/>
    </row>
    <row r="686" spans="1:40" ht="15" customHeight="1">
      <c r="A686" s="939"/>
      <c r="B686" s="939"/>
      <c r="C686" s="939"/>
      <c r="D686" s="939"/>
      <c r="E686" s="939"/>
      <c r="F686" s="939"/>
      <c r="G686" s="939"/>
      <c r="H686" s="939"/>
      <c r="I686" s="939"/>
      <c r="J686" s="939"/>
      <c r="K686" s="939"/>
      <c r="L686" s="939"/>
      <c r="M686" s="939"/>
      <c r="N686" s="939"/>
      <c r="O686" s="939"/>
      <c r="P686" s="939"/>
      <c r="Q686" s="939"/>
      <c r="R686" s="939"/>
      <c r="S686" s="939"/>
      <c r="T686" s="939"/>
      <c r="U686" s="939"/>
      <c r="V686" s="939"/>
      <c r="W686" s="939"/>
      <c r="X686" s="939"/>
      <c r="Y686" s="939"/>
      <c r="Z686" s="939"/>
      <c r="AA686" s="939"/>
      <c r="AB686" s="939"/>
      <c r="AC686" s="939"/>
      <c r="AD686" s="939"/>
      <c r="AE686" s="939"/>
      <c r="AF686" s="939"/>
      <c r="AG686" s="939"/>
      <c r="AH686" s="939"/>
      <c r="AI686" s="939"/>
      <c r="AJ686" s="939"/>
      <c r="AK686" s="939"/>
      <c r="AL686" s="939"/>
      <c r="AM686" s="939"/>
      <c r="AN686" s="939"/>
    </row>
    <row r="687" spans="1:40" ht="15" customHeight="1">
      <c r="A687" s="939"/>
      <c r="B687" s="939"/>
      <c r="C687" s="939"/>
      <c r="D687" s="939"/>
      <c r="E687" s="939"/>
      <c r="F687" s="939"/>
      <c r="G687" s="939"/>
      <c r="H687" s="939"/>
      <c r="I687" s="939"/>
      <c r="J687" s="939"/>
      <c r="K687" s="939"/>
      <c r="L687" s="939"/>
      <c r="M687" s="939"/>
      <c r="N687" s="939"/>
      <c r="O687" s="939"/>
      <c r="P687" s="939"/>
      <c r="Q687" s="939"/>
      <c r="R687" s="939"/>
      <c r="S687" s="939"/>
      <c r="T687" s="939"/>
      <c r="U687" s="939"/>
      <c r="V687" s="939"/>
      <c r="W687" s="939"/>
      <c r="X687" s="939"/>
      <c r="Y687" s="939"/>
      <c r="Z687" s="939"/>
      <c r="AA687" s="939"/>
      <c r="AB687" s="939"/>
      <c r="AC687" s="939"/>
      <c r="AD687" s="939"/>
      <c r="AE687" s="939"/>
      <c r="AF687" s="939"/>
      <c r="AG687" s="939"/>
      <c r="AH687" s="939"/>
      <c r="AI687" s="939"/>
      <c r="AJ687" s="939"/>
      <c r="AK687" s="939"/>
      <c r="AL687" s="939"/>
      <c r="AM687" s="939"/>
      <c r="AN687" s="939"/>
    </row>
    <row r="688" spans="1:40" ht="15" customHeight="1">
      <c r="A688" s="939"/>
      <c r="B688" s="939"/>
      <c r="C688" s="939"/>
      <c r="D688" s="939"/>
      <c r="E688" s="939"/>
      <c r="F688" s="939"/>
      <c r="G688" s="939"/>
      <c r="H688" s="939"/>
      <c r="I688" s="939"/>
      <c r="J688" s="939"/>
      <c r="K688" s="939"/>
      <c r="L688" s="939"/>
      <c r="M688" s="939"/>
      <c r="N688" s="939"/>
      <c r="O688" s="939"/>
      <c r="P688" s="939"/>
      <c r="Q688" s="939"/>
      <c r="R688" s="939"/>
      <c r="S688" s="939"/>
      <c r="T688" s="939"/>
      <c r="U688" s="939"/>
      <c r="V688" s="939"/>
      <c r="W688" s="939"/>
      <c r="X688" s="939"/>
      <c r="Y688" s="939"/>
      <c r="Z688" s="939"/>
      <c r="AA688" s="939"/>
      <c r="AB688" s="939"/>
      <c r="AC688" s="939"/>
      <c r="AD688" s="939"/>
      <c r="AE688" s="939"/>
      <c r="AF688" s="939"/>
      <c r="AG688" s="939"/>
      <c r="AH688" s="939"/>
      <c r="AI688" s="939"/>
      <c r="AJ688" s="939"/>
      <c r="AK688" s="939"/>
      <c r="AL688" s="939"/>
      <c r="AM688" s="939"/>
      <c r="AN688" s="939"/>
    </row>
    <row r="689" spans="1:40" ht="15" customHeight="1">
      <c r="A689" s="939"/>
      <c r="B689" s="939"/>
      <c r="C689" s="939"/>
      <c r="D689" s="939"/>
      <c r="E689" s="939"/>
      <c r="F689" s="939"/>
      <c r="G689" s="939"/>
      <c r="H689" s="939"/>
      <c r="I689" s="939"/>
      <c r="J689" s="939"/>
      <c r="K689" s="939"/>
      <c r="L689" s="939"/>
      <c r="M689" s="939"/>
      <c r="N689" s="939"/>
      <c r="O689" s="939"/>
      <c r="P689" s="939"/>
      <c r="Q689" s="939"/>
      <c r="R689" s="939"/>
      <c r="S689" s="939"/>
      <c r="T689" s="939"/>
      <c r="U689" s="939"/>
      <c r="V689" s="939"/>
      <c r="W689" s="939"/>
      <c r="X689" s="939"/>
      <c r="Y689" s="939"/>
      <c r="Z689" s="939"/>
      <c r="AA689" s="939"/>
      <c r="AB689" s="939"/>
      <c r="AC689" s="939"/>
      <c r="AD689" s="939"/>
      <c r="AE689" s="939"/>
      <c r="AF689" s="939"/>
      <c r="AG689" s="939"/>
      <c r="AH689" s="939"/>
      <c r="AI689" s="939"/>
      <c r="AJ689" s="939"/>
      <c r="AK689" s="939"/>
      <c r="AL689" s="939"/>
      <c r="AM689" s="939"/>
      <c r="AN689" s="939"/>
    </row>
    <row r="690" spans="1:40" ht="15" customHeight="1">
      <c r="A690" s="939"/>
      <c r="B690" s="939"/>
      <c r="C690" s="939"/>
      <c r="D690" s="939"/>
      <c r="E690" s="939"/>
      <c r="F690" s="939"/>
      <c r="G690" s="939"/>
      <c r="H690" s="939"/>
      <c r="I690" s="939"/>
      <c r="J690" s="939"/>
      <c r="K690" s="939"/>
      <c r="L690" s="939"/>
      <c r="M690" s="939"/>
      <c r="N690" s="939"/>
      <c r="O690" s="939"/>
      <c r="P690" s="939"/>
      <c r="Q690" s="939"/>
      <c r="R690" s="939"/>
      <c r="S690" s="939"/>
      <c r="T690" s="939"/>
      <c r="U690" s="939"/>
      <c r="V690" s="939"/>
      <c r="W690" s="939"/>
      <c r="X690" s="939"/>
      <c r="Y690" s="939"/>
      <c r="Z690" s="939"/>
      <c r="AA690" s="939"/>
      <c r="AB690" s="939"/>
      <c r="AC690" s="939"/>
      <c r="AD690" s="939"/>
      <c r="AE690" s="939"/>
      <c r="AF690" s="939"/>
      <c r="AG690" s="939"/>
      <c r="AH690" s="939"/>
      <c r="AI690" s="939"/>
      <c r="AJ690" s="939"/>
      <c r="AK690" s="939"/>
      <c r="AL690" s="939"/>
      <c r="AM690" s="939"/>
      <c r="AN690" s="939"/>
    </row>
    <row r="691" spans="1:40" ht="15" customHeight="1">
      <c r="A691" s="939"/>
      <c r="B691" s="939"/>
      <c r="C691" s="939"/>
      <c r="D691" s="939"/>
      <c r="E691" s="939"/>
      <c r="F691" s="939"/>
      <c r="G691" s="939"/>
      <c r="H691" s="939"/>
      <c r="I691" s="939"/>
      <c r="J691" s="939"/>
      <c r="K691" s="939"/>
      <c r="L691" s="939"/>
      <c r="M691" s="939"/>
      <c r="N691" s="939"/>
      <c r="O691" s="939"/>
      <c r="P691" s="939"/>
      <c r="Q691" s="939"/>
      <c r="R691" s="939"/>
      <c r="S691" s="939"/>
      <c r="T691" s="939"/>
      <c r="U691" s="939"/>
      <c r="V691" s="939"/>
      <c r="W691" s="939"/>
      <c r="X691" s="939"/>
      <c r="Y691" s="939"/>
      <c r="Z691" s="939"/>
      <c r="AA691" s="939"/>
      <c r="AB691" s="939"/>
      <c r="AC691" s="939"/>
      <c r="AD691" s="939"/>
      <c r="AE691" s="939"/>
      <c r="AF691" s="939"/>
      <c r="AG691" s="939"/>
      <c r="AH691" s="939"/>
      <c r="AI691" s="939"/>
      <c r="AJ691" s="939"/>
      <c r="AK691" s="939"/>
      <c r="AL691" s="939"/>
      <c r="AM691" s="939"/>
      <c r="AN691" s="939"/>
    </row>
    <row r="692" spans="1:40" ht="15" customHeight="1">
      <c r="A692" s="939"/>
      <c r="B692" s="939"/>
      <c r="C692" s="939"/>
      <c r="D692" s="939"/>
      <c r="E692" s="939"/>
      <c r="F692" s="939"/>
      <c r="G692" s="939"/>
      <c r="H692" s="939"/>
      <c r="I692" s="939"/>
      <c r="J692" s="939"/>
      <c r="K692" s="939"/>
      <c r="L692" s="939"/>
      <c r="M692" s="939"/>
      <c r="N692" s="939"/>
      <c r="O692" s="939"/>
      <c r="P692" s="939"/>
      <c r="Q692" s="939"/>
      <c r="R692" s="939"/>
      <c r="S692" s="939"/>
      <c r="T692" s="939"/>
      <c r="U692" s="939"/>
      <c r="V692" s="939"/>
      <c r="W692" s="939"/>
      <c r="X692" s="939"/>
      <c r="Y692" s="939"/>
      <c r="Z692" s="939"/>
      <c r="AA692" s="939"/>
      <c r="AB692" s="939"/>
      <c r="AC692" s="939"/>
      <c r="AD692" s="939"/>
      <c r="AE692" s="939"/>
      <c r="AF692" s="939"/>
      <c r="AG692" s="939"/>
      <c r="AH692" s="939"/>
      <c r="AI692" s="939"/>
      <c r="AJ692" s="939"/>
      <c r="AK692" s="939"/>
      <c r="AL692" s="939"/>
      <c r="AM692" s="939"/>
      <c r="AN692" s="939"/>
    </row>
    <row r="693" spans="1:40" ht="15" customHeight="1">
      <c r="A693" s="939"/>
      <c r="B693" s="939"/>
      <c r="C693" s="939"/>
      <c r="D693" s="939"/>
      <c r="E693" s="939"/>
      <c r="F693" s="939"/>
      <c r="G693" s="939"/>
      <c r="H693" s="939"/>
      <c r="I693" s="939"/>
      <c r="J693" s="939"/>
      <c r="K693" s="939"/>
      <c r="L693" s="939"/>
      <c r="M693" s="939"/>
      <c r="N693" s="939"/>
      <c r="O693" s="939"/>
      <c r="P693" s="939"/>
      <c r="Q693" s="939"/>
      <c r="R693" s="939"/>
      <c r="S693" s="939"/>
      <c r="T693" s="939"/>
      <c r="U693" s="939"/>
      <c r="V693" s="939"/>
      <c r="W693" s="939"/>
      <c r="X693" s="939"/>
      <c r="Y693" s="939"/>
      <c r="Z693" s="939"/>
      <c r="AA693" s="939"/>
      <c r="AB693" s="939"/>
      <c r="AC693" s="939"/>
      <c r="AD693" s="939"/>
      <c r="AE693" s="939"/>
      <c r="AF693" s="939"/>
      <c r="AG693" s="939"/>
      <c r="AH693" s="939"/>
      <c r="AI693" s="939"/>
      <c r="AJ693" s="939"/>
      <c r="AK693" s="939"/>
      <c r="AL693" s="939"/>
      <c r="AM693" s="939"/>
      <c r="AN693" s="939"/>
    </row>
    <row r="694" spans="1:40" ht="15" customHeight="1">
      <c r="A694" s="939"/>
      <c r="B694" s="939"/>
      <c r="C694" s="939"/>
      <c r="D694" s="939"/>
      <c r="E694" s="939"/>
      <c r="F694" s="939"/>
      <c r="G694" s="939"/>
      <c r="H694" s="939"/>
      <c r="I694" s="939"/>
      <c r="J694" s="939"/>
      <c r="K694" s="939"/>
      <c r="L694" s="939"/>
      <c r="M694" s="939"/>
      <c r="N694" s="939"/>
      <c r="O694" s="939"/>
      <c r="P694" s="939"/>
      <c r="Q694" s="939"/>
      <c r="R694" s="939"/>
      <c r="S694" s="939"/>
      <c r="T694" s="939"/>
      <c r="U694" s="939"/>
      <c r="V694" s="939"/>
      <c r="W694" s="939"/>
      <c r="X694" s="939"/>
      <c r="Y694" s="939"/>
      <c r="Z694" s="939"/>
      <c r="AA694" s="939"/>
      <c r="AB694" s="939"/>
      <c r="AC694" s="939"/>
      <c r="AD694" s="939"/>
      <c r="AE694" s="939"/>
      <c r="AF694" s="939"/>
      <c r="AG694" s="939"/>
      <c r="AH694" s="939"/>
      <c r="AI694" s="939"/>
      <c r="AJ694" s="939"/>
      <c r="AK694" s="939"/>
      <c r="AL694" s="939"/>
      <c r="AM694" s="939"/>
      <c r="AN694" s="939"/>
    </row>
    <row r="695" spans="1:40" ht="15" customHeight="1">
      <c r="A695" s="939"/>
      <c r="B695" s="939"/>
      <c r="C695" s="939"/>
      <c r="D695" s="939"/>
      <c r="E695" s="939"/>
      <c r="F695" s="939"/>
      <c r="G695" s="939"/>
      <c r="H695" s="939"/>
      <c r="I695" s="939"/>
      <c r="J695" s="939"/>
      <c r="K695" s="939"/>
      <c r="L695" s="939"/>
      <c r="M695" s="939"/>
      <c r="N695" s="939"/>
      <c r="O695" s="939"/>
      <c r="P695" s="939"/>
      <c r="Q695" s="939"/>
      <c r="R695" s="939"/>
      <c r="S695" s="939"/>
      <c r="T695" s="939"/>
      <c r="U695" s="939"/>
      <c r="V695" s="939"/>
      <c r="W695" s="939"/>
      <c r="X695" s="939"/>
      <c r="Y695" s="939"/>
      <c r="Z695" s="939"/>
      <c r="AA695" s="939"/>
      <c r="AB695" s="939"/>
      <c r="AC695" s="939"/>
      <c r="AD695" s="939"/>
      <c r="AE695" s="939"/>
      <c r="AF695" s="939"/>
      <c r="AG695" s="939"/>
      <c r="AH695" s="939"/>
      <c r="AI695" s="939"/>
      <c r="AJ695" s="939"/>
      <c r="AK695" s="939"/>
      <c r="AL695" s="939"/>
      <c r="AM695" s="939"/>
      <c r="AN695" s="939"/>
    </row>
    <row r="696" spans="1:40" ht="15" customHeight="1">
      <c r="A696" s="939"/>
      <c r="B696" s="939"/>
      <c r="C696" s="939"/>
      <c r="D696" s="939"/>
      <c r="E696" s="939"/>
      <c r="F696" s="939"/>
      <c r="G696" s="939"/>
      <c r="H696" s="939"/>
      <c r="I696" s="939"/>
      <c r="J696" s="939"/>
      <c r="K696" s="939"/>
      <c r="L696" s="939"/>
      <c r="M696" s="939"/>
      <c r="N696" s="939"/>
      <c r="O696" s="939"/>
      <c r="P696" s="939"/>
      <c r="Q696" s="939"/>
      <c r="R696" s="939"/>
      <c r="S696" s="939"/>
      <c r="T696" s="939"/>
      <c r="U696" s="939"/>
      <c r="V696" s="939"/>
      <c r="W696" s="939"/>
      <c r="X696" s="939"/>
      <c r="Y696" s="939"/>
      <c r="Z696" s="939"/>
      <c r="AA696" s="939"/>
      <c r="AB696" s="939"/>
      <c r="AC696" s="939"/>
      <c r="AD696" s="939"/>
      <c r="AE696" s="939"/>
      <c r="AF696" s="939"/>
      <c r="AG696" s="939"/>
      <c r="AH696" s="939"/>
      <c r="AI696" s="939"/>
      <c r="AJ696" s="939"/>
      <c r="AK696" s="939"/>
      <c r="AL696" s="939"/>
      <c r="AM696" s="939"/>
      <c r="AN696" s="939"/>
    </row>
    <row r="697" spans="1:40" ht="15" customHeight="1">
      <c r="A697" s="939"/>
      <c r="B697" s="939"/>
      <c r="C697" s="939"/>
      <c r="D697" s="939"/>
      <c r="E697" s="939"/>
      <c r="F697" s="939"/>
      <c r="G697" s="939"/>
      <c r="H697" s="939"/>
      <c r="I697" s="939"/>
      <c r="J697" s="939"/>
      <c r="K697" s="939"/>
      <c r="L697" s="939"/>
      <c r="M697" s="939"/>
      <c r="N697" s="939"/>
      <c r="O697" s="939"/>
      <c r="P697" s="939"/>
      <c r="Q697" s="939"/>
      <c r="R697" s="939"/>
      <c r="S697" s="939"/>
      <c r="T697" s="939"/>
      <c r="U697" s="939"/>
      <c r="V697" s="939"/>
      <c r="W697" s="939"/>
      <c r="X697" s="939"/>
      <c r="Y697" s="939"/>
      <c r="Z697" s="939"/>
      <c r="AA697" s="939"/>
      <c r="AB697" s="939"/>
      <c r="AC697" s="939"/>
      <c r="AD697" s="939"/>
      <c r="AE697" s="939"/>
      <c r="AF697" s="939"/>
      <c r="AG697" s="939"/>
      <c r="AH697" s="939"/>
      <c r="AI697" s="939"/>
      <c r="AJ697" s="939"/>
      <c r="AK697" s="939"/>
      <c r="AL697" s="939"/>
      <c r="AM697" s="939"/>
      <c r="AN697" s="939"/>
    </row>
    <row r="698" spans="1:40" ht="15" customHeight="1">
      <c r="A698" s="939"/>
      <c r="B698" s="939"/>
      <c r="C698" s="939"/>
      <c r="D698" s="939"/>
      <c r="E698" s="939"/>
      <c r="F698" s="939"/>
      <c r="G698" s="939"/>
      <c r="H698" s="939"/>
      <c r="I698" s="939"/>
      <c r="J698" s="939"/>
      <c r="K698" s="939"/>
      <c r="L698" s="939"/>
      <c r="M698" s="939"/>
      <c r="N698" s="939"/>
      <c r="O698" s="939"/>
      <c r="P698" s="939"/>
      <c r="Q698" s="939"/>
      <c r="R698" s="939"/>
      <c r="S698" s="939"/>
      <c r="T698" s="939"/>
      <c r="U698" s="939"/>
      <c r="V698" s="939"/>
      <c r="W698" s="939"/>
      <c r="X698" s="939"/>
      <c r="Y698" s="939"/>
      <c r="Z698" s="939"/>
      <c r="AA698" s="939"/>
      <c r="AB698" s="939"/>
      <c r="AC698" s="939"/>
      <c r="AD698" s="939"/>
      <c r="AE698" s="939"/>
      <c r="AF698" s="939"/>
      <c r="AG698" s="939"/>
      <c r="AH698" s="939"/>
      <c r="AI698" s="939"/>
      <c r="AJ698" s="939"/>
      <c r="AK698" s="939"/>
      <c r="AL698" s="939"/>
      <c r="AM698" s="939"/>
      <c r="AN698" s="939"/>
    </row>
    <row r="699" spans="1:40" ht="15" customHeight="1">
      <c r="A699" s="939"/>
      <c r="B699" s="939"/>
      <c r="C699" s="939"/>
      <c r="D699" s="939"/>
      <c r="E699" s="939"/>
      <c r="F699" s="939"/>
      <c r="G699" s="939"/>
      <c r="H699" s="939"/>
      <c r="I699" s="939"/>
      <c r="J699" s="939"/>
      <c r="K699" s="939"/>
      <c r="L699" s="939"/>
      <c r="M699" s="939"/>
      <c r="N699" s="939"/>
      <c r="O699" s="939"/>
      <c r="P699" s="939"/>
      <c r="Q699" s="939"/>
      <c r="R699" s="939"/>
      <c r="S699" s="939"/>
      <c r="T699" s="939"/>
      <c r="U699" s="939"/>
      <c r="V699" s="939"/>
      <c r="W699" s="939"/>
      <c r="X699" s="939"/>
      <c r="Y699" s="939"/>
      <c r="Z699" s="939"/>
      <c r="AA699" s="939"/>
      <c r="AB699" s="939"/>
      <c r="AC699" s="939"/>
      <c r="AD699" s="939"/>
      <c r="AE699" s="939"/>
      <c r="AF699" s="939"/>
      <c r="AG699" s="939"/>
      <c r="AH699" s="939"/>
      <c r="AI699" s="939"/>
      <c r="AJ699" s="939"/>
      <c r="AK699" s="939"/>
      <c r="AL699" s="939"/>
      <c r="AM699" s="939"/>
      <c r="AN699" s="939"/>
    </row>
    <row r="700" spans="1:40" ht="15" customHeight="1">
      <c r="A700" s="939"/>
      <c r="B700" s="939"/>
      <c r="C700" s="939"/>
      <c r="D700" s="939"/>
      <c r="E700" s="939"/>
      <c r="F700" s="939"/>
      <c r="G700" s="939"/>
      <c r="H700" s="939"/>
      <c r="I700" s="939"/>
      <c r="J700" s="939"/>
      <c r="K700" s="939"/>
      <c r="L700" s="939"/>
      <c r="M700" s="939"/>
      <c r="N700" s="939"/>
      <c r="O700" s="939"/>
      <c r="P700" s="939"/>
      <c r="Q700" s="939"/>
      <c r="R700" s="939"/>
      <c r="S700" s="939"/>
      <c r="T700" s="939"/>
      <c r="U700" s="939"/>
      <c r="V700" s="939"/>
      <c r="W700" s="939"/>
      <c r="X700" s="939"/>
      <c r="Y700" s="939"/>
      <c r="Z700" s="939"/>
      <c r="AA700" s="939"/>
      <c r="AB700" s="939"/>
      <c r="AC700" s="939"/>
      <c r="AD700" s="939"/>
      <c r="AE700" s="939"/>
      <c r="AF700" s="939"/>
      <c r="AG700" s="939"/>
      <c r="AH700" s="939"/>
      <c r="AI700" s="939"/>
      <c r="AJ700" s="939"/>
      <c r="AK700" s="939"/>
      <c r="AL700" s="939"/>
      <c r="AM700" s="939"/>
      <c r="AN700" s="939"/>
    </row>
    <row r="701" spans="1:40" ht="15" customHeight="1">
      <c r="A701" s="939"/>
      <c r="B701" s="939"/>
      <c r="C701" s="939"/>
      <c r="D701" s="939"/>
      <c r="E701" s="939"/>
      <c r="F701" s="939"/>
      <c r="G701" s="939"/>
      <c r="H701" s="939"/>
      <c r="I701" s="939"/>
      <c r="J701" s="939"/>
      <c r="K701" s="939"/>
      <c r="L701" s="939"/>
      <c r="M701" s="939"/>
      <c r="N701" s="939"/>
      <c r="O701" s="939"/>
      <c r="P701" s="939"/>
      <c r="Q701" s="939"/>
      <c r="R701" s="939"/>
      <c r="S701" s="939"/>
      <c r="T701" s="939"/>
      <c r="U701" s="939"/>
      <c r="V701" s="939"/>
      <c r="W701" s="939"/>
      <c r="X701" s="939"/>
      <c r="Y701" s="939"/>
      <c r="Z701" s="939"/>
      <c r="AA701" s="939"/>
      <c r="AB701" s="939"/>
      <c r="AC701" s="939"/>
      <c r="AD701" s="939"/>
      <c r="AE701" s="939"/>
      <c r="AF701" s="939"/>
      <c r="AG701" s="939"/>
      <c r="AH701" s="939"/>
      <c r="AI701" s="939"/>
      <c r="AJ701" s="939"/>
      <c r="AK701" s="939"/>
      <c r="AL701" s="939"/>
      <c r="AM701" s="939"/>
      <c r="AN701" s="939"/>
    </row>
    <row r="702" spans="1:40" ht="15" customHeight="1">
      <c r="A702" s="939"/>
      <c r="B702" s="939"/>
      <c r="C702" s="939"/>
      <c r="D702" s="939"/>
      <c r="E702" s="939"/>
      <c r="F702" s="939"/>
      <c r="G702" s="939"/>
      <c r="H702" s="939"/>
      <c r="I702" s="939"/>
      <c r="J702" s="939"/>
      <c r="K702" s="939"/>
      <c r="L702" s="939"/>
      <c r="M702" s="939"/>
      <c r="N702" s="939"/>
      <c r="O702" s="939"/>
      <c r="P702" s="939"/>
      <c r="Q702" s="939"/>
      <c r="R702" s="939"/>
      <c r="S702" s="939"/>
      <c r="T702" s="939"/>
      <c r="U702" s="939"/>
      <c r="V702" s="939"/>
      <c r="W702" s="939"/>
      <c r="X702" s="939"/>
      <c r="Y702" s="939"/>
      <c r="Z702" s="939"/>
      <c r="AA702" s="939"/>
      <c r="AB702" s="939"/>
      <c r="AC702" s="939"/>
      <c r="AD702" s="939"/>
      <c r="AE702" s="939"/>
      <c r="AF702" s="939"/>
      <c r="AG702" s="939"/>
      <c r="AH702" s="939"/>
      <c r="AI702" s="939"/>
      <c r="AJ702" s="939"/>
      <c r="AK702" s="939"/>
      <c r="AL702" s="939"/>
      <c r="AM702" s="939"/>
      <c r="AN702" s="939"/>
    </row>
    <row r="703" spans="1:40" ht="15" customHeight="1">
      <c r="A703" s="939"/>
      <c r="B703" s="939"/>
      <c r="C703" s="939"/>
      <c r="D703" s="939"/>
      <c r="E703" s="939"/>
      <c r="F703" s="939"/>
      <c r="G703" s="939"/>
      <c r="H703" s="939"/>
      <c r="I703" s="939"/>
      <c r="J703" s="939"/>
      <c r="K703" s="939"/>
      <c r="L703" s="939"/>
      <c r="M703" s="939"/>
      <c r="N703" s="939"/>
      <c r="O703" s="939"/>
      <c r="P703" s="939"/>
      <c r="Q703" s="939"/>
      <c r="R703" s="939"/>
      <c r="S703" s="939"/>
      <c r="T703" s="939"/>
      <c r="U703" s="939"/>
      <c r="V703" s="939"/>
      <c r="W703" s="939"/>
      <c r="X703" s="939"/>
      <c r="Y703" s="939"/>
      <c r="Z703" s="939"/>
      <c r="AA703" s="939"/>
      <c r="AB703" s="939"/>
      <c r="AC703" s="939"/>
      <c r="AD703" s="939"/>
      <c r="AE703" s="939"/>
      <c r="AF703" s="939"/>
      <c r="AG703" s="939"/>
      <c r="AH703" s="939"/>
      <c r="AI703" s="939"/>
      <c r="AJ703" s="939"/>
      <c r="AK703" s="939"/>
      <c r="AL703" s="939"/>
      <c r="AM703" s="939"/>
      <c r="AN703" s="939"/>
    </row>
    <row r="704" spans="1:40" ht="15" customHeight="1">
      <c r="A704" s="939"/>
      <c r="B704" s="939"/>
      <c r="C704" s="939"/>
      <c r="D704" s="939"/>
      <c r="E704" s="939"/>
      <c r="F704" s="939"/>
      <c r="G704" s="939"/>
      <c r="H704" s="939"/>
      <c r="I704" s="939"/>
      <c r="J704" s="939"/>
      <c r="K704" s="939"/>
      <c r="L704" s="939"/>
      <c r="M704" s="939"/>
      <c r="N704" s="939"/>
      <c r="O704" s="939"/>
      <c r="P704" s="939"/>
      <c r="Q704" s="939"/>
      <c r="R704" s="939"/>
      <c r="S704" s="939"/>
      <c r="T704" s="939"/>
      <c r="U704" s="939"/>
      <c r="V704" s="939"/>
      <c r="W704" s="939"/>
      <c r="X704" s="939"/>
      <c r="Y704" s="939"/>
      <c r="Z704" s="939"/>
      <c r="AA704" s="939"/>
      <c r="AB704" s="939"/>
      <c r="AC704" s="939"/>
      <c r="AD704" s="939"/>
      <c r="AE704" s="939"/>
      <c r="AF704" s="939"/>
      <c r="AG704" s="939"/>
      <c r="AH704" s="939"/>
      <c r="AI704" s="939"/>
      <c r="AJ704" s="939"/>
      <c r="AK704" s="939"/>
      <c r="AL704" s="939"/>
      <c r="AM704" s="939"/>
      <c r="AN704" s="939"/>
    </row>
    <row r="705" spans="1:40" ht="15" customHeight="1">
      <c r="A705" s="939"/>
      <c r="B705" s="939"/>
      <c r="C705" s="939"/>
      <c r="D705" s="939"/>
      <c r="E705" s="939"/>
      <c r="F705" s="939"/>
      <c r="G705" s="939"/>
      <c r="H705" s="939"/>
      <c r="I705" s="939"/>
      <c r="J705" s="939"/>
      <c r="K705" s="939"/>
      <c r="L705" s="939"/>
      <c r="M705" s="939"/>
      <c r="N705" s="939"/>
      <c r="O705" s="939"/>
      <c r="P705" s="939"/>
      <c r="Q705" s="939"/>
      <c r="R705" s="939"/>
      <c r="S705" s="939"/>
      <c r="T705" s="939"/>
      <c r="U705" s="939"/>
      <c r="V705" s="939"/>
      <c r="W705" s="939"/>
      <c r="X705" s="939"/>
      <c r="Y705" s="939"/>
      <c r="Z705" s="939"/>
      <c r="AA705" s="939"/>
      <c r="AB705" s="939"/>
      <c r="AC705" s="939"/>
      <c r="AD705" s="939"/>
      <c r="AE705" s="939"/>
      <c r="AF705" s="939"/>
      <c r="AG705" s="939"/>
      <c r="AH705" s="939"/>
      <c r="AI705" s="939"/>
      <c r="AJ705" s="939"/>
      <c r="AK705" s="939"/>
      <c r="AL705" s="939"/>
      <c r="AM705" s="939"/>
      <c r="AN705" s="939"/>
    </row>
    <row r="706" spans="1:40" ht="15" customHeight="1">
      <c r="A706" s="939"/>
      <c r="B706" s="939"/>
      <c r="C706" s="939"/>
      <c r="D706" s="939"/>
      <c r="E706" s="939"/>
      <c r="F706" s="939"/>
      <c r="G706" s="939"/>
      <c r="H706" s="939"/>
      <c r="I706" s="939"/>
      <c r="J706" s="939"/>
      <c r="K706" s="939"/>
      <c r="L706" s="939"/>
      <c r="M706" s="939"/>
      <c r="N706" s="939"/>
      <c r="O706" s="939"/>
      <c r="P706" s="939"/>
      <c r="Q706" s="939"/>
      <c r="R706" s="939"/>
      <c r="S706" s="939"/>
      <c r="T706" s="939"/>
      <c r="U706" s="939"/>
      <c r="V706" s="939"/>
      <c r="W706" s="939"/>
      <c r="X706" s="939"/>
      <c r="Y706" s="939"/>
      <c r="Z706" s="939"/>
      <c r="AA706" s="939"/>
      <c r="AB706" s="939"/>
      <c r="AC706" s="939"/>
      <c r="AD706" s="939"/>
      <c r="AE706" s="939"/>
      <c r="AF706" s="939"/>
      <c r="AG706" s="939"/>
      <c r="AH706" s="939"/>
      <c r="AI706" s="939"/>
      <c r="AJ706" s="939"/>
      <c r="AK706" s="939"/>
      <c r="AL706" s="939"/>
      <c r="AM706" s="939"/>
      <c r="AN706" s="939"/>
    </row>
    <row r="707" spans="1:40" ht="15" customHeight="1">
      <c r="A707" s="939"/>
      <c r="B707" s="939"/>
      <c r="C707" s="939"/>
      <c r="D707" s="939"/>
      <c r="E707" s="939"/>
      <c r="F707" s="939"/>
      <c r="G707" s="939"/>
      <c r="H707" s="939"/>
      <c r="I707" s="939"/>
      <c r="J707" s="939"/>
      <c r="K707" s="939"/>
      <c r="L707" s="939"/>
      <c r="M707" s="939"/>
      <c r="N707" s="939"/>
      <c r="O707" s="939"/>
      <c r="P707" s="939"/>
      <c r="Q707" s="939"/>
      <c r="R707" s="939"/>
      <c r="S707" s="939"/>
      <c r="T707" s="939"/>
      <c r="U707" s="939"/>
      <c r="V707" s="939"/>
      <c r="W707" s="939"/>
      <c r="X707" s="939"/>
      <c r="Y707" s="939"/>
      <c r="Z707" s="939"/>
      <c r="AA707" s="939"/>
      <c r="AB707" s="939"/>
      <c r="AC707" s="939"/>
      <c r="AD707" s="939"/>
      <c r="AE707" s="939"/>
      <c r="AF707" s="939"/>
      <c r="AG707" s="939"/>
      <c r="AH707" s="939"/>
      <c r="AI707" s="939"/>
      <c r="AJ707" s="939"/>
      <c r="AK707" s="939"/>
      <c r="AL707" s="939"/>
      <c r="AM707" s="939"/>
      <c r="AN707" s="939"/>
    </row>
    <row r="708" spans="1:40" ht="15" customHeight="1">
      <c r="A708" s="939"/>
      <c r="B708" s="939"/>
      <c r="C708" s="939"/>
      <c r="D708" s="939"/>
      <c r="E708" s="939"/>
      <c r="F708" s="939"/>
      <c r="G708" s="939"/>
      <c r="H708" s="939"/>
      <c r="I708" s="939"/>
      <c r="J708" s="939"/>
      <c r="K708" s="939"/>
      <c r="L708" s="939"/>
      <c r="M708" s="939"/>
      <c r="N708" s="939"/>
      <c r="O708" s="939"/>
      <c r="P708" s="939"/>
      <c r="Q708" s="939"/>
      <c r="R708" s="939"/>
      <c r="S708" s="939"/>
      <c r="T708" s="939"/>
      <c r="U708" s="939"/>
      <c r="V708" s="939"/>
      <c r="W708" s="939"/>
      <c r="X708" s="939"/>
      <c r="Y708" s="939"/>
      <c r="Z708" s="939"/>
      <c r="AA708" s="939"/>
      <c r="AB708" s="939"/>
      <c r="AC708" s="939"/>
      <c r="AD708" s="939"/>
      <c r="AE708" s="939"/>
      <c r="AF708" s="939"/>
      <c r="AG708" s="939"/>
      <c r="AH708" s="939"/>
      <c r="AI708" s="939"/>
      <c r="AJ708" s="939"/>
      <c r="AK708" s="939"/>
      <c r="AL708" s="939"/>
      <c r="AM708" s="939"/>
      <c r="AN708" s="939"/>
    </row>
    <row r="709" spans="1:40" ht="15" customHeight="1">
      <c r="A709" s="939"/>
      <c r="B709" s="939"/>
      <c r="C709" s="939"/>
      <c r="D709" s="939"/>
      <c r="E709" s="939"/>
      <c r="F709" s="939"/>
      <c r="G709" s="939"/>
      <c r="H709" s="939"/>
      <c r="I709" s="939"/>
      <c r="J709" s="939"/>
      <c r="K709" s="939"/>
      <c r="L709" s="939"/>
      <c r="M709" s="939"/>
      <c r="N709" s="939"/>
      <c r="O709" s="939"/>
      <c r="P709" s="939"/>
      <c r="Q709" s="939"/>
      <c r="R709" s="939"/>
      <c r="S709" s="939"/>
      <c r="T709" s="939"/>
      <c r="U709" s="939"/>
      <c r="V709" s="939"/>
      <c r="W709" s="939"/>
      <c r="X709" s="939"/>
      <c r="Y709" s="939"/>
      <c r="Z709" s="939"/>
      <c r="AA709" s="939"/>
      <c r="AB709" s="939"/>
      <c r="AC709" s="939"/>
      <c r="AD709" s="939"/>
      <c r="AE709" s="939"/>
      <c r="AF709" s="939"/>
      <c r="AG709" s="939"/>
      <c r="AH709" s="939"/>
      <c r="AI709" s="939"/>
      <c r="AJ709" s="939"/>
      <c r="AK709" s="939"/>
      <c r="AL709" s="939"/>
      <c r="AM709" s="939"/>
      <c r="AN709" s="939"/>
    </row>
    <row r="710" spans="1:40" ht="15" customHeight="1">
      <c r="A710" s="939"/>
      <c r="B710" s="939"/>
      <c r="C710" s="939"/>
      <c r="D710" s="939"/>
      <c r="E710" s="939"/>
      <c r="F710" s="939"/>
      <c r="G710" s="939"/>
      <c r="H710" s="939"/>
      <c r="I710" s="939"/>
      <c r="J710" s="939"/>
      <c r="K710" s="939"/>
      <c r="L710" s="939"/>
      <c r="M710" s="939"/>
      <c r="N710" s="939"/>
      <c r="O710" s="939"/>
      <c r="P710" s="939"/>
      <c r="Q710" s="939"/>
      <c r="R710" s="939"/>
      <c r="S710" s="939"/>
      <c r="T710" s="939"/>
      <c r="U710" s="939"/>
      <c r="V710" s="939"/>
      <c r="W710" s="939"/>
      <c r="X710" s="939"/>
      <c r="Y710" s="939"/>
      <c r="Z710" s="939"/>
      <c r="AA710" s="939"/>
      <c r="AB710" s="939"/>
      <c r="AC710" s="939"/>
      <c r="AD710" s="939"/>
      <c r="AE710" s="939"/>
      <c r="AF710" s="939"/>
      <c r="AG710" s="939"/>
      <c r="AH710" s="939"/>
      <c r="AI710" s="939"/>
      <c r="AJ710" s="939"/>
      <c r="AK710" s="939"/>
      <c r="AL710" s="939"/>
      <c r="AM710" s="939"/>
      <c r="AN710" s="939"/>
    </row>
    <row r="711" spans="1:40" ht="15" customHeight="1">
      <c r="A711" s="939"/>
      <c r="B711" s="939"/>
      <c r="C711" s="939"/>
      <c r="D711" s="939"/>
      <c r="E711" s="939"/>
      <c r="F711" s="939"/>
      <c r="G711" s="939"/>
      <c r="H711" s="939"/>
      <c r="I711" s="939"/>
      <c r="J711" s="939"/>
      <c r="K711" s="939"/>
      <c r="L711" s="939"/>
      <c r="M711" s="939"/>
      <c r="N711" s="939"/>
      <c r="O711" s="939"/>
      <c r="P711" s="939"/>
      <c r="Q711" s="939"/>
      <c r="R711" s="939"/>
      <c r="S711" s="939"/>
      <c r="T711" s="939"/>
      <c r="U711" s="939"/>
      <c r="V711" s="939"/>
      <c r="W711" s="939"/>
      <c r="X711" s="939"/>
      <c r="Y711" s="939"/>
      <c r="Z711" s="939"/>
      <c r="AA711" s="939"/>
      <c r="AB711" s="939"/>
      <c r="AC711" s="939"/>
      <c r="AD711" s="939"/>
      <c r="AE711" s="939"/>
      <c r="AF711" s="939"/>
      <c r="AG711" s="939"/>
      <c r="AH711" s="939"/>
      <c r="AI711" s="939"/>
      <c r="AJ711" s="939"/>
      <c r="AK711" s="939"/>
      <c r="AL711" s="939"/>
      <c r="AM711" s="939"/>
      <c r="AN711" s="939"/>
    </row>
    <row r="712" spans="1:40" ht="15" customHeight="1">
      <c r="A712" s="939"/>
      <c r="B712" s="939"/>
      <c r="C712" s="939"/>
      <c r="D712" s="939"/>
      <c r="E712" s="939"/>
      <c r="F712" s="939"/>
      <c r="G712" s="939"/>
      <c r="H712" s="939"/>
      <c r="I712" s="939"/>
      <c r="J712" s="939"/>
      <c r="K712" s="939"/>
      <c r="L712" s="939"/>
      <c r="M712" s="939"/>
      <c r="N712" s="939"/>
      <c r="O712" s="939"/>
      <c r="P712" s="939"/>
      <c r="Q712" s="939"/>
      <c r="R712" s="939"/>
      <c r="S712" s="939"/>
      <c r="T712" s="939"/>
      <c r="U712" s="939"/>
      <c r="V712" s="939"/>
      <c r="W712" s="939"/>
      <c r="X712" s="939"/>
      <c r="Y712" s="939"/>
      <c r="Z712" s="939"/>
      <c r="AA712" s="939"/>
      <c r="AB712" s="939"/>
      <c r="AC712" s="939"/>
      <c r="AD712" s="939"/>
      <c r="AE712" s="939"/>
      <c r="AF712" s="939"/>
      <c r="AG712" s="939"/>
      <c r="AH712" s="939"/>
      <c r="AI712" s="939"/>
      <c r="AJ712" s="939"/>
      <c r="AK712" s="939"/>
      <c r="AL712" s="939"/>
      <c r="AM712" s="939"/>
      <c r="AN712" s="939"/>
    </row>
    <row r="713" spans="1:40" ht="15" customHeight="1">
      <c r="A713" s="939"/>
      <c r="B713" s="939"/>
      <c r="C713" s="939"/>
      <c r="D713" s="939"/>
      <c r="E713" s="939"/>
      <c r="F713" s="939"/>
      <c r="G713" s="939"/>
      <c r="H713" s="939"/>
      <c r="I713" s="939"/>
      <c r="J713" s="939"/>
      <c r="K713" s="939"/>
      <c r="L713" s="939"/>
      <c r="M713" s="939"/>
      <c r="N713" s="939"/>
      <c r="O713" s="939"/>
      <c r="P713" s="939"/>
      <c r="Q713" s="939"/>
      <c r="R713" s="939"/>
      <c r="S713" s="939"/>
      <c r="T713" s="939"/>
      <c r="U713" s="939"/>
      <c r="V713" s="939"/>
      <c r="W713" s="939"/>
      <c r="X713" s="939"/>
      <c r="Y713" s="939"/>
      <c r="Z713" s="939"/>
      <c r="AA713" s="939"/>
      <c r="AB713" s="939"/>
      <c r="AC713" s="939"/>
      <c r="AD713" s="939"/>
      <c r="AE713" s="939"/>
      <c r="AF713" s="939"/>
      <c r="AG713" s="939"/>
      <c r="AH713" s="939"/>
      <c r="AI713" s="939"/>
      <c r="AJ713" s="939"/>
      <c r="AK713" s="939"/>
      <c r="AL713" s="939"/>
      <c r="AM713" s="939"/>
      <c r="AN713" s="939"/>
    </row>
    <row r="714" spans="1:40" ht="15" customHeight="1">
      <c r="A714" s="939"/>
      <c r="B714" s="939"/>
      <c r="C714" s="939"/>
      <c r="D714" s="939"/>
      <c r="E714" s="939"/>
      <c r="F714" s="939"/>
      <c r="G714" s="939"/>
      <c r="H714" s="939"/>
      <c r="I714" s="939"/>
      <c r="J714" s="939"/>
      <c r="K714" s="939"/>
      <c r="L714" s="939"/>
      <c r="M714" s="939"/>
      <c r="N714" s="939"/>
      <c r="O714" s="939"/>
      <c r="P714" s="939"/>
      <c r="Q714" s="939"/>
      <c r="R714" s="939"/>
      <c r="S714" s="939"/>
      <c r="T714" s="939"/>
      <c r="U714" s="939"/>
      <c r="V714" s="939"/>
      <c r="W714" s="939"/>
      <c r="X714" s="939"/>
      <c r="Y714" s="939"/>
      <c r="Z714" s="939"/>
      <c r="AA714" s="939"/>
      <c r="AB714" s="939"/>
      <c r="AC714" s="939"/>
      <c r="AD714" s="939"/>
      <c r="AE714" s="939"/>
      <c r="AF714" s="939"/>
      <c r="AG714" s="939"/>
      <c r="AH714" s="939"/>
      <c r="AI714" s="939"/>
      <c r="AJ714" s="939"/>
      <c r="AK714" s="939"/>
      <c r="AL714" s="939"/>
      <c r="AM714" s="939"/>
      <c r="AN714" s="939"/>
    </row>
    <row r="715" spans="1:40" ht="15" customHeight="1">
      <c r="A715" s="939"/>
      <c r="B715" s="939"/>
      <c r="C715" s="939"/>
      <c r="D715" s="939"/>
      <c r="E715" s="939"/>
      <c r="F715" s="939"/>
      <c r="G715" s="939"/>
      <c r="H715" s="939"/>
      <c r="I715" s="939"/>
      <c r="J715" s="939"/>
      <c r="K715" s="939"/>
      <c r="L715" s="939"/>
      <c r="M715" s="939"/>
      <c r="N715" s="939"/>
      <c r="O715" s="939"/>
      <c r="P715" s="939"/>
      <c r="Q715" s="939"/>
      <c r="R715" s="939"/>
      <c r="S715" s="939"/>
      <c r="T715" s="939"/>
      <c r="U715" s="939"/>
      <c r="V715" s="939"/>
      <c r="W715" s="939"/>
      <c r="X715" s="939"/>
      <c r="Y715" s="939"/>
      <c r="Z715" s="939"/>
      <c r="AA715" s="939"/>
      <c r="AB715" s="939"/>
      <c r="AC715" s="939"/>
      <c r="AD715" s="939"/>
      <c r="AE715" s="939"/>
      <c r="AF715" s="939"/>
      <c r="AG715" s="939"/>
      <c r="AH715" s="939"/>
      <c r="AI715" s="939"/>
      <c r="AJ715" s="939"/>
      <c r="AK715" s="939"/>
      <c r="AL715" s="939"/>
      <c r="AM715" s="939"/>
      <c r="AN715" s="939"/>
    </row>
    <row r="716" spans="1:40" ht="15" customHeight="1">
      <c r="A716" s="939"/>
      <c r="B716" s="939"/>
      <c r="C716" s="939"/>
      <c r="D716" s="939"/>
      <c r="E716" s="939"/>
      <c r="F716" s="939"/>
      <c r="G716" s="939"/>
      <c r="H716" s="939"/>
      <c r="I716" s="939"/>
      <c r="J716" s="939"/>
      <c r="K716" s="939"/>
      <c r="L716" s="939"/>
      <c r="M716" s="939"/>
      <c r="N716" s="939"/>
      <c r="O716" s="939"/>
      <c r="P716" s="939"/>
      <c r="Q716" s="939"/>
      <c r="R716" s="939"/>
      <c r="S716" s="939"/>
      <c r="T716" s="939"/>
      <c r="U716" s="939"/>
      <c r="V716" s="939"/>
      <c r="W716" s="939"/>
      <c r="X716" s="939"/>
      <c r="Y716" s="939"/>
      <c r="Z716" s="939"/>
      <c r="AA716" s="939"/>
      <c r="AB716" s="939"/>
      <c r="AC716" s="939"/>
      <c r="AD716" s="939"/>
      <c r="AE716" s="939"/>
      <c r="AF716" s="939"/>
      <c r="AG716" s="939"/>
      <c r="AH716" s="939"/>
      <c r="AI716" s="939"/>
      <c r="AJ716" s="939"/>
      <c r="AK716" s="939"/>
      <c r="AL716" s="939"/>
      <c r="AM716" s="939"/>
      <c r="AN716" s="939"/>
    </row>
    <row r="717" spans="1:40" ht="15" customHeight="1">
      <c r="A717" s="939"/>
      <c r="B717" s="939"/>
      <c r="C717" s="939"/>
      <c r="D717" s="939"/>
      <c r="E717" s="939"/>
      <c r="F717" s="939"/>
      <c r="G717" s="939"/>
      <c r="H717" s="939"/>
      <c r="I717" s="939"/>
      <c r="J717" s="939"/>
      <c r="K717" s="939"/>
      <c r="L717" s="939"/>
      <c r="M717" s="939"/>
      <c r="N717" s="939"/>
      <c r="O717" s="939"/>
      <c r="P717" s="939"/>
      <c r="Q717" s="939"/>
      <c r="R717" s="939"/>
      <c r="S717" s="939"/>
      <c r="T717" s="939"/>
      <c r="U717" s="939"/>
      <c r="V717" s="939"/>
      <c r="W717" s="939"/>
      <c r="X717" s="939"/>
      <c r="Y717" s="939"/>
      <c r="Z717" s="939"/>
      <c r="AA717" s="939"/>
      <c r="AB717" s="939"/>
      <c r="AC717" s="939"/>
      <c r="AD717" s="939"/>
      <c r="AE717" s="939"/>
      <c r="AF717" s="939"/>
      <c r="AG717" s="939"/>
      <c r="AH717" s="939"/>
      <c r="AI717" s="939"/>
      <c r="AJ717" s="939"/>
      <c r="AK717" s="939"/>
      <c r="AL717" s="939"/>
      <c r="AM717" s="939"/>
      <c r="AN717" s="939"/>
    </row>
    <row r="718" spans="1:40" ht="15" customHeight="1">
      <c r="A718" s="939"/>
      <c r="B718" s="939"/>
      <c r="C718" s="939"/>
      <c r="D718" s="939"/>
      <c r="E718" s="939"/>
      <c r="F718" s="939"/>
      <c r="G718" s="939"/>
      <c r="H718" s="939"/>
      <c r="I718" s="939"/>
      <c r="J718" s="939"/>
      <c r="K718" s="939"/>
      <c r="L718" s="939"/>
      <c r="M718" s="939"/>
      <c r="N718" s="939"/>
      <c r="O718" s="939"/>
      <c r="P718" s="939"/>
      <c r="Q718" s="939"/>
      <c r="R718" s="939"/>
      <c r="S718" s="939"/>
      <c r="T718" s="939"/>
      <c r="U718" s="939"/>
      <c r="V718" s="939"/>
      <c r="W718" s="939"/>
      <c r="X718" s="939"/>
      <c r="Y718" s="939"/>
      <c r="Z718" s="939"/>
      <c r="AA718" s="939"/>
      <c r="AB718" s="939"/>
      <c r="AC718" s="939"/>
      <c r="AD718" s="939"/>
      <c r="AE718" s="939"/>
      <c r="AF718" s="939"/>
      <c r="AG718" s="939"/>
      <c r="AH718" s="939"/>
      <c r="AI718" s="939"/>
      <c r="AJ718" s="939"/>
      <c r="AK718" s="939"/>
      <c r="AL718" s="939"/>
      <c r="AM718" s="939"/>
      <c r="AN718" s="939"/>
    </row>
    <row r="719" spans="1:40" ht="15" customHeight="1">
      <c r="A719" s="939"/>
      <c r="B719" s="939"/>
      <c r="C719" s="939"/>
      <c r="D719" s="939"/>
      <c r="E719" s="939"/>
      <c r="F719" s="939"/>
      <c r="G719" s="939"/>
      <c r="H719" s="939"/>
      <c r="I719" s="939"/>
      <c r="J719" s="939"/>
      <c r="K719" s="939"/>
      <c r="L719" s="939"/>
      <c r="M719" s="939"/>
      <c r="N719" s="939"/>
      <c r="O719" s="939"/>
      <c r="P719" s="939"/>
      <c r="Q719" s="939"/>
      <c r="R719" s="939"/>
      <c r="S719" s="939"/>
      <c r="T719" s="939"/>
      <c r="U719" s="939"/>
      <c r="V719" s="939"/>
      <c r="W719" s="939"/>
      <c r="X719" s="939"/>
      <c r="Y719" s="939"/>
      <c r="Z719" s="939"/>
      <c r="AA719" s="939"/>
      <c r="AB719" s="939"/>
      <c r="AC719" s="939"/>
      <c r="AD719" s="939"/>
      <c r="AE719" s="939"/>
      <c r="AF719" s="939"/>
      <c r="AG719" s="939"/>
      <c r="AH719" s="939"/>
      <c r="AI719" s="939"/>
      <c r="AJ719" s="939"/>
      <c r="AK719" s="939"/>
      <c r="AL719" s="939"/>
      <c r="AM719" s="939"/>
      <c r="AN719" s="939"/>
    </row>
    <row r="720" spans="1:40" ht="15" customHeight="1">
      <c r="A720" s="939"/>
      <c r="B720" s="939"/>
      <c r="C720" s="939"/>
      <c r="D720" s="939"/>
      <c r="E720" s="939"/>
      <c r="F720" s="939"/>
      <c r="G720" s="939"/>
      <c r="H720" s="939"/>
      <c r="I720" s="939"/>
      <c r="J720" s="939"/>
      <c r="K720" s="939"/>
      <c r="L720" s="939"/>
      <c r="M720" s="939"/>
      <c r="N720" s="939"/>
      <c r="O720" s="939"/>
      <c r="P720" s="939"/>
      <c r="Q720" s="939"/>
      <c r="R720" s="939"/>
      <c r="S720" s="939"/>
      <c r="T720" s="939"/>
      <c r="U720" s="939"/>
      <c r="V720" s="939"/>
      <c r="W720" s="939"/>
      <c r="X720" s="939"/>
      <c r="Y720" s="939"/>
      <c r="Z720" s="939"/>
      <c r="AA720" s="939"/>
      <c r="AB720" s="939"/>
      <c r="AC720" s="939"/>
      <c r="AD720" s="939"/>
      <c r="AE720" s="939"/>
      <c r="AF720" s="939"/>
      <c r="AG720" s="939"/>
      <c r="AH720" s="939"/>
      <c r="AI720" s="939"/>
      <c r="AJ720" s="939"/>
      <c r="AK720" s="939"/>
      <c r="AL720" s="939"/>
      <c r="AM720" s="939"/>
      <c r="AN720" s="939"/>
    </row>
    <row r="721" spans="1:40" ht="15" customHeight="1">
      <c r="A721" s="939"/>
      <c r="B721" s="939"/>
      <c r="C721" s="939"/>
      <c r="D721" s="939"/>
      <c r="E721" s="939"/>
      <c r="F721" s="939"/>
      <c r="G721" s="939"/>
      <c r="H721" s="939"/>
      <c r="I721" s="939"/>
      <c r="J721" s="939"/>
      <c r="K721" s="939"/>
      <c r="L721" s="939"/>
      <c r="M721" s="939"/>
      <c r="N721" s="939"/>
      <c r="O721" s="939"/>
      <c r="P721" s="939"/>
      <c r="Q721" s="939"/>
      <c r="R721" s="939"/>
      <c r="S721" s="939"/>
      <c r="T721" s="939"/>
      <c r="U721" s="939"/>
      <c r="V721" s="939"/>
      <c r="W721" s="939"/>
      <c r="X721" s="939"/>
      <c r="Y721" s="939"/>
      <c r="Z721" s="939"/>
      <c r="AA721" s="939"/>
      <c r="AB721" s="939"/>
      <c r="AC721" s="939"/>
      <c r="AD721" s="939"/>
      <c r="AE721" s="939"/>
      <c r="AF721" s="939"/>
      <c r="AG721" s="939"/>
      <c r="AH721" s="939"/>
      <c r="AI721" s="939"/>
      <c r="AJ721" s="939"/>
      <c r="AK721" s="939"/>
      <c r="AL721" s="939"/>
      <c r="AM721" s="939"/>
      <c r="AN721" s="939"/>
    </row>
    <row r="722" spans="1:40" ht="15" customHeight="1">
      <c r="A722" s="939"/>
      <c r="B722" s="939"/>
      <c r="C722" s="939"/>
      <c r="D722" s="939"/>
      <c r="E722" s="939"/>
      <c r="F722" s="939"/>
      <c r="G722" s="939"/>
      <c r="H722" s="939"/>
      <c r="I722" s="939"/>
      <c r="J722" s="939"/>
      <c r="K722" s="939"/>
      <c r="L722" s="939"/>
      <c r="M722" s="939"/>
      <c r="N722" s="939"/>
      <c r="O722" s="939"/>
      <c r="P722" s="939"/>
      <c r="Q722" s="939"/>
      <c r="R722" s="939"/>
      <c r="S722" s="939"/>
      <c r="T722" s="939"/>
      <c r="U722" s="939"/>
      <c r="V722" s="939"/>
      <c r="W722" s="939"/>
      <c r="X722" s="939"/>
      <c r="Y722" s="939"/>
      <c r="Z722" s="939"/>
      <c r="AA722" s="939"/>
      <c r="AB722" s="939"/>
      <c r="AC722" s="939"/>
      <c r="AD722" s="939"/>
      <c r="AE722" s="939"/>
      <c r="AF722" s="939"/>
      <c r="AG722" s="939"/>
      <c r="AH722" s="939"/>
      <c r="AI722" s="939"/>
      <c r="AJ722" s="939"/>
      <c r="AK722" s="939"/>
      <c r="AL722" s="939"/>
      <c r="AM722" s="939"/>
      <c r="AN722" s="939"/>
    </row>
    <row r="723" spans="1:40" ht="15" customHeight="1">
      <c r="A723" s="939"/>
      <c r="B723" s="939"/>
      <c r="C723" s="939"/>
      <c r="D723" s="939"/>
      <c r="E723" s="939"/>
      <c r="F723" s="939"/>
      <c r="G723" s="939"/>
      <c r="H723" s="939"/>
      <c r="I723" s="939"/>
      <c r="J723" s="939"/>
      <c r="K723" s="939"/>
      <c r="L723" s="939"/>
      <c r="M723" s="939"/>
      <c r="N723" s="939"/>
      <c r="O723" s="939"/>
      <c r="P723" s="939"/>
      <c r="Q723" s="939"/>
      <c r="R723" s="939"/>
      <c r="S723" s="939"/>
      <c r="T723" s="939"/>
      <c r="U723" s="939"/>
      <c r="V723" s="939"/>
      <c r="W723" s="939"/>
      <c r="X723" s="939"/>
      <c r="Y723" s="939"/>
      <c r="Z723" s="939"/>
      <c r="AA723" s="939"/>
      <c r="AB723" s="939"/>
      <c r="AC723" s="939"/>
      <c r="AD723" s="939"/>
      <c r="AE723" s="939"/>
      <c r="AF723" s="939"/>
      <c r="AG723" s="939"/>
      <c r="AH723" s="939"/>
      <c r="AI723" s="939"/>
      <c r="AJ723" s="939"/>
      <c r="AK723" s="939"/>
      <c r="AL723" s="939"/>
      <c r="AM723" s="939"/>
      <c r="AN723" s="939"/>
    </row>
    <row r="724" spans="1:40" ht="15" customHeight="1">
      <c r="A724" s="939"/>
      <c r="B724" s="939"/>
      <c r="C724" s="939"/>
      <c r="D724" s="939"/>
      <c r="E724" s="939"/>
      <c r="F724" s="939"/>
      <c r="G724" s="939"/>
      <c r="H724" s="939"/>
      <c r="I724" s="939"/>
      <c r="J724" s="939"/>
      <c r="K724" s="939"/>
      <c r="L724" s="939"/>
      <c r="M724" s="939"/>
      <c r="N724" s="939"/>
      <c r="O724" s="939"/>
      <c r="P724" s="939"/>
      <c r="Q724" s="939"/>
      <c r="R724" s="939"/>
      <c r="S724" s="939"/>
      <c r="T724" s="939"/>
      <c r="U724" s="939"/>
      <c r="V724" s="939"/>
      <c r="W724" s="939"/>
      <c r="X724" s="939"/>
      <c r="Y724" s="939"/>
      <c r="Z724" s="939"/>
      <c r="AA724" s="939"/>
      <c r="AB724" s="939"/>
      <c r="AC724" s="939"/>
      <c r="AD724" s="939"/>
      <c r="AE724" s="939"/>
      <c r="AF724" s="939"/>
      <c r="AG724" s="939"/>
      <c r="AH724" s="939"/>
      <c r="AI724" s="939"/>
      <c r="AJ724" s="939"/>
      <c r="AK724" s="939"/>
      <c r="AL724" s="939"/>
      <c r="AM724" s="939"/>
      <c r="AN724" s="939"/>
    </row>
    <row r="725" spans="1:40" ht="15" customHeight="1">
      <c r="A725" s="939"/>
      <c r="B725" s="939"/>
      <c r="C725" s="939"/>
      <c r="D725" s="939"/>
      <c r="E725" s="939"/>
      <c r="F725" s="939"/>
      <c r="G725" s="939"/>
      <c r="H725" s="939"/>
      <c r="I725" s="939"/>
      <c r="J725" s="939"/>
      <c r="K725" s="939"/>
      <c r="L725" s="939"/>
      <c r="M725" s="939"/>
      <c r="N725" s="939"/>
      <c r="O725" s="939"/>
      <c r="P725" s="939"/>
      <c r="Q725" s="939"/>
      <c r="R725" s="939"/>
      <c r="S725" s="939"/>
      <c r="T725" s="939"/>
      <c r="U725" s="939"/>
      <c r="V725" s="939"/>
      <c r="W725" s="939"/>
      <c r="X725" s="939"/>
      <c r="Y725" s="939"/>
      <c r="Z725" s="939"/>
      <c r="AA725" s="939"/>
      <c r="AB725" s="939"/>
      <c r="AC725" s="939"/>
      <c r="AD725" s="939"/>
      <c r="AE725" s="939"/>
      <c r="AF725" s="939"/>
      <c r="AG725" s="939"/>
      <c r="AH725" s="939"/>
      <c r="AI725" s="939"/>
      <c r="AJ725" s="939"/>
      <c r="AK725" s="939"/>
      <c r="AL725" s="939"/>
      <c r="AM725" s="939"/>
      <c r="AN725" s="939"/>
    </row>
    <row r="726" spans="1:40" ht="15" customHeight="1">
      <c r="A726" s="939"/>
      <c r="B726" s="939"/>
      <c r="C726" s="939"/>
      <c r="D726" s="939"/>
      <c r="E726" s="939"/>
      <c r="F726" s="939"/>
      <c r="G726" s="939"/>
      <c r="H726" s="939"/>
      <c r="I726" s="939"/>
      <c r="J726" s="939"/>
      <c r="K726" s="939"/>
      <c r="L726" s="939"/>
      <c r="M726" s="939"/>
      <c r="N726" s="939"/>
      <c r="O726" s="939"/>
      <c r="P726" s="939"/>
      <c r="Q726" s="939"/>
      <c r="R726" s="939"/>
      <c r="S726" s="939"/>
      <c r="T726" s="939"/>
      <c r="U726" s="939"/>
      <c r="V726" s="939"/>
      <c r="W726" s="939"/>
      <c r="X726" s="939"/>
      <c r="Y726" s="939"/>
      <c r="Z726" s="939"/>
      <c r="AA726" s="939"/>
      <c r="AB726" s="939"/>
      <c r="AC726" s="939"/>
      <c r="AD726" s="939"/>
      <c r="AE726" s="939"/>
      <c r="AF726" s="939"/>
      <c r="AG726" s="939"/>
      <c r="AH726" s="939"/>
      <c r="AI726" s="939"/>
      <c r="AJ726" s="939"/>
      <c r="AK726" s="939"/>
      <c r="AL726" s="939"/>
      <c r="AM726" s="939"/>
      <c r="AN726" s="939"/>
    </row>
    <row r="727" spans="1:40" ht="15" customHeight="1">
      <c r="A727" s="939"/>
      <c r="B727" s="939"/>
      <c r="C727" s="939"/>
      <c r="D727" s="939"/>
      <c r="E727" s="939"/>
      <c r="F727" s="939"/>
      <c r="G727" s="939"/>
      <c r="H727" s="939"/>
      <c r="I727" s="939"/>
      <c r="J727" s="939"/>
      <c r="K727" s="939"/>
      <c r="L727" s="939"/>
      <c r="M727" s="939"/>
      <c r="N727" s="939"/>
      <c r="O727" s="939"/>
      <c r="P727" s="939"/>
      <c r="Q727" s="939"/>
      <c r="R727" s="939"/>
      <c r="S727" s="939"/>
      <c r="T727" s="939"/>
      <c r="U727" s="939"/>
      <c r="V727" s="939"/>
      <c r="W727" s="939"/>
      <c r="X727" s="939"/>
      <c r="Y727" s="939"/>
      <c r="Z727" s="939"/>
      <c r="AA727" s="939"/>
      <c r="AB727" s="939"/>
      <c r="AC727" s="939"/>
      <c r="AD727" s="939"/>
      <c r="AE727" s="939"/>
      <c r="AF727" s="939"/>
      <c r="AG727" s="939"/>
      <c r="AH727" s="939"/>
      <c r="AI727" s="939"/>
      <c r="AJ727" s="939"/>
      <c r="AK727" s="939"/>
      <c r="AL727" s="939"/>
      <c r="AM727" s="939"/>
      <c r="AN727" s="939"/>
    </row>
    <row r="728" spans="1:40" ht="15" customHeight="1">
      <c r="A728" s="939"/>
      <c r="B728" s="939"/>
      <c r="C728" s="939"/>
      <c r="D728" s="939"/>
      <c r="E728" s="939"/>
      <c r="F728" s="939"/>
      <c r="G728" s="939"/>
      <c r="H728" s="939"/>
      <c r="I728" s="939"/>
      <c r="J728" s="939"/>
      <c r="K728" s="939"/>
      <c r="L728" s="939"/>
      <c r="M728" s="939"/>
      <c r="N728" s="939"/>
      <c r="O728" s="939"/>
      <c r="P728" s="939"/>
      <c r="Q728" s="939"/>
      <c r="R728" s="939"/>
      <c r="S728" s="939"/>
      <c r="T728" s="939"/>
      <c r="U728" s="939"/>
      <c r="V728" s="939"/>
      <c r="W728" s="939"/>
      <c r="X728" s="939"/>
      <c r="Y728" s="939"/>
      <c r="Z728" s="939"/>
      <c r="AA728" s="939"/>
      <c r="AB728" s="939"/>
      <c r="AC728" s="939"/>
      <c r="AD728" s="939"/>
      <c r="AE728" s="939"/>
      <c r="AF728" s="939"/>
      <c r="AG728" s="939"/>
      <c r="AH728" s="939"/>
      <c r="AI728" s="939"/>
      <c r="AJ728" s="939"/>
      <c r="AK728" s="939"/>
      <c r="AL728" s="939"/>
      <c r="AM728" s="939"/>
      <c r="AN728" s="939"/>
    </row>
    <row r="729" spans="1:40" ht="15" customHeight="1">
      <c r="A729" s="939"/>
      <c r="B729" s="939"/>
      <c r="C729" s="939"/>
      <c r="D729" s="939"/>
      <c r="E729" s="939"/>
      <c r="F729" s="939"/>
      <c r="G729" s="939"/>
      <c r="H729" s="939"/>
      <c r="I729" s="939"/>
      <c r="J729" s="939"/>
      <c r="K729" s="939"/>
      <c r="L729" s="939"/>
      <c r="M729" s="939"/>
      <c r="N729" s="939"/>
      <c r="O729" s="939"/>
      <c r="P729" s="939"/>
      <c r="Q729" s="939"/>
      <c r="R729" s="939"/>
      <c r="S729" s="939"/>
      <c r="T729" s="939"/>
      <c r="U729" s="939"/>
      <c r="V729" s="939"/>
      <c r="W729" s="939"/>
      <c r="X729" s="939"/>
      <c r="Y729" s="939"/>
      <c r="Z729" s="939"/>
      <c r="AA729" s="939"/>
      <c r="AB729" s="939"/>
      <c r="AC729" s="939"/>
      <c r="AD729" s="939"/>
      <c r="AE729" s="939"/>
      <c r="AF729" s="939"/>
      <c r="AG729" s="939"/>
      <c r="AH729" s="939"/>
      <c r="AI729" s="939"/>
      <c r="AJ729" s="939"/>
      <c r="AK729" s="939"/>
      <c r="AL729" s="939"/>
      <c r="AM729" s="939"/>
      <c r="AN729" s="939"/>
    </row>
    <row r="730" spans="1:40" ht="15" customHeight="1">
      <c r="A730" s="939"/>
      <c r="B730" s="939"/>
      <c r="C730" s="939"/>
      <c r="D730" s="939"/>
      <c r="E730" s="939"/>
      <c r="F730" s="939"/>
      <c r="G730" s="939"/>
      <c r="H730" s="939"/>
      <c r="I730" s="939"/>
      <c r="J730" s="939"/>
      <c r="K730" s="939"/>
      <c r="L730" s="939"/>
      <c r="M730" s="939"/>
      <c r="N730" s="939"/>
      <c r="O730" s="939"/>
      <c r="P730" s="939"/>
      <c r="Q730" s="939"/>
      <c r="R730" s="939"/>
      <c r="S730" s="939"/>
      <c r="T730" s="939"/>
      <c r="U730" s="939"/>
      <c r="V730" s="939"/>
      <c r="W730" s="939"/>
      <c r="X730" s="939"/>
      <c r="Y730" s="939"/>
      <c r="Z730" s="939"/>
      <c r="AA730" s="939"/>
      <c r="AB730" s="939"/>
      <c r="AC730" s="939"/>
      <c r="AD730" s="939"/>
      <c r="AE730" s="939"/>
      <c r="AF730" s="939"/>
      <c r="AG730" s="939"/>
      <c r="AH730" s="939"/>
      <c r="AI730" s="939"/>
      <c r="AJ730" s="939"/>
      <c r="AK730" s="939"/>
      <c r="AL730" s="939"/>
      <c r="AM730" s="939"/>
      <c r="AN730" s="939"/>
    </row>
    <row r="731" spans="1:40" ht="15" customHeight="1">
      <c r="A731" s="939"/>
      <c r="B731" s="939"/>
      <c r="C731" s="939"/>
      <c r="D731" s="939"/>
      <c r="E731" s="939"/>
      <c r="F731" s="939"/>
      <c r="G731" s="939"/>
      <c r="H731" s="939"/>
      <c r="I731" s="939"/>
      <c r="J731" s="939"/>
      <c r="K731" s="939"/>
      <c r="L731" s="939"/>
      <c r="M731" s="939"/>
      <c r="N731" s="939"/>
      <c r="O731" s="939"/>
      <c r="P731" s="939"/>
      <c r="Q731" s="939"/>
      <c r="R731" s="939"/>
      <c r="S731" s="939"/>
      <c r="T731" s="939"/>
      <c r="U731" s="939"/>
      <c r="V731" s="939"/>
      <c r="W731" s="939"/>
      <c r="X731" s="939"/>
      <c r="Y731" s="939"/>
      <c r="Z731" s="939"/>
      <c r="AA731" s="939"/>
      <c r="AB731" s="939"/>
      <c r="AC731" s="939"/>
      <c r="AD731" s="939"/>
      <c r="AE731" s="939"/>
      <c r="AF731" s="939"/>
      <c r="AG731" s="939"/>
      <c r="AH731" s="939"/>
      <c r="AI731" s="939"/>
      <c r="AJ731" s="939"/>
      <c r="AK731" s="939"/>
      <c r="AL731" s="939"/>
      <c r="AM731" s="939"/>
      <c r="AN731" s="939"/>
    </row>
    <row r="732" spans="1:40" ht="15" customHeight="1">
      <c r="A732" s="939"/>
      <c r="B732" s="939"/>
      <c r="C732" s="939"/>
      <c r="D732" s="939"/>
      <c r="E732" s="939"/>
      <c r="F732" s="939"/>
      <c r="G732" s="939"/>
      <c r="H732" s="939"/>
      <c r="I732" s="939"/>
      <c r="J732" s="939"/>
      <c r="K732" s="939"/>
      <c r="L732" s="939"/>
      <c r="M732" s="939"/>
      <c r="N732" s="939"/>
      <c r="O732" s="939"/>
      <c r="P732" s="939"/>
      <c r="Q732" s="939"/>
      <c r="R732" s="939"/>
      <c r="S732" s="939"/>
      <c r="T732" s="939"/>
      <c r="U732" s="939"/>
      <c r="V732" s="939"/>
      <c r="W732" s="939"/>
      <c r="X732" s="939"/>
      <c r="Y732" s="939"/>
      <c r="Z732" s="939"/>
      <c r="AA732" s="939"/>
      <c r="AB732" s="939"/>
      <c r="AC732" s="939"/>
      <c r="AD732" s="939"/>
      <c r="AE732" s="939"/>
      <c r="AF732" s="939"/>
      <c r="AG732" s="939"/>
      <c r="AH732" s="939"/>
      <c r="AI732" s="939"/>
      <c r="AJ732" s="939"/>
      <c r="AK732" s="939"/>
      <c r="AL732" s="939"/>
      <c r="AM732" s="939"/>
      <c r="AN732" s="939"/>
    </row>
    <row r="733" spans="1:40" ht="15" customHeight="1">
      <c r="A733" s="939"/>
      <c r="B733" s="939"/>
      <c r="C733" s="939"/>
      <c r="D733" s="939"/>
      <c r="E733" s="939"/>
      <c r="F733" s="939"/>
      <c r="G733" s="939"/>
      <c r="H733" s="939"/>
      <c r="I733" s="939"/>
      <c r="J733" s="939"/>
      <c r="K733" s="939"/>
      <c r="L733" s="939"/>
      <c r="M733" s="939"/>
      <c r="N733" s="939"/>
      <c r="O733" s="939"/>
      <c r="P733" s="939"/>
      <c r="Q733" s="939"/>
      <c r="R733" s="939"/>
      <c r="S733" s="939"/>
      <c r="T733" s="939"/>
      <c r="U733" s="939"/>
      <c r="V733" s="939"/>
      <c r="W733" s="939"/>
      <c r="X733" s="939"/>
      <c r="Y733" s="939"/>
      <c r="Z733" s="939"/>
      <c r="AA733" s="939"/>
      <c r="AB733" s="939"/>
      <c r="AC733" s="939"/>
      <c r="AD733" s="939"/>
      <c r="AE733" s="939"/>
      <c r="AF733" s="939"/>
      <c r="AG733" s="939"/>
      <c r="AH733" s="939"/>
      <c r="AI733" s="939"/>
      <c r="AJ733" s="939"/>
      <c r="AK733" s="939"/>
      <c r="AL733" s="939"/>
      <c r="AM733" s="939"/>
      <c r="AN733" s="939"/>
    </row>
    <row r="734" spans="1:40" ht="15" customHeight="1">
      <c r="A734" s="939"/>
      <c r="B734" s="939"/>
      <c r="C734" s="939"/>
      <c r="D734" s="939"/>
      <c r="E734" s="939"/>
      <c r="F734" s="939"/>
      <c r="G734" s="939"/>
      <c r="H734" s="939"/>
      <c r="I734" s="939"/>
      <c r="J734" s="939"/>
      <c r="K734" s="939"/>
      <c r="L734" s="939"/>
      <c r="M734" s="939"/>
      <c r="N734" s="939"/>
      <c r="O734" s="939"/>
      <c r="P734" s="939"/>
      <c r="Q734" s="939"/>
      <c r="R734" s="939"/>
      <c r="S734" s="939"/>
      <c r="T734" s="939"/>
      <c r="U734" s="939"/>
      <c r="V734" s="939"/>
      <c r="W734" s="939"/>
      <c r="X734" s="939"/>
      <c r="Y734" s="939"/>
      <c r="Z734" s="939"/>
      <c r="AA734" s="939"/>
      <c r="AB734" s="939"/>
      <c r="AC734" s="939"/>
      <c r="AD734" s="939"/>
      <c r="AE734" s="939"/>
      <c r="AF734" s="939"/>
      <c r="AG734" s="939"/>
      <c r="AH734" s="939"/>
      <c r="AI734" s="939"/>
      <c r="AJ734" s="939"/>
      <c r="AK734" s="939"/>
      <c r="AL734" s="939"/>
      <c r="AM734" s="939"/>
      <c r="AN734" s="939"/>
    </row>
    <row r="735" spans="1:40" ht="15" customHeight="1">
      <c r="A735" s="939"/>
      <c r="B735" s="939"/>
      <c r="C735" s="939"/>
      <c r="D735" s="939"/>
      <c r="E735" s="939"/>
      <c r="F735" s="939"/>
      <c r="G735" s="939"/>
      <c r="H735" s="939"/>
      <c r="I735" s="939"/>
      <c r="J735" s="939"/>
      <c r="K735" s="939"/>
      <c r="L735" s="939"/>
      <c r="M735" s="939"/>
      <c r="N735" s="939"/>
      <c r="O735" s="939"/>
      <c r="P735" s="939"/>
      <c r="Q735" s="939"/>
      <c r="R735" s="939"/>
      <c r="S735" s="939"/>
      <c r="T735" s="939"/>
      <c r="U735" s="939"/>
      <c r="V735" s="939"/>
      <c r="W735" s="939"/>
      <c r="X735" s="939"/>
      <c r="Y735" s="939"/>
      <c r="Z735" s="939"/>
      <c r="AA735" s="939"/>
      <c r="AB735" s="939"/>
      <c r="AC735" s="939"/>
      <c r="AD735" s="939"/>
      <c r="AE735" s="939"/>
      <c r="AF735" s="939"/>
      <c r="AG735" s="939"/>
      <c r="AH735" s="939"/>
      <c r="AI735" s="939"/>
      <c r="AJ735" s="939"/>
      <c r="AK735" s="939"/>
      <c r="AL735" s="939"/>
      <c r="AM735" s="939"/>
      <c r="AN735" s="939"/>
    </row>
    <row r="736" spans="1:40" ht="15" customHeight="1">
      <c r="A736" s="939"/>
      <c r="B736" s="939"/>
      <c r="C736" s="939"/>
      <c r="D736" s="939"/>
      <c r="E736" s="939"/>
      <c r="F736" s="939"/>
      <c r="G736" s="939"/>
      <c r="H736" s="939"/>
      <c r="I736" s="939"/>
      <c r="J736" s="939"/>
      <c r="K736" s="939"/>
      <c r="L736" s="939"/>
      <c r="M736" s="939"/>
      <c r="N736" s="939"/>
      <c r="O736" s="939"/>
      <c r="P736" s="939"/>
      <c r="Q736" s="939"/>
      <c r="R736" s="939"/>
      <c r="S736" s="939"/>
      <c r="T736" s="939"/>
      <c r="U736" s="939"/>
      <c r="V736" s="939"/>
      <c r="W736" s="939"/>
      <c r="X736" s="939"/>
      <c r="Y736" s="939"/>
      <c r="Z736" s="939"/>
      <c r="AA736" s="939"/>
      <c r="AB736" s="939"/>
      <c r="AC736" s="939"/>
      <c r="AD736" s="939"/>
      <c r="AE736" s="939"/>
      <c r="AF736" s="939"/>
      <c r="AG736" s="939"/>
      <c r="AH736" s="939"/>
      <c r="AI736" s="939"/>
      <c r="AJ736" s="939"/>
      <c r="AK736" s="939"/>
      <c r="AL736" s="939"/>
      <c r="AM736" s="939"/>
      <c r="AN736" s="939"/>
    </row>
    <row r="737" spans="1:40" ht="15" customHeight="1">
      <c r="A737" s="939"/>
      <c r="B737" s="939"/>
      <c r="C737" s="939"/>
      <c r="D737" s="939"/>
      <c r="E737" s="939"/>
      <c r="F737" s="939"/>
      <c r="G737" s="939"/>
      <c r="H737" s="939"/>
      <c r="I737" s="939"/>
      <c r="J737" s="939"/>
      <c r="K737" s="939"/>
      <c r="L737" s="939"/>
      <c r="M737" s="939"/>
      <c r="N737" s="939"/>
      <c r="O737" s="939"/>
      <c r="P737" s="939"/>
      <c r="Q737" s="939"/>
      <c r="R737" s="939"/>
      <c r="S737" s="939"/>
      <c r="T737" s="939"/>
      <c r="U737" s="939"/>
      <c r="V737" s="939"/>
      <c r="W737" s="939"/>
      <c r="X737" s="939"/>
      <c r="Y737" s="939"/>
      <c r="Z737" s="939"/>
      <c r="AA737" s="939"/>
      <c r="AB737" s="939"/>
      <c r="AC737" s="939"/>
      <c r="AD737" s="939"/>
      <c r="AE737" s="939"/>
      <c r="AF737" s="939"/>
      <c r="AG737" s="939"/>
      <c r="AH737" s="939"/>
      <c r="AI737" s="939"/>
      <c r="AJ737" s="939"/>
      <c r="AK737" s="939"/>
      <c r="AL737" s="939"/>
      <c r="AM737" s="939"/>
      <c r="AN737" s="939"/>
    </row>
    <row r="738" spans="1:40" ht="15" customHeight="1">
      <c r="A738" s="939"/>
      <c r="B738" s="939"/>
      <c r="C738" s="939"/>
      <c r="D738" s="939"/>
      <c r="E738" s="939"/>
      <c r="F738" s="939"/>
      <c r="G738" s="939"/>
      <c r="H738" s="939"/>
      <c r="I738" s="939"/>
      <c r="J738" s="939"/>
      <c r="K738" s="939"/>
      <c r="L738" s="939"/>
      <c r="M738" s="939"/>
      <c r="N738" s="939"/>
      <c r="O738" s="939"/>
      <c r="P738" s="939"/>
      <c r="Q738" s="939"/>
      <c r="R738" s="939"/>
      <c r="S738" s="939"/>
      <c r="T738" s="939"/>
      <c r="U738" s="939"/>
      <c r="V738" s="939"/>
      <c r="W738" s="939"/>
      <c r="X738" s="939"/>
      <c r="Y738" s="939"/>
      <c r="Z738" s="939"/>
      <c r="AA738" s="939"/>
      <c r="AB738" s="939"/>
      <c r="AC738" s="939"/>
      <c r="AD738" s="939"/>
      <c r="AE738" s="939"/>
      <c r="AF738" s="939"/>
      <c r="AG738" s="939"/>
      <c r="AH738" s="939"/>
      <c r="AI738" s="939"/>
      <c r="AJ738" s="939"/>
      <c r="AK738" s="939"/>
      <c r="AL738" s="939"/>
      <c r="AM738" s="939"/>
      <c r="AN738" s="939"/>
    </row>
    <row r="739" spans="1:40" ht="15" customHeight="1">
      <c r="A739" s="939"/>
      <c r="B739" s="939"/>
      <c r="C739" s="939"/>
      <c r="D739" s="939"/>
      <c r="E739" s="939"/>
      <c r="F739" s="939"/>
      <c r="G739" s="939"/>
      <c r="H739" s="939"/>
      <c r="I739" s="939"/>
      <c r="J739" s="939"/>
      <c r="K739" s="939"/>
      <c r="L739" s="939"/>
      <c r="M739" s="939"/>
      <c r="N739" s="939"/>
      <c r="O739" s="939"/>
      <c r="P739" s="939"/>
      <c r="Q739" s="939"/>
      <c r="R739" s="939"/>
      <c r="S739" s="939"/>
      <c r="T739" s="939"/>
      <c r="U739" s="939"/>
      <c r="V739" s="939"/>
      <c r="W739" s="939"/>
      <c r="X739" s="939"/>
      <c r="Y739" s="939"/>
      <c r="Z739" s="939"/>
      <c r="AA739" s="939"/>
      <c r="AB739" s="939"/>
      <c r="AC739" s="939"/>
      <c r="AD739" s="939"/>
      <c r="AE739" s="939"/>
      <c r="AF739" s="939"/>
      <c r="AG739" s="939"/>
      <c r="AH739" s="939"/>
      <c r="AI739" s="939"/>
      <c r="AJ739" s="939"/>
      <c r="AK739" s="939"/>
      <c r="AL739" s="939"/>
      <c r="AM739" s="939"/>
      <c r="AN739" s="939"/>
    </row>
    <row r="740" spans="1:40" ht="15" customHeight="1">
      <c r="A740" s="939"/>
      <c r="B740" s="939"/>
      <c r="C740" s="939"/>
      <c r="D740" s="939"/>
      <c r="E740" s="939"/>
      <c r="F740" s="939"/>
      <c r="G740" s="939"/>
      <c r="H740" s="939"/>
      <c r="I740" s="939"/>
      <c r="J740" s="939"/>
      <c r="K740" s="939"/>
      <c r="L740" s="939"/>
      <c r="M740" s="939"/>
      <c r="N740" s="939"/>
      <c r="O740" s="939"/>
      <c r="P740" s="939"/>
      <c r="Q740" s="939"/>
      <c r="R740" s="939"/>
      <c r="S740" s="939"/>
      <c r="T740" s="939"/>
      <c r="U740" s="939"/>
      <c r="V740" s="939"/>
      <c r="W740" s="939"/>
      <c r="X740" s="939"/>
      <c r="Y740" s="939"/>
      <c r="Z740" s="939"/>
      <c r="AA740" s="939"/>
      <c r="AB740" s="939"/>
      <c r="AC740" s="939"/>
      <c r="AD740" s="939"/>
      <c r="AE740" s="939"/>
      <c r="AF740" s="939"/>
      <c r="AG740" s="939"/>
      <c r="AH740" s="939"/>
      <c r="AI740" s="939"/>
      <c r="AJ740" s="939"/>
      <c r="AK740" s="939"/>
      <c r="AL740" s="939"/>
      <c r="AM740" s="939"/>
      <c r="AN740" s="939"/>
    </row>
    <row r="741" spans="1:40" ht="15" customHeight="1">
      <c r="A741" s="939"/>
      <c r="B741" s="939"/>
      <c r="C741" s="939"/>
      <c r="D741" s="939"/>
      <c r="E741" s="939"/>
      <c r="F741" s="939"/>
      <c r="G741" s="939"/>
      <c r="H741" s="939"/>
      <c r="I741" s="939"/>
      <c r="J741" s="939"/>
      <c r="K741" s="939"/>
      <c r="L741" s="939"/>
      <c r="M741" s="939"/>
      <c r="N741" s="939"/>
      <c r="O741" s="939"/>
      <c r="P741" s="939"/>
      <c r="Q741" s="939"/>
      <c r="R741" s="939"/>
      <c r="S741" s="939"/>
      <c r="T741" s="939"/>
      <c r="U741" s="939"/>
      <c r="V741" s="939"/>
      <c r="W741" s="939"/>
      <c r="X741" s="939"/>
      <c r="Y741" s="939"/>
      <c r="Z741" s="939"/>
      <c r="AA741" s="939"/>
      <c r="AB741" s="939"/>
      <c r="AC741" s="939"/>
      <c r="AD741" s="939"/>
      <c r="AE741" s="939"/>
      <c r="AF741" s="939"/>
      <c r="AG741" s="939"/>
      <c r="AH741" s="939"/>
      <c r="AI741" s="939"/>
      <c r="AJ741" s="939"/>
      <c r="AK741" s="939"/>
      <c r="AL741" s="939"/>
      <c r="AM741" s="939"/>
      <c r="AN741" s="939"/>
    </row>
    <row r="742" spans="1:40" ht="15" customHeight="1">
      <c r="A742" s="939"/>
      <c r="B742" s="939"/>
      <c r="C742" s="939"/>
      <c r="D742" s="939"/>
      <c r="E742" s="939"/>
      <c r="F742" s="939"/>
      <c r="G742" s="939"/>
      <c r="H742" s="939"/>
      <c r="I742" s="939"/>
      <c r="J742" s="939"/>
      <c r="K742" s="939"/>
      <c r="L742" s="939"/>
      <c r="M742" s="939"/>
      <c r="N742" s="939"/>
      <c r="O742" s="939"/>
      <c r="P742" s="939"/>
      <c r="Q742" s="939"/>
      <c r="R742" s="939"/>
      <c r="S742" s="939"/>
      <c r="T742" s="939"/>
      <c r="U742" s="939"/>
      <c r="V742" s="939"/>
      <c r="W742" s="939"/>
      <c r="X742" s="939"/>
      <c r="Y742" s="939"/>
      <c r="Z742" s="939"/>
      <c r="AA742" s="939"/>
      <c r="AB742" s="939"/>
      <c r="AC742" s="939"/>
      <c r="AD742" s="939"/>
      <c r="AE742" s="939"/>
      <c r="AF742" s="939"/>
      <c r="AG742" s="939"/>
      <c r="AH742" s="939"/>
      <c r="AI742" s="939"/>
      <c r="AJ742" s="939"/>
      <c r="AK742" s="939"/>
      <c r="AL742" s="939"/>
      <c r="AM742" s="939"/>
      <c r="AN742" s="939"/>
    </row>
    <row r="743" spans="1:40" ht="15" customHeight="1">
      <c r="A743" s="939"/>
      <c r="B743" s="939"/>
      <c r="C743" s="939"/>
      <c r="D743" s="939"/>
      <c r="E743" s="939"/>
      <c r="F743" s="939"/>
      <c r="G743" s="939"/>
      <c r="H743" s="939"/>
      <c r="I743" s="939"/>
      <c r="J743" s="939"/>
      <c r="K743" s="939"/>
      <c r="L743" s="939"/>
      <c r="M743" s="939"/>
      <c r="N743" s="939"/>
      <c r="O743" s="939"/>
      <c r="P743" s="939"/>
      <c r="Q743" s="939"/>
      <c r="R743" s="939"/>
      <c r="S743" s="939"/>
      <c r="T743" s="939"/>
      <c r="U743" s="939"/>
      <c r="V743" s="939"/>
      <c r="W743" s="939"/>
      <c r="X743" s="939"/>
      <c r="Y743" s="939"/>
      <c r="Z743" s="939"/>
      <c r="AA743" s="939"/>
      <c r="AB743" s="939"/>
      <c r="AC743" s="939"/>
      <c r="AD743" s="939"/>
      <c r="AE743" s="939"/>
      <c r="AF743" s="939"/>
      <c r="AG743" s="939"/>
      <c r="AH743" s="939"/>
      <c r="AI743" s="939"/>
      <c r="AJ743" s="939"/>
      <c r="AK743" s="939"/>
      <c r="AL743" s="939"/>
      <c r="AM743" s="939"/>
      <c r="AN743" s="939"/>
    </row>
    <row r="744" spans="1:40" ht="15" customHeight="1">
      <c r="A744" s="939"/>
      <c r="B744" s="939"/>
      <c r="C744" s="939"/>
      <c r="D744" s="939"/>
      <c r="E744" s="939"/>
      <c r="F744" s="939"/>
      <c r="G744" s="939"/>
      <c r="H744" s="939"/>
      <c r="I744" s="939"/>
      <c r="J744" s="939"/>
      <c r="K744" s="939"/>
      <c r="L744" s="939"/>
      <c r="M744" s="939"/>
      <c r="N744" s="939"/>
      <c r="O744" s="939"/>
      <c r="P744" s="939"/>
      <c r="Q744" s="939"/>
      <c r="R744" s="939"/>
      <c r="S744" s="939"/>
      <c r="T744" s="939"/>
      <c r="U744" s="939"/>
      <c r="V744" s="939"/>
      <c r="W744" s="939"/>
      <c r="X744" s="939"/>
      <c r="Y744" s="939"/>
      <c r="Z744" s="939"/>
      <c r="AA744" s="939"/>
      <c r="AB744" s="939"/>
      <c r="AC744" s="939"/>
      <c r="AD744" s="939"/>
      <c r="AE744" s="939"/>
      <c r="AF744" s="939"/>
      <c r="AG744" s="939"/>
      <c r="AH744" s="939"/>
      <c r="AI744" s="939"/>
      <c r="AJ744" s="939"/>
      <c r="AK744" s="939"/>
      <c r="AL744" s="939"/>
      <c r="AM744" s="939"/>
      <c r="AN744" s="939"/>
    </row>
    <row r="745" spans="1:40" ht="15" customHeight="1">
      <c r="A745" s="939"/>
      <c r="B745" s="939"/>
      <c r="C745" s="939"/>
      <c r="D745" s="939"/>
      <c r="E745" s="939"/>
      <c r="F745" s="939"/>
      <c r="G745" s="939"/>
      <c r="H745" s="939"/>
      <c r="I745" s="939"/>
      <c r="J745" s="939"/>
      <c r="K745" s="939"/>
      <c r="L745" s="939"/>
      <c r="M745" s="939"/>
      <c r="N745" s="939"/>
      <c r="O745" s="939"/>
      <c r="P745" s="939"/>
      <c r="Q745" s="939"/>
      <c r="R745" s="939"/>
      <c r="S745" s="939"/>
      <c r="T745" s="939"/>
      <c r="U745" s="939"/>
      <c r="V745" s="939"/>
      <c r="W745" s="939"/>
      <c r="X745" s="939"/>
      <c r="Y745" s="939"/>
      <c r="Z745" s="939"/>
      <c r="AA745" s="939"/>
      <c r="AB745" s="939"/>
      <c r="AC745" s="939"/>
      <c r="AD745" s="939"/>
      <c r="AE745" s="939"/>
      <c r="AF745" s="939"/>
      <c r="AG745" s="939"/>
      <c r="AH745" s="939"/>
      <c r="AI745" s="939"/>
      <c r="AJ745" s="939"/>
      <c r="AK745" s="939"/>
      <c r="AL745" s="939"/>
      <c r="AM745" s="939"/>
      <c r="AN745" s="939"/>
    </row>
    <row r="746" spans="1:40" ht="15" customHeight="1">
      <c r="A746" s="939"/>
      <c r="B746" s="939"/>
      <c r="C746" s="939"/>
      <c r="D746" s="939"/>
      <c r="E746" s="939"/>
      <c r="F746" s="939"/>
      <c r="G746" s="939"/>
      <c r="H746" s="939"/>
      <c r="I746" s="939"/>
      <c r="J746" s="939"/>
      <c r="K746" s="939"/>
      <c r="L746" s="939"/>
      <c r="M746" s="939"/>
      <c r="N746" s="939"/>
      <c r="O746" s="939"/>
      <c r="P746" s="939"/>
      <c r="Q746" s="939"/>
      <c r="R746" s="939"/>
      <c r="S746" s="939"/>
      <c r="T746" s="939"/>
      <c r="U746" s="939"/>
      <c r="V746" s="939"/>
      <c r="W746" s="939"/>
      <c r="X746" s="939"/>
      <c r="Y746" s="939"/>
      <c r="Z746" s="939"/>
      <c r="AA746" s="939"/>
      <c r="AB746" s="939"/>
      <c r="AC746" s="939"/>
      <c r="AD746" s="939"/>
      <c r="AE746" s="939"/>
      <c r="AF746" s="939"/>
      <c r="AG746" s="939"/>
      <c r="AH746" s="939"/>
      <c r="AI746" s="939"/>
      <c r="AJ746" s="939"/>
      <c r="AK746" s="939"/>
      <c r="AL746" s="939"/>
      <c r="AM746" s="939"/>
      <c r="AN746" s="939"/>
    </row>
    <row r="747" spans="1:40" ht="15" customHeight="1">
      <c r="A747" s="939"/>
      <c r="B747" s="939"/>
      <c r="C747" s="939"/>
      <c r="D747" s="939"/>
      <c r="E747" s="939"/>
      <c r="F747" s="939"/>
      <c r="G747" s="939"/>
      <c r="H747" s="939"/>
      <c r="I747" s="939"/>
      <c r="J747" s="939"/>
      <c r="K747" s="939"/>
      <c r="L747" s="939"/>
      <c r="M747" s="939"/>
      <c r="N747" s="939"/>
      <c r="O747" s="939"/>
      <c r="P747" s="939"/>
      <c r="Q747" s="939"/>
      <c r="R747" s="939"/>
      <c r="S747" s="939"/>
      <c r="T747" s="939"/>
      <c r="U747" s="939"/>
      <c r="V747" s="939"/>
      <c r="W747" s="939"/>
      <c r="X747" s="939"/>
      <c r="Y747" s="939"/>
      <c r="Z747" s="939"/>
      <c r="AA747" s="939"/>
      <c r="AB747" s="939"/>
      <c r="AC747" s="939"/>
      <c r="AD747" s="939"/>
      <c r="AE747" s="939"/>
      <c r="AF747" s="939"/>
      <c r="AG747" s="939"/>
      <c r="AH747" s="939"/>
      <c r="AI747" s="939"/>
      <c r="AJ747" s="939"/>
      <c r="AK747" s="939"/>
      <c r="AL747" s="939"/>
      <c r="AM747" s="939"/>
      <c r="AN747" s="939"/>
    </row>
    <row r="748" spans="1:40" ht="15" customHeight="1">
      <c r="A748" s="939"/>
      <c r="B748" s="939"/>
      <c r="C748" s="939"/>
      <c r="D748" s="939"/>
      <c r="E748" s="939"/>
      <c r="F748" s="939"/>
      <c r="G748" s="939"/>
      <c r="H748" s="939"/>
      <c r="I748" s="939"/>
      <c r="J748" s="939"/>
      <c r="K748" s="939"/>
      <c r="L748" s="939"/>
      <c r="M748" s="939"/>
      <c r="N748" s="939"/>
      <c r="O748" s="939"/>
      <c r="P748" s="939"/>
      <c r="Q748" s="939"/>
      <c r="R748" s="939"/>
      <c r="S748" s="939"/>
      <c r="T748" s="939"/>
      <c r="U748" s="939"/>
      <c r="V748" s="939"/>
      <c r="W748" s="939"/>
      <c r="X748" s="939"/>
      <c r="Y748" s="939"/>
      <c r="Z748" s="939"/>
      <c r="AA748" s="939"/>
      <c r="AB748" s="939"/>
      <c r="AC748" s="939"/>
      <c r="AD748" s="939"/>
      <c r="AE748" s="939"/>
      <c r="AF748" s="939"/>
      <c r="AG748" s="939"/>
      <c r="AH748" s="939"/>
      <c r="AI748" s="939"/>
      <c r="AJ748" s="939"/>
      <c r="AK748" s="939"/>
      <c r="AL748" s="939"/>
      <c r="AM748" s="939"/>
      <c r="AN748" s="939"/>
    </row>
    <row r="749" spans="1:40" ht="15" customHeight="1">
      <c r="A749" s="939"/>
      <c r="B749" s="939"/>
      <c r="C749" s="939"/>
      <c r="D749" s="939"/>
      <c r="E749" s="939"/>
      <c r="F749" s="939"/>
      <c r="G749" s="939"/>
      <c r="H749" s="939"/>
      <c r="I749" s="939"/>
      <c r="J749" s="939"/>
      <c r="K749" s="939"/>
      <c r="L749" s="939"/>
      <c r="M749" s="939"/>
      <c r="N749" s="939"/>
      <c r="O749" s="939"/>
      <c r="P749" s="939"/>
      <c r="Q749" s="939"/>
      <c r="R749" s="939"/>
      <c r="S749" s="939"/>
      <c r="T749" s="939"/>
      <c r="U749" s="939"/>
      <c r="V749" s="939"/>
      <c r="W749" s="939"/>
      <c r="X749" s="939"/>
      <c r="Y749" s="939"/>
      <c r="Z749" s="939"/>
      <c r="AA749" s="939"/>
      <c r="AB749" s="939"/>
      <c r="AC749" s="939"/>
      <c r="AD749" s="939"/>
      <c r="AE749" s="939"/>
      <c r="AF749" s="939"/>
      <c r="AG749" s="939"/>
      <c r="AH749" s="939"/>
      <c r="AI749" s="939"/>
      <c r="AJ749" s="939"/>
      <c r="AK749" s="939"/>
      <c r="AL749" s="939"/>
      <c r="AM749" s="939"/>
      <c r="AN749" s="939"/>
    </row>
    <row r="750" spans="1:40" ht="15" customHeight="1">
      <c r="A750" s="939"/>
      <c r="B750" s="939"/>
      <c r="C750" s="939"/>
      <c r="D750" s="939"/>
      <c r="E750" s="939"/>
      <c r="F750" s="939"/>
      <c r="G750" s="939"/>
      <c r="H750" s="939"/>
      <c r="I750" s="939"/>
      <c r="J750" s="939"/>
      <c r="K750" s="939"/>
      <c r="L750" s="939"/>
      <c r="M750" s="939"/>
      <c r="N750" s="939"/>
      <c r="O750" s="939"/>
      <c r="P750" s="939"/>
      <c r="Q750" s="939"/>
      <c r="R750" s="939"/>
      <c r="S750" s="939"/>
      <c r="T750" s="939"/>
      <c r="U750" s="939"/>
      <c r="V750" s="939"/>
      <c r="W750" s="939"/>
      <c r="X750" s="939"/>
      <c r="Y750" s="939"/>
      <c r="Z750" s="939"/>
      <c r="AA750" s="939"/>
      <c r="AB750" s="939"/>
      <c r="AC750" s="939"/>
      <c r="AD750" s="939"/>
      <c r="AE750" s="939"/>
      <c r="AF750" s="939"/>
      <c r="AG750" s="939"/>
      <c r="AH750" s="939"/>
      <c r="AI750" s="939"/>
      <c r="AJ750" s="939"/>
      <c r="AK750" s="939"/>
      <c r="AL750" s="939"/>
      <c r="AM750" s="939"/>
      <c r="AN750" s="939"/>
    </row>
    <row r="751" spans="1:40" ht="15" customHeight="1">
      <c r="A751" s="939"/>
      <c r="B751" s="939"/>
      <c r="C751" s="939"/>
      <c r="D751" s="939"/>
      <c r="E751" s="939"/>
      <c r="F751" s="939"/>
      <c r="G751" s="939"/>
      <c r="H751" s="939"/>
      <c r="I751" s="939"/>
      <c r="J751" s="939"/>
      <c r="K751" s="939"/>
      <c r="L751" s="939"/>
      <c r="M751" s="939"/>
      <c r="N751" s="939"/>
      <c r="O751" s="939"/>
      <c r="P751" s="939"/>
      <c r="Q751" s="939"/>
      <c r="R751" s="939"/>
      <c r="S751" s="939"/>
      <c r="T751" s="939"/>
      <c r="U751" s="939"/>
      <c r="V751" s="939"/>
      <c r="W751" s="939"/>
      <c r="X751" s="939"/>
      <c r="Y751" s="939"/>
      <c r="Z751" s="939"/>
      <c r="AA751" s="939"/>
      <c r="AB751" s="939"/>
      <c r="AC751" s="939"/>
      <c r="AD751" s="939"/>
      <c r="AE751" s="939"/>
      <c r="AF751" s="939"/>
      <c r="AG751" s="939"/>
      <c r="AH751" s="939"/>
      <c r="AI751" s="939"/>
      <c r="AJ751" s="939"/>
      <c r="AK751" s="939"/>
      <c r="AL751" s="939"/>
      <c r="AM751" s="939"/>
      <c r="AN751" s="939"/>
    </row>
    <row r="752" spans="1:40" ht="15" customHeight="1">
      <c r="A752" s="939"/>
      <c r="B752" s="939"/>
      <c r="C752" s="939"/>
      <c r="D752" s="939"/>
      <c r="E752" s="939"/>
      <c r="F752" s="939"/>
      <c r="G752" s="939"/>
      <c r="H752" s="939"/>
      <c r="I752" s="939"/>
      <c r="J752" s="939"/>
      <c r="K752" s="939"/>
      <c r="L752" s="939"/>
      <c r="M752" s="939"/>
      <c r="N752" s="939"/>
      <c r="O752" s="939"/>
      <c r="P752" s="939"/>
      <c r="Q752" s="939"/>
      <c r="R752" s="939"/>
      <c r="S752" s="939"/>
      <c r="T752" s="939"/>
      <c r="U752" s="939"/>
      <c r="V752" s="939"/>
      <c r="W752" s="939"/>
      <c r="X752" s="939"/>
      <c r="Y752" s="939"/>
      <c r="Z752" s="939"/>
      <c r="AA752" s="939"/>
      <c r="AB752" s="939"/>
      <c r="AC752" s="939"/>
      <c r="AD752" s="939"/>
      <c r="AE752" s="939"/>
      <c r="AF752" s="939"/>
      <c r="AG752" s="939"/>
      <c r="AH752" s="939"/>
      <c r="AI752" s="939"/>
      <c r="AJ752" s="939"/>
      <c r="AK752" s="939"/>
      <c r="AL752" s="939"/>
      <c r="AM752" s="939"/>
      <c r="AN752" s="939"/>
    </row>
    <row r="753" spans="1:40" ht="15" customHeight="1">
      <c r="A753" s="939"/>
      <c r="B753" s="939"/>
      <c r="C753" s="939"/>
      <c r="D753" s="939"/>
      <c r="E753" s="939"/>
      <c r="F753" s="939"/>
      <c r="G753" s="939"/>
      <c r="H753" s="939"/>
      <c r="I753" s="939"/>
      <c r="J753" s="939"/>
      <c r="K753" s="939"/>
      <c r="L753" s="939"/>
      <c r="M753" s="939"/>
      <c r="N753" s="939"/>
      <c r="O753" s="939"/>
      <c r="P753" s="939"/>
      <c r="Q753" s="939"/>
      <c r="R753" s="939"/>
      <c r="S753" s="939"/>
      <c r="T753" s="939"/>
      <c r="U753" s="939"/>
      <c r="V753" s="939"/>
      <c r="W753" s="939"/>
      <c r="X753" s="939"/>
      <c r="Y753" s="939"/>
      <c r="Z753" s="939"/>
      <c r="AA753" s="939"/>
      <c r="AB753" s="939"/>
      <c r="AC753" s="939"/>
      <c r="AD753" s="939"/>
      <c r="AE753" s="939"/>
      <c r="AF753" s="939"/>
      <c r="AG753" s="939"/>
      <c r="AH753" s="939"/>
      <c r="AI753" s="939"/>
      <c r="AJ753" s="939"/>
      <c r="AK753" s="939"/>
      <c r="AL753" s="939"/>
      <c r="AM753" s="939"/>
      <c r="AN753" s="939"/>
    </row>
    <row r="754" spans="1:40" ht="15" customHeight="1">
      <c r="A754" s="939"/>
      <c r="B754" s="939"/>
      <c r="C754" s="939"/>
      <c r="D754" s="939"/>
      <c r="E754" s="939"/>
      <c r="F754" s="939"/>
      <c r="G754" s="939"/>
      <c r="H754" s="939"/>
      <c r="I754" s="939"/>
      <c r="J754" s="939"/>
      <c r="K754" s="939"/>
      <c r="L754" s="939"/>
      <c r="M754" s="939"/>
      <c r="N754" s="939"/>
      <c r="O754" s="939"/>
      <c r="P754" s="939"/>
      <c r="Q754" s="939"/>
      <c r="R754" s="939"/>
      <c r="S754" s="939"/>
      <c r="T754" s="939"/>
      <c r="U754" s="939"/>
      <c r="V754" s="939"/>
      <c r="W754" s="939"/>
      <c r="X754" s="939"/>
      <c r="Y754" s="939"/>
      <c r="Z754" s="939"/>
      <c r="AA754" s="939"/>
      <c r="AB754" s="939"/>
      <c r="AC754" s="939"/>
      <c r="AD754" s="939"/>
      <c r="AE754" s="939"/>
      <c r="AF754" s="939"/>
      <c r="AG754" s="939"/>
      <c r="AH754" s="939"/>
      <c r="AI754" s="939"/>
      <c r="AJ754" s="939"/>
      <c r="AK754" s="939"/>
      <c r="AL754" s="939"/>
      <c r="AM754" s="939"/>
      <c r="AN754" s="939"/>
    </row>
    <row r="755" spans="1:40" ht="15" customHeight="1">
      <c r="A755" s="939"/>
      <c r="B755" s="939"/>
      <c r="C755" s="939"/>
      <c r="D755" s="939"/>
      <c r="E755" s="939"/>
      <c r="F755" s="939"/>
      <c r="G755" s="939"/>
      <c r="H755" s="939"/>
      <c r="I755" s="939"/>
      <c r="J755" s="939"/>
      <c r="K755" s="939"/>
      <c r="L755" s="939"/>
      <c r="M755" s="939"/>
      <c r="N755" s="939"/>
      <c r="O755" s="939"/>
      <c r="P755" s="939"/>
      <c r="Q755" s="939"/>
      <c r="R755" s="939"/>
      <c r="S755" s="939"/>
      <c r="T755" s="939"/>
      <c r="U755" s="939"/>
      <c r="V755" s="939"/>
      <c r="W755" s="939"/>
      <c r="X755" s="939"/>
      <c r="Y755" s="939"/>
      <c r="Z755" s="939"/>
      <c r="AA755" s="939"/>
      <c r="AB755" s="939"/>
      <c r="AC755" s="939"/>
      <c r="AD755" s="939"/>
      <c r="AE755" s="939"/>
      <c r="AF755" s="939"/>
      <c r="AG755" s="939"/>
      <c r="AH755" s="939"/>
      <c r="AI755" s="939"/>
      <c r="AJ755" s="939"/>
      <c r="AK755" s="939"/>
      <c r="AL755" s="939"/>
      <c r="AM755" s="939"/>
      <c r="AN755" s="939"/>
    </row>
    <row r="756" spans="1:40" ht="15" customHeight="1">
      <c r="A756" s="939"/>
      <c r="B756" s="939"/>
      <c r="C756" s="939"/>
      <c r="D756" s="939"/>
      <c r="E756" s="939"/>
      <c r="F756" s="939"/>
      <c r="G756" s="939"/>
      <c r="H756" s="939"/>
      <c r="I756" s="939"/>
      <c r="J756" s="939"/>
      <c r="K756" s="939"/>
      <c r="L756" s="939"/>
      <c r="M756" s="939"/>
      <c r="N756" s="939"/>
      <c r="O756" s="939"/>
      <c r="P756" s="939"/>
      <c r="Q756" s="939"/>
      <c r="R756" s="939"/>
      <c r="S756" s="939"/>
      <c r="T756" s="939"/>
      <c r="U756" s="939"/>
      <c r="V756" s="939"/>
      <c r="W756" s="939"/>
      <c r="X756" s="939"/>
      <c r="Y756" s="939"/>
      <c r="Z756" s="939"/>
      <c r="AA756" s="939"/>
      <c r="AB756" s="939"/>
      <c r="AC756" s="939"/>
      <c r="AD756" s="939"/>
      <c r="AE756" s="939"/>
      <c r="AF756" s="939"/>
      <c r="AG756" s="939"/>
      <c r="AH756" s="939"/>
      <c r="AI756" s="939"/>
      <c r="AJ756" s="939"/>
      <c r="AK756" s="939"/>
      <c r="AL756" s="939"/>
      <c r="AM756" s="939"/>
      <c r="AN756" s="939"/>
    </row>
    <row r="757" spans="1:40" ht="15" customHeight="1">
      <c r="A757" s="939"/>
      <c r="B757" s="939"/>
      <c r="C757" s="939"/>
      <c r="D757" s="939"/>
      <c r="E757" s="939"/>
      <c r="F757" s="939"/>
      <c r="G757" s="939"/>
      <c r="H757" s="939"/>
      <c r="I757" s="939"/>
      <c r="J757" s="939"/>
      <c r="K757" s="939"/>
      <c r="L757" s="939"/>
      <c r="M757" s="939"/>
      <c r="N757" s="939"/>
      <c r="O757" s="939"/>
      <c r="P757" s="939"/>
      <c r="Q757" s="939"/>
      <c r="R757" s="939"/>
      <c r="S757" s="939"/>
      <c r="T757" s="939"/>
      <c r="U757" s="939"/>
      <c r="V757" s="939"/>
      <c r="W757" s="939"/>
      <c r="X757" s="939"/>
      <c r="Y757" s="939"/>
      <c r="Z757" s="939"/>
      <c r="AA757" s="939"/>
      <c r="AB757" s="939"/>
      <c r="AC757" s="939"/>
      <c r="AD757" s="939"/>
      <c r="AE757" s="939"/>
      <c r="AF757" s="939"/>
      <c r="AG757" s="939"/>
      <c r="AH757" s="939"/>
      <c r="AI757" s="939"/>
      <c r="AJ757" s="939"/>
      <c r="AK757" s="939"/>
      <c r="AL757" s="939"/>
      <c r="AM757" s="939"/>
      <c r="AN757" s="939"/>
    </row>
    <row r="758" spans="1:40" ht="15" customHeight="1">
      <c r="A758" s="939"/>
      <c r="B758" s="939"/>
      <c r="C758" s="939"/>
      <c r="D758" s="939"/>
      <c r="E758" s="939"/>
      <c r="F758" s="939"/>
      <c r="G758" s="939"/>
      <c r="H758" s="939"/>
      <c r="I758" s="939"/>
      <c r="J758" s="939"/>
      <c r="K758" s="939"/>
      <c r="L758" s="939"/>
      <c r="M758" s="939"/>
      <c r="N758" s="939"/>
      <c r="O758" s="939"/>
      <c r="P758" s="939"/>
      <c r="Q758" s="939"/>
      <c r="R758" s="939"/>
      <c r="S758" s="939"/>
      <c r="T758" s="939"/>
      <c r="U758" s="939"/>
      <c r="V758" s="939"/>
      <c r="W758" s="939"/>
      <c r="X758" s="939"/>
      <c r="Y758" s="939"/>
      <c r="Z758" s="939"/>
      <c r="AA758" s="939"/>
      <c r="AB758" s="939"/>
      <c r="AC758" s="939"/>
      <c r="AD758" s="939"/>
      <c r="AE758" s="939"/>
      <c r="AF758" s="939"/>
      <c r="AG758" s="939"/>
      <c r="AH758" s="939"/>
      <c r="AI758" s="939"/>
      <c r="AJ758" s="939"/>
      <c r="AK758" s="939"/>
      <c r="AL758" s="939"/>
      <c r="AM758" s="939"/>
      <c r="AN758" s="939"/>
    </row>
    <row r="759" spans="1:40" ht="15" customHeight="1">
      <c r="A759" s="939"/>
      <c r="B759" s="939"/>
      <c r="C759" s="939"/>
      <c r="D759" s="939"/>
      <c r="E759" s="939"/>
      <c r="F759" s="939"/>
      <c r="G759" s="939"/>
      <c r="H759" s="939"/>
      <c r="I759" s="939"/>
      <c r="J759" s="939"/>
      <c r="K759" s="939"/>
      <c r="L759" s="939"/>
      <c r="M759" s="939"/>
      <c r="N759" s="939"/>
      <c r="O759" s="939"/>
      <c r="P759" s="939"/>
      <c r="Q759" s="939"/>
      <c r="R759" s="939"/>
      <c r="S759" s="939"/>
      <c r="T759" s="939"/>
      <c r="U759" s="939"/>
      <c r="V759" s="939"/>
      <c r="W759" s="939"/>
      <c r="X759" s="939"/>
      <c r="Y759" s="939"/>
      <c r="Z759" s="939"/>
      <c r="AA759" s="939"/>
      <c r="AB759" s="939"/>
      <c r="AC759" s="939"/>
      <c r="AD759" s="939"/>
      <c r="AE759" s="939"/>
      <c r="AF759" s="939"/>
      <c r="AG759" s="939"/>
      <c r="AH759" s="939"/>
      <c r="AI759" s="939"/>
      <c r="AJ759" s="939"/>
      <c r="AK759" s="939"/>
      <c r="AL759" s="939"/>
      <c r="AM759" s="939"/>
      <c r="AN759" s="939"/>
    </row>
    <row r="760" spans="1:40" ht="15" customHeight="1">
      <c r="A760" s="939"/>
      <c r="B760" s="939"/>
      <c r="C760" s="939"/>
      <c r="D760" s="939"/>
      <c r="E760" s="939"/>
      <c r="F760" s="939"/>
      <c r="G760" s="939"/>
      <c r="H760" s="939"/>
      <c r="I760" s="939"/>
      <c r="J760" s="939"/>
      <c r="K760" s="939"/>
      <c r="L760" s="939"/>
      <c r="M760" s="939"/>
      <c r="N760" s="939"/>
      <c r="O760" s="939"/>
      <c r="P760" s="939"/>
      <c r="Q760" s="939"/>
      <c r="R760" s="939"/>
      <c r="S760" s="939"/>
      <c r="T760" s="939"/>
      <c r="U760" s="939"/>
      <c r="V760" s="939"/>
      <c r="W760" s="939"/>
      <c r="X760" s="939"/>
      <c r="Y760" s="939"/>
      <c r="Z760" s="939"/>
      <c r="AA760" s="939"/>
      <c r="AB760" s="939"/>
      <c r="AC760" s="939"/>
      <c r="AD760" s="939"/>
      <c r="AE760" s="939"/>
      <c r="AF760" s="939"/>
      <c r="AG760" s="939"/>
      <c r="AH760" s="939"/>
      <c r="AI760" s="939"/>
      <c r="AJ760" s="939"/>
      <c r="AK760" s="939"/>
      <c r="AL760" s="939"/>
      <c r="AM760" s="939"/>
      <c r="AN760" s="939"/>
    </row>
    <row r="761" spans="1:40" ht="15" customHeight="1">
      <c r="A761" s="939"/>
      <c r="B761" s="939"/>
      <c r="C761" s="939"/>
      <c r="D761" s="939"/>
      <c r="E761" s="939"/>
      <c r="F761" s="939"/>
      <c r="G761" s="939"/>
      <c r="H761" s="939"/>
      <c r="I761" s="939"/>
      <c r="J761" s="939"/>
      <c r="K761" s="939"/>
      <c r="L761" s="939"/>
      <c r="M761" s="939"/>
      <c r="N761" s="939"/>
      <c r="O761" s="939"/>
      <c r="P761" s="939"/>
      <c r="Q761" s="939"/>
      <c r="R761" s="939"/>
      <c r="S761" s="939"/>
      <c r="T761" s="939"/>
      <c r="U761" s="939"/>
      <c r="V761" s="939"/>
      <c r="W761" s="939"/>
      <c r="X761" s="939"/>
      <c r="Y761" s="939"/>
      <c r="Z761" s="939"/>
      <c r="AA761" s="939"/>
      <c r="AB761" s="939"/>
      <c r="AC761" s="939"/>
      <c r="AD761" s="939"/>
      <c r="AE761" s="939"/>
      <c r="AF761" s="939"/>
      <c r="AG761" s="939"/>
      <c r="AH761" s="939"/>
      <c r="AI761" s="939"/>
      <c r="AJ761" s="939"/>
      <c r="AK761" s="939"/>
      <c r="AL761" s="939"/>
      <c r="AM761" s="939"/>
      <c r="AN761" s="939"/>
    </row>
    <row r="762" spans="1:40" ht="15" customHeight="1">
      <c r="A762" s="939"/>
      <c r="B762" s="939"/>
      <c r="C762" s="939"/>
      <c r="D762" s="939"/>
      <c r="E762" s="939"/>
      <c r="F762" s="939"/>
      <c r="G762" s="939"/>
      <c r="H762" s="939"/>
      <c r="I762" s="939"/>
      <c r="J762" s="939"/>
      <c r="K762" s="939"/>
      <c r="L762" s="939"/>
      <c r="M762" s="939"/>
      <c r="N762" s="939"/>
      <c r="O762" s="939"/>
      <c r="P762" s="939"/>
      <c r="Q762" s="939"/>
      <c r="R762" s="939"/>
      <c r="S762" s="939"/>
      <c r="T762" s="939"/>
      <c r="U762" s="939"/>
      <c r="V762" s="939"/>
      <c r="W762" s="939"/>
      <c r="X762" s="939"/>
      <c r="Y762" s="939"/>
      <c r="Z762" s="939"/>
      <c r="AA762" s="939"/>
      <c r="AB762" s="939"/>
      <c r="AC762" s="939"/>
      <c r="AD762" s="939"/>
      <c r="AE762" s="939"/>
      <c r="AF762" s="939"/>
      <c r="AG762" s="939"/>
      <c r="AH762" s="939"/>
      <c r="AI762" s="939"/>
      <c r="AJ762" s="939"/>
      <c r="AK762" s="939"/>
      <c r="AL762" s="939"/>
      <c r="AM762" s="939"/>
      <c r="AN762" s="939"/>
    </row>
    <row r="763" spans="1:40" ht="15" customHeight="1">
      <c r="A763" s="939"/>
      <c r="B763" s="939"/>
      <c r="C763" s="939"/>
      <c r="D763" s="939"/>
      <c r="E763" s="939"/>
      <c r="F763" s="939"/>
      <c r="G763" s="939"/>
      <c r="H763" s="939"/>
      <c r="I763" s="939"/>
      <c r="J763" s="939"/>
      <c r="K763" s="939"/>
      <c r="L763" s="939"/>
      <c r="M763" s="939"/>
      <c r="N763" s="939"/>
      <c r="O763" s="939"/>
      <c r="P763" s="939"/>
      <c r="Q763" s="939"/>
      <c r="R763" s="939"/>
      <c r="S763" s="939"/>
      <c r="T763" s="939"/>
      <c r="U763" s="939"/>
      <c r="V763" s="939"/>
      <c r="W763" s="939"/>
      <c r="X763" s="939"/>
      <c r="Y763" s="939"/>
      <c r="Z763" s="939"/>
      <c r="AA763" s="939"/>
      <c r="AB763" s="939"/>
      <c r="AC763" s="939"/>
      <c r="AD763" s="939"/>
      <c r="AE763" s="939"/>
      <c r="AF763" s="939"/>
      <c r="AG763" s="939"/>
      <c r="AH763" s="939"/>
      <c r="AI763" s="939"/>
      <c r="AJ763" s="939"/>
      <c r="AK763" s="939"/>
      <c r="AL763" s="939"/>
      <c r="AM763" s="939"/>
      <c r="AN763" s="939"/>
    </row>
    <row r="764" spans="1:40" ht="15" customHeight="1">
      <c r="A764" s="939"/>
      <c r="B764" s="939"/>
      <c r="C764" s="939"/>
      <c r="D764" s="939"/>
      <c r="E764" s="939"/>
      <c r="F764" s="939"/>
      <c r="G764" s="939"/>
      <c r="H764" s="939"/>
      <c r="I764" s="939"/>
      <c r="J764" s="939"/>
      <c r="K764" s="939"/>
      <c r="L764" s="939"/>
      <c r="M764" s="939"/>
      <c r="N764" s="939"/>
      <c r="O764" s="939"/>
      <c r="P764" s="939"/>
      <c r="Q764" s="939"/>
      <c r="R764" s="939"/>
      <c r="S764" s="939"/>
      <c r="T764" s="939"/>
      <c r="U764" s="939"/>
      <c r="V764" s="939"/>
      <c r="W764" s="939"/>
      <c r="X764" s="939"/>
      <c r="Y764" s="939"/>
      <c r="Z764" s="939"/>
      <c r="AA764" s="939"/>
      <c r="AB764" s="939"/>
      <c r="AC764" s="939"/>
      <c r="AD764" s="939"/>
      <c r="AE764" s="939"/>
      <c r="AF764" s="939"/>
      <c r="AG764" s="939"/>
      <c r="AH764" s="939"/>
      <c r="AI764" s="939"/>
      <c r="AJ764" s="939"/>
      <c r="AK764" s="939"/>
      <c r="AL764" s="939"/>
      <c r="AM764" s="939"/>
      <c r="AN764" s="939"/>
    </row>
    <row r="765" spans="1:40" ht="15" customHeight="1">
      <c r="A765" s="939"/>
      <c r="B765" s="939"/>
      <c r="C765" s="939"/>
      <c r="D765" s="939"/>
      <c r="E765" s="939"/>
      <c r="F765" s="939"/>
      <c r="G765" s="939"/>
      <c r="H765" s="939"/>
      <c r="I765" s="939"/>
      <c r="J765" s="939"/>
      <c r="K765" s="939"/>
      <c r="L765" s="939"/>
      <c r="M765" s="939"/>
      <c r="N765" s="939"/>
      <c r="O765" s="939"/>
      <c r="P765" s="939"/>
      <c r="Q765" s="939"/>
      <c r="R765" s="939"/>
      <c r="S765" s="939"/>
      <c r="T765" s="939"/>
      <c r="U765" s="939"/>
      <c r="V765" s="939"/>
      <c r="W765" s="939"/>
      <c r="X765" s="939"/>
      <c r="Y765" s="939"/>
      <c r="Z765" s="939"/>
      <c r="AA765" s="939"/>
      <c r="AB765" s="939"/>
      <c r="AC765" s="939"/>
      <c r="AD765" s="939"/>
      <c r="AE765" s="939"/>
      <c r="AF765" s="939"/>
      <c r="AG765" s="939"/>
      <c r="AH765" s="939"/>
      <c r="AI765" s="939"/>
      <c r="AJ765" s="939"/>
      <c r="AK765" s="939"/>
      <c r="AL765" s="939"/>
      <c r="AM765" s="939"/>
      <c r="AN765" s="939"/>
    </row>
    <row r="766" spans="1:40" ht="15" customHeight="1">
      <c r="A766" s="939"/>
      <c r="B766" s="939"/>
      <c r="C766" s="939"/>
      <c r="D766" s="939"/>
      <c r="E766" s="939"/>
      <c r="F766" s="939"/>
      <c r="G766" s="939"/>
      <c r="H766" s="939"/>
      <c r="I766" s="939"/>
      <c r="J766" s="939"/>
      <c r="K766" s="939"/>
      <c r="L766" s="939"/>
      <c r="M766" s="939"/>
      <c r="N766" s="939"/>
      <c r="O766" s="939"/>
      <c r="P766" s="939"/>
      <c r="Q766" s="939"/>
      <c r="R766" s="939"/>
      <c r="S766" s="939"/>
      <c r="T766" s="939"/>
      <c r="U766" s="939"/>
      <c r="V766" s="939"/>
      <c r="W766" s="939"/>
      <c r="X766" s="939"/>
      <c r="Y766" s="939"/>
      <c r="Z766" s="939"/>
      <c r="AA766" s="939"/>
      <c r="AB766" s="939"/>
      <c r="AC766" s="939"/>
      <c r="AD766" s="939"/>
      <c r="AE766" s="939"/>
      <c r="AF766" s="939"/>
      <c r="AG766" s="939"/>
      <c r="AH766" s="939"/>
      <c r="AI766" s="939"/>
      <c r="AJ766" s="939"/>
      <c r="AK766" s="939"/>
      <c r="AL766" s="939"/>
      <c r="AM766" s="939"/>
      <c r="AN766" s="939"/>
    </row>
    <row r="767" spans="1:40" ht="15" customHeight="1">
      <c r="A767" s="939"/>
      <c r="B767" s="939"/>
      <c r="C767" s="939"/>
      <c r="D767" s="939"/>
      <c r="E767" s="939"/>
      <c r="F767" s="939"/>
      <c r="G767" s="939"/>
      <c r="H767" s="939"/>
      <c r="I767" s="939"/>
      <c r="J767" s="939"/>
      <c r="K767" s="939"/>
      <c r="L767" s="939"/>
      <c r="M767" s="939"/>
      <c r="N767" s="939"/>
      <c r="O767" s="939"/>
      <c r="P767" s="939"/>
      <c r="Q767" s="939"/>
      <c r="R767" s="939"/>
      <c r="S767" s="939"/>
      <c r="T767" s="939"/>
      <c r="U767" s="939"/>
      <c r="V767" s="939"/>
      <c r="W767" s="939"/>
      <c r="X767" s="939"/>
      <c r="Y767" s="939"/>
      <c r="Z767" s="939"/>
      <c r="AA767" s="939"/>
      <c r="AB767" s="939"/>
      <c r="AC767" s="939"/>
      <c r="AD767" s="939"/>
      <c r="AE767" s="939"/>
      <c r="AF767" s="939"/>
      <c r="AG767" s="939"/>
      <c r="AH767" s="939"/>
      <c r="AI767" s="939"/>
      <c r="AJ767" s="939"/>
      <c r="AK767" s="939"/>
      <c r="AL767" s="939"/>
      <c r="AM767" s="939"/>
      <c r="AN767" s="939"/>
    </row>
    <row r="768" spans="1:40" ht="15" customHeight="1">
      <c r="A768" s="939"/>
      <c r="B768" s="939"/>
      <c r="C768" s="939"/>
      <c r="D768" s="939"/>
      <c r="E768" s="939"/>
      <c r="F768" s="939"/>
      <c r="G768" s="939"/>
      <c r="H768" s="939"/>
      <c r="I768" s="939"/>
      <c r="J768" s="939"/>
      <c r="K768" s="939"/>
      <c r="L768" s="939"/>
      <c r="M768" s="939"/>
      <c r="N768" s="939"/>
      <c r="O768" s="939"/>
      <c r="P768" s="939"/>
      <c r="Q768" s="939"/>
      <c r="R768" s="939"/>
      <c r="S768" s="939"/>
      <c r="T768" s="939"/>
      <c r="U768" s="939"/>
      <c r="V768" s="939"/>
      <c r="W768" s="939"/>
      <c r="X768" s="939"/>
      <c r="Y768" s="939"/>
      <c r="Z768" s="939"/>
      <c r="AA768" s="939"/>
      <c r="AB768" s="939"/>
      <c r="AC768" s="939"/>
      <c r="AD768" s="939"/>
      <c r="AE768" s="939"/>
      <c r="AF768" s="939"/>
      <c r="AG768" s="939"/>
      <c r="AH768" s="939"/>
      <c r="AI768" s="939"/>
      <c r="AJ768" s="939"/>
      <c r="AK768" s="939"/>
      <c r="AL768" s="939"/>
      <c r="AM768" s="939"/>
      <c r="AN768" s="939"/>
    </row>
    <row r="769" spans="1:40" ht="15" customHeight="1">
      <c r="A769" s="939"/>
      <c r="B769" s="939"/>
      <c r="C769" s="939"/>
      <c r="D769" s="939"/>
      <c r="E769" s="939"/>
      <c r="F769" s="939"/>
      <c r="G769" s="939"/>
      <c r="H769" s="939"/>
      <c r="I769" s="939"/>
      <c r="J769" s="939"/>
      <c r="K769" s="939"/>
      <c r="L769" s="939"/>
      <c r="M769" s="939"/>
      <c r="N769" s="939"/>
      <c r="O769" s="939"/>
      <c r="P769" s="939"/>
      <c r="Q769" s="939"/>
      <c r="R769" s="939"/>
      <c r="S769" s="939"/>
      <c r="T769" s="939"/>
      <c r="U769" s="939"/>
      <c r="V769" s="939"/>
      <c r="W769" s="939"/>
      <c r="X769" s="939"/>
      <c r="Y769" s="939"/>
      <c r="Z769" s="939"/>
      <c r="AA769" s="939"/>
      <c r="AB769" s="939"/>
      <c r="AC769" s="939"/>
      <c r="AD769" s="939"/>
      <c r="AE769" s="939"/>
      <c r="AF769" s="939"/>
      <c r="AG769" s="939"/>
      <c r="AH769" s="939"/>
      <c r="AI769" s="939"/>
      <c r="AJ769" s="939"/>
      <c r="AK769" s="939"/>
      <c r="AL769" s="939"/>
      <c r="AM769" s="939"/>
      <c r="AN769" s="939"/>
    </row>
    <row r="770" spans="1:40" ht="15" customHeight="1">
      <c r="A770" s="939"/>
      <c r="B770" s="939"/>
      <c r="C770" s="939"/>
      <c r="D770" s="939"/>
      <c r="E770" s="939"/>
      <c r="F770" s="939"/>
      <c r="G770" s="939"/>
      <c r="H770" s="939"/>
      <c r="I770" s="939"/>
      <c r="J770" s="939"/>
      <c r="K770" s="939"/>
      <c r="L770" s="939"/>
      <c r="M770" s="939"/>
      <c r="N770" s="939"/>
      <c r="O770" s="939"/>
      <c r="P770" s="939"/>
      <c r="Q770" s="939"/>
      <c r="R770" s="939"/>
      <c r="S770" s="939"/>
      <c r="T770" s="939"/>
      <c r="U770" s="939"/>
      <c r="V770" s="939"/>
      <c r="W770" s="939"/>
      <c r="X770" s="939"/>
      <c r="Y770" s="939"/>
      <c r="Z770" s="939"/>
      <c r="AA770" s="939"/>
      <c r="AB770" s="939"/>
      <c r="AC770" s="939"/>
      <c r="AD770" s="939"/>
      <c r="AE770" s="939"/>
      <c r="AF770" s="939"/>
      <c r="AG770" s="939"/>
      <c r="AH770" s="939"/>
      <c r="AI770" s="939"/>
      <c r="AJ770" s="939"/>
      <c r="AK770" s="939"/>
      <c r="AL770" s="939"/>
      <c r="AM770" s="939"/>
      <c r="AN770" s="939"/>
    </row>
    <row r="771" spans="1:40" ht="15" customHeight="1">
      <c r="A771" s="939"/>
      <c r="B771" s="939"/>
      <c r="C771" s="939"/>
      <c r="D771" s="939"/>
      <c r="E771" s="939"/>
      <c r="F771" s="939"/>
      <c r="G771" s="939"/>
      <c r="H771" s="939"/>
      <c r="I771" s="939"/>
      <c r="J771" s="939"/>
      <c r="K771" s="939"/>
      <c r="L771" s="939"/>
      <c r="M771" s="939"/>
      <c r="N771" s="939"/>
      <c r="O771" s="939"/>
      <c r="P771" s="939"/>
      <c r="Q771" s="939"/>
      <c r="R771" s="939"/>
      <c r="S771" s="939"/>
      <c r="T771" s="939"/>
      <c r="U771" s="939"/>
      <c r="V771" s="939"/>
      <c r="W771" s="939"/>
      <c r="X771" s="939"/>
      <c r="Y771" s="939"/>
      <c r="Z771" s="939"/>
      <c r="AA771" s="939"/>
      <c r="AB771" s="939"/>
      <c r="AC771" s="939"/>
      <c r="AD771" s="939"/>
      <c r="AE771" s="939"/>
      <c r="AF771" s="939"/>
      <c r="AG771" s="939"/>
      <c r="AH771" s="939"/>
      <c r="AI771" s="939"/>
      <c r="AJ771" s="939"/>
      <c r="AK771" s="939"/>
      <c r="AL771" s="939"/>
      <c r="AM771" s="939"/>
      <c r="AN771" s="939"/>
    </row>
    <row r="772" spans="1:40" ht="15" customHeight="1">
      <c r="A772" s="939"/>
      <c r="B772" s="939"/>
      <c r="C772" s="939"/>
      <c r="D772" s="939"/>
      <c r="E772" s="939"/>
      <c r="F772" s="939"/>
      <c r="G772" s="939"/>
      <c r="H772" s="939"/>
      <c r="I772" s="939"/>
      <c r="J772" s="939"/>
      <c r="K772" s="939"/>
      <c r="L772" s="939"/>
      <c r="M772" s="939"/>
      <c r="N772" s="939"/>
      <c r="O772" s="939"/>
      <c r="P772" s="939"/>
      <c r="Q772" s="939"/>
      <c r="R772" s="939"/>
      <c r="S772" s="939"/>
      <c r="T772" s="939"/>
      <c r="U772" s="939"/>
      <c r="V772" s="939"/>
      <c r="W772" s="939"/>
      <c r="X772" s="939"/>
      <c r="Y772" s="939"/>
      <c r="Z772" s="939"/>
      <c r="AA772" s="939"/>
      <c r="AB772" s="939"/>
      <c r="AC772" s="939"/>
      <c r="AD772" s="939"/>
      <c r="AE772" s="939"/>
      <c r="AF772" s="939"/>
      <c r="AG772" s="939"/>
      <c r="AH772" s="939"/>
      <c r="AI772" s="939"/>
      <c r="AJ772" s="939"/>
      <c r="AK772" s="939"/>
      <c r="AL772" s="939"/>
      <c r="AM772" s="939"/>
      <c r="AN772" s="939"/>
    </row>
    <row r="773" spans="1:40" ht="15" customHeight="1">
      <c r="A773" s="939"/>
      <c r="B773" s="939"/>
      <c r="C773" s="939"/>
      <c r="D773" s="939"/>
      <c r="E773" s="939"/>
      <c r="F773" s="939"/>
      <c r="G773" s="939"/>
      <c r="H773" s="939"/>
      <c r="I773" s="939"/>
      <c r="J773" s="939"/>
      <c r="K773" s="939"/>
      <c r="L773" s="939"/>
      <c r="M773" s="939"/>
      <c r="N773" s="939"/>
      <c r="O773" s="939"/>
      <c r="P773" s="939"/>
      <c r="Q773" s="939"/>
      <c r="R773" s="939"/>
      <c r="S773" s="939"/>
      <c r="T773" s="939"/>
      <c r="U773" s="939"/>
      <c r="V773" s="939"/>
      <c r="W773" s="939"/>
      <c r="X773" s="939"/>
      <c r="Y773" s="939"/>
      <c r="Z773" s="939"/>
      <c r="AA773" s="939"/>
      <c r="AB773" s="939"/>
      <c r="AC773" s="939"/>
      <c r="AD773" s="939"/>
      <c r="AE773" s="939"/>
      <c r="AF773" s="939"/>
      <c r="AG773" s="939"/>
      <c r="AH773" s="939"/>
      <c r="AI773" s="939"/>
      <c r="AJ773" s="939"/>
      <c r="AK773" s="939"/>
      <c r="AL773" s="939"/>
      <c r="AM773" s="939"/>
      <c r="AN773" s="939"/>
    </row>
    <row r="774" spans="1:40" ht="15" customHeight="1">
      <c r="A774" s="939"/>
      <c r="B774" s="939"/>
      <c r="C774" s="939"/>
      <c r="D774" s="939"/>
      <c r="E774" s="939"/>
      <c r="F774" s="939"/>
      <c r="G774" s="939"/>
      <c r="H774" s="939"/>
      <c r="I774" s="939"/>
      <c r="J774" s="939"/>
      <c r="K774" s="939"/>
      <c r="L774" s="939"/>
      <c r="M774" s="939"/>
      <c r="N774" s="939"/>
      <c r="O774" s="939"/>
      <c r="P774" s="939"/>
      <c r="Q774" s="939"/>
      <c r="R774" s="939"/>
      <c r="S774" s="939"/>
      <c r="T774" s="939"/>
      <c r="U774" s="939"/>
      <c r="V774" s="939"/>
      <c r="W774" s="939"/>
      <c r="X774" s="939"/>
      <c r="Y774" s="939"/>
      <c r="Z774" s="939"/>
      <c r="AA774" s="939"/>
      <c r="AB774" s="939"/>
      <c r="AC774" s="939"/>
      <c r="AD774" s="939"/>
      <c r="AE774" s="939"/>
      <c r="AF774" s="939"/>
      <c r="AG774" s="939"/>
      <c r="AH774" s="939"/>
      <c r="AI774" s="939"/>
      <c r="AJ774" s="939"/>
      <c r="AK774" s="939"/>
      <c r="AL774" s="939"/>
      <c r="AM774" s="939"/>
      <c r="AN774" s="939"/>
    </row>
    <row r="775" spans="1:40" ht="15" customHeight="1">
      <c r="A775" s="939"/>
      <c r="B775" s="939"/>
      <c r="C775" s="939"/>
      <c r="D775" s="939"/>
      <c r="E775" s="939"/>
      <c r="F775" s="939"/>
      <c r="G775" s="939"/>
      <c r="H775" s="939"/>
      <c r="I775" s="939"/>
      <c r="J775" s="939"/>
      <c r="K775" s="939"/>
      <c r="L775" s="939"/>
      <c r="M775" s="939"/>
      <c r="N775" s="939"/>
      <c r="O775" s="939"/>
      <c r="P775" s="939"/>
      <c r="Q775" s="939"/>
      <c r="R775" s="939"/>
      <c r="S775" s="939"/>
      <c r="T775" s="939"/>
      <c r="U775" s="939"/>
      <c r="V775" s="939"/>
      <c r="W775" s="939"/>
      <c r="X775" s="939"/>
      <c r="Y775" s="939"/>
      <c r="Z775" s="939"/>
      <c r="AA775" s="939"/>
      <c r="AB775" s="939"/>
      <c r="AC775" s="939"/>
      <c r="AD775" s="939"/>
      <c r="AE775" s="939"/>
      <c r="AF775" s="939"/>
      <c r="AG775" s="939"/>
      <c r="AH775" s="939"/>
      <c r="AI775" s="939"/>
      <c r="AJ775" s="939"/>
      <c r="AK775" s="939"/>
      <c r="AL775" s="939"/>
      <c r="AM775" s="939"/>
      <c r="AN775" s="939"/>
    </row>
    <row r="776" spans="1:40" ht="15" customHeight="1">
      <c r="A776" s="939"/>
      <c r="B776" s="939"/>
      <c r="C776" s="939"/>
      <c r="D776" s="939"/>
      <c r="E776" s="939"/>
      <c r="F776" s="939"/>
      <c r="G776" s="939"/>
      <c r="H776" s="939"/>
      <c r="I776" s="939"/>
      <c r="J776" s="939"/>
      <c r="K776" s="939"/>
      <c r="L776" s="939"/>
      <c r="M776" s="939"/>
      <c r="N776" s="939"/>
      <c r="O776" s="939"/>
      <c r="P776" s="939"/>
      <c r="Q776" s="939"/>
      <c r="R776" s="939"/>
      <c r="S776" s="939"/>
      <c r="T776" s="939"/>
      <c r="U776" s="939"/>
      <c r="V776" s="939"/>
      <c r="W776" s="939"/>
      <c r="X776" s="939"/>
      <c r="Y776" s="939"/>
      <c r="Z776" s="939"/>
      <c r="AA776" s="939"/>
      <c r="AB776" s="939"/>
      <c r="AC776" s="939"/>
      <c r="AD776" s="939"/>
      <c r="AE776" s="939"/>
      <c r="AF776" s="939"/>
      <c r="AG776" s="939"/>
      <c r="AH776" s="939"/>
      <c r="AI776" s="939"/>
      <c r="AJ776" s="939"/>
      <c r="AK776" s="939"/>
      <c r="AL776" s="939"/>
      <c r="AM776" s="939"/>
      <c r="AN776" s="939"/>
    </row>
    <row r="777" spans="1:40" ht="15" customHeight="1">
      <c r="A777" s="939"/>
      <c r="B777" s="939"/>
      <c r="C777" s="939"/>
      <c r="D777" s="939"/>
      <c r="E777" s="939"/>
      <c r="F777" s="939"/>
      <c r="G777" s="939"/>
      <c r="H777" s="939"/>
      <c r="I777" s="939"/>
      <c r="J777" s="939"/>
      <c r="K777" s="939"/>
      <c r="L777" s="939"/>
      <c r="M777" s="939"/>
      <c r="N777" s="939"/>
      <c r="O777" s="939"/>
      <c r="P777" s="939"/>
      <c r="Q777" s="939"/>
      <c r="R777" s="939"/>
      <c r="S777" s="939"/>
      <c r="T777" s="939"/>
      <c r="U777" s="939"/>
      <c r="V777" s="939"/>
      <c r="W777" s="939"/>
      <c r="X777" s="939"/>
      <c r="Y777" s="939"/>
      <c r="Z777" s="939"/>
      <c r="AA777" s="939"/>
      <c r="AB777" s="939"/>
      <c r="AC777" s="939"/>
      <c r="AD777" s="939"/>
      <c r="AE777" s="939"/>
      <c r="AF777" s="939"/>
      <c r="AG777" s="939"/>
      <c r="AH777" s="939"/>
      <c r="AI777" s="939"/>
      <c r="AJ777" s="939"/>
      <c r="AK777" s="939"/>
      <c r="AL777" s="939"/>
      <c r="AM777" s="939"/>
      <c r="AN777" s="939"/>
    </row>
    <row r="778" spans="1:40" ht="15" customHeight="1">
      <c r="A778" s="939"/>
      <c r="B778" s="939"/>
      <c r="C778" s="939"/>
      <c r="D778" s="939"/>
      <c r="E778" s="939"/>
      <c r="F778" s="939"/>
      <c r="G778" s="939"/>
      <c r="H778" s="939"/>
      <c r="I778" s="939"/>
      <c r="J778" s="939"/>
      <c r="K778" s="939"/>
      <c r="L778" s="939"/>
      <c r="M778" s="939"/>
      <c r="N778" s="939"/>
      <c r="O778" s="939"/>
      <c r="P778" s="939"/>
      <c r="Q778" s="939"/>
      <c r="R778" s="939"/>
      <c r="S778" s="939"/>
      <c r="T778" s="939"/>
      <c r="U778" s="939"/>
      <c r="V778" s="939"/>
      <c r="W778" s="939"/>
      <c r="X778" s="939"/>
      <c r="Y778" s="939"/>
      <c r="Z778" s="939"/>
      <c r="AA778" s="939"/>
      <c r="AB778" s="939"/>
      <c r="AC778" s="939"/>
      <c r="AD778" s="939"/>
      <c r="AE778" s="939"/>
      <c r="AF778" s="939"/>
      <c r="AG778" s="939"/>
      <c r="AH778" s="939"/>
      <c r="AI778" s="939"/>
      <c r="AJ778" s="939"/>
      <c r="AK778" s="939"/>
      <c r="AL778" s="939"/>
      <c r="AM778" s="939"/>
      <c r="AN778" s="939"/>
    </row>
    <row r="779" spans="1:40" ht="15" customHeight="1">
      <c r="A779" s="939"/>
      <c r="B779" s="939"/>
      <c r="C779" s="939"/>
      <c r="D779" s="939"/>
      <c r="E779" s="939"/>
      <c r="F779" s="939"/>
      <c r="G779" s="939"/>
      <c r="H779" s="939"/>
      <c r="I779" s="939"/>
      <c r="J779" s="939"/>
      <c r="K779" s="939"/>
      <c r="L779" s="939"/>
      <c r="M779" s="939"/>
      <c r="N779" s="939"/>
      <c r="O779" s="939"/>
      <c r="P779" s="939"/>
      <c r="Q779" s="939"/>
      <c r="R779" s="939"/>
      <c r="S779" s="939"/>
      <c r="T779" s="939"/>
      <c r="U779" s="939"/>
      <c r="V779" s="939"/>
      <c r="W779" s="939"/>
      <c r="X779" s="939"/>
      <c r="Y779" s="939"/>
      <c r="Z779" s="939"/>
      <c r="AA779" s="939"/>
      <c r="AB779" s="939"/>
      <c r="AC779" s="939"/>
      <c r="AD779" s="939"/>
      <c r="AE779" s="939"/>
      <c r="AF779" s="939"/>
      <c r="AG779" s="939"/>
      <c r="AH779" s="939"/>
      <c r="AI779" s="939"/>
      <c r="AJ779" s="939"/>
      <c r="AK779" s="939"/>
      <c r="AL779" s="939"/>
      <c r="AM779" s="939"/>
      <c r="AN779" s="939"/>
    </row>
    <row r="780" spans="1:40" ht="15" customHeight="1">
      <c r="A780" s="939"/>
      <c r="B780" s="939"/>
      <c r="C780" s="939"/>
      <c r="D780" s="939"/>
      <c r="E780" s="939"/>
      <c r="F780" s="939"/>
      <c r="G780" s="939"/>
      <c r="H780" s="939"/>
      <c r="I780" s="939"/>
      <c r="J780" s="939"/>
      <c r="K780" s="939"/>
      <c r="L780" s="939"/>
      <c r="M780" s="939"/>
      <c r="N780" s="939"/>
      <c r="O780" s="939"/>
      <c r="P780" s="939"/>
      <c r="Q780" s="939"/>
      <c r="R780" s="939"/>
      <c r="S780" s="939"/>
      <c r="T780" s="939"/>
      <c r="U780" s="939"/>
      <c r="V780" s="939"/>
      <c r="W780" s="939"/>
      <c r="X780" s="939"/>
      <c r="Y780" s="939"/>
      <c r="Z780" s="939"/>
      <c r="AA780" s="939"/>
      <c r="AB780" s="939"/>
      <c r="AC780" s="939"/>
      <c r="AD780" s="939"/>
      <c r="AE780" s="939"/>
      <c r="AF780" s="939"/>
      <c r="AG780" s="939"/>
      <c r="AH780" s="939"/>
      <c r="AI780" s="939"/>
      <c r="AJ780" s="939"/>
      <c r="AK780" s="939"/>
      <c r="AL780" s="939"/>
      <c r="AM780" s="939"/>
      <c r="AN780" s="939"/>
    </row>
    <row r="781" spans="1:40" ht="15" customHeight="1">
      <c r="A781" s="939"/>
      <c r="B781" s="939"/>
      <c r="C781" s="939"/>
      <c r="D781" s="939"/>
      <c r="E781" s="939"/>
      <c r="F781" s="939"/>
      <c r="G781" s="939"/>
      <c r="H781" s="939"/>
      <c r="I781" s="939"/>
      <c r="J781" s="939"/>
      <c r="K781" s="939"/>
      <c r="L781" s="939"/>
      <c r="M781" s="939"/>
      <c r="N781" s="939"/>
      <c r="O781" s="939"/>
      <c r="P781" s="939"/>
      <c r="Q781" s="939"/>
      <c r="R781" s="939"/>
      <c r="S781" s="939"/>
      <c r="T781" s="939"/>
      <c r="U781" s="939"/>
      <c r="V781" s="939"/>
      <c r="W781" s="939"/>
      <c r="X781" s="939"/>
      <c r="Y781" s="939"/>
      <c r="Z781" s="939"/>
      <c r="AA781" s="939"/>
      <c r="AB781" s="939"/>
      <c r="AC781" s="939"/>
      <c r="AD781" s="939"/>
      <c r="AE781" s="939"/>
      <c r="AF781" s="939"/>
      <c r="AG781" s="939"/>
      <c r="AH781" s="939"/>
      <c r="AI781" s="939"/>
      <c r="AJ781" s="939"/>
      <c r="AK781" s="939"/>
      <c r="AL781" s="939"/>
      <c r="AM781" s="939"/>
      <c r="AN781" s="939"/>
    </row>
    <row r="782" spans="1:40" ht="15" customHeight="1">
      <c r="A782" s="939"/>
      <c r="B782" s="939"/>
      <c r="C782" s="939"/>
      <c r="D782" s="939"/>
      <c r="E782" s="939"/>
      <c r="F782" s="939"/>
      <c r="G782" s="939"/>
      <c r="H782" s="939"/>
      <c r="I782" s="939"/>
      <c r="J782" s="939"/>
      <c r="K782" s="939"/>
      <c r="L782" s="939"/>
      <c r="M782" s="939"/>
      <c r="N782" s="939"/>
      <c r="O782" s="939"/>
      <c r="P782" s="939"/>
      <c r="Q782" s="939"/>
      <c r="R782" s="939"/>
      <c r="S782" s="939"/>
      <c r="T782" s="939"/>
      <c r="U782" s="939"/>
      <c r="V782" s="939"/>
      <c r="W782" s="939"/>
      <c r="X782" s="939"/>
      <c r="Y782" s="939"/>
      <c r="Z782" s="939"/>
      <c r="AA782" s="939"/>
      <c r="AB782" s="939"/>
      <c r="AC782" s="939"/>
      <c r="AD782" s="939"/>
      <c r="AE782" s="939"/>
      <c r="AF782" s="939"/>
      <c r="AG782" s="939"/>
      <c r="AH782" s="939"/>
      <c r="AI782" s="939"/>
      <c r="AJ782" s="939"/>
      <c r="AK782" s="939"/>
      <c r="AL782" s="939"/>
      <c r="AM782" s="939"/>
      <c r="AN782" s="939"/>
    </row>
    <row r="783" spans="1:40" ht="15" customHeight="1">
      <c r="A783" s="939"/>
      <c r="B783" s="939"/>
      <c r="C783" s="939"/>
      <c r="D783" s="939"/>
      <c r="E783" s="939"/>
      <c r="F783" s="939"/>
      <c r="G783" s="939"/>
      <c r="H783" s="939"/>
      <c r="I783" s="939"/>
      <c r="J783" s="939"/>
      <c r="K783" s="939"/>
      <c r="L783" s="939"/>
      <c r="M783" s="939"/>
      <c r="N783" s="939"/>
      <c r="O783" s="939"/>
      <c r="P783" s="939"/>
      <c r="Q783" s="939"/>
      <c r="R783" s="939"/>
      <c r="S783" s="939"/>
      <c r="T783" s="939"/>
      <c r="U783" s="939"/>
      <c r="V783" s="939"/>
      <c r="W783" s="939"/>
      <c r="X783" s="939"/>
      <c r="Y783" s="939"/>
      <c r="Z783" s="939"/>
      <c r="AA783" s="939"/>
      <c r="AB783" s="939"/>
      <c r="AC783" s="939"/>
      <c r="AD783" s="939"/>
      <c r="AE783" s="939"/>
      <c r="AF783" s="939"/>
      <c r="AG783" s="939"/>
      <c r="AH783" s="939"/>
      <c r="AI783" s="939"/>
      <c r="AJ783" s="939"/>
      <c r="AK783" s="939"/>
      <c r="AL783" s="939"/>
      <c r="AM783" s="939"/>
      <c r="AN783" s="939"/>
    </row>
    <row r="784" spans="1:40" ht="15" customHeight="1">
      <c r="A784" s="939"/>
      <c r="B784" s="939"/>
      <c r="C784" s="939"/>
      <c r="D784" s="939"/>
      <c r="E784" s="939"/>
      <c r="F784" s="939"/>
      <c r="G784" s="939"/>
      <c r="H784" s="939"/>
      <c r="I784" s="939"/>
      <c r="J784" s="939"/>
      <c r="K784" s="939"/>
      <c r="L784" s="939"/>
      <c r="M784" s="939"/>
      <c r="N784" s="939"/>
      <c r="O784" s="939"/>
      <c r="P784" s="939"/>
      <c r="Q784" s="939"/>
      <c r="R784" s="939"/>
      <c r="S784" s="939"/>
      <c r="T784" s="939"/>
      <c r="U784" s="939"/>
      <c r="V784" s="939"/>
      <c r="W784" s="939"/>
      <c r="X784" s="939"/>
      <c r="Y784" s="939"/>
      <c r="Z784" s="939"/>
      <c r="AA784" s="939"/>
      <c r="AB784" s="939"/>
      <c r="AC784" s="939"/>
      <c r="AD784" s="939"/>
      <c r="AE784" s="939"/>
      <c r="AF784" s="939"/>
      <c r="AG784" s="939"/>
      <c r="AH784" s="939"/>
      <c r="AI784" s="939"/>
      <c r="AJ784" s="939"/>
      <c r="AK784" s="939"/>
      <c r="AL784" s="939"/>
      <c r="AM784" s="939"/>
      <c r="AN784" s="939"/>
    </row>
    <row r="785" spans="1:40" ht="15" customHeight="1">
      <c r="A785" s="939"/>
      <c r="B785" s="939"/>
      <c r="C785" s="939"/>
      <c r="D785" s="939"/>
      <c r="E785" s="939"/>
      <c r="F785" s="939"/>
      <c r="G785" s="939"/>
      <c r="H785" s="939"/>
      <c r="I785" s="939"/>
      <c r="J785" s="939"/>
      <c r="K785" s="939"/>
      <c r="L785" s="939"/>
      <c r="M785" s="939"/>
      <c r="N785" s="939"/>
      <c r="O785" s="939"/>
      <c r="P785" s="939"/>
      <c r="Q785" s="939"/>
      <c r="R785" s="939"/>
      <c r="S785" s="939"/>
      <c r="T785" s="939"/>
      <c r="U785" s="939"/>
      <c r="V785" s="939"/>
      <c r="W785" s="939"/>
      <c r="X785" s="939"/>
      <c r="Y785" s="939"/>
      <c r="Z785" s="939"/>
      <c r="AA785" s="939"/>
      <c r="AB785" s="939"/>
      <c r="AC785" s="939"/>
      <c r="AD785" s="939"/>
      <c r="AE785" s="939"/>
      <c r="AF785" s="939"/>
      <c r="AG785" s="939"/>
      <c r="AH785" s="939"/>
      <c r="AI785" s="939"/>
      <c r="AJ785" s="939"/>
      <c r="AK785" s="939"/>
      <c r="AL785" s="939"/>
      <c r="AM785" s="939"/>
      <c r="AN785" s="939"/>
    </row>
    <row r="786" spans="1:40" ht="15" customHeight="1">
      <c r="A786" s="939"/>
      <c r="B786" s="939"/>
      <c r="C786" s="939"/>
      <c r="D786" s="939"/>
      <c r="E786" s="939"/>
      <c r="F786" s="939"/>
      <c r="G786" s="939"/>
      <c r="H786" s="939"/>
      <c r="I786" s="939"/>
      <c r="J786" s="939"/>
      <c r="K786" s="939"/>
      <c r="L786" s="939"/>
      <c r="M786" s="939"/>
      <c r="N786" s="939"/>
      <c r="O786" s="939"/>
      <c r="P786" s="939"/>
      <c r="Q786" s="939"/>
      <c r="R786" s="939"/>
      <c r="S786" s="939"/>
      <c r="T786" s="939"/>
      <c r="U786" s="939"/>
      <c r="V786" s="939"/>
      <c r="W786" s="939"/>
      <c r="X786" s="939"/>
      <c r="Y786" s="939"/>
      <c r="Z786" s="939"/>
      <c r="AA786" s="939"/>
      <c r="AB786" s="939"/>
      <c r="AC786" s="939"/>
      <c r="AD786" s="939"/>
      <c r="AE786" s="939"/>
      <c r="AF786" s="939"/>
      <c r="AG786" s="939"/>
      <c r="AH786" s="939"/>
      <c r="AI786" s="939"/>
      <c r="AJ786" s="939"/>
      <c r="AK786" s="939"/>
      <c r="AL786" s="939"/>
      <c r="AM786" s="939"/>
      <c r="AN786" s="939"/>
    </row>
    <row r="787" spans="1:40" ht="15" customHeight="1">
      <c r="A787" s="939"/>
      <c r="B787" s="939"/>
      <c r="C787" s="939"/>
      <c r="D787" s="939"/>
      <c r="E787" s="939"/>
      <c r="F787" s="939"/>
      <c r="G787" s="939"/>
      <c r="H787" s="939"/>
      <c r="I787" s="939"/>
      <c r="J787" s="939"/>
      <c r="K787" s="939"/>
      <c r="L787" s="939"/>
      <c r="M787" s="939"/>
      <c r="N787" s="939"/>
      <c r="O787" s="939"/>
      <c r="P787" s="939"/>
      <c r="Q787" s="939"/>
      <c r="R787" s="939"/>
      <c r="S787" s="939"/>
      <c r="T787" s="939"/>
      <c r="U787" s="939"/>
      <c r="V787" s="939"/>
      <c r="W787" s="939"/>
      <c r="X787" s="939"/>
      <c r="Y787" s="939"/>
      <c r="Z787" s="939"/>
      <c r="AA787" s="939"/>
      <c r="AB787" s="939"/>
      <c r="AC787" s="939"/>
      <c r="AD787" s="939"/>
      <c r="AE787" s="939"/>
      <c r="AF787" s="939"/>
      <c r="AG787" s="939"/>
      <c r="AH787" s="939"/>
      <c r="AI787" s="939"/>
      <c r="AJ787" s="939"/>
      <c r="AK787" s="939"/>
      <c r="AL787" s="939"/>
      <c r="AM787" s="939"/>
      <c r="AN787" s="939"/>
    </row>
    <row r="788" spans="1:40" ht="15" customHeight="1">
      <c r="A788" s="939"/>
      <c r="B788" s="939"/>
      <c r="C788" s="939"/>
      <c r="D788" s="939"/>
      <c r="E788" s="939"/>
      <c r="F788" s="939"/>
      <c r="G788" s="939"/>
      <c r="H788" s="939"/>
      <c r="I788" s="939"/>
      <c r="J788" s="939"/>
      <c r="K788" s="939"/>
      <c r="L788" s="939"/>
      <c r="M788" s="939"/>
      <c r="N788" s="939"/>
      <c r="O788" s="939"/>
      <c r="P788" s="939"/>
      <c r="Q788" s="939"/>
      <c r="R788" s="939"/>
      <c r="S788" s="939"/>
      <c r="T788" s="939"/>
      <c r="U788" s="939"/>
      <c r="V788" s="939"/>
      <c r="W788" s="939"/>
      <c r="X788" s="939"/>
      <c r="Y788" s="939"/>
      <c r="Z788" s="939"/>
      <c r="AA788" s="939"/>
      <c r="AB788" s="939"/>
      <c r="AC788" s="939"/>
      <c r="AD788" s="939"/>
      <c r="AE788" s="939"/>
      <c r="AF788" s="939"/>
      <c r="AG788" s="939"/>
      <c r="AH788" s="939"/>
      <c r="AI788" s="939"/>
      <c r="AJ788" s="939"/>
      <c r="AK788" s="939"/>
      <c r="AL788" s="939"/>
      <c r="AM788" s="939"/>
      <c r="AN788" s="939"/>
    </row>
    <row r="789" spans="1:40" ht="15" customHeight="1">
      <c r="A789" s="939"/>
      <c r="B789" s="939"/>
      <c r="C789" s="939"/>
      <c r="D789" s="939"/>
      <c r="E789" s="939"/>
      <c r="F789" s="939"/>
      <c r="G789" s="939"/>
      <c r="H789" s="939"/>
      <c r="I789" s="939"/>
      <c r="J789" s="939"/>
      <c r="K789" s="939"/>
      <c r="L789" s="939"/>
      <c r="M789" s="939"/>
      <c r="N789" s="939"/>
      <c r="O789" s="939"/>
      <c r="P789" s="939"/>
      <c r="Q789" s="939"/>
      <c r="R789" s="939"/>
      <c r="S789" s="939"/>
      <c r="T789" s="939"/>
      <c r="U789" s="939"/>
      <c r="V789" s="939"/>
      <c r="W789" s="939"/>
      <c r="X789" s="939"/>
      <c r="Y789" s="939"/>
      <c r="Z789" s="939"/>
      <c r="AA789" s="939"/>
      <c r="AB789" s="939"/>
      <c r="AC789" s="939"/>
      <c r="AD789" s="939"/>
      <c r="AE789" s="939"/>
      <c r="AF789" s="939"/>
      <c r="AG789" s="939"/>
      <c r="AH789" s="939"/>
      <c r="AI789" s="939"/>
      <c r="AJ789" s="939"/>
      <c r="AK789" s="939"/>
      <c r="AL789" s="939"/>
      <c r="AM789" s="939"/>
      <c r="AN789" s="939"/>
    </row>
    <row r="790" spans="1:40" ht="15" customHeight="1">
      <c r="A790" s="939"/>
      <c r="B790" s="939"/>
      <c r="C790" s="939"/>
      <c r="D790" s="939"/>
      <c r="E790" s="939"/>
      <c r="F790" s="939"/>
      <c r="G790" s="939"/>
      <c r="H790" s="939"/>
      <c r="I790" s="939"/>
      <c r="J790" s="939"/>
      <c r="K790" s="939"/>
      <c r="L790" s="939"/>
      <c r="M790" s="939"/>
      <c r="N790" s="939"/>
      <c r="O790" s="939"/>
      <c r="P790" s="939"/>
      <c r="Q790" s="939"/>
      <c r="R790" s="939"/>
      <c r="S790" s="939"/>
      <c r="T790" s="939"/>
      <c r="U790" s="939"/>
      <c r="V790" s="939"/>
      <c r="W790" s="939"/>
      <c r="X790" s="939"/>
      <c r="Y790" s="939"/>
      <c r="Z790" s="939"/>
      <c r="AA790" s="939"/>
      <c r="AB790" s="939"/>
      <c r="AC790" s="939"/>
      <c r="AD790" s="939"/>
      <c r="AE790" s="939"/>
      <c r="AF790" s="939"/>
      <c r="AG790" s="939"/>
      <c r="AH790" s="939"/>
      <c r="AI790" s="939"/>
      <c r="AJ790" s="939"/>
      <c r="AK790" s="939"/>
      <c r="AL790" s="939"/>
      <c r="AM790" s="939"/>
      <c r="AN790" s="939"/>
    </row>
    <row r="791" spans="1:40" ht="15" customHeight="1">
      <c r="A791" s="939"/>
      <c r="B791" s="939"/>
      <c r="C791" s="939"/>
      <c r="D791" s="939"/>
      <c r="E791" s="939"/>
      <c r="F791" s="939"/>
      <c r="G791" s="939"/>
      <c r="H791" s="939"/>
      <c r="I791" s="939"/>
      <c r="J791" s="939"/>
      <c r="K791" s="939"/>
      <c r="L791" s="939"/>
      <c r="M791" s="939"/>
      <c r="N791" s="939"/>
      <c r="O791" s="939"/>
      <c r="P791" s="939"/>
      <c r="Q791" s="939"/>
      <c r="R791" s="939"/>
      <c r="S791" s="939"/>
      <c r="T791" s="939"/>
      <c r="U791" s="939"/>
      <c r="V791" s="939"/>
      <c r="W791" s="939"/>
      <c r="X791" s="939"/>
      <c r="Y791" s="939"/>
      <c r="Z791" s="939"/>
      <c r="AA791" s="939"/>
      <c r="AB791" s="939"/>
      <c r="AC791" s="939"/>
      <c r="AD791" s="939"/>
      <c r="AE791" s="939"/>
      <c r="AF791" s="939"/>
      <c r="AG791" s="939"/>
      <c r="AH791" s="939"/>
      <c r="AI791" s="939"/>
      <c r="AJ791" s="939"/>
      <c r="AK791" s="939"/>
      <c r="AL791" s="939"/>
      <c r="AM791" s="939"/>
      <c r="AN791" s="939"/>
    </row>
    <row r="792" spans="1:40" ht="15" customHeight="1">
      <c r="A792" s="939"/>
      <c r="B792" s="939"/>
      <c r="C792" s="939"/>
      <c r="D792" s="939"/>
      <c r="E792" s="939"/>
      <c r="F792" s="939"/>
      <c r="G792" s="939"/>
      <c r="H792" s="939"/>
      <c r="I792" s="939"/>
      <c r="J792" s="939"/>
      <c r="K792" s="939"/>
      <c r="L792" s="939"/>
      <c r="M792" s="939"/>
      <c r="N792" s="939"/>
      <c r="O792" s="939"/>
      <c r="P792" s="939"/>
      <c r="Q792" s="939"/>
      <c r="R792" s="939"/>
      <c r="S792" s="939"/>
      <c r="T792" s="939"/>
      <c r="U792" s="939"/>
      <c r="V792" s="939"/>
      <c r="W792" s="939"/>
      <c r="X792" s="939"/>
      <c r="Y792" s="939"/>
      <c r="Z792" s="939"/>
      <c r="AA792" s="939"/>
      <c r="AB792" s="939"/>
      <c r="AC792" s="939"/>
      <c r="AD792" s="939"/>
      <c r="AE792" s="939"/>
      <c r="AF792" s="939"/>
      <c r="AG792" s="939"/>
      <c r="AH792" s="939"/>
      <c r="AI792" s="939"/>
      <c r="AJ792" s="939"/>
      <c r="AK792" s="939"/>
      <c r="AL792" s="939"/>
      <c r="AM792" s="939"/>
      <c r="AN792" s="939"/>
    </row>
    <row r="793" spans="1:40" ht="15" customHeight="1">
      <c r="A793" s="939"/>
      <c r="B793" s="939"/>
      <c r="C793" s="939"/>
      <c r="D793" s="939"/>
      <c r="E793" s="939"/>
      <c r="F793" s="939"/>
      <c r="G793" s="939"/>
      <c r="H793" s="939"/>
      <c r="I793" s="939"/>
      <c r="J793" s="939"/>
      <c r="K793" s="939"/>
      <c r="L793" s="939"/>
      <c r="M793" s="939"/>
      <c r="N793" s="939"/>
      <c r="O793" s="939"/>
      <c r="P793" s="939"/>
      <c r="Q793" s="939"/>
      <c r="R793" s="939"/>
      <c r="S793" s="939"/>
      <c r="T793" s="939"/>
      <c r="U793" s="939"/>
      <c r="V793" s="939"/>
      <c r="W793" s="939"/>
      <c r="X793" s="939"/>
      <c r="Y793" s="939"/>
      <c r="Z793" s="939"/>
      <c r="AA793" s="939"/>
      <c r="AB793" s="939"/>
      <c r="AC793" s="939"/>
      <c r="AD793" s="939"/>
      <c r="AE793" s="939"/>
      <c r="AF793" s="939"/>
      <c r="AG793" s="939"/>
      <c r="AH793" s="939"/>
      <c r="AI793" s="939"/>
      <c r="AJ793" s="939"/>
      <c r="AK793" s="939"/>
      <c r="AL793" s="939"/>
      <c r="AM793" s="939"/>
      <c r="AN793" s="939"/>
    </row>
    <row r="794" spans="1:40" ht="15" customHeight="1">
      <c r="A794" s="939"/>
      <c r="B794" s="939"/>
      <c r="C794" s="939"/>
      <c r="D794" s="939"/>
      <c r="E794" s="939"/>
      <c r="F794" s="939"/>
      <c r="G794" s="939"/>
      <c r="H794" s="939"/>
      <c r="I794" s="939"/>
      <c r="J794" s="939"/>
      <c r="K794" s="939"/>
      <c r="L794" s="939"/>
      <c r="M794" s="939"/>
      <c r="N794" s="939"/>
      <c r="O794" s="939"/>
      <c r="P794" s="939"/>
      <c r="Q794" s="939"/>
      <c r="R794" s="939"/>
      <c r="S794" s="939"/>
      <c r="T794" s="939"/>
      <c r="U794" s="939"/>
      <c r="V794" s="939"/>
      <c r="W794" s="939"/>
      <c r="X794" s="939"/>
      <c r="Y794" s="939"/>
      <c r="Z794" s="939"/>
      <c r="AA794" s="939"/>
      <c r="AB794" s="939"/>
      <c r="AC794" s="939"/>
      <c r="AD794" s="939"/>
      <c r="AE794" s="939"/>
      <c r="AF794" s="939"/>
      <c r="AG794" s="939"/>
      <c r="AH794" s="939"/>
      <c r="AI794" s="939"/>
      <c r="AJ794" s="939"/>
      <c r="AK794" s="939"/>
      <c r="AL794" s="939"/>
      <c r="AM794" s="939"/>
      <c r="AN794" s="939"/>
    </row>
    <row r="795" spans="1:40" ht="15" customHeight="1">
      <c r="A795" s="939"/>
      <c r="B795" s="939"/>
      <c r="C795" s="939"/>
      <c r="D795" s="939"/>
      <c r="E795" s="939"/>
      <c r="F795" s="939"/>
      <c r="G795" s="939"/>
      <c r="H795" s="939"/>
      <c r="I795" s="939"/>
      <c r="J795" s="939"/>
      <c r="K795" s="939"/>
      <c r="L795" s="939"/>
      <c r="M795" s="939"/>
      <c r="N795" s="939"/>
      <c r="O795" s="939"/>
      <c r="P795" s="939"/>
      <c r="Q795" s="939"/>
      <c r="R795" s="939"/>
      <c r="S795" s="939"/>
      <c r="T795" s="939"/>
      <c r="U795" s="939"/>
      <c r="V795" s="939"/>
      <c r="W795" s="939"/>
      <c r="X795" s="939"/>
      <c r="Y795" s="939"/>
      <c r="Z795" s="939"/>
      <c r="AA795" s="939"/>
      <c r="AB795" s="939"/>
      <c r="AC795" s="939"/>
      <c r="AD795" s="939"/>
      <c r="AE795" s="939"/>
      <c r="AF795" s="939"/>
      <c r="AG795" s="939"/>
      <c r="AH795" s="939"/>
      <c r="AI795" s="939"/>
      <c r="AJ795" s="939"/>
      <c r="AK795" s="939"/>
      <c r="AL795" s="939"/>
      <c r="AM795" s="939"/>
      <c r="AN795" s="939"/>
    </row>
    <row r="796" spans="1:40" ht="15" customHeight="1">
      <c r="A796" s="939"/>
      <c r="B796" s="939"/>
      <c r="C796" s="939"/>
      <c r="D796" s="939"/>
      <c r="E796" s="939"/>
      <c r="F796" s="939"/>
      <c r="G796" s="939"/>
      <c r="H796" s="939"/>
      <c r="I796" s="939"/>
      <c r="J796" s="939"/>
      <c r="K796" s="939"/>
      <c r="L796" s="939"/>
      <c r="M796" s="939"/>
      <c r="N796" s="939"/>
      <c r="O796" s="939"/>
      <c r="P796" s="939"/>
      <c r="Q796" s="939"/>
      <c r="R796" s="939"/>
      <c r="S796" s="939"/>
      <c r="T796" s="939"/>
      <c r="U796" s="939"/>
      <c r="V796" s="939"/>
      <c r="W796" s="939"/>
      <c r="X796" s="939"/>
      <c r="Y796" s="939"/>
      <c r="Z796" s="939"/>
      <c r="AA796" s="939"/>
      <c r="AB796" s="939"/>
      <c r="AC796" s="939"/>
      <c r="AD796" s="939"/>
      <c r="AE796" s="939"/>
      <c r="AF796" s="939"/>
      <c r="AG796" s="939"/>
      <c r="AH796" s="939"/>
      <c r="AI796" s="939"/>
      <c r="AJ796" s="939"/>
      <c r="AK796" s="939"/>
      <c r="AL796" s="939"/>
      <c r="AM796" s="939"/>
      <c r="AN796" s="939"/>
    </row>
    <row r="797" spans="1:40" ht="15" customHeight="1">
      <c r="A797" s="939"/>
      <c r="B797" s="939"/>
      <c r="C797" s="939"/>
      <c r="D797" s="939"/>
      <c r="E797" s="939"/>
      <c r="F797" s="939"/>
      <c r="G797" s="939"/>
      <c r="H797" s="939"/>
      <c r="I797" s="939"/>
      <c r="J797" s="939"/>
      <c r="K797" s="939"/>
      <c r="L797" s="939"/>
      <c r="M797" s="939"/>
      <c r="N797" s="939"/>
      <c r="O797" s="939"/>
      <c r="P797" s="939"/>
      <c r="Q797" s="939"/>
      <c r="R797" s="939"/>
      <c r="S797" s="939"/>
      <c r="T797" s="939"/>
      <c r="U797" s="939"/>
      <c r="V797" s="939"/>
      <c r="W797" s="939"/>
      <c r="X797" s="939"/>
      <c r="Y797" s="939"/>
      <c r="Z797" s="939"/>
      <c r="AA797" s="939"/>
      <c r="AB797" s="939"/>
      <c r="AC797" s="939"/>
      <c r="AD797" s="939"/>
      <c r="AE797" s="939"/>
      <c r="AF797" s="939"/>
      <c r="AG797" s="939"/>
      <c r="AH797" s="939"/>
      <c r="AI797" s="939"/>
      <c r="AJ797" s="939"/>
      <c r="AK797" s="939"/>
      <c r="AL797" s="939"/>
      <c r="AM797" s="939"/>
      <c r="AN797" s="939"/>
    </row>
    <row r="798" spans="1:40" ht="15" customHeight="1">
      <c r="A798" s="939"/>
      <c r="B798" s="939"/>
      <c r="C798" s="939"/>
      <c r="D798" s="939"/>
      <c r="E798" s="939"/>
      <c r="F798" s="939"/>
      <c r="G798" s="939"/>
      <c r="H798" s="939"/>
      <c r="I798" s="939"/>
      <c r="J798" s="939"/>
      <c r="K798" s="939"/>
      <c r="L798" s="939"/>
      <c r="M798" s="939"/>
      <c r="N798" s="939"/>
      <c r="O798" s="939"/>
      <c r="P798" s="939"/>
      <c r="Q798" s="939"/>
      <c r="R798" s="939"/>
      <c r="S798" s="939"/>
      <c r="T798" s="939"/>
      <c r="U798" s="939"/>
      <c r="V798" s="939"/>
      <c r="W798" s="939"/>
      <c r="X798" s="939"/>
      <c r="Y798" s="939"/>
      <c r="Z798" s="939"/>
      <c r="AA798" s="939"/>
      <c r="AB798" s="939"/>
      <c r="AC798" s="939"/>
      <c r="AD798" s="939"/>
      <c r="AE798" s="939"/>
      <c r="AF798" s="939"/>
      <c r="AG798" s="939"/>
      <c r="AH798" s="939"/>
      <c r="AI798" s="939"/>
      <c r="AJ798" s="939"/>
      <c r="AK798" s="939"/>
      <c r="AL798" s="939"/>
      <c r="AM798" s="939"/>
      <c r="AN798" s="939"/>
    </row>
    <row r="799" spans="1:40" ht="15" customHeight="1">
      <c r="A799" s="939"/>
      <c r="B799" s="939"/>
      <c r="C799" s="939"/>
      <c r="D799" s="939"/>
      <c r="E799" s="939"/>
      <c r="F799" s="939"/>
      <c r="G799" s="939"/>
      <c r="H799" s="939"/>
      <c r="I799" s="939"/>
      <c r="J799" s="939"/>
      <c r="K799" s="939"/>
      <c r="L799" s="939"/>
      <c r="M799" s="939"/>
      <c r="N799" s="939"/>
      <c r="O799" s="939"/>
      <c r="P799" s="939"/>
      <c r="Q799" s="939"/>
      <c r="R799" s="939"/>
      <c r="S799" s="939"/>
      <c r="T799" s="939"/>
      <c r="U799" s="939"/>
      <c r="V799" s="939"/>
      <c r="W799" s="939"/>
      <c r="X799" s="939"/>
      <c r="Y799" s="939"/>
      <c r="Z799" s="939"/>
      <c r="AA799" s="939"/>
      <c r="AB799" s="939"/>
      <c r="AC799" s="939"/>
      <c r="AD799" s="939"/>
      <c r="AE799" s="939"/>
      <c r="AF799" s="939"/>
      <c r="AG799" s="939"/>
      <c r="AH799" s="939"/>
      <c r="AI799" s="939"/>
      <c r="AJ799" s="939"/>
      <c r="AK799" s="939"/>
      <c r="AL799" s="939"/>
      <c r="AM799" s="939"/>
      <c r="AN799" s="939"/>
    </row>
    <row r="800" spans="1:40" ht="15" customHeight="1">
      <c r="A800" s="939"/>
      <c r="B800" s="939"/>
      <c r="C800" s="939"/>
      <c r="D800" s="939"/>
      <c r="E800" s="939"/>
      <c r="F800" s="939"/>
      <c r="G800" s="939"/>
      <c r="H800" s="939"/>
      <c r="I800" s="939"/>
      <c r="J800" s="939"/>
      <c r="K800" s="939"/>
      <c r="L800" s="939"/>
      <c r="M800" s="939"/>
      <c r="N800" s="939"/>
      <c r="O800" s="939"/>
      <c r="P800" s="939"/>
      <c r="Q800" s="939"/>
      <c r="R800" s="939"/>
      <c r="S800" s="939"/>
      <c r="T800" s="939"/>
      <c r="U800" s="939"/>
      <c r="V800" s="939"/>
      <c r="W800" s="939"/>
      <c r="X800" s="939"/>
      <c r="Y800" s="939"/>
      <c r="Z800" s="939"/>
      <c r="AA800" s="939"/>
      <c r="AB800" s="939"/>
      <c r="AC800" s="939"/>
      <c r="AD800" s="939"/>
      <c r="AE800" s="939"/>
      <c r="AF800" s="939"/>
      <c r="AG800" s="939"/>
      <c r="AH800" s="939"/>
      <c r="AI800" s="939"/>
      <c r="AJ800" s="939"/>
      <c r="AK800" s="939"/>
      <c r="AL800" s="939"/>
      <c r="AM800" s="939"/>
      <c r="AN800" s="939"/>
    </row>
    <row r="801" spans="1:40" ht="15" customHeight="1">
      <c r="A801" s="939"/>
      <c r="B801" s="939"/>
      <c r="C801" s="939"/>
      <c r="D801" s="939"/>
      <c r="E801" s="939"/>
      <c r="F801" s="939"/>
      <c r="G801" s="939"/>
      <c r="H801" s="939"/>
      <c r="I801" s="939"/>
      <c r="J801" s="939"/>
      <c r="K801" s="939"/>
      <c r="L801" s="939"/>
      <c r="M801" s="939"/>
      <c r="N801" s="939"/>
      <c r="O801" s="939"/>
      <c r="P801" s="939"/>
      <c r="Q801" s="939"/>
      <c r="R801" s="939"/>
      <c r="S801" s="939"/>
      <c r="T801" s="939"/>
      <c r="U801" s="939"/>
      <c r="V801" s="939"/>
      <c r="W801" s="939"/>
      <c r="X801" s="939"/>
      <c r="Y801" s="939"/>
      <c r="Z801" s="939"/>
      <c r="AA801" s="939"/>
      <c r="AB801" s="939"/>
      <c r="AC801" s="939"/>
      <c r="AD801" s="939"/>
      <c r="AE801" s="939"/>
      <c r="AF801" s="939"/>
      <c r="AG801" s="939"/>
      <c r="AH801" s="939"/>
      <c r="AI801" s="939"/>
      <c r="AJ801" s="939"/>
      <c r="AK801" s="939"/>
      <c r="AL801" s="939"/>
      <c r="AM801" s="939"/>
      <c r="AN801" s="939"/>
    </row>
    <row r="802" spans="1:40" ht="15" customHeight="1">
      <c r="A802" s="939"/>
      <c r="B802" s="939"/>
      <c r="C802" s="939"/>
      <c r="D802" s="939"/>
      <c r="E802" s="939"/>
      <c r="F802" s="939"/>
      <c r="G802" s="939"/>
      <c r="H802" s="939"/>
      <c r="I802" s="939"/>
      <c r="J802" s="939"/>
      <c r="K802" s="939"/>
      <c r="L802" s="939"/>
      <c r="M802" s="939"/>
      <c r="N802" s="939"/>
      <c r="O802" s="939"/>
      <c r="P802" s="939"/>
      <c r="Q802" s="939"/>
      <c r="R802" s="939"/>
      <c r="S802" s="939"/>
      <c r="T802" s="939"/>
      <c r="U802" s="939"/>
      <c r="V802" s="939"/>
      <c r="W802" s="939"/>
      <c r="X802" s="939"/>
      <c r="Y802" s="939"/>
      <c r="Z802" s="939"/>
      <c r="AA802" s="939"/>
      <c r="AB802" s="939"/>
      <c r="AC802" s="939"/>
      <c r="AD802" s="939"/>
      <c r="AE802" s="939"/>
      <c r="AF802" s="939"/>
      <c r="AG802" s="939"/>
      <c r="AH802" s="939"/>
      <c r="AI802" s="939"/>
      <c r="AJ802" s="939"/>
      <c r="AK802" s="939"/>
      <c r="AL802" s="939"/>
      <c r="AM802" s="939"/>
      <c r="AN802" s="939"/>
    </row>
    <row r="803" spans="1:40" ht="15" customHeight="1">
      <c r="A803" s="939"/>
      <c r="B803" s="939"/>
      <c r="C803" s="939"/>
      <c r="D803" s="939"/>
      <c r="E803" s="939"/>
      <c r="F803" s="939"/>
      <c r="G803" s="939"/>
      <c r="H803" s="939"/>
      <c r="I803" s="939"/>
      <c r="J803" s="939"/>
      <c r="K803" s="939"/>
      <c r="L803" s="939"/>
      <c r="M803" s="939"/>
      <c r="N803" s="939"/>
      <c r="O803" s="939"/>
      <c r="P803" s="939"/>
      <c r="Q803" s="939"/>
      <c r="R803" s="939"/>
      <c r="S803" s="939"/>
      <c r="T803" s="939"/>
      <c r="U803" s="939"/>
      <c r="V803" s="939"/>
      <c r="W803" s="939"/>
      <c r="X803" s="939"/>
      <c r="Y803" s="939"/>
      <c r="Z803" s="939"/>
      <c r="AA803" s="939"/>
      <c r="AB803" s="939"/>
      <c r="AC803" s="939"/>
      <c r="AD803" s="939"/>
      <c r="AE803" s="939"/>
      <c r="AF803" s="939"/>
      <c r="AG803" s="939"/>
      <c r="AH803" s="939"/>
      <c r="AI803" s="939"/>
      <c r="AJ803" s="939"/>
      <c r="AK803" s="939"/>
      <c r="AL803" s="939"/>
      <c r="AM803" s="939"/>
      <c r="AN803" s="939"/>
    </row>
    <row r="804" spans="1:40" ht="15" customHeight="1">
      <c r="A804" s="939"/>
      <c r="B804" s="939"/>
      <c r="C804" s="939"/>
      <c r="D804" s="939"/>
      <c r="E804" s="939"/>
      <c r="F804" s="939"/>
      <c r="G804" s="939"/>
      <c r="H804" s="939"/>
      <c r="I804" s="939"/>
      <c r="J804" s="939"/>
      <c r="K804" s="939"/>
      <c r="L804" s="939"/>
      <c r="M804" s="939"/>
      <c r="N804" s="939"/>
      <c r="O804" s="939"/>
      <c r="P804" s="939"/>
      <c r="Q804" s="939"/>
      <c r="R804" s="939"/>
      <c r="S804" s="939"/>
      <c r="T804" s="939"/>
      <c r="U804" s="939"/>
      <c r="V804" s="939"/>
      <c r="W804" s="939"/>
      <c r="X804" s="939"/>
      <c r="Y804" s="939"/>
      <c r="Z804" s="939"/>
      <c r="AA804" s="939"/>
      <c r="AB804" s="939"/>
      <c r="AC804" s="939"/>
      <c r="AD804" s="939"/>
      <c r="AE804" s="939"/>
      <c r="AF804" s="939"/>
      <c r="AG804" s="939"/>
      <c r="AH804" s="939"/>
      <c r="AI804" s="939"/>
      <c r="AJ804" s="939"/>
      <c r="AK804" s="939"/>
      <c r="AL804" s="939"/>
      <c r="AM804" s="939"/>
      <c r="AN804" s="939"/>
    </row>
    <row r="805" spans="1:40" ht="15" customHeight="1">
      <c r="A805" s="939"/>
      <c r="B805" s="939"/>
      <c r="C805" s="939"/>
      <c r="D805" s="939"/>
      <c r="E805" s="939"/>
      <c r="F805" s="939"/>
      <c r="G805" s="939"/>
      <c r="H805" s="939"/>
      <c r="I805" s="939"/>
      <c r="J805" s="939"/>
      <c r="K805" s="939"/>
      <c r="L805" s="939"/>
      <c r="M805" s="939"/>
      <c r="N805" s="939"/>
      <c r="O805" s="939"/>
      <c r="P805" s="939"/>
      <c r="Q805" s="939"/>
      <c r="R805" s="939"/>
      <c r="S805" s="939"/>
      <c r="T805" s="939"/>
      <c r="U805" s="939"/>
      <c r="V805" s="939"/>
      <c r="W805" s="939"/>
      <c r="X805" s="939"/>
      <c r="Y805" s="939"/>
      <c r="Z805" s="939"/>
      <c r="AA805" s="939"/>
      <c r="AB805" s="939"/>
      <c r="AC805" s="939"/>
      <c r="AD805" s="939"/>
      <c r="AE805" s="939"/>
      <c r="AF805" s="939"/>
      <c r="AG805" s="939"/>
      <c r="AH805" s="939"/>
      <c r="AI805" s="939"/>
      <c r="AJ805" s="939"/>
      <c r="AK805" s="939"/>
      <c r="AL805" s="939"/>
      <c r="AM805" s="939"/>
      <c r="AN805" s="939"/>
    </row>
    <row r="806" spans="1:40" ht="15" customHeight="1">
      <c r="A806" s="939"/>
      <c r="B806" s="939"/>
      <c r="C806" s="939"/>
      <c r="D806" s="939"/>
      <c r="E806" s="939"/>
      <c r="F806" s="939"/>
      <c r="G806" s="939"/>
      <c r="H806" s="939"/>
      <c r="I806" s="939"/>
      <c r="J806" s="939"/>
      <c r="K806" s="939"/>
      <c r="L806" s="939"/>
      <c r="M806" s="939"/>
      <c r="N806" s="939"/>
      <c r="O806" s="939"/>
      <c r="P806" s="939"/>
      <c r="Q806" s="939"/>
      <c r="R806" s="939"/>
      <c r="S806" s="939"/>
      <c r="T806" s="939"/>
      <c r="U806" s="939"/>
      <c r="V806" s="939"/>
      <c r="W806" s="939"/>
      <c r="X806" s="939"/>
      <c r="Y806" s="939"/>
      <c r="Z806" s="939"/>
      <c r="AA806" s="939"/>
      <c r="AB806" s="939"/>
      <c r="AC806" s="939"/>
      <c r="AD806" s="939"/>
      <c r="AE806" s="939"/>
      <c r="AF806" s="939"/>
      <c r="AG806" s="939"/>
      <c r="AH806" s="939"/>
      <c r="AI806" s="939"/>
      <c r="AJ806" s="939"/>
      <c r="AK806" s="939"/>
      <c r="AL806" s="939"/>
      <c r="AM806" s="939"/>
      <c r="AN806" s="939"/>
    </row>
    <row r="807" spans="1:40" ht="15" customHeight="1">
      <c r="A807" s="939"/>
      <c r="B807" s="939"/>
      <c r="C807" s="939"/>
      <c r="D807" s="939"/>
      <c r="E807" s="939"/>
      <c r="F807" s="939"/>
      <c r="G807" s="939"/>
      <c r="H807" s="939"/>
      <c r="I807" s="939"/>
      <c r="J807" s="939"/>
      <c r="K807" s="939"/>
      <c r="L807" s="939"/>
      <c r="M807" s="939"/>
      <c r="N807" s="939"/>
      <c r="O807" s="939"/>
      <c r="P807" s="939"/>
      <c r="Q807" s="939"/>
      <c r="R807" s="939"/>
      <c r="S807" s="939"/>
      <c r="T807" s="939"/>
      <c r="U807" s="939"/>
      <c r="V807" s="939"/>
      <c r="W807" s="939"/>
      <c r="X807" s="939"/>
      <c r="Y807" s="939"/>
      <c r="Z807" s="939"/>
      <c r="AA807" s="939"/>
      <c r="AB807" s="939"/>
      <c r="AC807" s="939"/>
      <c r="AD807" s="939"/>
      <c r="AE807" s="939"/>
      <c r="AF807" s="939"/>
      <c r="AG807" s="939"/>
      <c r="AH807" s="939"/>
      <c r="AI807" s="939"/>
      <c r="AJ807" s="939"/>
      <c r="AK807" s="939"/>
      <c r="AL807" s="939"/>
      <c r="AM807" s="939"/>
      <c r="AN807" s="939"/>
    </row>
    <row r="808" spans="1:40" ht="15" customHeight="1">
      <c r="A808" s="939"/>
      <c r="B808" s="939"/>
      <c r="C808" s="939"/>
      <c r="D808" s="939"/>
      <c r="E808" s="939"/>
      <c r="F808" s="939"/>
      <c r="G808" s="939"/>
      <c r="H808" s="939"/>
      <c r="I808" s="939"/>
      <c r="J808" s="939"/>
      <c r="K808" s="939"/>
      <c r="L808" s="939"/>
      <c r="M808" s="939"/>
      <c r="N808" s="939"/>
      <c r="O808" s="939"/>
      <c r="P808" s="939"/>
      <c r="Q808" s="939"/>
      <c r="R808" s="939"/>
      <c r="S808" s="939"/>
      <c r="T808" s="939"/>
      <c r="U808" s="939"/>
      <c r="V808" s="939"/>
      <c r="W808" s="939"/>
      <c r="X808" s="939"/>
      <c r="Y808" s="939"/>
      <c r="Z808" s="939"/>
      <c r="AA808" s="939"/>
      <c r="AB808" s="939"/>
      <c r="AC808" s="939"/>
      <c r="AD808" s="939"/>
      <c r="AE808" s="939"/>
      <c r="AF808" s="939"/>
      <c r="AG808" s="939"/>
      <c r="AH808" s="939"/>
      <c r="AI808" s="939"/>
      <c r="AJ808" s="939"/>
      <c r="AK808" s="939"/>
      <c r="AL808" s="939"/>
      <c r="AM808" s="939"/>
      <c r="AN808" s="939"/>
    </row>
    <row r="809" spans="1:40" ht="15" customHeight="1">
      <c r="A809" s="939"/>
      <c r="B809" s="939"/>
      <c r="C809" s="939"/>
      <c r="D809" s="939"/>
      <c r="E809" s="939"/>
      <c r="F809" s="939"/>
      <c r="G809" s="939"/>
      <c r="H809" s="939"/>
      <c r="I809" s="939"/>
      <c r="J809" s="939"/>
      <c r="K809" s="939"/>
      <c r="L809" s="939"/>
      <c r="M809" s="939"/>
      <c r="N809" s="939"/>
      <c r="O809" s="939"/>
      <c r="P809" s="939"/>
      <c r="Q809" s="939"/>
      <c r="R809" s="939"/>
      <c r="S809" s="939"/>
      <c r="T809" s="939"/>
      <c r="U809" s="939"/>
      <c r="V809" s="939"/>
      <c r="W809" s="939"/>
      <c r="X809" s="939"/>
      <c r="Y809" s="939"/>
      <c r="Z809" s="939"/>
      <c r="AA809" s="939"/>
      <c r="AB809" s="939"/>
      <c r="AC809" s="939"/>
      <c r="AD809" s="939"/>
      <c r="AE809" s="939"/>
      <c r="AF809" s="939"/>
      <c r="AG809" s="939"/>
      <c r="AH809" s="939"/>
      <c r="AI809" s="939"/>
      <c r="AJ809" s="939"/>
      <c r="AK809" s="939"/>
      <c r="AL809" s="939"/>
      <c r="AM809" s="939"/>
      <c r="AN809" s="939"/>
    </row>
    <row r="810" spans="1:40" ht="15" customHeight="1">
      <c r="A810" s="939"/>
      <c r="B810" s="939"/>
      <c r="C810" s="939"/>
      <c r="D810" s="939"/>
      <c r="E810" s="939"/>
      <c r="F810" s="939"/>
      <c r="G810" s="939"/>
      <c r="H810" s="939"/>
      <c r="I810" s="939"/>
      <c r="J810" s="939"/>
      <c r="K810" s="939"/>
      <c r="L810" s="939"/>
      <c r="M810" s="939"/>
      <c r="N810" s="939"/>
      <c r="O810" s="939"/>
      <c r="P810" s="939"/>
      <c r="Q810" s="939"/>
      <c r="R810" s="939"/>
      <c r="S810" s="939"/>
      <c r="T810" s="939"/>
      <c r="U810" s="939"/>
      <c r="V810" s="939"/>
      <c r="W810" s="939"/>
      <c r="X810" s="939"/>
      <c r="Y810" s="939"/>
      <c r="Z810" s="939"/>
      <c r="AA810" s="939"/>
      <c r="AB810" s="939"/>
      <c r="AC810" s="939"/>
      <c r="AD810" s="939"/>
      <c r="AE810" s="939"/>
      <c r="AF810" s="939"/>
      <c r="AG810" s="939"/>
      <c r="AH810" s="939"/>
      <c r="AI810" s="939"/>
      <c r="AJ810" s="939"/>
      <c r="AK810" s="939"/>
      <c r="AL810" s="939"/>
      <c r="AM810" s="939"/>
      <c r="AN810" s="939"/>
    </row>
    <row r="811" spans="1:40" ht="15" customHeight="1">
      <c r="A811" s="939"/>
      <c r="B811" s="939"/>
      <c r="C811" s="939"/>
      <c r="D811" s="939"/>
      <c r="E811" s="939"/>
      <c r="F811" s="939"/>
      <c r="G811" s="939"/>
      <c r="H811" s="939"/>
      <c r="I811" s="939"/>
      <c r="J811" s="939"/>
      <c r="K811" s="939"/>
      <c r="L811" s="939"/>
      <c r="M811" s="939"/>
      <c r="N811" s="939"/>
      <c r="O811" s="939"/>
      <c r="P811" s="939"/>
      <c r="Q811" s="939"/>
      <c r="R811" s="939"/>
      <c r="S811" s="939"/>
      <c r="T811" s="939"/>
      <c r="U811" s="939"/>
      <c r="V811" s="939"/>
      <c r="W811" s="939"/>
      <c r="X811" s="939"/>
      <c r="Y811" s="939"/>
      <c r="Z811" s="939"/>
      <c r="AA811" s="939"/>
      <c r="AB811" s="939"/>
      <c r="AC811" s="939"/>
      <c r="AD811" s="939"/>
      <c r="AE811" s="939"/>
      <c r="AF811" s="939"/>
      <c r="AG811" s="939"/>
      <c r="AH811" s="939"/>
      <c r="AI811" s="939"/>
      <c r="AJ811" s="939"/>
      <c r="AK811" s="939"/>
      <c r="AL811" s="939"/>
      <c r="AM811" s="939"/>
      <c r="AN811" s="939"/>
    </row>
    <row r="812" spans="1:40" ht="15" customHeight="1">
      <c r="A812" s="939"/>
      <c r="B812" s="939"/>
      <c r="C812" s="939"/>
      <c r="D812" s="939"/>
      <c r="E812" s="939"/>
      <c r="F812" s="939"/>
      <c r="G812" s="939"/>
      <c r="H812" s="939"/>
      <c r="I812" s="939"/>
      <c r="J812" s="939"/>
      <c r="K812" s="939"/>
      <c r="L812" s="939"/>
      <c r="M812" s="939"/>
      <c r="N812" s="939"/>
      <c r="O812" s="939"/>
      <c r="P812" s="939"/>
      <c r="Q812" s="939"/>
      <c r="R812" s="939"/>
      <c r="S812" s="939"/>
      <c r="T812" s="939"/>
      <c r="U812" s="939"/>
      <c r="V812" s="939"/>
      <c r="W812" s="939"/>
      <c r="X812" s="939"/>
      <c r="Y812" s="939"/>
      <c r="Z812" s="939"/>
      <c r="AA812" s="939"/>
      <c r="AB812" s="939"/>
      <c r="AC812" s="939"/>
      <c r="AD812" s="939"/>
      <c r="AE812" s="939"/>
      <c r="AF812" s="939"/>
      <c r="AG812" s="939"/>
      <c r="AH812" s="939"/>
      <c r="AI812" s="939"/>
      <c r="AJ812" s="939"/>
      <c r="AK812" s="939"/>
      <c r="AL812" s="939"/>
      <c r="AM812" s="939"/>
      <c r="AN812" s="939"/>
    </row>
    <row r="813" spans="1:40" ht="15" customHeight="1">
      <c r="A813" s="939"/>
      <c r="B813" s="939"/>
      <c r="C813" s="939"/>
      <c r="D813" s="939"/>
      <c r="E813" s="939"/>
      <c r="F813" s="939"/>
      <c r="G813" s="939"/>
      <c r="H813" s="939"/>
      <c r="I813" s="939"/>
      <c r="J813" s="939"/>
      <c r="K813" s="939"/>
      <c r="L813" s="939"/>
      <c r="M813" s="939"/>
      <c r="N813" s="939"/>
      <c r="O813" s="939"/>
      <c r="P813" s="939"/>
      <c r="Q813" s="939"/>
      <c r="R813" s="939"/>
      <c r="S813" s="939"/>
      <c r="T813" s="939"/>
      <c r="U813" s="939"/>
      <c r="V813" s="939"/>
      <c r="W813" s="939"/>
      <c r="X813" s="939"/>
      <c r="Y813" s="939"/>
      <c r="Z813" s="939"/>
      <c r="AA813" s="939"/>
      <c r="AB813" s="939"/>
      <c r="AC813" s="939"/>
      <c r="AD813" s="939"/>
      <c r="AE813" s="939"/>
      <c r="AF813" s="939"/>
      <c r="AG813" s="939"/>
      <c r="AH813" s="939"/>
      <c r="AI813" s="939"/>
      <c r="AJ813" s="939"/>
      <c r="AK813" s="939"/>
      <c r="AL813" s="939"/>
      <c r="AM813" s="939"/>
      <c r="AN813" s="939"/>
    </row>
    <row r="814" spans="1:40" ht="15" customHeight="1">
      <c r="A814" s="939"/>
      <c r="B814" s="939"/>
      <c r="C814" s="939"/>
      <c r="D814" s="939"/>
      <c r="E814" s="939"/>
      <c r="F814" s="939"/>
      <c r="G814" s="939"/>
      <c r="H814" s="939"/>
      <c r="I814" s="939"/>
      <c r="J814" s="939"/>
      <c r="K814" s="939"/>
      <c r="L814" s="939"/>
      <c r="M814" s="939"/>
      <c r="N814" s="939"/>
      <c r="O814" s="939"/>
      <c r="P814" s="939"/>
      <c r="Q814" s="939"/>
      <c r="R814" s="939"/>
      <c r="S814" s="939"/>
      <c r="T814" s="939"/>
      <c r="U814" s="939"/>
      <c r="V814" s="939"/>
      <c r="W814" s="939"/>
      <c r="X814" s="939"/>
      <c r="Y814" s="939"/>
      <c r="Z814" s="939"/>
      <c r="AA814" s="939"/>
      <c r="AB814" s="939"/>
      <c r="AC814" s="939"/>
      <c r="AD814" s="939"/>
      <c r="AE814" s="939"/>
      <c r="AF814" s="939"/>
      <c r="AG814" s="939"/>
      <c r="AH814" s="939"/>
      <c r="AI814" s="939"/>
      <c r="AJ814" s="939"/>
      <c r="AK814" s="939"/>
      <c r="AL814" s="939"/>
      <c r="AM814" s="939"/>
      <c r="AN814" s="939"/>
    </row>
    <row r="815" spans="1:40" ht="15" customHeight="1">
      <c r="A815" s="939"/>
      <c r="B815" s="939"/>
      <c r="C815" s="939"/>
      <c r="D815" s="939"/>
      <c r="E815" s="939"/>
      <c r="F815" s="939"/>
      <c r="G815" s="939"/>
      <c r="H815" s="939"/>
      <c r="I815" s="939"/>
      <c r="J815" s="939"/>
      <c r="K815" s="939"/>
      <c r="L815" s="939"/>
      <c r="M815" s="939"/>
      <c r="N815" s="939"/>
      <c r="O815" s="939"/>
      <c r="P815" s="939"/>
      <c r="Q815" s="939"/>
      <c r="R815" s="939"/>
      <c r="S815" s="939"/>
      <c r="T815" s="939"/>
      <c r="U815" s="939"/>
      <c r="V815" s="939"/>
      <c r="W815" s="939"/>
      <c r="X815" s="939"/>
      <c r="Y815" s="939"/>
      <c r="Z815" s="939"/>
      <c r="AA815" s="939"/>
      <c r="AB815" s="939"/>
      <c r="AC815" s="939"/>
      <c r="AD815" s="939"/>
      <c r="AE815" s="939"/>
      <c r="AF815" s="939"/>
      <c r="AG815" s="939"/>
      <c r="AH815" s="939"/>
      <c r="AI815" s="939"/>
      <c r="AJ815" s="939"/>
      <c r="AK815" s="939"/>
      <c r="AL815" s="939"/>
      <c r="AM815" s="939"/>
      <c r="AN815" s="939"/>
    </row>
    <row r="816" spans="1:40" ht="15" customHeight="1">
      <c r="A816" s="939"/>
      <c r="B816" s="939"/>
      <c r="C816" s="939"/>
      <c r="D816" s="939"/>
      <c r="E816" s="939"/>
      <c r="F816" s="939"/>
      <c r="G816" s="939"/>
      <c r="H816" s="939"/>
      <c r="I816" s="939"/>
      <c r="J816" s="939"/>
      <c r="K816" s="939"/>
      <c r="L816" s="939"/>
      <c r="M816" s="939"/>
      <c r="N816" s="939"/>
      <c r="O816" s="939"/>
      <c r="P816" s="939"/>
      <c r="Q816" s="939"/>
      <c r="R816" s="939"/>
      <c r="S816" s="939"/>
      <c r="T816" s="939"/>
      <c r="U816" s="939"/>
      <c r="V816" s="939"/>
      <c r="W816" s="939"/>
      <c r="X816" s="939"/>
      <c r="Y816" s="939"/>
      <c r="Z816" s="939"/>
      <c r="AA816" s="939"/>
      <c r="AB816" s="939"/>
      <c r="AC816" s="939"/>
      <c r="AD816" s="939"/>
      <c r="AE816" s="939"/>
      <c r="AF816" s="939"/>
      <c r="AG816" s="939"/>
      <c r="AH816" s="939"/>
      <c r="AI816" s="939"/>
      <c r="AJ816" s="939"/>
      <c r="AK816" s="939"/>
      <c r="AL816" s="939"/>
      <c r="AM816" s="939"/>
      <c r="AN816" s="939"/>
    </row>
    <row r="817" spans="1:40" ht="15" customHeight="1">
      <c r="A817" s="939"/>
      <c r="B817" s="939"/>
      <c r="C817" s="939"/>
      <c r="D817" s="939"/>
      <c r="E817" s="939"/>
      <c r="F817" s="939"/>
      <c r="G817" s="939"/>
      <c r="H817" s="939"/>
      <c r="I817" s="939"/>
      <c r="J817" s="939"/>
      <c r="K817" s="939"/>
      <c r="L817" s="939"/>
      <c r="M817" s="939"/>
      <c r="N817" s="939"/>
      <c r="O817" s="939"/>
      <c r="P817" s="939"/>
      <c r="Q817" s="939"/>
      <c r="R817" s="939"/>
      <c r="S817" s="939"/>
      <c r="T817" s="939"/>
      <c r="U817" s="939"/>
      <c r="V817" s="939"/>
      <c r="W817" s="939"/>
      <c r="X817" s="939"/>
      <c r="Y817" s="939"/>
      <c r="Z817" s="939"/>
      <c r="AA817" s="939"/>
      <c r="AB817" s="939"/>
      <c r="AC817" s="939"/>
      <c r="AD817" s="939"/>
      <c r="AE817" s="939"/>
      <c r="AF817" s="939"/>
      <c r="AG817" s="939"/>
      <c r="AH817" s="939"/>
      <c r="AI817" s="939"/>
      <c r="AJ817" s="939"/>
      <c r="AK817" s="939"/>
      <c r="AL817" s="939"/>
      <c r="AM817" s="939"/>
      <c r="AN817" s="939"/>
    </row>
    <row r="818" spans="1:40" ht="15" customHeight="1">
      <c r="A818" s="939"/>
      <c r="B818" s="939"/>
      <c r="C818" s="939"/>
      <c r="D818" s="939"/>
      <c r="E818" s="939"/>
      <c r="F818" s="939"/>
      <c r="G818" s="939"/>
      <c r="H818" s="939"/>
      <c r="I818" s="939"/>
      <c r="J818" s="939"/>
      <c r="K818" s="939"/>
      <c r="L818" s="939"/>
      <c r="M818" s="939"/>
      <c r="N818" s="939"/>
      <c r="O818" s="939"/>
      <c r="P818" s="939"/>
      <c r="Q818" s="939"/>
      <c r="R818" s="939"/>
      <c r="S818" s="939"/>
      <c r="T818" s="939"/>
      <c r="U818" s="939"/>
      <c r="V818" s="939"/>
      <c r="W818" s="939"/>
      <c r="X818" s="939"/>
      <c r="Y818" s="939"/>
      <c r="Z818" s="939"/>
      <c r="AA818" s="939"/>
      <c r="AB818" s="939"/>
      <c r="AC818" s="939"/>
      <c r="AD818" s="939"/>
      <c r="AE818" s="939"/>
      <c r="AF818" s="939"/>
      <c r="AG818" s="939"/>
      <c r="AH818" s="939"/>
      <c r="AI818" s="939"/>
      <c r="AJ818" s="939"/>
      <c r="AK818" s="939"/>
      <c r="AL818" s="939"/>
      <c r="AM818" s="939"/>
      <c r="AN818" s="939"/>
    </row>
    <row r="819" spans="1:40" ht="15" customHeight="1">
      <c r="A819" s="939"/>
      <c r="B819" s="939"/>
      <c r="C819" s="939"/>
      <c r="D819" s="939"/>
      <c r="E819" s="939"/>
      <c r="F819" s="939"/>
      <c r="G819" s="939"/>
      <c r="H819" s="939"/>
      <c r="I819" s="939"/>
      <c r="J819" s="939"/>
      <c r="K819" s="939"/>
      <c r="L819" s="939"/>
      <c r="M819" s="939"/>
      <c r="N819" s="939"/>
      <c r="O819" s="939"/>
      <c r="P819" s="939"/>
      <c r="Q819" s="939"/>
      <c r="R819" s="939"/>
      <c r="S819" s="939"/>
      <c r="T819" s="939"/>
      <c r="U819" s="939"/>
      <c r="V819" s="939"/>
      <c r="W819" s="939"/>
      <c r="X819" s="939"/>
      <c r="Y819" s="939"/>
      <c r="Z819" s="939"/>
      <c r="AA819" s="939"/>
      <c r="AB819" s="939"/>
      <c r="AC819" s="939"/>
      <c r="AD819" s="939"/>
      <c r="AE819" s="939"/>
      <c r="AF819" s="939"/>
      <c r="AG819" s="939"/>
      <c r="AH819" s="939"/>
      <c r="AI819" s="939"/>
      <c r="AJ819" s="939"/>
      <c r="AK819" s="939"/>
      <c r="AL819" s="939"/>
      <c r="AM819" s="939"/>
      <c r="AN819" s="939"/>
    </row>
    <row r="820" spans="1:40" ht="15" customHeight="1">
      <c r="A820" s="939"/>
      <c r="B820" s="939"/>
      <c r="C820" s="939"/>
      <c r="D820" s="939"/>
      <c r="E820" s="939"/>
      <c r="F820" s="939"/>
      <c r="G820" s="939"/>
      <c r="H820" s="939"/>
      <c r="I820" s="939"/>
      <c r="J820" s="939"/>
      <c r="K820" s="939"/>
      <c r="L820" s="939"/>
      <c r="M820" s="939"/>
      <c r="N820" s="939"/>
      <c r="O820" s="939"/>
      <c r="P820" s="939"/>
      <c r="Q820" s="939"/>
      <c r="R820" s="939"/>
      <c r="S820" s="939"/>
      <c r="T820" s="939"/>
      <c r="U820" s="939"/>
      <c r="V820" s="939"/>
      <c r="W820" s="939"/>
      <c r="X820" s="939"/>
      <c r="Y820" s="939"/>
      <c r="Z820" s="939"/>
      <c r="AA820" s="939"/>
      <c r="AB820" s="939"/>
      <c r="AC820" s="939"/>
      <c r="AD820" s="939"/>
      <c r="AE820" s="939"/>
      <c r="AF820" s="939"/>
      <c r="AG820" s="939"/>
      <c r="AH820" s="939"/>
      <c r="AI820" s="939"/>
      <c r="AJ820" s="939"/>
      <c r="AK820" s="939"/>
      <c r="AL820" s="939"/>
      <c r="AM820" s="939"/>
      <c r="AN820" s="939"/>
    </row>
    <row r="821" spans="1:40" ht="15" customHeight="1">
      <c r="A821" s="939"/>
      <c r="B821" s="939"/>
      <c r="C821" s="939"/>
      <c r="D821" s="939"/>
      <c r="E821" s="939"/>
      <c r="F821" s="939"/>
      <c r="G821" s="939"/>
      <c r="H821" s="939"/>
      <c r="I821" s="939"/>
      <c r="J821" s="939"/>
      <c r="K821" s="939"/>
      <c r="L821" s="939"/>
      <c r="M821" s="939"/>
      <c r="N821" s="939"/>
      <c r="O821" s="939"/>
      <c r="P821" s="939"/>
      <c r="Q821" s="939"/>
      <c r="R821" s="939"/>
      <c r="S821" s="939"/>
      <c r="T821" s="939"/>
      <c r="U821" s="939"/>
      <c r="V821" s="939"/>
      <c r="W821" s="939"/>
      <c r="X821" s="939"/>
      <c r="Y821" s="939"/>
      <c r="Z821" s="939"/>
      <c r="AA821" s="939"/>
      <c r="AB821" s="939"/>
      <c r="AC821" s="939"/>
      <c r="AD821" s="939"/>
      <c r="AE821" s="939"/>
      <c r="AF821" s="939"/>
      <c r="AG821" s="939"/>
      <c r="AH821" s="939"/>
      <c r="AI821" s="939"/>
      <c r="AJ821" s="939"/>
      <c r="AK821" s="939"/>
      <c r="AL821" s="939"/>
      <c r="AM821" s="939"/>
      <c r="AN821" s="939"/>
    </row>
    <row r="822" spans="1:40" ht="15" customHeight="1">
      <c r="A822" s="939"/>
      <c r="B822" s="939"/>
      <c r="C822" s="939"/>
      <c r="D822" s="939"/>
      <c r="E822" s="939"/>
      <c r="F822" s="939"/>
      <c r="G822" s="939"/>
      <c r="H822" s="939"/>
      <c r="I822" s="939"/>
      <c r="J822" s="939"/>
      <c r="K822" s="939"/>
      <c r="L822" s="939"/>
      <c r="M822" s="939"/>
      <c r="N822" s="939"/>
      <c r="O822" s="939"/>
      <c r="P822" s="939"/>
      <c r="Q822" s="939"/>
      <c r="R822" s="939"/>
      <c r="S822" s="939"/>
      <c r="T822" s="939"/>
      <c r="U822" s="939"/>
      <c r="V822" s="939"/>
      <c r="W822" s="939"/>
      <c r="X822" s="939"/>
      <c r="Y822" s="939"/>
      <c r="Z822" s="939"/>
      <c r="AA822" s="939"/>
      <c r="AB822" s="939"/>
      <c r="AC822" s="939"/>
      <c r="AD822" s="939"/>
      <c r="AE822" s="939"/>
      <c r="AF822" s="939"/>
      <c r="AG822" s="939"/>
      <c r="AH822" s="939"/>
      <c r="AI822" s="939"/>
      <c r="AJ822" s="939"/>
      <c r="AK822" s="939"/>
      <c r="AL822" s="939"/>
      <c r="AM822" s="939"/>
      <c r="AN822" s="939"/>
    </row>
    <row r="823" spans="1:40" ht="15" customHeight="1">
      <c r="A823" s="939"/>
      <c r="B823" s="939"/>
      <c r="C823" s="939"/>
      <c r="D823" s="939"/>
      <c r="E823" s="939"/>
      <c r="F823" s="939"/>
      <c r="G823" s="939"/>
      <c r="H823" s="939"/>
      <c r="I823" s="939"/>
      <c r="J823" s="939"/>
      <c r="K823" s="939"/>
      <c r="L823" s="939"/>
      <c r="M823" s="939"/>
      <c r="N823" s="939"/>
      <c r="O823" s="939"/>
      <c r="P823" s="939"/>
      <c r="Q823" s="939"/>
      <c r="R823" s="939"/>
      <c r="S823" s="939"/>
      <c r="T823" s="939"/>
      <c r="U823" s="939"/>
      <c r="V823" s="939"/>
      <c r="W823" s="939"/>
      <c r="X823" s="939"/>
      <c r="Y823" s="939"/>
      <c r="Z823" s="939"/>
      <c r="AA823" s="939"/>
      <c r="AB823" s="939"/>
      <c r="AC823" s="939"/>
      <c r="AD823" s="939"/>
      <c r="AE823" s="939"/>
      <c r="AF823" s="939"/>
      <c r="AG823" s="939"/>
      <c r="AH823" s="939"/>
      <c r="AI823" s="939"/>
      <c r="AJ823" s="939"/>
      <c r="AK823" s="939"/>
      <c r="AL823" s="939"/>
      <c r="AM823" s="939"/>
      <c r="AN823" s="939"/>
    </row>
    <row r="824" spans="1:40" ht="15" customHeight="1">
      <c r="A824" s="939"/>
      <c r="B824" s="939"/>
      <c r="C824" s="939"/>
      <c r="D824" s="939"/>
      <c r="E824" s="939"/>
      <c r="F824" s="939"/>
      <c r="G824" s="939"/>
      <c r="H824" s="939"/>
      <c r="I824" s="939"/>
      <c r="J824" s="939"/>
      <c r="K824" s="939"/>
      <c r="L824" s="939"/>
      <c r="M824" s="939"/>
      <c r="N824" s="939"/>
      <c r="O824" s="939"/>
      <c r="P824" s="939"/>
      <c r="Q824" s="939"/>
      <c r="R824" s="939"/>
      <c r="S824" s="939"/>
      <c r="T824" s="939"/>
      <c r="U824" s="939"/>
      <c r="V824" s="939"/>
      <c r="W824" s="939"/>
      <c r="X824" s="939"/>
      <c r="Y824" s="939"/>
      <c r="Z824" s="939"/>
      <c r="AA824" s="939"/>
      <c r="AB824" s="939"/>
      <c r="AC824" s="939"/>
      <c r="AD824" s="939"/>
      <c r="AE824" s="939"/>
      <c r="AF824" s="939"/>
      <c r="AG824" s="939"/>
      <c r="AH824" s="939"/>
      <c r="AI824" s="939"/>
      <c r="AJ824" s="939"/>
      <c r="AK824" s="939"/>
      <c r="AL824" s="939"/>
      <c r="AM824" s="939"/>
      <c r="AN824" s="939"/>
    </row>
    <row r="825" spans="1:40" ht="15" customHeight="1">
      <c r="A825" s="939"/>
      <c r="B825" s="939"/>
      <c r="C825" s="939"/>
      <c r="D825" s="939"/>
      <c r="E825" s="939"/>
      <c r="F825" s="939"/>
      <c r="G825" s="939"/>
      <c r="H825" s="939"/>
      <c r="I825" s="939"/>
      <c r="J825" s="939"/>
      <c r="K825" s="939"/>
      <c r="L825" s="939"/>
      <c r="M825" s="939"/>
      <c r="N825" s="939"/>
      <c r="O825" s="939"/>
      <c r="P825" s="939"/>
      <c r="Q825" s="939"/>
      <c r="R825" s="939"/>
      <c r="S825" s="939"/>
      <c r="T825" s="939"/>
      <c r="U825" s="939"/>
      <c r="V825" s="939"/>
      <c r="W825" s="939"/>
      <c r="X825" s="939"/>
      <c r="Y825" s="939"/>
      <c r="Z825" s="939"/>
      <c r="AA825" s="939"/>
      <c r="AB825" s="939"/>
      <c r="AC825" s="939"/>
      <c r="AD825" s="939"/>
      <c r="AE825" s="939"/>
      <c r="AF825" s="939"/>
      <c r="AG825" s="939"/>
      <c r="AH825" s="939"/>
      <c r="AI825" s="939"/>
      <c r="AJ825" s="939"/>
      <c r="AK825" s="939"/>
      <c r="AL825" s="939"/>
      <c r="AM825" s="939"/>
      <c r="AN825" s="939"/>
    </row>
    <row r="826" spans="1:40" ht="15" customHeight="1">
      <c r="A826" s="939"/>
      <c r="B826" s="939"/>
      <c r="C826" s="939"/>
      <c r="D826" s="939"/>
      <c r="E826" s="939"/>
      <c r="F826" s="939"/>
      <c r="G826" s="939"/>
      <c r="H826" s="939"/>
      <c r="I826" s="939"/>
      <c r="J826" s="939"/>
      <c r="K826" s="939"/>
      <c r="L826" s="939"/>
      <c r="M826" s="939"/>
      <c r="N826" s="939"/>
      <c r="O826" s="939"/>
      <c r="P826" s="939"/>
      <c r="Q826" s="939"/>
      <c r="R826" s="939"/>
      <c r="S826" s="939"/>
      <c r="T826" s="939"/>
      <c r="U826" s="939"/>
      <c r="V826" s="939"/>
      <c r="W826" s="939"/>
      <c r="X826" s="939"/>
      <c r="Y826" s="939"/>
      <c r="Z826" s="939"/>
      <c r="AA826" s="939"/>
      <c r="AB826" s="939"/>
      <c r="AC826" s="939"/>
      <c r="AD826" s="939"/>
      <c r="AE826" s="939"/>
      <c r="AF826" s="939"/>
      <c r="AG826" s="939"/>
      <c r="AH826" s="939"/>
      <c r="AI826" s="939"/>
      <c r="AJ826" s="939"/>
      <c r="AK826" s="939"/>
      <c r="AL826" s="939"/>
      <c r="AM826" s="939"/>
      <c r="AN826" s="939"/>
    </row>
    <row r="827" spans="1:40" ht="15" customHeight="1">
      <c r="A827" s="939"/>
      <c r="B827" s="939"/>
      <c r="C827" s="939"/>
      <c r="D827" s="939"/>
      <c r="E827" s="939"/>
      <c r="F827" s="939"/>
      <c r="G827" s="939"/>
      <c r="H827" s="939"/>
      <c r="I827" s="939"/>
      <c r="J827" s="939"/>
      <c r="K827" s="939"/>
      <c r="L827" s="939"/>
      <c r="M827" s="939"/>
      <c r="N827" s="939"/>
      <c r="O827" s="939"/>
      <c r="P827" s="939"/>
      <c r="Q827" s="939"/>
      <c r="R827" s="939"/>
      <c r="S827" s="939"/>
      <c r="T827" s="939"/>
      <c r="U827" s="939"/>
      <c r="V827" s="939"/>
      <c r="W827" s="939"/>
      <c r="X827" s="939"/>
      <c r="Y827" s="939"/>
      <c r="Z827" s="939"/>
      <c r="AA827" s="939"/>
      <c r="AB827" s="939"/>
      <c r="AC827" s="939"/>
      <c r="AD827" s="939"/>
      <c r="AE827" s="939"/>
      <c r="AF827" s="939"/>
      <c r="AG827" s="939"/>
      <c r="AH827" s="939"/>
      <c r="AI827" s="939"/>
      <c r="AJ827" s="939"/>
      <c r="AK827" s="939"/>
      <c r="AL827" s="939"/>
      <c r="AM827" s="939"/>
      <c r="AN827" s="939"/>
    </row>
    <row r="828" spans="1:40" ht="15" customHeight="1">
      <c r="A828" s="939"/>
      <c r="B828" s="939"/>
      <c r="C828" s="939"/>
      <c r="D828" s="939"/>
      <c r="E828" s="939"/>
      <c r="F828" s="939"/>
      <c r="G828" s="939"/>
      <c r="H828" s="939"/>
      <c r="I828" s="939"/>
      <c r="J828" s="939"/>
      <c r="K828" s="939"/>
      <c r="L828" s="939"/>
      <c r="M828" s="939"/>
      <c r="N828" s="939"/>
      <c r="O828" s="939"/>
      <c r="P828" s="939"/>
      <c r="Q828" s="939"/>
      <c r="R828" s="939"/>
      <c r="S828" s="939"/>
      <c r="T828" s="939"/>
      <c r="U828" s="939"/>
      <c r="V828" s="939"/>
      <c r="W828" s="939"/>
      <c r="X828" s="939"/>
      <c r="Y828" s="939"/>
      <c r="Z828" s="939"/>
      <c r="AA828" s="939"/>
      <c r="AB828" s="939"/>
      <c r="AC828" s="939"/>
      <c r="AD828" s="939"/>
      <c r="AE828" s="939"/>
      <c r="AF828" s="939"/>
      <c r="AG828" s="939"/>
      <c r="AH828" s="939"/>
      <c r="AI828" s="939"/>
      <c r="AJ828" s="939"/>
      <c r="AK828" s="939"/>
      <c r="AL828" s="939"/>
      <c r="AM828" s="939"/>
      <c r="AN828" s="939"/>
    </row>
    <row r="829" spans="1:40" ht="15" customHeight="1">
      <c r="A829" s="939"/>
      <c r="B829" s="939"/>
      <c r="C829" s="939"/>
      <c r="D829" s="939"/>
      <c r="E829" s="939"/>
      <c r="F829" s="939"/>
      <c r="G829" s="939"/>
      <c r="H829" s="939"/>
      <c r="I829" s="939"/>
      <c r="J829" s="939"/>
      <c r="K829" s="939"/>
      <c r="L829" s="939"/>
      <c r="M829" s="939"/>
      <c r="N829" s="939"/>
      <c r="O829" s="939"/>
      <c r="P829" s="939"/>
      <c r="Q829" s="939"/>
      <c r="R829" s="939"/>
      <c r="S829" s="939"/>
      <c r="T829" s="939"/>
      <c r="U829" s="939"/>
      <c r="V829" s="939"/>
      <c r="W829" s="939"/>
      <c r="X829" s="939"/>
      <c r="Y829" s="939"/>
      <c r="Z829" s="939"/>
      <c r="AA829" s="939"/>
      <c r="AB829" s="939"/>
      <c r="AC829" s="939"/>
      <c r="AD829" s="939"/>
      <c r="AE829" s="939"/>
      <c r="AF829" s="939"/>
      <c r="AG829" s="939"/>
      <c r="AH829" s="939"/>
      <c r="AI829" s="939"/>
      <c r="AJ829" s="939"/>
      <c r="AK829" s="939"/>
      <c r="AL829" s="939"/>
      <c r="AM829" s="939"/>
      <c r="AN829" s="939"/>
    </row>
    <row r="830" spans="1:40" ht="15" customHeight="1">
      <c r="A830" s="939"/>
      <c r="B830" s="939"/>
      <c r="C830" s="939"/>
      <c r="D830" s="939"/>
      <c r="E830" s="939"/>
      <c r="F830" s="939"/>
      <c r="G830" s="939"/>
      <c r="H830" s="939"/>
      <c r="I830" s="939"/>
      <c r="J830" s="939"/>
      <c r="K830" s="939"/>
      <c r="L830" s="939"/>
      <c r="M830" s="939"/>
      <c r="N830" s="939"/>
      <c r="O830" s="939"/>
      <c r="P830" s="939"/>
      <c r="Q830" s="939"/>
      <c r="R830" s="939"/>
      <c r="S830" s="939"/>
      <c r="T830" s="939"/>
      <c r="U830" s="939"/>
      <c r="V830" s="939"/>
      <c r="W830" s="939"/>
      <c r="X830" s="939"/>
      <c r="Y830" s="939"/>
      <c r="Z830" s="939"/>
      <c r="AA830" s="939"/>
      <c r="AB830" s="939"/>
      <c r="AC830" s="939"/>
      <c r="AD830" s="939"/>
      <c r="AE830" s="939"/>
      <c r="AF830" s="939"/>
      <c r="AG830" s="939"/>
      <c r="AH830" s="939"/>
      <c r="AI830" s="939"/>
      <c r="AJ830" s="939"/>
      <c r="AK830" s="939"/>
      <c r="AL830" s="939"/>
      <c r="AM830" s="939"/>
      <c r="AN830" s="939"/>
    </row>
    <row r="831" spans="1:40" ht="15" customHeight="1">
      <c r="A831" s="939"/>
      <c r="B831" s="939"/>
      <c r="C831" s="939"/>
      <c r="D831" s="939"/>
      <c r="E831" s="939"/>
      <c r="F831" s="939"/>
      <c r="G831" s="939"/>
      <c r="H831" s="939"/>
      <c r="I831" s="939"/>
      <c r="J831" s="939"/>
      <c r="K831" s="939"/>
      <c r="L831" s="939"/>
      <c r="M831" s="939"/>
      <c r="N831" s="939"/>
      <c r="O831" s="939"/>
      <c r="P831" s="939"/>
      <c r="Q831" s="939"/>
      <c r="R831" s="939"/>
      <c r="S831" s="939"/>
      <c r="T831" s="939"/>
      <c r="U831" s="939"/>
      <c r="V831" s="939"/>
      <c r="W831" s="939"/>
      <c r="X831" s="939"/>
      <c r="Y831" s="939"/>
      <c r="Z831" s="939"/>
      <c r="AA831" s="939"/>
      <c r="AB831" s="939"/>
      <c r="AC831" s="939"/>
      <c r="AD831" s="939"/>
      <c r="AE831" s="939"/>
      <c r="AF831" s="939"/>
      <c r="AG831" s="939"/>
      <c r="AH831" s="939"/>
      <c r="AI831" s="939"/>
      <c r="AJ831" s="939"/>
      <c r="AK831" s="939"/>
      <c r="AL831" s="939"/>
      <c r="AM831" s="939"/>
      <c r="AN831" s="939"/>
    </row>
    <row r="832" spans="1:40" ht="15" customHeight="1">
      <c r="A832" s="939"/>
      <c r="B832" s="939"/>
      <c r="C832" s="939"/>
      <c r="D832" s="939"/>
      <c r="E832" s="939"/>
      <c r="F832" s="939"/>
      <c r="G832" s="939"/>
      <c r="H832" s="939"/>
      <c r="I832" s="939"/>
      <c r="J832" s="939"/>
      <c r="K832" s="939"/>
      <c r="L832" s="939"/>
      <c r="M832" s="939"/>
      <c r="N832" s="939"/>
      <c r="O832" s="939"/>
      <c r="P832" s="939"/>
      <c r="Q832" s="939"/>
      <c r="R832" s="939"/>
      <c r="S832" s="939"/>
      <c r="T832" s="939"/>
      <c r="U832" s="939"/>
      <c r="V832" s="939"/>
      <c r="W832" s="939"/>
      <c r="X832" s="939"/>
      <c r="Y832" s="939"/>
      <c r="Z832" s="939"/>
      <c r="AA832" s="939"/>
      <c r="AB832" s="939"/>
      <c r="AC832" s="939"/>
      <c r="AD832" s="939"/>
      <c r="AE832" s="939"/>
      <c r="AF832" s="939"/>
      <c r="AG832" s="939"/>
      <c r="AH832" s="939"/>
      <c r="AI832" s="939"/>
      <c r="AJ832" s="939"/>
      <c r="AK832" s="939"/>
      <c r="AL832" s="939"/>
      <c r="AM832" s="939"/>
      <c r="AN832" s="939"/>
    </row>
    <row r="833" spans="1:40" ht="15" customHeight="1">
      <c r="A833" s="939"/>
      <c r="B833" s="939"/>
      <c r="C833" s="939"/>
      <c r="D833" s="939"/>
      <c r="E833" s="939"/>
      <c r="F833" s="939"/>
      <c r="G833" s="939"/>
      <c r="H833" s="939"/>
      <c r="I833" s="939"/>
      <c r="J833" s="939"/>
      <c r="K833" s="939"/>
      <c r="L833" s="939"/>
      <c r="M833" s="939"/>
      <c r="N833" s="939"/>
      <c r="O833" s="939"/>
      <c r="P833" s="939"/>
      <c r="Q833" s="939"/>
      <c r="R833" s="939"/>
      <c r="S833" s="939"/>
      <c r="T833" s="939"/>
      <c r="U833" s="939"/>
      <c r="V833" s="939"/>
      <c r="W833" s="939"/>
      <c r="X833" s="939"/>
      <c r="Y833" s="939"/>
      <c r="Z833" s="939"/>
      <c r="AA833" s="939"/>
      <c r="AB833" s="939"/>
      <c r="AC833" s="939"/>
      <c r="AD833" s="939"/>
      <c r="AE833" s="939"/>
      <c r="AF833" s="939"/>
      <c r="AG833" s="939"/>
      <c r="AH833" s="939"/>
      <c r="AI833" s="939"/>
      <c r="AJ833" s="939"/>
      <c r="AK833" s="939"/>
      <c r="AL833" s="939"/>
      <c r="AM833" s="939"/>
      <c r="AN833" s="939"/>
    </row>
    <row r="834" spans="1:40" ht="15" customHeight="1">
      <c r="A834" s="939"/>
      <c r="B834" s="939"/>
      <c r="C834" s="939"/>
      <c r="D834" s="939"/>
      <c r="E834" s="939"/>
      <c r="F834" s="939"/>
      <c r="G834" s="939"/>
      <c r="H834" s="939"/>
      <c r="I834" s="939"/>
      <c r="J834" s="939"/>
      <c r="K834" s="939"/>
      <c r="L834" s="939"/>
      <c r="M834" s="939"/>
      <c r="N834" s="939"/>
      <c r="O834" s="939"/>
      <c r="P834" s="939"/>
      <c r="Q834" s="939"/>
      <c r="R834" s="939"/>
      <c r="S834" s="939"/>
      <c r="T834" s="939"/>
      <c r="U834" s="939"/>
      <c r="V834" s="939"/>
      <c r="W834" s="939"/>
      <c r="X834" s="939"/>
      <c r="Y834" s="939"/>
      <c r="Z834" s="939"/>
      <c r="AA834" s="939"/>
      <c r="AB834" s="939"/>
      <c r="AC834" s="939"/>
      <c r="AD834" s="939"/>
      <c r="AE834" s="939"/>
      <c r="AF834" s="939"/>
      <c r="AG834" s="939"/>
      <c r="AH834" s="939"/>
      <c r="AI834" s="939"/>
      <c r="AJ834" s="939"/>
      <c r="AK834" s="939"/>
      <c r="AL834" s="939"/>
      <c r="AM834" s="939"/>
      <c r="AN834" s="939"/>
    </row>
    <row r="835" spans="1:40" ht="15" customHeight="1">
      <c r="A835" s="939"/>
      <c r="B835" s="939"/>
      <c r="C835" s="939"/>
      <c r="D835" s="939"/>
      <c r="E835" s="939"/>
      <c r="F835" s="939"/>
      <c r="G835" s="939"/>
      <c r="H835" s="939"/>
      <c r="I835" s="939"/>
      <c r="J835" s="939"/>
      <c r="K835" s="939"/>
      <c r="L835" s="939"/>
      <c r="M835" s="939"/>
      <c r="N835" s="939"/>
      <c r="O835" s="939"/>
      <c r="P835" s="939"/>
      <c r="Q835" s="939"/>
      <c r="R835" s="939"/>
      <c r="S835" s="939"/>
      <c r="T835" s="939"/>
      <c r="U835" s="939"/>
      <c r="V835" s="939"/>
      <c r="W835" s="939"/>
      <c r="X835" s="939"/>
      <c r="Y835" s="939"/>
      <c r="Z835" s="939"/>
      <c r="AA835" s="939"/>
      <c r="AB835" s="939"/>
      <c r="AC835" s="939"/>
      <c r="AD835" s="939"/>
      <c r="AE835" s="939"/>
      <c r="AF835" s="939"/>
      <c r="AG835" s="939"/>
      <c r="AH835" s="939"/>
      <c r="AI835" s="939"/>
      <c r="AJ835" s="939"/>
      <c r="AK835" s="939"/>
      <c r="AL835" s="939"/>
      <c r="AM835" s="939"/>
      <c r="AN835" s="939"/>
    </row>
    <row r="836" spans="1:40" ht="15" customHeight="1">
      <c r="A836" s="939"/>
      <c r="B836" s="939"/>
      <c r="C836" s="939"/>
      <c r="D836" s="939"/>
      <c r="E836" s="939"/>
      <c r="F836" s="939"/>
      <c r="G836" s="939"/>
      <c r="H836" s="939"/>
      <c r="I836" s="939"/>
      <c r="J836" s="939"/>
      <c r="K836" s="939"/>
      <c r="L836" s="939"/>
      <c r="M836" s="939"/>
      <c r="N836" s="939"/>
      <c r="O836" s="939"/>
      <c r="P836" s="939"/>
      <c r="Q836" s="939"/>
      <c r="R836" s="939"/>
      <c r="S836" s="939"/>
      <c r="T836" s="939"/>
      <c r="U836" s="939"/>
      <c r="V836" s="939"/>
      <c r="W836" s="939"/>
      <c r="X836" s="939"/>
      <c r="Y836" s="939"/>
      <c r="Z836" s="939"/>
      <c r="AA836" s="939"/>
      <c r="AB836" s="939"/>
      <c r="AC836" s="939"/>
      <c r="AD836" s="939"/>
      <c r="AE836" s="939"/>
      <c r="AF836" s="939"/>
      <c r="AG836" s="939"/>
      <c r="AH836" s="939"/>
      <c r="AI836" s="939"/>
      <c r="AJ836" s="939"/>
      <c r="AK836" s="939"/>
      <c r="AL836" s="939"/>
      <c r="AM836" s="939"/>
      <c r="AN836" s="939"/>
    </row>
    <row r="837" spans="1:40" ht="15" customHeight="1">
      <c r="A837" s="939"/>
      <c r="B837" s="939"/>
      <c r="C837" s="939"/>
      <c r="D837" s="939"/>
      <c r="E837" s="939"/>
      <c r="F837" s="939"/>
      <c r="G837" s="939"/>
      <c r="H837" s="939"/>
      <c r="I837" s="939"/>
      <c r="J837" s="939"/>
      <c r="K837" s="939"/>
      <c r="L837" s="939"/>
      <c r="M837" s="939"/>
      <c r="N837" s="939"/>
      <c r="O837" s="939"/>
      <c r="P837" s="939"/>
      <c r="Q837" s="939"/>
      <c r="R837" s="939"/>
      <c r="S837" s="939"/>
      <c r="T837" s="939"/>
      <c r="U837" s="939"/>
      <c r="V837" s="939"/>
      <c r="W837" s="939"/>
      <c r="X837" s="939"/>
      <c r="Y837" s="939"/>
      <c r="Z837" s="939"/>
      <c r="AA837" s="939"/>
      <c r="AB837" s="939"/>
      <c r="AC837" s="939"/>
      <c r="AD837" s="939"/>
      <c r="AE837" s="939"/>
      <c r="AF837" s="939"/>
      <c r="AG837" s="939"/>
      <c r="AH837" s="939"/>
      <c r="AI837" s="939"/>
      <c r="AJ837" s="939"/>
      <c r="AK837" s="939"/>
      <c r="AL837" s="939"/>
      <c r="AM837" s="939"/>
      <c r="AN837" s="939"/>
    </row>
    <row r="838" spans="1:40" ht="15" customHeight="1">
      <c r="A838" s="939"/>
      <c r="B838" s="939"/>
      <c r="C838" s="939"/>
      <c r="D838" s="939"/>
      <c r="E838" s="939"/>
      <c r="F838" s="939"/>
      <c r="G838" s="939"/>
      <c r="H838" s="939"/>
      <c r="I838" s="939"/>
      <c r="J838" s="939"/>
      <c r="K838" s="939"/>
      <c r="L838" s="939"/>
      <c r="M838" s="939"/>
      <c r="N838" s="939"/>
      <c r="O838" s="939"/>
      <c r="P838" s="939"/>
      <c r="Q838" s="939"/>
      <c r="R838" s="939"/>
      <c r="S838" s="939"/>
      <c r="T838" s="939"/>
      <c r="U838" s="939"/>
      <c r="V838" s="939"/>
      <c r="W838" s="939"/>
      <c r="X838" s="939"/>
      <c r="Y838" s="939"/>
      <c r="Z838" s="939"/>
      <c r="AA838" s="939"/>
      <c r="AB838" s="939"/>
      <c r="AC838" s="939"/>
      <c r="AD838" s="939"/>
      <c r="AE838" s="939"/>
      <c r="AF838" s="939"/>
      <c r="AG838" s="939"/>
      <c r="AH838" s="939"/>
      <c r="AI838" s="939"/>
      <c r="AJ838" s="939"/>
      <c r="AK838" s="939"/>
      <c r="AL838" s="939"/>
      <c r="AM838" s="939"/>
      <c r="AN838" s="939"/>
    </row>
    <row r="839" spans="1:40" ht="15" customHeight="1">
      <c r="A839" s="939"/>
      <c r="B839" s="939"/>
      <c r="C839" s="939"/>
      <c r="D839" s="939"/>
      <c r="E839" s="939"/>
      <c r="F839" s="939"/>
      <c r="G839" s="939"/>
      <c r="H839" s="939"/>
      <c r="I839" s="939"/>
      <c r="J839" s="939"/>
      <c r="K839" s="939"/>
      <c r="L839" s="939"/>
      <c r="M839" s="939"/>
      <c r="N839" s="939"/>
      <c r="O839" s="939"/>
      <c r="P839" s="939"/>
      <c r="Q839" s="939"/>
      <c r="R839" s="939"/>
      <c r="S839" s="939"/>
      <c r="T839" s="939"/>
      <c r="U839" s="939"/>
      <c r="V839" s="939"/>
      <c r="W839" s="939"/>
      <c r="X839" s="939"/>
      <c r="Y839" s="939"/>
      <c r="Z839" s="939"/>
      <c r="AA839" s="939"/>
      <c r="AB839" s="939"/>
      <c r="AC839" s="939"/>
      <c r="AD839" s="939"/>
      <c r="AE839" s="939"/>
      <c r="AF839" s="939"/>
      <c r="AG839" s="939"/>
      <c r="AH839" s="939"/>
      <c r="AI839" s="939"/>
      <c r="AJ839" s="939"/>
      <c r="AK839" s="939"/>
      <c r="AL839" s="939"/>
      <c r="AM839" s="939"/>
      <c r="AN839" s="939"/>
    </row>
    <row r="840" spans="1:40" ht="15" customHeight="1">
      <c r="A840" s="939"/>
      <c r="B840" s="939"/>
      <c r="C840" s="939"/>
      <c r="D840" s="939"/>
      <c r="E840" s="939"/>
      <c r="F840" s="939"/>
      <c r="G840" s="939"/>
      <c r="H840" s="939"/>
      <c r="I840" s="939"/>
      <c r="J840" s="939"/>
      <c r="K840" s="939"/>
      <c r="L840" s="939"/>
      <c r="M840" s="939"/>
      <c r="N840" s="939"/>
      <c r="O840" s="939"/>
      <c r="P840" s="939"/>
      <c r="Q840" s="939"/>
      <c r="R840" s="939"/>
      <c r="S840" s="939"/>
      <c r="T840" s="939"/>
      <c r="U840" s="939"/>
      <c r="V840" s="939"/>
      <c r="W840" s="939"/>
      <c r="X840" s="939"/>
      <c r="Y840" s="939"/>
      <c r="Z840" s="939"/>
      <c r="AA840" s="939"/>
      <c r="AB840" s="939"/>
      <c r="AC840" s="939"/>
      <c r="AD840" s="939"/>
      <c r="AE840" s="939"/>
      <c r="AF840" s="939"/>
      <c r="AG840" s="939"/>
      <c r="AH840" s="939"/>
      <c r="AI840" s="939"/>
      <c r="AJ840" s="939"/>
      <c r="AK840" s="939"/>
      <c r="AL840" s="939"/>
      <c r="AM840" s="939"/>
      <c r="AN840" s="939"/>
    </row>
    <row r="841" spans="1:40" ht="15" customHeight="1">
      <c r="A841" s="939"/>
      <c r="B841" s="939"/>
      <c r="C841" s="939"/>
      <c r="D841" s="939"/>
      <c r="E841" s="939"/>
      <c r="F841" s="939"/>
      <c r="G841" s="939"/>
      <c r="H841" s="939"/>
      <c r="I841" s="939"/>
      <c r="J841" s="939"/>
      <c r="K841" s="939"/>
      <c r="L841" s="939"/>
      <c r="M841" s="939"/>
      <c r="N841" s="939"/>
      <c r="O841" s="939"/>
      <c r="P841" s="939"/>
      <c r="Q841" s="939"/>
      <c r="R841" s="939"/>
      <c r="S841" s="939"/>
      <c r="T841" s="939"/>
      <c r="U841" s="939"/>
      <c r="V841" s="939"/>
      <c r="W841" s="939"/>
      <c r="X841" s="939"/>
      <c r="Y841" s="939"/>
      <c r="Z841" s="939"/>
      <c r="AA841" s="939"/>
      <c r="AB841" s="939"/>
      <c r="AC841" s="939"/>
      <c r="AD841" s="939"/>
      <c r="AE841" s="939"/>
      <c r="AF841" s="939"/>
      <c r="AG841" s="939"/>
      <c r="AH841" s="939"/>
      <c r="AI841" s="939"/>
      <c r="AJ841" s="939"/>
      <c r="AK841" s="939"/>
      <c r="AL841" s="939"/>
      <c r="AM841" s="939"/>
      <c r="AN841" s="939"/>
    </row>
    <row r="842" spans="1:40" ht="15" customHeight="1">
      <c r="A842" s="939"/>
      <c r="B842" s="939"/>
      <c r="C842" s="939"/>
      <c r="D842" s="939"/>
      <c r="E842" s="939"/>
      <c r="F842" s="939"/>
      <c r="G842" s="939"/>
      <c r="H842" s="939"/>
      <c r="I842" s="939"/>
      <c r="J842" s="939"/>
      <c r="K842" s="939"/>
      <c r="L842" s="939"/>
      <c r="M842" s="939"/>
      <c r="N842" s="939"/>
      <c r="O842" s="939"/>
      <c r="P842" s="939"/>
      <c r="Q842" s="939"/>
      <c r="R842" s="939"/>
      <c r="S842" s="939"/>
      <c r="T842" s="939"/>
      <c r="U842" s="939"/>
      <c r="V842" s="939"/>
      <c r="W842" s="939"/>
      <c r="X842" s="939"/>
      <c r="Y842" s="939"/>
      <c r="Z842" s="939"/>
      <c r="AA842" s="939"/>
      <c r="AB842" s="939"/>
      <c r="AC842" s="939"/>
      <c r="AD842" s="939"/>
      <c r="AE842" s="939"/>
      <c r="AF842" s="939"/>
      <c r="AG842" s="939"/>
      <c r="AH842" s="939"/>
      <c r="AI842" s="939"/>
      <c r="AJ842" s="939"/>
      <c r="AK842" s="939"/>
      <c r="AL842" s="939"/>
      <c r="AM842" s="939"/>
      <c r="AN842" s="939"/>
    </row>
    <row r="843" spans="1:40" ht="15" customHeight="1">
      <c r="A843" s="939"/>
      <c r="B843" s="939"/>
      <c r="C843" s="939"/>
      <c r="D843" s="939"/>
      <c r="E843" s="939"/>
      <c r="F843" s="939"/>
      <c r="G843" s="939"/>
      <c r="H843" s="939"/>
      <c r="I843" s="939"/>
      <c r="J843" s="939"/>
      <c r="K843" s="939"/>
      <c r="L843" s="939"/>
      <c r="M843" s="939"/>
      <c r="N843" s="939"/>
      <c r="O843" s="939"/>
      <c r="P843" s="939"/>
      <c r="Q843" s="939"/>
      <c r="R843" s="939"/>
      <c r="S843" s="939"/>
      <c r="T843" s="939"/>
      <c r="U843" s="939"/>
      <c r="V843" s="939"/>
      <c r="W843" s="939"/>
      <c r="X843" s="939"/>
      <c r="Y843" s="939"/>
      <c r="Z843" s="939"/>
      <c r="AA843" s="939"/>
      <c r="AB843" s="939"/>
      <c r="AC843" s="939"/>
      <c r="AD843" s="939"/>
      <c r="AE843" s="939"/>
      <c r="AF843" s="939"/>
      <c r="AG843" s="939"/>
      <c r="AH843" s="939"/>
      <c r="AI843" s="939"/>
      <c r="AJ843" s="939"/>
      <c r="AK843" s="939"/>
      <c r="AL843" s="939"/>
      <c r="AM843" s="939"/>
      <c r="AN843" s="939"/>
    </row>
    <row r="844" spans="1:40" ht="15" customHeight="1">
      <c r="A844" s="939"/>
      <c r="B844" s="939"/>
      <c r="C844" s="939"/>
      <c r="D844" s="939"/>
      <c r="E844" s="939"/>
      <c r="F844" s="939"/>
      <c r="G844" s="939"/>
      <c r="H844" s="939"/>
      <c r="I844" s="939"/>
      <c r="J844" s="939"/>
      <c r="K844" s="939"/>
      <c r="L844" s="939"/>
      <c r="M844" s="939"/>
      <c r="N844" s="939"/>
      <c r="O844" s="939"/>
      <c r="P844" s="939"/>
      <c r="Q844" s="939"/>
      <c r="R844" s="939"/>
      <c r="S844" s="939"/>
      <c r="T844" s="939"/>
      <c r="U844" s="939"/>
      <c r="V844" s="939"/>
      <c r="W844" s="939"/>
      <c r="X844" s="939"/>
      <c r="Y844" s="939"/>
      <c r="Z844" s="939"/>
      <c r="AA844" s="939"/>
      <c r="AB844" s="939"/>
      <c r="AC844" s="939"/>
      <c r="AD844" s="939"/>
      <c r="AE844" s="939"/>
      <c r="AF844" s="939"/>
      <c r="AG844" s="939"/>
      <c r="AH844" s="939"/>
      <c r="AI844" s="939"/>
      <c r="AJ844" s="939"/>
      <c r="AK844" s="939"/>
      <c r="AL844" s="939"/>
      <c r="AM844" s="939"/>
      <c r="AN844" s="939"/>
    </row>
    <row r="845" spans="1:40" ht="15" customHeight="1">
      <c r="A845" s="939"/>
      <c r="B845" s="939"/>
      <c r="C845" s="939"/>
      <c r="D845" s="939"/>
      <c r="E845" s="939"/>
      <c r="F845" s="939"/>
      <c r="G845" s="939"/>
      <c r="H845" s="939"/>
      <c r="I845" s="939"/>
      <c r="J845" s="939"/>
      <c r="K845" s="939"/>
      <c r="L845" s="939"/>
      <c r="M845" s="939"/>
      <c r="N845" s="939"/>
      <c r="O845" s="939"/>
      <c r="P845" s="939"/>
      <c r="Q845" s="939"/>
      <c r="R845" s="939"/>
      <c r="S845" s="939"/>
      <c r="T845" s="939"/>
      <c r="U845" s="939"/>
      <c r="V845" s="939"/>
      <c r="W845" s="939"/>
      <c r="X845" s="939"/>
      <c r="Y845" s="939"/>
      <c r="Z845" s="939"/>
      <c r="AA845" s="939"/>
      <c r="AB845" s="939"/>
      <c r="AC845" s="939"/>
      <c r="AD845" s="939"/>
      <c r="AE845" s="939"/>
      <c r="AF845" s="939"/>
      <c r="AG845" s="939"/>
      <c r="AH845" s="939"/>
      <c r="AI845" s="939"/>
      <c r="AJ845" s="939"/>
      <c r="AK845" s="939"/>
      <c r="AL845" s="939"/>
      <c r="AM845" s="939"/>
      <c r="AN845" s="939"/>
    </row>
    <row r="846" spans="1:40" ht="15" customHeight="1">
      <c r="A846" s="939"/>
      <c r="B846" s="939"/>
      <c r="C846" s="939"/>
      <c r="D846" s="939"/>
      <c r="E846" s="939"/>
      <c r="F846" s="939"/>
      <c r="G846" s="939"/>
      <c r="H846" s="939"/>
      <c r="I846" s="939"/>
      <c r="J846" s="939"/>
      <c r="K846" s="939"/>
      <c r="L846" s="939"/>
      <c r="M846" s="939"/>
      <c r="N846" s="939"/>
      <c r="O846" s="939"/>
      <c r="P846" s="939"/>
      <c r="Q846" s="939"/>
      <c r="R846" s="939"/>
      <c r="S846" s="939"/>
      <c r="T846" s="939"/>
      <c r="U846" s="939"/>
      <c r="V846" s="939"/>
      <c r="W846" s="939"/>
      <c r="X846" s="939"/>
      <c r="Y846" s="939"/>
      <c r="Z846" s="939"/>
      <c r="AA846" s="939"/>
      <c r="AB846" s="939"/>
      <c r="AC846" s="939"/>
      <c r="AD846" s="939"/>
      <c r="AE846" s="939"/>
      <c r="AF846" s="939"/>
      <c r="AG846" s="939"/>
      <c r="AH846" s="939"/>
      <c r="AI846" s="939"/>
      <c r="AJ846" s="939"/>
      <c r="AK846" s="939"/>
      <c r="AL846" s="939"/>
      <c r="AM846" s="939"/>
      <c r="AN846" s="939"/>
    </row>
    <row r="847" spans="1:40" ht="15" customHeight="1">
      <c r="A847" s="939"/>
      <c r="B847" s="939"/>
      <c r="C847" s="939"/>
      <c r="D847" s="939"/>
      <c r="E847" s="939"/>
      <c r="F847" s="939"/>
      <c r="G847" s="939"/>
      <c r="H847" s="939"/>
      <c r="I847" s="939"/>
      <c r="J847" s="939"/>
      <c r="K847" s="939"/>
      <c r="L847" s="939"/>
      <c r="M847" s="939"/>
      <c r="N847" s="939"/>
      <c r="O847" s="939"/>
      <c r="P847" s="939"/>
      <c r="Q847" s="939"/>
      <c r="R847" s="939"/>
      <c r="S847" s="939"/>
      <c r="T847" s="939"/>
      <c r="U847" s="939"/>
      <c r="V847" s="939"/>
      <c r="W847" s="939"/>
      <c r="X847" s="939"/>
      <c r="Y847" s="939"/>
      <c r="Z847" s="939"/>
      <c r="AA847" s="939"/>
      <c r="AB847" s="939"/>
      <c r="AC847" s="939"/>
      <c r="AD847" s="939"/>
      <c r="AE847" s="939"/>
      <c r="AF847" s="939"/>
      <c r="AG847" s="939"/>
      <c r="AH847" s="939"/>
      <c r="AI847" s="939"/>
      <c r="AJ847" s="939"/>
      <c r="AK847" s="939"/>
      <c r="AL847" s="939"/>
      <c r="AM847" s="939"/>
      <c r="AN847" s="939"/>
    </row>
    <row r="848" spans="1:40" ht="15" customHeight="1">
      <c r="A848" s="939"/>
      <c r="B848" s="939"/>
      <c r="C848" s="939"/>
      <c r="D848" s="939"/>
      <c r="E848" s="939"/>
      <c r="F848" s="939"/>
      <c r="G848" s="939"/>
      <c r="H848" s="939"/>
      <c r="I848" s="939"/>
      <c r="J848" s="939"/>
      <c r="K848" s="939"/>
      <c r="L848" s="939"/>
      <c r="M848" s="939"/>
      <c r="N848" s="939"/>
      <c r="O848" s="939"/>
      <c r="P848" s="939"/>
      <c r="Q848" s="939"/>
      <c r="R848" s="939"/>
      <c r="S848" s="939"/>
      <c r="T848" s="939"/>
      <c r="U848" s="939"/>
      <c r="V848" s="939"/>
      <c r="W848" s="939"/>
      <c r="X848" s="939"/>
      <c r="Y848" s="939"/>
      <c r="Z848" s="939"/>
      <c r="AA848" s="939"/>
      <c r="AB848" s="939"/>
      <c r="AC848" s="939"/>
      <c r="AD848" s="939"/>
      <c r="AE848" s="939"/>
      <c r="AF848" s="939"/>
      <c r="AG848" s="939"/>
      <c r="AH848" s="939"/>
      <c r="AI848" s="939"/>
      <c r="AJ848" s="939"/>
      <c r="AK848" s="939"/>
      <c r="AL848" s="939"/>
      <c r="AM848" s="939"/>
      <c r="AN848" s="939"/>
    </row>
    <row r="849" spans="1:40" ht="15" customHeight="1">
      <c r="A849" s="939"/>
      <c r="B849" s="939"/>
      <c r="C849" s="939"/>
      <c r="D849" s="939"/>
      <c r="E849" s="939"/>
      <c r="F849" s="939"/>
      <c r="G849" s="939"/>
      <c r="H849" s="939"/>
      <c r="I849" s="939"/>
      <c r="J849" s="939"/>
      <c r="K849" s="939"/>
      <c r="L849" s="939"/>
      <c r="M849" s="939"/>
      <c r="N849" s="939"/>
      <c r="O849" s="939"/>
      <c r="P849" s="939"/>
      <c r="Q849" s="939"/>
      <c r="R849" s="939"/>
      <c r="S849" s="939"/>
      <c r="T849" s="939"/>
      <c r="U849" s="939"/>
      <c r="V849" s="939"/>
      <c r="W849" s="939"/>
      <c r="X849" s="939"/>
      <c r="Y849" s="939"/>
      <c r="Z849" s="939"/>
      <c r="AA849" s="939"/>
      <c r="AB849" s="939"/>
      <c r="AC849" s="939"/>
      <c r="AD849" s="939"/>
      <c r="AE849" s="939"/>
      <c r="AF849" s="939"/>
      <c r="AG849" s="939"/>
      <c r="AH849" s="939"/>
      <c r="AI849" s="939"/>
      <c r="AJ849" s="939"/>
      <c r="AK849" s="939"/>
      <c r="AL849" s="939"/>
      <c r="AM849" s="939"/>
      <c r="AN849" s="939"/>
    </row>
    <row r="850" spans="1:40" ht="15" customHeight="1">
      <c r="A850" s="939"/>
      <c r="B850" s="939"/>
      <c r="C850" s="939"/>
      <c r="D850" s="939"/>
      <c r="E850" s="939"/>
      <c r="F850" s="939"/>
      <c r="G850" s="939"/>
      <c r="H850" s="939"/>
      <c r="I850" s="939"/>
      <c r="J850" s="939"/>
      <c r="K850" s="939"/>
      <c r="L850" s="939"/>
      <c r="M850" s="939"/>
      <c r="N850" s="939"/>
      <c r="O850" s="939"/>
      <c r="P850" s="939"/>
      <c r="Q850" s="939"/>
      <c r="R850" s="939"/>
      <c r="S850" s="939"/>
      <c r="T850" s="939"/>
      <c r="U850" s="939"/>
      <c r="V850" s="939"/>
      <c r="W850" s="939"/>
      <c r="X850" s="939"/>
      <c r="Y850" s="939"/>
      <c r="Z850" s="939"/>
      <c r="AA850" s="939"/>
      <c r="AB850" s="939"/>
      <c r="AC850" s="939"/>
      <c r="AD850" s="939"/>
      <c r="AE850" s="939"/>
      <c r="AF850" s="939"/>
      <c r="AG850" s="939"/>
      <c r="AH850" s="939"/>
      <c r="AI850" s="939"/>
      <c r="AJ850" s="939"/>
      <c r="AK850" s="939"/>
      <c r="AL850" s="939"/>
      <c r="AM850" s="939"/>
      <c r="AN850" s="939"/>
    </row>
    <row r="851" spans="1:40" ht="15" customHeight="1">
      <c r="A851" s="939"/>
      <c r="B851" s="939"/>
      <c r="C851" s="939"/>
      <c r="D851" s="939"/>
      <c r="E851" s="939"/>
      <c r="F851" s="939"/>
      <c r="G851" s="939"/>
      <c r="H851" s="939"/>
      <c r="I851" s="939"/>
      <c r="J851" s="939"/>
      <c r="K851" s="939"/>
      <c r="L851" s="939"/>
      <c r="M851" s="939"/>
      <c r="N851" s="939"/>
      <c r="O851" s="939"/>
      <c r="P851" s="939"/>
      <c r="Q851" s="939"/>
      <c r="R851" s="939"/>
      <c r="S851" s="939"/>
      <c r="T851" s="939"/>
      <c r="U851" s="939"/>
      <c r="V851" s="939"/>
      <c r="W851" s="939"/>
      <c r="X851" s="939"/>
      <c r="Y851" s="939"/>
      <c r="Z851" s="939"/>
      <c r="AA851" s="939"/>
      <c r="AB851" s="939"/>
      <c r="AC851" s="939"/>
      <c r="AD851" s="939"/>
      <c r="AE851" s="939"/>
      <c r="AF851" s="939"/>
      <c r="AG851" s="939"/>
      <c r="AH851" s="939"/>
      <c r="AI851" s="939"/>
      <c r="AJ851" s="939"/>
      <c r="AK851" s="939"/>
      <c r="AL851" s="939"/>
      <c r="AM851" s="939"/>
      <c r="AN851" s="939"/>
    </row>
    <row r="852" spans="1:40" ht="15" customHeight="1">
      <c r="A852" s="939"/>
      <c r="B852" s="939"/>
      <c r="C852" s="939"/>
      <c r="D852" s="939"/>
      <c r="E852" s="939"/>
      <c r="F852" s="939"/>
      <c r="G852" s="939"/>
      <c r="H852" s="939"/>
      <c r="I852" s="939"/>
      <c r="J852" s="939"/>
      <c r="K852" s="939"/>
      <c r="L852" s="939"/>
      <c r="M852" s="939"/>
      <c r="N852" s="939"/>
      <c r="O852" s="939"/>
      <c r="P852" s="939"/>
      <c r="Q852" s="939"/>
      <c r="R852" s="939"/>
      <c r="S852" s="939"/>
      <c r="T852" s="939"/>
      <c r="U852" s="939"/>
      <c r="V852" s="939"/>
      <c r="W852" s="939"/>
      <c r="X852" s="939"/>
      <c r="Y852" s="939"/>
      <c r="Z852" s="939"/>
      <c r="AA852" s="939"/>
      <c r="AB852" s="939"/>
      <c r="AC852" s="939"/>
      <c r="AD852" s="939"/>
      <c r="AE852" s="939"/>
      <c r="AF852" s="939"/>
      <c r="AG852" s="939"/>
      <c r="AH852" s="939"/>
      <c r="AI852" s="939"/>
      <c r="AJ852" s="939"/>
      <c r="AK852" s="939"/>
      <c r="AL852" s="939"/>
      <c r="AM852" s="939"/>
      <c r="AN852" s="939"/>
    </row>
    <row r="853" spans="1:40" ht="15" customHeight="1">
      <c r="A853" s="939"/>
      <c r="B853" s="939"/>
      <c r="C853" s="939"/>
      <c r="D853" s="939"/>
      <c r="E853" s="939"/>
      <c r="F853" s="939"/>
      <c r="G853" s="939"/>
      <c r="H853" s="939"/>
      <c r="I853" s="939"/>
      <c r="J853" s="939"/>
      <c r="K853" s="939"/>
      <c r="L853" s="939"/>
      <c r="M853" s="939"/>
      <c r="N853" s="939"/>
      <c r="O853" s="939"/>
      <c r="P853" s="939"/>
      <c r="Q853" s="939"/>
      <c r="R853" s="939"/>
      <c r="S853" s="939"/>
      <c r="T853" s="939"/>
      <c r="U853" s="939"/>
      <c r="V853" s="939"/>
      <c r="W853" s="939"/>
      <c r="X853" s="939"/>
      <c r="Y853" s="939"/>
      <c r="Z853" s="939"/>
      <c r="AA853" s="939"/>
      <c r="AB853" s="939"/>
      <c r="AC853" s="939"/>
      <c r="AD853" s="939"/>
      <c r="AE853" s="939"/>
      <c r="AF853" s="939"/>
      <c r="AG853" s="939"/>
      <c r="AH853" s="939"/>
      <c r="AI853" s="939"/>
      <c r="AJ853" s="939"/>
      <c r="AK853" s="939"/>
      <c r="AL853" s="939"/>
      <c r="AM853" s="939"/>
      <c r="AN853" s="939"/>
    </row>
    <row r="854" spans="1:40" ht="15" customHeight="1">
      <c r="A854" s="939"/>
      <c r="B854" s="939"/>
      <c r="C854" s="939"/>
      <c r="D854" s="939"/>
      <c r="E854" s="939"/>
      <c r="F854" s="939"/>
      <c r="G854" s="939"/>
      <c r="H854" s="939"/>
      <c r="I854" s="939"/>
      <c r="J854" s="939"/>
      <c r="K854" s="939"/>
      <c r="L854" s="939"/>
      <c r="M854" s="939"/>
      <c r="N854" s="939"/>
      <c r="O854" s="939"/>
      <c r="P854" s="939"/>
      <c r="Q854" s="939"/>
      <c r="R854" s="939"/>
      <c r="S854" s="939"/>
      <c r="T854" s="939"/>
      <c r="U854" s="939"/>
      <c r="V854" s="939"/>
      <c r="W854" s="939"/>
      <c r="X854" s="939"/>
      <c r="Y854" s="939"/>
      <c r="Z854" s="939"/>
      <c r="AA854" s="939"/>
      <c r="AB854" s="939"/>
      <c r="AC854" s="939"/>
      <c r="AD854" s="939"/>
      <c r="AE854" s="939"/>
      <c r="AF854" s="939"/>
      <c r="AG854" s="939"/>
      <c r="AH854" s="939"/>
      <c r="AI854" s="939"/>
      <c r="AJ854" s="939"/>
      <c r="AK854" s="939"/>
      <c r="AL854" s="939"/>
      <c r="AM854" s="939"/>
      <c r="AN854" s="939"/>
    </row>
    <row r="855" spans="1:40" ht="15" customHeight="1">
      <c r="A855" s="939"/>
      <c r="B855" s="939"/>
      <c r="C855" s="939"/>
      <c r="D855" s="939"/>
      <c r="E855" s="939"/>
      <c r="F855" s="939"/>
      <c r="G855" s="939"/>
      <c r="H855" s="939"/>
      <c r="I855" s="939"/>
      <c r="J855" s="939"/>
      <c r="K855" s="939"/>
      <c r="L855" s="939"/>
      <c r="M855" s="939"/>
      <c r="N855" s="939"/>
      <c r="O855" s="939"/>
      <c r="P855" s="939"/>
      <c r="Q855" s="939"/>
      <c r="R855" s="939"/>
      <c r="S855" s="939"/>
      <c r="T855" s="939"/>
      <c r="U855" s="939"/>
      <c r="V855" s="939"/>
      <c r="W855" s="939"/>
      <c r="X855" s="939"/>
      <c r="Y855" s="939"/>
      <c r="Z855" s="939"/>
      <c r="AA855" s="939"/>
      <c r="AB855" s="939"/>
      <c r="AC855" s="939"/>
      <c r="AD855" s="939"/>
      <c r="AE855" s="939"/>
      <c r="AF855" s="939"/>
      <c r="AG855" s="939"/>
      <c r="AH855" s="939"/>
      <c r="AI855" s="939"/>
      <c r="AJ855" s="939"/>
      <c r="AK855" s="939"/>
      <c r="AL855" s="939"/>
      <c r="AM855" s="939"/>
      <c r="AN855" s="939"/>
    </row>
    <row r="856" spans="1:40" ht="15" customHeight="1">
      <c r="A856" s="939"/>
      <c r="B856" s="939"/>
      <c r="C856" s="939"/>
      <c r="D856" s="939"/>
      <c r="E856" s="939"/>
      <c r="F856" s="939"/>
      <c r="G856" s="939"/>
      <c r="H856" s="939"/>
      <c r="I856" s="939"/>
      <c r="J856" s="939"/>
      <c r="K856" s="939"/>
      <c r="L856" s="939"/>
      <c r="M856" s="939"/>
      <c r="N856" s="939"/>
      <c r="O856" s="939"/>
      <c r="P856" s="939"/>
      <c r="Q856" s="939"/>
      <c r="R856" s="939"/>
      <c r="S856" s="939"/>
      <c r="T856" s="939"/>
      <c r="U856" s="939"/>
      <c r="V856" s="939"/>
      <c r="W856" s="939"/>
      <c r="X856" s="939"/>
      <c r="Y856" s="939"/>
      <c r="Z856" s="939"/>
      <c r="AA856" s="939"/>
      <c r="AB856" s="939"/>
      <c r="AC856" s="939"/>
      <c r="AD856" s="939"/>
      <c r="AE856" s="939"/>
      <c r="AF856" s="939"/>
      <c r="AG856" s="939"/>
      <c r="AH856" s="939"/>
      <c r="AI856" s="939"/>
      <c r="AJ856" s="939"/>
      <c r="AK856" s="939"/>
      <c r="AL856" s="939"/>
      <c r="AM856" s="939"/>
      <c r="AN856" s="939"/>
    </row>
    <row r="857" spans="1:40" ht="15" customHeight="1">
      <c r="A857" s="939"/>
      <c r="B857" s="939"/>
      <c r="C857" s="939"/>
      <c r="D857" s="939"/>
      <c r="E857" s="939"/>
      <c r="F857" s="939"/>
      <c r="G857" s="939"/>
      <c r="H857" s="939"/>
      <c r="I857" s="939"/>
      <c r="J857" s="939"/>
      <c r="K857" s="939"/>
      <c r="L857" s="939"/>
      <c r="M857" s="939"/>
      <c r="N857" s="939"/>
      <c r="O857" s="939"/>
      <c r="P857" s="939"/>
      <c r="Q857" s="939"/>
      <c r="R857" s="939"/>
      <c r="S857" s="939"/>
      <c r="T857" s="939"/>
      <c r="U857" s="939"/>
      <c r="V857" s="939"/>
      <c r="W857" s="939"/>
      <c r="X857" s="939"/>
      <c r="Y857" s="939"/>
      <c r="Z857" s="939"/>
      <c r="AA857" s="939"/>
      <c r="AB857" s="939"/>
      <c r="AC857" s="939"/>
      <c r="AD857" s="939"/>
      <c r="AE857" s="939"/>
      <c r="AF857" s="939"/>
      <c r="AG857" s="939"/>
      <c r="AH857" s="939"/>
      <c r="AI857" s="939"/>
      <c r="AJ857" s="939"/>
      <c r="AK857" s="939"/>
      <c r="AL857" s="939"/>
      <c r="AM857" s="939"/>
      <c r="AN857" s="939"/>
    </row>
    <row r="858" spans="1:40" ht="15" customHeight="1">
      <c r="A858" s="939"/>
      <c r="B858" s="939"/>
      <c r="C858" s="939"/>
      <c r="D858" s="939"/>
      <c r="E858" s="939"/>
      <c r="F858" s="939"/>
      <c r="G858" s="939"/>
      <c r="H858" s="939"/>
      <c r="I858" s="939"/>
      <c r="J858" s="939"/>
      <c r="K858" s="939"/>
      <c r="L858" s="939"/>
      <c r="M858" s="939"/>
      <c r="N858" s="939"/>
      <c r="O858" s="939"/>
      <c r="P858" s="939"/>
      <c r="Q858" s="939"/>
      <c r="R858" s="939"/>
      <c r="S858" s="939"/>
      <c r="T858" s="939"/>
      <c r="U858" s="939"/>
      <c r="V858" s="939"/>
      <c r="W858" s="939"/>
      <c r="X858" s="939"/>
      <c r="Y858" s="939"/>
      <c r="Z858" s="939"/>
      <c r="AA858" s="939"/>
      <c r="AB858" s="939"/>
      <c r="AC858" s="939"/>
      <c r="AD858" s="939"/>
      <c r="AE858" s="939"/>
      <c r="AF858" s="939"/>
      <c r="AG858" s="939"/>
      <c r="AH858" s="939"/>
      <c r="AI858" s="939"/>
      <c r="AJ858" s="939"/>
      <c r="AK858" s="939"/>
      <c r="AL858" s="939"/>
      <c r="AM858" s="939"/>
      <c r="AN858" s="939"/>
    </row>
    <row r="859" spans="1:40" ht="15" customHeight="1">
      <c r="A859" s="939"/>
      <c r="B859" s="939"/>
      <c r="C859" s="939"/>
      <c r="D859" s="939"/>
      <c r="E859" s="939"/>
      <c r="F859" s="939"/>
      <c r="G859" s="939"/>
      <c r="H859" s="939"/>
      <c r="I859" s="939"/>
      <c r="J859" s="939"/>
      <c r="K859" s="939"/>
      <c r="L859" s="939"/>
      <c r="M859" s="939"/>
      <c r="N859" s="939"/>
      <c r="O859" s="939"/>
      <c r="P859" s="939"/>
      <c r="Q859" s="939"/>
      <c r="R859" s="939"/>
      <c r="S859" s="939"/>
      <c r="T859" s="939"/>
      <c r="U859" s="939"/>
      <c r="V859" s="939"/>
      <c r="W859" s="939"/>
      <c r="X859" s="939"/>
      <c r="Y859" s="939"/>
      <c r="Z859" s="939"/>
      <c r="AA859" s="939"/>
      <c r="AB859" s="939"/>
      <c r="AC859" s="939"/>
      <c r="AD859" s="939"/>
      <c r="AE859" s="939"/>
      <c r="AF859" s="939"/>
      <c r="AG859" s="939"/>
      <c r="AH859" s="939"/>
      <c r="AI859" s="939"/>
      <c r="AJ859" s="939"/>
      <c r="AK859" s="939"/>
      <c r="AL859" s="939"/>
      <c r="AM859" s="939"/>
      <c r="AN859" s="939"/>
    </row>
    <row r="860" spans="1:40" ht="15" customHeight="1">
      <c r="A860" s="939"/>
      <c r="B860" s="939"/>
      <c r="C860" s="939"/>
      <c r="D860" s="939"/>
      <c r="E860" s="939"/>
      <c r="F860" s="939"/>
      <c r="G860" s="939"/>
      <c r="H860" s="939"/>
      <c r="I860" s="939"/>
      <c r="J860" s="939"/>
      <c r="K860" s="939"/>
      <c r="L860" s="939"/>
      <c r="M860" s="939"/>
      <c r="N860" s="939"/>
      <c r="O860" s="939"/>
      <c r="P860" s="939"/>
      <c r="Q860" s="939"/>
      <c r="R860" s="939"/>
      <c r="S860" s="939"/>
      <c r="T860" s="939"/>
      <c r="U860" s="939"/>
      <c r="V860" s="939"/>
      <c r="W860" s="939"/>
      <c r="X860" s="939"/>
      <c r="Y860" s="939"/>
      <c r="Z860" s="939"/>
      <c r="AA860" s="939"/>
      <c r="AB860" s="939"/>
      <c r="AC860" s="939"/>
      <c r="AD860" s="939"/>
      <c r="AE860" s="939"/>
      <c r="AF860" s="939"/>
      <c r="AG860" s="939"/>
      <c r="AH860" s="939"/>
      <c r="AI860" s="939"/>
      <c r="AJ860" s="939"/>
      <c r="AK860" s="939"/>
      <c r="AL860" s="939"/>
      <c r="AM860" s="939"/>
      <c r="AN860" s="939"/>
    </row>
    <row r="861" spans="1:40" ht="15" customHeight="1">
      <c r="A861" s="939"/>
      <c r="B861" s="939"/>
      <c r="C861" s="939"/>
      <c r="D861" s="939"/>
      <c r="E861" s="939"/>
      <c r="F861" s="939"/>
      <c r="G861" s="939"/>
      <c r="H861" s="939"/>
      <c r="I861" s="939"/>
      <c r="J861" s="939"/>
      <c r="K861" s="939"/>
      <c r="L861" s="939"/>
      <c r="M861" s="939"/>
      <c r="N861" s="939"/>
      <c r="O861" s="939"/>
      <c r="P861" s="939"/>
      <c r="Q861" s="939"/>
      <c r="R861" s="939"/>
      <c r="S861" s="939"/>
      <c r="T861" s="939"/>
      <c r="U861" s="939"/>
      <c r="V861" s="939"/>
      <c r="W861" s="939"/>
      <c r="X861" s="939"/>
      <c r="Y861" s="939"/>
      <c r="Z861" s="939"/>
      <c r="AA861" s="939"/>
      <c r="AB861" s="939"/>
      <c r="AC861" s="939"/>
      <c r="AD861" s="939"/>
      <c r="AE861" s="939"/>
      <c r="AF861" s="939"/>
      <c r="AG861" s="939"/>
      <c r="AH861" s="939"/>
      <c r="AI861" s="939"/>
      <c r="AJ861" s="939"/>
      <c r="AK861" s="939"/>
      <c r="AL861" s="939"/>
      <c r="AM861" s="939"/>
      <c r="AN861" s="939"/>
    </row>
    <row r="862" spans="1:40" ht="15" customHeight="1">
      <c r="A862" s="939"/>
      <c r="B862" s="939"/>
      <c r="C862" s="939"/>
      <c r="D862" s="939"/>
      <c r="E862" s="939"/>
      <c r="F862" s="939"/>
      <c r="G862" s="939"/>
      <c r="H862" s="939"/>
      <c r="I862" s="939"/>
      <c r="J862" s="939"/>
      <c r="K862" s="939"/>
      <c r="L862" s="939"/>
      <c r="M862" s="939"/>
      <c r="N862" s="939"/>
      <c r="O862" s="939"/>
      <c r="P862" s="939"/>
      <c r="Q862" s="939"/>
      <c r="R862" s="939"/>
      <c r="S862" s="939"/>
      <c r="T862" s="939"/>
      <c r="U862" s="939"/>
      <c r="V862" s="939"/>
      <c r="W862" s="939"/>
      <c r="X862" s="939"/>
      <c r="Y862" s="939"/>
      <c r="Z862" s="939"/>
      <c r="AA862" s="939"/>
      <c r="AB862" s="939"/>
      <c r="AC862" s="939"/>
      <c r="AD862" s="939"/>
      <c r="AE862" s="939"/>
      <c r="AF862" s="939"/>
      <c r="AG862" s="939"/>
      <c r="AH862" s="939"/>
      <c r="AI862" s="939"/>
      <c r="AJ862" s="939"/>
      <c r="AK862" s="939"/>
      <c r="AL862" s="939"/>
      <c r="AM862" s="939"/>
      <c r="AN862" s="939"/>
    </row>
    <row r="863" spans="1:40" ht="15" customHeight="1">
      <c r="A863" s="939"/>
      <c r="B863" s="939"/>
      <c r="C863" s="939"/>
      <c r="D863" s="939"/>
      <c r="E863" s="939"/>
      <c r="F863" s="939"/>
      <c r="G863" s="939"/>
      <c r="H863" s="939"/>
      <c r="I863" s="939"/>
      <c r="J863" s="939"/>
      <c r="K863" s="939"/>
      <c r="L863" s="939"/>
      <c r="M863" s="939"/>
      <c r="N863" s="939"/>
      <c r="O863" s="939"/>
      <c r="P863" s="939"/>
      <c r="Q863" s="939"/>
      <c r="R863" s="939"/>
      <c r="S863" s="939"/>
      <c r="T863" s="939"/>
      <c r="U863" s="939"/>
      <c r="V863" s="939"/>
      <c r="W863" s="939"/>
      <c r="X863" s="939"/>
      <c r="Y863" s="939"/>
      <c r="Z863" s="939"/>
      <c r="AA863" s="939"/>
      <c r="AB863" s="939"/>
      <c r="AC863" s="939"/>
      <c r="AD863" s="939"/>
      <c r="AE863" s="939"/>
      <c r="AF863" s="939"/>
      <c r="AG863" s="939"/>
      <c r="AH863" s="939"/>
      <c r="AI863" s="939"/>
      <c r="AJ863" s="939"/>
      <c r="AK863" s="939"/>
      <c r="AL863" s="939"/>
      <c r="AM863" s="939"/>
      <c r="AN863" s="939"/>
    </row>
    <row r="864" spans="1:40" ht="15" customHeight="1">
      <c r="A864" s="939"/>
      <c r="B864" s="939"/>
      <c r="C864" s="939"/>
      <c r="D864" s="939"/>
      <c r="E864" s="939"/>
      <c r="F864" s="939"/>
      <c r="G864" s="939"/>
      <c r="H864" s="939"/>
      <c r="I864" s="939"/>
      <c r="J864" s="939"/>
      <c r="K864" s="939"/>
      <c r="L864" s="939"/>
      <c r="M864" s="939"/>
      <c r="N864" s="939"/>
      <c r="O864" s="939"/>
      <c r="P864" s="939"/>
      <c r="Q864" s="939"/>
      <c r="R864" s="939"/>
      <c r="S864" s="939"/>
      <c r="T864" s="939"/>
      <c r="U864" s="939"/>
      <c r="V864" s="939"/>
      <c r="W864" s="939"/>
      <c r="X864" s="939"/>
      <c r="Y864" s="939"/>
      <c r="Z864" s="939"/>
      <c r="AA864" s="939"/>
      <c r="AB864" s="939"/>
      <c r="AC864" s="939"/>
      <c r="AD864" s="939"/>
      <c r="AE864" s="939"/>
      <c r="AF864" s="939"/>
      <c r="AG864" s="939"/>
      <c r="AH864" s="939"/>
      <c r="AI864" s="939"/>
      <c r="AJ864" s="939"/>
      <c r="AK864" s="939"/>
      <c r="AL864" s="939"/>
      <c r="AM864" s="939"/>
      <c r="AN864" s="939"/>
    </row>
    <row r="865" spans="1:40" ht="15" customHeight="1">
      <c r="A865" s="939"/>
      <c r="B865" s="939"/>
      <c r="C865" s="939"/>
      <c r="D865" s="939"/>
      <c r="E865" s="939"/>
      <c r="F865" s="939"/>
      <c r="G865" s="939"/>
      <c r="H865" s="939"/>
      <c r="I865" s="939"/>
      <c r="J865" s="939"/>
      <c r="K865" s="939"/>
      <c r="L865" s="939"/>
      <c r="M865" s="939"/>
      <c r="N865" s="939"/>
      <c r="O865" s="939"/>
      <c r="P865" s="939"/>
      <c r="Q865" s="939"/>
      <c r="R865" s="939"/>
      <c r="S865" s="939"/>
      <c r="T865" s="939"/>
      <c r="U865" s="939"/>
      <c r="V865" s="939"/>
      <c r="W865" s="939"/>
      <c r="X865" s="939"/>
      <c r="Y865" s="939"/>
      <c r="Z865" s="939"/>
      <c r="AA865" s="939"/>
      <c r="AB865" s="939"/>
      <c r="AC865" s="939"/>
      <c r="AD865" s="939"/>
      <c r="AE865" s="939"/>
      <c r="AF865" s="939"/>
      <c r="AG865" s="939"/>
      <c r="AH865" s="939"/>
      <c r="AI865" s="939"/>
      <c r="AJ865" s="939"/>
      <c r="AK865" s="939"/>
      <c r="AL865" s="939"/>
      <c r="AM865" s="939"/>
      <c r="AN865" s="939"/>
    </row>
    <row r="866" spans="1:40" ht="15" customHeight="1">
      <c r="A866" s="939"/>
      <c r="B866" s="939"/>
      <c r="C866" s="939"/>
      <c r="D866" s="939"/>
      <c r="E866" s="939"/>
      <c r="F866" s="939"/>
      <c r="G866" s="939"/>
      <c r="H866" s="939"/>
      <c r="I866" s="939"/>
      <c r="J866" s="939"/>
      <c r="K866" s="939"/>
      <c r="L866" s="939"/>
      <c r="M866" s="939"/>
      <c r="N866" s="939"/>
      <c r="O866" s="939"/>
      <c r="P866" s="939"/>
      <c r="Q866" s="939"/>
      <c r="R866" s="939"/>
      <c r="S866" s="939"/>
      <c r="T866" s="939"/>
      <c r="U866" s="939"/>
      <c r="V866" s="939"/>
      <c r="W866" s="939"/>
      <c r="X866" s="939"/>
      <c r="Y866" s="939"/>
      <c r="Z866" s="939"/>
      <c r="AA866" s="939"/>
      <c r="AB866" s="939"/>
      <c r="AC866" s="939"/>
      <c r="AD866" s="939"/>
      <c r="AE866" s="939"/>
      <c r="AF866" s="939"/>
      <c r="AG866" s="939"/>
      <c r="AH866" s="939"/>
      <c r="AI866" s="939"/>
      <c r="AJ866" s="939"/>
      <c r="AK866" s="939"/>
      <c r="AL866" s="939"/>
      <c r="AM866" s="939"/>
      <c r="AN866" s="939"/>
    </row>
    <row r="867" spans="1:40" ht="15" customHeight="1">
      <c r="A867" s="939"/>
      <c r="B867" s="939"/>
      <c r="C867" s="939"/>
      <c r="D867" s="939"/>
      <c r="E867" s="939"/>
      <c r="F867" s="939"/>
      <c r="G867" s="939"/>
      <c r="H867" s="939"/>
      <c r="I867" s="939"/>
      <c r="J867" s="939"/>
      <c r="K867" s="939"/>
      <c r="L867" s="939"/>
      <c r="M867" s="939"/>
      <c r="N867" s="939"/>
      <c r="O867" s="939"/>
      <c r="P867" s="939"/>
      <c r="Q867" s="939"/>
      <c r="R867" s="939"/>
      <c r="S867" s="939"/>
      <c r="T867" s="939"/>
      <c r="U867" s="939"/>
      <c r="V867" s="939"/>
      <c r="W867" s="939"/>
      <c r="X867" s="939"/>
      <c r="Y867" s="939"/>
      <c r="Z867" s="939"/>
      <c r="AA867" s="939"/>
      <c r="AB867" s="939"/>
      <c r="AC867" s="939"/>
      <c r="AD867" s="939"/>
      <c r="AE867" s="939"/>
      <c r="AF867" s="939"/>
      <c r="AG867" s="939"/>
      <c r="AH867" s="939"/>
      <c r="AI867" s="939"/>
      <c r="AJ867" s="939"/>
      <c r="AK867" s="939"/>
      <c r="AL867" s="939"/>
      <c r="AM867" s="939"/>
      <c r="AN867" s="939"/>
    </row>
    <row r="868" spans="1:40" ht="15" customHeight="1">
      <c r="A868" s="939"/>
      <c r="B868" s="939"/>
      <c r="C868" s="939"/>
      <c r="D868" s="939"/>
      <c r="E868" s="939"/>
      <c r="F868" s="939"/>
      <c r="G868" s="939"/>
      <c r="H868" s="939"/>
      <c r="I868" s="939"/>
      <c r="J868" s="939"/>
      <c r="K868" s="939"/>
      <c r="L868" s="939"/>
      <c r="M868" s="939"/>
      <c r="N868" s="939"/>
      <c r="O868" s="939"/>
      <c r="P868" s="939"/>
      <c r="Q868" s="939"/>
      <c r="R868" s="939"/>
      <c r="S868" s="939"/>
      <c r="T868" s="939"/>
      <c r="U868" s="939"/>
      <c r="V868" s="939"/>
      <c r="W868" s="939"/>
      <c r="X868" s="939"/>
      <c r="Y868" s="939"/>
      <c r="Z868" s="939"/>
      <c r="AA868" s="939"/>
      <c r="AB868" s="939"/>
      <c r="AC868" s="939"/>
      <c r="AD868" s="939"/>
      <c r="AE868" s="939"/>
      <c r="AF868" s="939"/>
      <c r="AG868" s="939"/>
      <c r="AH868" s="939"/>
      <c r="AI868" s="939"/>
      <c r="AJ868" s="939"/>
      <c r="AK868" s="939"/>
      <c r="AL868" s="939"/>
      <c r="AM868" s="939"/>
      <c r="AN868" s="939"/>
    </row>
    <row r="869" spans="1:40" ht="15" customHeight="1">
      <c r="A869" s="939"/>
      <c r="B869" s="939"/>
      <c r="C869" s="939"/>
      <c r="D869" s="939"/>
      <c r="E869" s="939"/>
      <c r="F869" s="939"/>
      <c r="G869" s="939"/>
      <c r="H869" s="939"/>
      <c r="I869" s="939"/>
      <c r="J869" s="939"/>
      <c r="K869" s="939"/>
      <c r="L869" s="939"/>
      <c r="M869" s="939"/>
      <c r="N869" s="939"/>
      <c r="O869" s="939"/>
      <c r="P869" s="939"/>
      <c r="Q869" s="939"/>
      <c r="R869" s="939"/>
      <c r="S869" s="939"/>
      <c r="T869" s="939"/>
      <c r="U869" s="939"/>
      <c r="V869" s="939"/>
      <c r="W869" s="939"/>
      <c r="X869" s="939"/>
      <c r="Y869" s="939"/>
      <c r="Z869" s="939"/>
      <c r="AA869" s="939"/>
      <c r="AB869" s="939"/>
      <c r="AC869" s="939"/>
      <c r="AD869" s="939"/>
      <c r="AE869" s="939"/>
      <c r="AF869" s="939"/>
      <c r="AG869" s="939"/>
      <c r="AH869" s="939"/>
      <c r="AI869" s="939"/>
      <c r="AJ869" s="939"/>
      <c r="AK869" s="939"/>
      <c r="AL869" s="939"/>
      <c r="AM869" s="939"/>
      <c r="AN869" s="939"/>
    </row>
    <row r="870" spans="1:40" ht="15" customHeight="1">
      <c r="A870" s="939"/>
      <c r="B870" s="939"/>
      <c r="C870" s="939"/>
      <c r="D870" s="939"/>
      <c r="E870" s="939"/>
      <c r="F870" s="939"/>
      <c r="G870" s="939"/>
      <c r="H870" s="939"/>
      <c r="I870" s="939"/>
      <c r="J870" s="939"/>
      <c r="K870" s="939"/>
      <c r="L870" s="939"/>
      <c r="M870" s="939"/>
      <c r="N870" s="939"/>
      <c r="O870" s="939"/>
      <c r="P870" s="939"/>
      <c r="Q870" s="939"/>
      <c r="R870" s="939"/>
      <c r="S870" s="939"/>
      <c r="T870" s="939"/>
      <c r="U870" s="939"/>
      <c r="V870" s="939"/>
      <c r="W870" s="939"/>
      <c r="X870" s="939"/>
      <c r="Y870" s="939"/>
      <c r="Z870" s="939"/>
      <c r="AA870" s="939"/>
      <c r="AB870" s="939"/>
      <c r="AC870" s="939"/>
      <c r="AD870" s="939"/>
      <c r="AE870" s="939"/>
      <c r="AF870" s="939"/>
      <c r="AG870" s="939"/>
      <c r="AH870" s="939"/>
      <c r="AI870" s="939"/>
      <c r="AJ870" s="939"/>
      <c r="AK870" s="939"/>
      <c r="AL870" s="939"/>
      <c r="AM870" s="939"/>
      <c r="AN870" s="939"/>
    </row>
    <row r="871" spans="1:40" ht="15" customHeight="1">
      <c r="A871" s="939"/>
      <c r="B871" s="939"/>
      <c r="C871" s="939"/>
      <c r="D871" s="939"/>
      <c r="E871" s="939"/>
      <c r="F871" s="939"/>
      <c r="G871" s="939"/>
      <c r="H871" s="939"/>
      <c r="I871" s="939"/>
      <c r="J871" s="939"/>
      <c r="K871" s="939"/>
      <c r="L871" s="939"/>
      <c r="M871" s="939"/>
      <c r="N871" s="939"/>
      <c r="O871" s="939"/>
      <c r="P871" s="939"/>
      <c r="Q871" s="939"/>
      <c r="R871" s="939"/>
      <c r="S871" s="939"/>
      <c r="T871" s="939"/>
      <c r="U871" s="939"/>
      <c r="V871" s="939"/>
      <c r="W871" s="939"/>
      <c r="X871" s="939"/>
      <c r="Y871" s="939"/>
      <c r="Z871" s="939"/>
      <c r="AA871" s="939"/>
      <c r="AB871" s="939"/>
      <c r="AC871" s="939"/>
      <c r="AD871" s="939"/>
      <c r="AE871" s="939"/>
      <c r="AF871" s="939"/>
      <c r="AG871" s="939"/>
      <c r="AH871" s="939"/>
      <c r="AI871" s="939"/>
      <c r="AJ871" s="939"/>
      <c r="AK871" s="939"/>
      <c r="AL871" s="939"/>
      <c r="AM871" s="939"/>
      <c r="AN871" s="939"/>
    </row>
    <row r="872" spans="1:40" ht="15" customHeight="1">
      <c r="A872" s="939"/>
      <c r="B872" s="939"/>
      <c r="C872" s="939"/>
      <c r="D872" s="939"/>
      <c r="E872" s="939"/>
      <c r="F872" s="939"/>
      <c r="G872" s="939"/>
      <c r="H872" s="939"/>
      <c r="I872" s="939"/>
      <c r="J872" s="939"/>
      <c r="K872" s="939"/>
      <c r="L872" s="939"/>
      <c r="M872" s="939"/>
      <c r="N872" s="939"/>
      <c r="O872" s="939"/>
      <c r="P872" s="939"/>
      <c r="Q872" s="939"/>
      <c r="R872" s="939"/>
      <c r="S872" s="939"/>
      <c r="T872" s="939"/>
      <c r="U872" s="939"/>
      <c r="V872" s="939"/>
      <c r="W872" s="939"/>
      <c r="X872" s="939"/>
      <c r="Y872" s="939"/>
      <c r="Z872" s="939"/>
      <c r="AA872" s="939"/>
      <c r="AB872" s="939"/>
      <c r="AC872" s="939"/>
      <c r="AD872" s="939"/>
      <c r="AE872" s="939"/>
      <c r="AF872" s="939"/>
      <c r="AG872" s="939"/>
      <c r="AH872" s="939"/>
      <c r="AI872" s="939"/>
      <c r="AJ872" s="939"/>
      <c r="AK872" s="939"/>
      <c r="AL872" s="939"/>
      <c r="AM872" s="939"/>
      <c r="AN872" s="939"/>
    </row>
    <row r="873" spans="1:40" ht="15" customHeight="1">
      <c r="A873" s="939"/>
      <c r="B873" s="939"/>
      <c r="C873" s="939"/>
      <c r="D873" s="939"/>
      <c r="E873" s="939"/>
      <c r="F873" s="939"/>
      <c r="G873" s="939"/>
      <c r="H873" s="939"/>
      <c r="I873" s="939"/>
      <c r="J873" s="939"/>
      <c r="K873" s="939"/>
      <c r="L873" s="939"/>
      <c r="M873" s="939"/>
      <c r="N873" s="939"/>
      <c r="O873" s="939"/>
      <c r="P873" s="939"/>
      <c r="Q873" s="939"/>
      <c r="R873" s="939"/>
      <c r="S873" s="939"/>
      <c r="T873" s="939"/>
      <c r="U873" s="939"/>
      <c r="V873" s="939"/>
      <c r="W873" s="939"/>
      <c r="X873" s="939"/>
      <c r="Y873" s="939"/>
      <c r="Z873" s="939"/>
      <c r="AA873" s="939"/>
      <c r="AB873" s="939"/>
      <c r="AC873" s="939"/>
      <c r="AD873" s="939"/>
      <c r="AE873" s="939"/>
      <c r="AF873" s="939"/>
      <c r="AG873" s="939"/>
      <c r="AH873" s="939"/>
      <c r="AI873" s="939"/>
      <c r="AJ873" s="939"/>
      <c r="AK873" s="939"/>
      <c r="AL873" s="939"/>
      <c r="AM873" s="939"/>
      <c r="AN873" s="939"/>
    </row>
    <row r="874" spans="1:40" ht="15" customHeight="1">
      <c r="A874" s="939"/>
      <c r="B874" s="939"/>
      <c r="C874" s="939"/>
      <c r="D874" s="939"/>
      <c r="E874" s="939"/>
      <c r="F874" s="939"/>
      <c r="G874" s="939"/>
      <c r="H874" s="939"/>
      <c r="I874" s="939"/>
      <c r="J874" s="939"/>
      <c r="K874" s="939"/>
      <c r="L874" s="939"/>
      <c r="M874" s="939"/>
      <c r="N874" s="939"/>
      <c r="O874" s="939"/>
      <c r="P874" s="939"/>
      <c r="Q874" s="939"/>
      <c r="R874" s="939"/>
      <c r="S874" s="939"/>
      <c r="T874" s="939"/>
      <c r="U874" s="939"/>
      <c r="V874" s="939"/>
      <c r="W874" s="939"/>
      <c r="X874" s="939"/>
      <c r="Y874" s="939"/>
      <c r="Z874" s="939"/>
      <c r="AA874" s="939"/>
      <c r="AB874" s="939"/>
      <c r="AC874" s="939"/>
      <c r="AD874" s="939"/>
      <c r="AE874" s="939"/>
      <c r="AF874" s="939"/>
      <c r="AG874" s="939"/>
      <c r="AH874" s="939"/>
      <c r="AI874" s="939"/>
      <c r="AJ874" s="939"/>
      <c r="AK874" s="939"/>
      <c r="AL874" s="939"/>
      <c r="AM874" s="939"/>
      <c r="AN874" s="939"/>
    </row>
    <row r="875" spans="1:40" ht="15" customHeight="1">
      <c r="A875" s="939"/>
      <c r="B875" s="939"/>
      <c r="C875" s="939"/>
      <c r="D875" s="939"/>
      <c r="E875" s="939"/>
      <c r="F875" s="939"/>
      <c r="G875" s="939"/>
      <c r="H875" s="939"/>
      <c r="I875" s="939"/>
      <c r="J875" s="939"/>
      <c r="K875" s="939"/>
      <c r="L875" s="939"/>
      <c r="M875" s="939"/>
      <c r="N875" s="939"/>
      <c r="O875" s="939"/>
      <c r="P875" s="939"/>
      <c r="Q875" s="939"/>
      <c r="R875" s="939"/>
      <c r="S875" s="939"/>
      <c r="T875" s="939"/>
      <c r="U875" s="939"/>
      <c r="V875" s="939"/>
      <c r="W875" s="939"/>
      <c r="X875" s="939"/>
      <c r="Y875" s="939"/>
      <c r="Z875" s="939"/>
      <c r="AA875" s="939"/>
      <c r="AB875" s="939"/>
      <c r="AC875" s="939"/>
      <c r="AD875" s="939"/>
      <c r="AE875" s="939"/>
      <c r="AF875" s="939"/>
      <c r="AG875" s="939"/>
      <c r="AH875" s="939"/>
      <c r="AI875" s="939"/>
      <c r="AJ875" s="939"/>
      <c r="AK875" s="939"/>
      <c r="AL875" s="939"/>
      <c r="AM875" s="939"/>
      <c r="AN875" s="939"/>
    </row>
    <row r="876" spans="1:40" ht="15" customHeight="1">
      <c r="A876" s="939"/>
      <c r="B876" s="939"/>
      <c r="C876" s="939"/>
      <c r="D876" s="939"/>
      <c r="E876" s="939"/>
      <c r="F876" s="939"/>
      <c r="G876" s="939"/>
      <c r="H876" s="939"/>
      <c r="I876" s="939"/>
      <c r="J876" s="939"/>
      <c r="K876" s="939"/>
      <c r="L876" s="939"/>
      <c r="M876" s="939"/>
      <c r="N876" s="939"/>
      <c r="O876" s="939"/>
      <c r="P876" s="939"/>
      <c r="Q876" s="939"/>
      <c r="R876" s="939"/>
      <c r="S876" s="939"/>
      <c r="T876" s="939"/>
      <c r="U876" s="939"/>
      <c r="V876" s="939"/>
      <c r="W876" s="939"/>
      <c r="X876" s="939"/>
      <c r="Y876" s="939"/>
      <c r="Z876" s="939"/>
      <c r="AA876" s="939"/>
      <c r="AB876" s="939"/>
      <c r="AC876" s="939"/>
      <c r="AD876" s="939"/>
      <c r="AE876" s="939"/>
      <c r="AF876" s="939"/>
      <c r="AG876" s="939"/>
      <c r="AH876" s="939"/>
      <c r="AI876" s="939"/>
      <c r="AJ876" s="939"/>
      <c r="AK876" s="939"/>
      <c r="AL876" s="939"/>
      <c r="AM876" s="939"/>
      <c r="AN876" s="939"/>
    </row>
    <row r="877" spans="1:40" ht="15" customHeight="1">
      <c r="A877" s="939"/>
      <c r="B877" s="939"/>
      <c r="C877" s="939"/>
      <c r="D877" s="939"/>
      <c r="E877" s="939"/>
      <c r="F877" s="939"/>
      <c r="G877" s="939"/>
      <c r="H877" s="939"/>
      <c r="I877" s="939"/>
      <c r="J877" s="939"/>
      <c r="K877" s="939"/>
      <c r="L877" s="939"/>
      <c r="M877" s="939"/>
      <c r="N877" s="939"/>
      <c r="O877" s="939"/>
      <c r="P877" s="939"/>
      <c r="Q877" s="939"/>
      <c r="R877" s="939"/>
      <c r="S877" s="939"/>
      <c r="T877" s="939"/>
      <c r="U877" s="939"/>
      <c r="V877" s="939"/>
      <c r="W877" s="939"/>
      <c r="X877" s="939"/>
      <c r="Y877" s="939"/>
      <c r="Z877" s="939"/>
      <c r="AA877" s="939"/>
      <c r="AB877" s="939"/>
      <c r="AC877" s="939"/>
      <c r="AD877" s="939"/>
      <c r="AE877" s="939"/>
      <c r="AF877" s="939"/>
      <c r="AG877" s="939"/>
      <c r="AH877" s="939"/>
      <c r="AI877" s="939"/>
      <c r="AJ877" s="939"/>
      <c r="AK877" s="939"/>
      <c r="AL877" s="939"/>
      <c r="AM877" s="939"/>
      <c r="AN877" s="939"/>
    </row>
    <row r="878" spans="1:40" ht="15" customHeight="1">
      <c r="A878" s="939"/>
      <c r="B878" s="939"/>
      <c r="C878" s="939"/>
      <c r="D878" s="939"/>
      <c r="E878" s="939"/>
      <c r="F878" s="939"/>
      <c r="G878" s="939"/>
      <c r="H878" s="939"/>
      <c r="I878" s="939"/>
      <c r="J878" s="939"/>
      <c r="K878" s="939"/>
      <c r="L878" s="939"/>
      <c r="M878" s="939"/>
      <c r="N878" s="939"/>
      <c r="O878" s="939"/>
      <c r="P878" s="939"/>
      <c r="Q878" s="939"/>
      <c r="R878" s="939"/>
      <c r="S878" s="939"/>
      <c r="T878" s="939"/>
      <c r="U878" s="939"/>
      <c r="V878" s="939"/>
      <c r="W878" s="939"/>
      <c r="X878" s="939"/>
      <c r="Y878" s="939"/>
      <c r="Z878" s="939"/>
      <c r="AA878" s="939"/>
      <c r="AB878" s="939"/>
      <c r="AC878" s="939"/>
      <c r="AD878" s="939"/>
      <c r="AE878" s="939"/>
      <c r="AF878" s="939"/>
      <c r="AG878" s="939"/>
      <c r="AH878" s="939"/>
      <c r="AI878" s="939"/>
      <c r="AJ878" s="939"/>
      <c r="AK878" s="939"/>
      <c r="AL878" s="939"/>
      <c r="AM878" s="939"/>
      <c r="AN878" s="939"/>
    </row>
    <row r="879" spans="1:40" ht="15" customHeight="1">
      <c r="A879" s="939"/>
      <c r="B879" s="939"/>
      <c r="C879" s="939"/>
      <c r="D879" s="939"/>
      <c r="E879" s="939"/>
      <c r="F879" s="939"/>
      <c r="G879" s="939"/>
      <c r="H879" s="939"/>
      <c r="I879" s="939"/>
      <c r="J879" s="939"/>
      <c r="K879" s="939"/>
      <c r="L879" s="939"/>
      <c r="M879" s="939"/>
      <c r="N879" s="939"/>
      <c r="O879" s="939"/>
      <c r="P879" s="939"/>
      <c r="Q879" s="939"/>
      <c r="R879" s="939"/>
      <c r="S879" s="939"/>
      <c r="T879" s="939"/>
      <c r="U879" s="939"/>
      <c r="V879" s="939"/>
      <c r="W879" s="939"/>
      <c r="X879" s="939"/>
      <c r="Y879" s="939"/>
      <c r="Z879" s="939"/>
      <c r="AA879" s="939"/>
      <c r="AB879" s="939"/>
      <c r="AC879" s="939"/>
      <c r="AD879" s="939"/>
      <c r="AE879" s="939"/>
      <c r="AF879" s="939"/>
      <c r="AG879" s="939"/>
      <c r="AH879" s="939"/>
      <c r="AI879" s="939"/>
      <c r="AJ879" s="939"/>
      <c r="AK879" s="939"/>
      <c r="AL879" s="939"/>
      <c r="AM879" s="939"/>
      <c r="AN879" s="939"/>
    </row>
    <row r="880" spans="1:40" ht="15" customHeight="1">
      <c r="A880" s="939"/>
      <c r="B880" s="939"/>
      <c r="C880" s="939"/>
      <c r="D880" s="939"/>
      <c r="E880" s="939"/>
      <c r="F880" s="939"/>
      <c r="G880" s="939"/>
      <c r="H880" s="939"/>
      <c r="I880" s="939"/>
      <c r="J880" s="939"/>
      <c r="K880" s="939"/>
      <c r="L880" s="939"/>
      <c r="M880" s="939"/>
      <c r="N880" s="939"/>
      <c r="O880" s="939"/>
      <c r="P880" s="939"/>
      <c r="Q880" s="939"/>
      <c r="R880" s="939"/>
      <c r="S880" s="939"/>
      <c r="T880" s="939"/>
      <c r="U880" s="939"/>
      <c r="V880" s="939"/>
      <c r="W880" s="939"/>
      <c r="X880" s="939"/>
      <c r="Y880" s="939"/>
      <c r="Z880" s="939"/>
      <c r="AA880" s="939"/>
      <c r="AB880" s="939"/>
      <c r="AC880" s="939"/>
      <c r="AD880" s="939"/>
      <c r="AE880" s="939"/>
      <c r="AF880" s="939"/>
      <c r="AG880" s="939"/>
      <c r="AH880" s="939"/>
      <c r="AI880" s="939"/>
      <c r="AJ880" s="939"/>
      <c r="AK880" s="939"/>
      <c r="AL880" s="939"/>
      <c r="AM880" s="939"/>
      <c r="AN880" s="939"/>
    </row>
    <row r="881" spans="1:40" ht="15" customHeight="1">
      <c r="A881" s="939"/>
      <c r="B881" s="939"/>
      <c r="C881" s="939"/>
      <c r="D881" s="939"/>
      <c r="E881" s="939"/>
      <c r="F881" s="939"/>
      <c r="G881" s="939"/>
      <c r="H881" s="939"/>
      <c r="I881" s="939"/>
      <c r="J881" s="939"/>
      <c r="K881" s="939"/>
      <c r="L881" s="939"/>
      <c r="M881" s="939"/>
      <c r="N881" s="939"/>
      <c r="O881" s="939"/>
      <c r="P881" s="939"/>
      <c r="Q881" s="939"/>
      <c r="R881" s="939"/>
      <c r="S881" s="939"/>
      <c r="T881" s="939"/>
      <c r="U881" s="939"/>
      <c r="V881" s="939"/>
      <c r="W881" s="939"/>
      <c r="X881" s="939"/>
      <c r="Y881" s="939"/>
      <c r="Z881" s="939"/>
      <c r="AA881" s="939"/>
      <c r="AB881" s="939"/>
      <c r="AC881" s="939"/>
      <c r="AD881" s="939"/>
      <c r="AE881" s="939"/>
      <c r="AF881" s="939"/>
      <c r="AG881" s="939"/>
      <c r="AH881" s="939"/>
      <c r="AI881" s="939"/>
      <c r="AJ881" s="939"/>
      <c r="AK881" s="939"/>
      <c r="AL881" s="939"/>
      <c r="AM881" s="939"/>
      <c r="AN881" s="939"/>
    </row>
    <row r="882" spans="1:40" ht="15" customHeight="1">
      <c r="A882" s="939"/>
      <c r="B882" s="939"/>
      <c r="C882" s="939"/>
      <c r="D882" s="939"/>
      <c r="E882" s="939"/>
      <c r="F882" s="939"/>
      <c r="G882" s="939"/>
      <c r="H882" s="939"/>
      <c r="I882" s="939"/>
      <c r="J882" s="939"/>
      <c r="K882" s="939"/>
      <c r="L882" s="939"/>
      <c r="M882" s="939"/>
      <c r="N882" s="939"/>
      <c r="O882" s="939"/>
      <c r="P882" s="939"/>
      <c r="Q882" s="939"/>
      <c r="R882" s="939"/>
      <c r="S882" s="939"/>
      <c r="T882" s="939"/>
      <c r="U882" s="939"/>
      <c r="V882" s="939"/>
      <c r="W882" s="939"/>
      <c r="X882" s="939"/>
      <c r="Y882" s="939"/>
      <c r="Z882" s="939"/>
      <c r="AA882" s="939"/>
      <c r="AB882" s="939"/>
      <c r="AC882" s="939"/>
      <c r="AD882" s="939"/>
      <c r="AE882" s="939"/>
      <c r="AF882" s="939"/>
      <c r="AG882" s="939"/>
      <c r="AH882" s="939"/>
      <c r="AI882" s="939"/>
      <c r="AJ882" s="939"/>
      <c r="AK882" s="939"/>
      <c r="AL882" s="939"/>
      <c r="AM882" s="939"/>
      <c r="AN882" s="939"/>
    </row>
    <row r="883" spans="1:40" ht="15" customHeight="1">
      <c r="A883" s="939"/>
      <c r="B883" s="939"/>
      <c r="C883" s="939"/>
      <c r="D883" s="939"/>
      <c r="E883" s="939"/>
      <c r="F883" s="939"/>
      <c r="G883" s="939"/>
      <c r="H883" s="939"/>
      <c r="I883" s="939"/>
      <c r="J883" s="939"/>
      <c r="K883" s="939"/>
      <c r="L883" s="939"/>
      <c r="M883" s="939"/>
      <c r="N883" s="939"/>
      <c r="O883" s="939"/>
      <c r="P883" s="939"/>
      <c r="Q883" s="939"/>
      <c r="R883" s="939"/>
      <c r="S883" s="939"/>
      <c r="T883" s="939"/>
      <c r="U883" s="939"/>
      <c r="V883" s="939"/>
      <c r="W883" s="939"/>
      <c r="X883" s="939"/>
      <c r="Y883" s="939"/>
      <c r="Z883" s="939"/>
      <c r="AA883" s="939"/>
      <c r="AB883" s="939"/>
      <c r="AC883" s="939"/>
      <c r="AD883" s="939"/>
      <c r="AE883" s="939"/>
      <c r="AF883" s="939"/>
      <c r="AG883" s="939"/>
      <c r="AH883" s="939"/>
      <c r="AI883" s="939"/>
      <c r="AJ883" s="939"/>
      <c r="AK883" s="939"/>
      <c r="AL883" s="939"/>
      <c r="AM883" s="939"/>
      <c r="AN883" s="939"/>
    </row>
    <row r="884" spans="1:40" ht="15" customHeight="1">
      <c r="A884" s="939"/>
      <c r="B884" s="939"/>
      <c r="C884" s="939"/>
      <c r="D884" s="939"/>
      <c r="E884" s="939"/>
      <c r="F884" s="939"/>
      <c r="G884" s="939"/>
      <c r="H884" s="939"/>
      <c r="I884" s="939"/>
      <c r="J884" s="939"/>
      <c r="K884" s="939"/>
      <c r="L884" s="939"/>
      <c r="M884" s="939"/>
      <c r="N884" s="939"/>
      <c r="O884" s="939"/>
      <c r="P884" s="939"/>
      <c r="Q884" s="939"/>
      <c r="R884" s="939"/>
      <c r="S884" s="939"/>
      <c r="T884" s="939"/>
      <c r="U884" s="939"/>
      <c r="V884" s="939"/>
      <c r="W884" s="939"/>
      <c r="X884" s="939"/>
      <c r="Y884" s="939"/>
      <c r="Z884" s="939"/>
      <c r="AA884" s="939"/>
      <c r="AB884" s="939"/>
      <c r="AC884" s="939"/>
      <c r="AD884" s="939"/>
      <c r="AE884" s="939"/>
      <c r="AF884" s="939"/>
      <c r="AG884" s="939"/>
      <c r="AH884" s="939"/>
      <c r="AI884" s="939"/>
      <c r="AJ884" s="939"/>
      <c r="AK884" s="939"/>
      <c r="AL884" s="939"/>
      <c r="AM884" s="939"/>
      <c r="AN884" s="939"/>
    </row>
    <row r="885" spans="1:40" ht="15" customHeight="1">
      <c r="A885" s="939"/>
      <c r="B885" s="939"/>
      <c r="C885" s="939"/>
      <c r="D885" s="939"/>
      <c r="E885" s="939"/>
      <c r="F885" s="939"/>
      <c r="G885" s="939"/>
      <c r="H885" s="939"/>
      <c r="I885" s="939"/>
      <c r="J885" s="939"/>
      <c r="K885" s="939"/>
      <c r="L885" s="939"/>
      <c r="M885" s="939"/>
      <c r="N885" s="939"/>
      <c r="O885" s="939"/>
      <c r="P885" s="939"/>
      <c r="Q885" s="939"/>
      <c r="R885" s="939"/>
      <c r="S885" s="939"/>
      <c r="T885" s="939"/>
      <c r="U885" s="939"/>
      <c r="V885" s="939"/>
      <c r="W885" s="939"/>
      <c r="X885" s="939"/>
      <c r="Y885" s="939"/>
      <c r="Z885" s="939"/>
      <c r="AA885" s="939"/>
      <c r="AB885" s="939"/>
      <c r="AC885" s="939"/>
      <c r="AD885" s="939"/>
      <c r="AE885" s="939"/>
      <c r="AF885" s="939"/>
      <c r="AG885" s="939"/>
      <c r="AH885" s="939"/>
      <c r="AI885" s="939"/>
      <c r="AJ885" s="939"/>
      <c r="AK885" s="939"/>
      <c r="AL885" s="939"/>
      <c r="AM885" s="939"/>
      <c r="AN885" s="939"/>
    </row>
    <row r="886" spans="1:40" ht="15" customHeight="1">
      <c r="A886" s="939"/>
      <c r="B886" s="939"/>
      <c r="C886" s="939"/>
      <c r="D886" s="939"/>
      <c r="E886" s="939"/>
      <c r="F886" s="939"/>
      <c r="G886" s="939"/>
      <c r="H886" s="939"/>
      <c r="I886" s="939"/>
      <c r="J886" s="939"/>
      <c r="K886" s="939"/>
      <c r="L886" s="939"/>
      <c r="M886" s="939"/>
      <c r="N886" s="939"/>
      <c r="O886" s="939"/>
      <c r="P886" s="939"/>
      <c r="Q886" s="939"/>
      <c r="R886" s="939"/>
      <c r="S886" s="939"/>
      <c r="T886" s="939"/>
      <c r="U886" s="939"/>
      <c r="V886" s="939"/>
      <c r="W886" s="939"/>
      <c r="X886" s="939"/>
      <c r="Y886" s="939"/>
      <c r="Z886" s="939"/>
      <c r="AA886" s="939"/>
      <c r="AB886" s="939"/>
      <c r="AC886" s="939"/>
      <c r="AD886" s="939"/>
      <c r="AE886" s="939"/>
      <c r="AF886" s="939"/>
      <c r="AG886" s="939"/>
      <c r="AH886" s="939"/>
      <c r="AI886" s="939"/>
      <c r="AJ886" s="939"/>
      <c r="AK886" s="939"/>
      <c r="AL886" s="939"/>
      <c r="AM886" s="939"/>
      <c r="AN886" s="939"/>
    </row>
    <row r="887" spans="1:40" ht="15" customHeight="1">
      <c r="A887" s="939"/>
      <c r="B887" s="939"/>
      <c r="C887" s="939"/>
      <c r="D887" s="939"/>
      <c r="E887" s="939"/>
      <c r="F887" s="939"/>
      <c r="G887" s="939"/>
      <c r="H887" s="939"/>
      <c r="I887" s="939"/>
      <c r="J887" s="939"/>
      <c r="K887" s="939"/>
      <c r="L887" s="939"/>
      <c r="M887" s="939"/>
      <c r="N887" s="939"/>
      <c r="O887" s="939"/>
      <c r="P887" s="939"/>
      <c r="Q887" s="939"/>
      <c r="R887" s="939"/>
      <c r="S887" s="939"/>
      <c r="T887" s="939"/>
      <c r="U887" s="939"/>
      <c r="V887" s="939"/>
      <c r="W887" s="939"/>
      <c r="X887" s="939"/>
      <c r="Y887" s="939"/>
      <c r="Z887" s="939"/>
      <c r="AA887" s="939"/>
      <c r="AB887" s="939"/>
      <c r="AC887" s="939"/>
      <c r="AD887" s="939"/>
      <c r="AE887" s="939"/>
      <c r="AF887" s="939"/>
      <c r="AG887" s="939"/>
      <c r="AH887" s="939"/>
      <c r="AI887" s="939"/>
      <c r="AJ887" s="939"/>
      <c r="AK887" s="939"/>
      <c r="AL887" s="939"/>
      <c r="AM887" s="939"/>
      <c r="AN887" s="939"/>
    </row>
    <row r="888" spans="1:40" ht="15" customHeight="1">
      <c r="A888" s="939"/>
      <c r="B888" s="939"/>
      <c r="C888" s="939"/>
      <c r="D888" s="939"/>
      <c r="E888" s="939"/>
      <c r="F888" s="939"/>
      <c r="G888" s="939"/>
      <c r="H888" s="939"/>
      <c r="I888" s="939"/>
      <c r="J888" s="939"/>
      <c r="K888" s="939"/>
      <c r="L888" s="939"/>
      <c r="M888" s="939"/>
      <c r="N888" s="939"/>
      <c r="O888" s="939"/>
      <c r="P888" s="939"/>
      <c r="Q888" s="939"/>
      <c r="R888" s="939"/>
      <c r="S888" s="939"/>
      <c r="T888" s="939"/>
      <c r="U888" s="939"/>
      <c r="V888" s="939"/>
      <c r="W888" s="939"/>
      <c r="X888" s="939"/>
      <c r="Y888" s="939"/>
      <c r="Z888" s="939"/>
      <c r="AA888" s="939"/>
      <c r="AB888" s="939"/>
      <c r="AC888" s="939"/>
      <c r="AD888" s="939"/>
      <c r="AE888" s="939"/>
      <c r="AF888" s="939"/>
      <c r="AG888" s="939"/>
      <c r="AH888" s="939"/>
      <c r="AI888" s="939"/>
      <c r="AJ888" s="939"/>
      <c r="AK888" s="939"/>
      <c r="AL888" s="939"/>
      <c r="AM888" s="939"/>
      <c r="AN888" s="939"/>
    </row>
    <row r="889" spans="1:40" ht="15" customHeight="1">
      <c r="A889" s="939"/>
      <c r="B889" s="939"/>
      <c r="C889" s="939"/>
      <c r="D889" s="939"/>
      <c r="E889" s="939"/>
      <c r="F889" s="939"/>
      <c r="G889" s="939"/>
      <c r="H889" s="939"/>
      <c r="I889" s="939"/>
      <c r="J889" s="939"/>
      <c r="K889" s="939"/>
      <c r="L889" s="939"/>
      <c r="M889" s="939"/>
      <c r="N889" s="939"/>
      <c r="O889" s="939"/>
      <c r="P889" s="939"/>
      <c r="Q889" s="939"/>
      <c r="R889" s="939"/>
      <c r="S889" s="939"/>
      <c r="T889" s="939"/>
      <c r="U889" s="939"/>
      <c r="V889" s="939"/>
      <c r="W889" s="939"/>
      <c r="X889" s="939"/>
      <c r="Y889" s="939"/>
      <c r="Z889" s="939"/>
      <c r="AA889" s="939"/>
      <c r="AB889" s="939"/>
      <c r="AC889" s="939"/>
      <c r="AD889" s="939"/>
      <c r="AE889" s="939"/>
      <c r="AF889" s="939"/>
      <c r="AG889" s="939"/>
      <c r="AH889" s="939"/>
      <c r="AI889" s="939"/>
      <c r="AJ889" s="939"/>
      <c r="AK889" s="939"/>
      <c r="AL889" s="939"/>
      <c r="AM889" s="939"/>
      <c r="AN889" s="939"/>
    </row>
    <row r="890" spans="1:40" ht="15" customHeight="1">
      <c r="A890" s="939"/>
      <c r="B890" s="939"/>
      <c r="C890" s="939"/>
      <c r="D890" s="939"/>
      <c r="E890" s="939"/>
      <c r="F890" s="939"/>
      <c r="G890" s="939"/>
      <c r="H890" s="939"/>
      <c r="I890" s="939"/>
      <c r="J890" s="939"/>
      <c r="K890" s="939"/>
      <c r="L890" s="939"/>
      <c r="M890" s="939"/>
      <c r="N890" s="939"/>
      <c r="O890" s="939"/>
      <c r="P890" s="939"/>
      <c r="Q890" s="939"/>
      <c r="R890" s="939"/>
      <c r="S890" s="939"/>
      <c r="T890" s="939"/>
      <c r="U890" s="939"/>
      <c r="V890" s="939"/>
      <c r="W890" s="939"/>
      <c r="X890" s="939"/>
      <c r="Y890" s="939"/>
      <c r="Z890" s="939"/>
      <c r="AA890" s="939"/>
      <c r="AB890" s="939"/>
      <c r="AC890" s="939"/>
      <c r="AD890" s="939"/>
      <c r="AE890" s="939"/>
      <c r="AF890" s="939"/>
      <c r="AG890" s="939"/>
      <c r="AH890" s="939"/>
      <c r="AI890" s="939"/>
      <c r="AJ890" s="939"/>
      <c r="AK890" s="939"/>
      <c r="AL890" s="939"/>
      <c r="AM890" s="939"/>
      <c r="AN890" s="939"/>
    </row>
    <row r="891" spans="1:40" ht="15" customHeight="1">
      <c r="A891" s="939"/>
      <c r="B891" s="939"/>
      <c r="C891" s="939"/>
      <c r="D891" s="939"/>
      <c r="E891" s="939"/>
      <c r="F891" s="939"/>
      <c r="G891" s="939"/>
      <c r="H891" s="939"/>
      <c r="I891" s="939"/>
      <c r="J891" s="939"/>
      <c r="K891" s="939"/>
      <c r="L891" s="939"/>
      <c r="M891" s="939"/>
      <c r="N891" s="939"/>
      <c r="O891" s="939"/>
      <c r="P891" s="939"/>
      <c r="Q891" s="939"/>
      <c r="R891" s="939"/>
      <c r="S891" s="939"/>
      <c r="T891" s="939"/>
      <c r="U891" s="939"/>
      <c r="V891" s="939"/>
      <c r="W891" s="939"/>
      <c r="X891" s="939"/>
      <c r="Y891" s="939"/>
      <c r="Z891" s="939"/>
      <c r="AA891" s="939"/>
      <c r="AB891" s="939"/>
      <c r="AC891" s="939"/>
      <c r="AD891" s="939"/>
      <c r="AE891" s="939"/>
      <c r="AF891" s="939"/>
      <c r="AG891" s="939"/>
      <c r="AH891" s="939"/>
      <c r="AI891" s="939"/>
      <c r="AJ891" s="939"/>
      <c r="AK891" s="939"/>
      <c r="AL891" s="939"/>
      <c r="AM891" s="939"/>
      <c r="AN891" s="939"/>
    </row>
    <row r="892" spans="1:40" ht="15" customHeight="1">
      <c r="A892" s="939"/>
      <c r="B892" s="939"/>
      <c r="C892" s="939"/>
      <c r="D892" s="939"/>
      <c r="E892" s="939"/>
      <c r="F892" s="939"/>
      <c r="G892" s="939"/>
      <c r="H892" s="939"/>
      <c r="I892" s="939"/>
      <c r="J892" s="939"/>
      <c r="K892" s="939"/>
      <c r="L892" s="939"/>
      <c r="M892" s="939"/>
      <c r="N892" s="939"/>
      <c r="O892" s="939"/>
      <c r="P892" s="939"/>
      <c r="Q892" s="939"/>
      <c r="R892" s="939"/>
      <c r="S892" s="939"/>
      <c r="T892" s="939"/>
      <c r="U892" s="939"/>
      <c r="V892" s="939"/>
      <c r="W892" s="939"/>
      <c r="X892" s="939"/>
      <c r="Y892" s="939"/>
      <c r="Z892" s="939"/>
      <c r="AA892" s="939"/>
      <c r="AB892" s="939"/>
      <c r="AC892" s="939"/>
      <c r="AD892" s="939"/>
      <c r="AE892" s="939"/>
      <c r="AF892" s="939"/>
      <c r="AG892" s="939"/>
      <c r="AH892" s="939"/>
      <c r="AI892" s="939"/>
      <c r="AJ892" s="939"/>
      <c r="AK892" s="939"/>
      <c r="AL892" s="939"/>
      <c r="AM892" s="939"/>
      <c r="AN892" s="939"/>
    </row>
    <row r="893" spans="1:40" ht="15" customHeight="1">
      <c r="A893" s="939"/>
      <c r="B893" s="939"/>
      <c r="C893" s="939"/>
      <c r="D893" s="939"/>
      <c r="E893" s="939"/>
      <c r="F893" s="939"/>
      <c r="G893" s="939"/>
      <c r="H893" s="939"/>
      <c r="I893" s="939"/>
      <c r="J893" s="939"/>
      <c r="K893" s="939"/>
      <c r="L893" s="939"/>
      <c r="M893" s="939"/>
      <c r="N893" s="939"/>
      <c r="O893" s="939"/>
      <c r="P893" s="939"/>
      <c r="Q893" s="939"/>
      <c r="R893" s="939"/>
      <c r="S893" s="939"/>
      <c r="T893" s="939"/>
      <c r="U893" s="939"/>
      <c r="V893" s="939"/>
      <c r="W893" s="939"/>
      <c r="X893" s="939"/>
      <c r="Y893" s="939"/>
      <c r="Z893" s="939"/>
      <c r="AA893" s="939"/>
      <c r="AB893" s="939"/>
      <c r="AC893" s="939"/>
      <c r="AD893" s="939"/>
      <c r="AE893" s="939"/>
      <c r="AF893" s="939"/>
      <c r="AG893" s="939"/>
      <c r="AH893" s="939"/>
      <c r="AI893" s="939"/>
      <c r="AJ893" s="939"/>
      <c r="AK893" s="939"/>
      <c r="AL893" s="939"/>
      <c r="AM893" s="939"/>
      <c r="AN893" s="939"/>
    </row>
    <row r="894" spans="1:40" ht="15" customHeight="1">
      <c r="A894" s="939"/>
      <c r="B894" s="939"/>
      <c r="C894" s="939"/>
      <c r="D894" s="939"/>
      <c r="E894" s="939"/>
      <c r="F894" s="939"/>
      <c r="G894" s="939"/>
      <c r="H894" s="939"/>
      <c r="I894" s="939"/>
      <c r="J894" s="939"/>
      <c r="K894" s="939"/>
      <c r="L894" s="939"/>
      <c r="M894" s="939"/>
      <c r="N894" s="939"/>
      <c r="O894" s="939"/>
      <c r="P894" s="939"/>
      <c r="Q894" s="939"/>
      <c r="R894" s="939"/>
      <c r="S894" s="939"/>
      <c r="T894" s="939"/>
      <c r="U894" s="939"/>
      <c r="V894" s="939"/>
      <c r="W894" s="939"/>
      <c r="X894" s="939"/>
      <c r="Y894" s="939"/>
      <c r="Z894" s="939"/>
      <c r="AA894" s="939"/>
      <c r="AB894" s="939"/>
      <c r="AC894" s="939"/>
      <c r="AD894" s="939"/>
      <c r="AE894" s="939"/>
      <c r="AF894" s="939"/>
      <c r="AG894" s="939"/>
      <c r="AH894" s="939"/>
      <c r="AI894" s="939"/>
      <c r="AJ894" s="939"/>
      <c r="AK894" s="939"/>
      <c r="AL894" s="939"/>
      <c r="AM894" s="939"/>
      <c r="AN894" s="939"/>
    </row>
    <row r="895" spans="1:40" ht="15" customHeight="1">
      <c r="A895" s="939"/>
      <c r="B895" s="939"/>
      <c r="C895" s="939"/>
      <c r="D895" s="939"/>
      <c r="E895" s="939"/>
      <c r="F895" s="939"/>
      <c r="G895" s="939"/>
      <c r="H895" s="939"/>
      <c r="I895" s="939"/>
      <c r="J895" s="939"/>
      <c r="K895" s="939"/>
      <c r="L895" s="939"/>
      <c r="M895" s="939"/>
      <c r="N895" s="939"/>
      <c r="O895" s="939"/>
      <c r="P895" s="939"/>
      <c r="Q895" s="939"/>
      <c r="R895" s="939"/>
      <c r="S895" s="939"/>
      <c r="T895" s="939"/>
      <c r="U895" s="939"/>
      <c r="V895" s="939"/>
      <c r="W895" s="939"/>
      <c r="X895" s="939"/>
      <c r="Y895" s="939"/>
      <c r="Z895" s="939"/>
      <c r="AA895" s="939"/>
      <c r="AB895" s="939"/>
      <c r="AC895" s="939"/>
      <c r="AD895" s="939"/>
      <c r="AE895" s="939"/>
      <c r="AF895" s="939"/>
      <c r="AG895" s="939"/>
      <c r="AH895" s="939"/>
      <c r="AI895" s="939"/>
      <c r="AJ895" s="939"/>
      <c r="AK895" s="939"/>
      <c r="AL895" s="939"/>
      <c r="AM895" s="939"/>
      <c r="AN895" s="939"/>
    </row>
    <row r="896" spans="1:40" ht="15" customHeight="1">
      <c r="A896" s="939"/>
      <c r="B896" s="939"/>
      <c r="C896" s="939"/>
      <c r="D896" s="939"/>
      <c r="E896" s="939"/>
      <c r="F896" s="939"/>
      <c r="G896" s="939"/>
      <c r="H896" s="939"/>
      <c r="I896" s="939"/>
      <c r="J896" s="939"/>
      <c r="K896" s="939"/>
      <c r="L896" s="939"/>
      <c r="M896" s="939"/>
      <c r="N896" s="939"/>
      <c r="O896" s="939"/>
      <c r="P896" s="939"/>
      <c r="Q896" s="939"/>
      <c r="R896" s="939"/>
      <c r="S896" s="939"/>
      <c r="T896" s="939"/>
      <c r="U896" s="939"/>
      <c r="V896" s="939"/>
      <c r="W896" s="939"/>
      <c r="X896" s="939"/>
      <c r="Y896" s="939"/>
      <c r="Z896" s="939"/>
      <c r="AA896" s="939"/>
      <c r="AB896" s="939"/>
      <c r="AC896" s="939"/>
      <c r="AD896" s="939"/>
      <c r="AE896" s="939"/>
      <c r="AF896" s="939"/>
      <c r="AG896" s="939"/>
      <c r="AH896" s="939"/>
      <c r="AI896" s="939"/>
      <c r="AJ896" s="939"/>
      <c r="AK896" s="939"/>
      <c r="AL896" s="939"/>
      <c r="AM896" s="939"/>
      <c r="AN896" s="939"/>
    </row>
    <row r="897" spans="1:40" ht="15" customHeight="1">
      <c r="A897" s="939"/>
      <c r="B897" s="939"/>
      <c r="C897" s="939"/>
      <c r="D897" s="939"/>
      <c r="E897" s="939"/>
      <c r="F897" s="939"/>
      <c r="G897" s="939"/>
      <c r="H897" s="939"/>
      <c r="I897" s="939"/>
      <c r="J897" s="939"/>
      <c r="K897" s="939"/>
      <c r="L897" s="939"/>
      <c r="M897" s="939"/>
      <c r="N897" s="939"/>
      <c r="O897" s="939"/>
      <c r="P897" s="939"/>
      <c r="Q897" s="939"/>
      <c r="R897" s="939"/>
      <c r="S897" s="939"/>
      <c r="T897" s="939"/>
      <c r="U897" s="939"/>
      <c r="V897" s="939"/>
      <c r="W897" s="939"/>
      <c r="X897" s="939"/>
      <c r="Y897" s="939"/>
      <c r="Z897" s="939"/>
      <c r="AA897" s="939"/>
      <c r="AB897" s="939"/>
      <c r="AC897" s="939"/>
      <c r="AD897" s="939"/>
      <c r="AE897" s="939"/>
      <c r="AF897" s="939"/>
      <c r="AG897" s="939"/>
      <c r="AH897" s="939"/>
      <c r="AI897" s="939"/>
      <c r="AJ897" s="939"/>
      <c r="AK897" s="939"/>
      <c r="AL897" s="939"/>
      <c r="AM897" s="939"/>
      <c r="AN897" s="939"/>
    </row>
    <row r="898" spans="1:40" ht="15" customHeight="1">
      <c r="A898" s="939"/>
      <c r="B898" s="939"/>
      <c r="C898" s="939"/>
      <c r="D898" s="939"/>
      <c r="E898" s="939"/>
      <c r="F898" s="939"/>
      <c r="G898" s="939"/>
      <c r="H898" s="939"/>
      <c r="I898" s="939"/>
      <c r="J898" s="939"/>
      <c r="K898" s="939"/>
      <c r="L898" s="939"/>
      <c r="M898" s="939"/>
      <c r="N898" s="939"/>
      <c r="O898" s="939"/>
      <c r="P898" s="939"/>
      <c r="Q898" s="939"/>
      <c r="R898" s="939"/>
      <c r="S898" s="939"/>
      <c r="T898" s="939"/>
      <c r="U898" s="939"/>
      <c r="V898" s="939"/>
      <c r="W898" s="939"/>
      <c r="X898" s="939"/>
      <c r="Y898" s="939"/>
      <c r="Z898" s="939"/>
      <c r="AA898" s="939"/>
      <c r="AB898" s="939"/>
      <c r="AC898" s="939"/>
      <c r="AD898" s="939"/>
      <c r="AE898" s="939"/>
      <c r="AF898" s="939"/>
      <c r="AG898" s="939"/>
      <c r="AH898" s="939"/>
      <c r="AI898" s="939"/>
      <c r="AJ898" s="939"/>
      <c r="AK898" s="939"/>
      <c r="AL898" s="939"/>
      <c r="AM898" s="939"/>
      <c r="AN898" s="939"/>
    </row>
    <row r="899" spans="1:40" ht="15" customHeight="1">
      <c r="A899" s="939"/>
      <c r="B899" s="939"/>
      <c r="C899" s="939"/>
      <c r="D899" s="939"/>
      <c r="E899" s="939"/>
      <c r="F899" s="939"/>
      <c r="G899" s="939"/>
      <c r="H899" s="939"/>
      <c r="I899" s="939"/>
      <c r="J899" s="939"/>
      <c r="K899" s="939"/>
      <c r="L899" s="939"/>
      <c r="M899" s="939"/>
      <c r="N899" s="939"/>
      <c r="O899" s="939"/>
      <c r="P899" s="939"/>
      <c r="Q899" s="939"/>
      <c r="R899" s="939"/>
      <c r="S899" s="939"/>
      <c r="T899" s="939"/>
      <c r="U899" s="939"/>
      <c r="V899" s="939"/>
      <c r="W899" s="939"/>
      <c r="X899" s="939"/>
      <c r="Y899" s="939"/>
      <c r="Z899" s="939"/>
      <c r="AA899" s="939"/>
      <c r="AB899" s="939"/>
      <c r="AC899" s="939"/>
      <c r="AD899" s="939"/>
      <c r="AE899" s="939"/>
      <c r="AF899" s="939"/>
      <c r="AG899" s="939"/>
      <c r="AH899" s="939"/>
      <c r="AI899" s="939"/>
      <c r="AJ899" s="939"/>
      <c r="AK899" s="939"/>
      <c r="AL899" s="939"/>
      <c r="AM899" s="939"/>
      <c r="AN899" s="939"/>
    </row>
    <row r="900" spans="1:40" ht="15" customHeight="1">
      <c r="A900" s="939"/>
      <c r="B900" s="939"/>
      <c r="C900" s="939"/>
      <c r="D900" s="939"/>
      <c r="E900" s="939"/>
      <c r="F900" s="939"/>
      <c r="G900" s="939"/>
      <c r="H900" s="939"/>
      <c r="I900" s="939"/>
      <c r="J900" s="939"/>
      <c r="K900" s="939"/>
      <c r="L900" s="939"/>
      <c r="M900" s="939"/>
      <c r="N900" s="939"/>
      <c r="O900" s="939"/>
      <c r="P900" s="939"/>
      <c r="Q900" s="939"/>
      <c r="R900" s="939"/>
      <c r="S900" s="939"/>
      <c r="T900" s="939"/>
      <c r="U900" s="939"/>
      <c r="V900" s="939"/>
      <c r="W900" s="939"/>
      <c r="X900" s="939"/>
      <c r="Y900" s="939"/>
      <c r="Z900" s="939"/>
      <c r="AA900" s="939"/>
      <c r="AB900" s="939"/>
      <c r="AC900" s="939"/>
      <c r="AD900" s="939"/>
      <c r="AE900" s="939"/>
      <c r="AF900" s="939"/>
      <c r="AG900" s="939"/>
      <c r="AH900" s="939"/>
      <c r="AI900" s="939"/>
      <c r="AJ900" s="939"/>
      <c r="AK900" s="939"/>
      <c r="AL900" s="939"/>
      <c r="AM900" s="939"/>
      <c r="AN900" s="939"/>
    </row>
    <row r="901" spans="1:40" ht="15" customHeight="1">
      <c r="A901" s="939"/>
      <c r="B901" s="939"/>
      <c r="C901" s="939"/>
      <c r="D901" s="939"/>
      <c r="E901" s="939"/>
      <c r="F901" s="939"/>
      <c r="G901" s="939"/>
      <c r="H901" s="939"/>
      <c r="I901" s="939"/>
      <c r="J901" s="939"/>
      <c r="K901" s="939"/>
      <c r="L901" s="939"/>
      <c r="M901" s="939"/>
      <c r="N901" s="939"/>
      <c r="O901" s="939"/>
      <c r="P901" s="939"/>
      <c r="Q901" s="939"/>
      <c r="R901" s="939"/>
      <c r="S901" s="939"/>
      <c r="T901" s="939"/>
      <c r="U901" s="939"/>
      <c r="V901" s="939"/>
      <c r="W901" s="939"/>
      <c r="X901" s="939"/>
      <c r="Y901" s="939"/>
      <c r="Z901" s="939"/>
      <c r="AA901" s="939"/>
      <c r="AB901" s="939"/>
      <c r="AC901" s="939"/>
      <c r="AD901" s="939"/>
      <c r="AE901" s="939"/>
      <c r="AF901" s="939"/>
      <c r="AG901" s="939"/>
      <c r="AH901" s="939"/>
      <c r="AI901" s="939"/>
      <c r="AJ901" s="939"/>
      <c r="AK901" s="939"/>
      <c r="AL901" s="939"/>
      <c r="AM901" s="939"/>
      <c r="AN901" s="939"/>
    </row>
    <row r="902" spans="1:40" ht="15" customHeight="1">
      <c r="A902" s="939"/>
      <c r="B902" s="939"/>
      <c r="C902" s="939"/>
      <c r="D902" s="939"/>
      <c r="E902" s="939"/>
      <c r="F902" s="939"/>
      <c r="G902" s="939"/>
      <c r="H902" s="939"/>
      <c r="I902" s="939"/>
      <c r="J902" s="939"/>
      <c r="K902" s="939"/>
      <c r="L902" s="939"/>
      <c r="M902" s="939"/>
      <c r="N902" s="939"/>
      <c r="O902" s="939"/>
      <c r="P902" s="939"/>
      <c r="Q902" s="939"/>
      <c r="R902" s="939"/>
      <c r="S902" s="939"/>
      <c r="T902" s="939"/>
      <c r="U902" s="939"/>
      <c r="V902" s="939"/>
      <c r="W902" s="939"/>
      <c r="X902" s="939"/>
      <c r="Y902" s="939"/>
      <c r="Z902" s="939"/>
      <c r="AA902" s="939"/>
      <c r="AB902" s="939"/>
      <c r="AC902" s="939"/>
      <c r="AD902" s="939"/>
      <c r="AE902" s="939"/>
      <c r="AF902" s="939"/>
      <c r="AG902" s="939"/>
      <c r="AH902" s="939"/>
      <c r="AI902" s="939"/>
      <c r="AJ902" s="939"/>
      <c r="AK902" s="939"/>
      <c r="AL902" s="939"/>
      <c r="AM902" s="939"/>
      <c r="AN902" s="939"/>
    </row>
    <row r="903" spans="1:40" ht="15" customHeight="1">
      <c r="A903" s="939"/>
      <c r="B903" s="939"/>
      <c r="C903" s="939"/>
      <c r="D903" s="939"/>
      <c r="E903" s="939"/>
      <c r="F903" s="939"/>
      <c r="G903" s="939"/>
      <c r="H903" s="939"/>
      <c r="I903" s="939"/>
      <c r="J903" s="939"/>
      <c r="K903" s="939"/>
      <c r="L903" s="939"/>
      <c r="M903" s="939"/>
      <c r="N903" s="939"/>
      <c r="O903" s="939"/>
      <c r="P903" s="939"/>
      <c r="Q903" s="939"/>
      <c r="R903" s="939"/>
      <c r="S903" s="939"/>
      <c r="T903" s="939"/>
      <c r="U903" s="939"/>
      <c r="V903" s="939"/>
      <c r="W903" s="939"/>
      <c r="X903" s="939"/>
      <c r="Y903" s="939"/>
      <c r="Z903" s="939"/>
      <c r="AA903" s="939"/>
      <c r="AB903" s="939"/>
      <c r="AC903" s="939"/>
      <c r="AD903" s="939"/>
      <c r="AE903" s="939"/>
      <c r="AF903" s="939"/>
      <c r="AG903" s="939"/>
      <c r="AH903" s="939"/>
      <c r="AI903" s="939"/>
      <c r="AJ903" s="939"/>
      <c r="AK903" s="939"/>
      <c r="AL903" s="939"/>
      <c r="AM903" s="939"/>
      <c r="AN903" s="939"/>
    </row>
    <row r="904" spans="1:40" ht="15" customHeight="1">
      <c r="A904" s="939"/>
      <c r="B904" s="939"/>
      <c r="C904" s="939"/>
      <c r="D904" s="939"/>
      <c r="E904" s="939"/>
      <c r="F904" s="939"/>
      <c r="G904" s="939"/>
      <c r="H904" s="939"/>
      <c r="I904" s="939"/>
      <c r="J904" s="939"/>
      <c r="K904" s="939"/>
      <c r="L904" s="939"/>
      <c r="M904" s="939"/>
      <c r="N904" s="939"/>
      <c r="O904" s="939"/>
      <c r="P904" s="939"/>
      <c r="Q904" s="939"/>
      <c r="R904" s="939"/>
      <c r="S904" s="939"/>
      <c r="T904" s="939"/>
      <c r="U904" s="939"/>
      <c r="V904" s="939"/>
      <c r="W904" s="939"/>
      <c r="X904" s="939"/>
      <c r="Y904" s="939"/>
      <c r="Z904" s="939"/>
      <c r="AA904" s="939"/>
      <c r="AB904" s="939"/>
      <c r="AC904" s="939"/>
      <c r="AD904" s="939"/>
      <c r="AE904" s="939"/>
      <c r="AF904" s="939"/>
      <c r="AG904" s="939"/>
      <c r="AH904" s="939"/>
      <c r="AI904" s="939"/>
      <c r="AJ904" s="939"/>
      <c r="AK904" s="939"/>
      <c r="AL904" s="939"/>
      <c r="AM904" s="939"/>
      <c r="AN904" s="939"/>
    </row>
    <row r="905" spans="1:40" ht="15" customHeight="1">
      <c r="A905" s="939"/>
      <c r="B905" s="939"/>
      <c r="C905" s="939"/>
      <c r="D905" s="939"/>
      <c r="E905" s="939"/>
      <c r="F905" s="939"/>
      <c r="G905" s="939"/>
      <c r="H905" s="939"/>
      <c r="I905" s="939"/>
      <c r="J905" s="939"/>
      <c r="K905" s="939"/>
      <c r="L905" s="939"/>
      <c r="M905" s="939"/>
      <c r="N905" s="939"/>
      <c r="O905" s="939"/>
      <c r="P905" s="939"/>
      <c r="Q905" s="939"/>
      <c r="R905" s="939"/>
      <c r="S905" s="939"/>
      <c r="T905" s="939"/>
      <c r="U905" s="939"/>
      <c r="V905" s="939"/>
      <c r="W905" s="939"/>
      <c r="X905" s="939"/>
      <c r="Y905" s="939"/>
      <c r="Z905" s="939"/>
      <c r="AA905" s="939"/>
      <c r="AB905" s="939"/>
      <c r="AC905" s="939"/>
      <c r="AD905" s="939"/>
      <c r="AE905" s="939"/>
      <c r="AF905" s="939"/>
      <c r="AG905" s="939"/>
      <c r="AH905" s="939"/>
      <c r="AI905" s="939"/>
      <c r="AJ905" s="939"/>
      <c r="AK905" s="939"/>
      <c r="AL905" s="939"/>
      <c r="AM905" s="939"/>
      <c r="AN905" s="939"/>
    </row>
    <row r="906" spans="1:40" ht="15" customHeight="1">
      <c r="A906" s="939"/>
      <c r="B906" s="939"/>
      <c r="C906" s="939"/>
      <c r="D906" s="939"/>
      <c r="E906" s="939"/>
      <c r="F906" s="939"/>
      <c r="G906" s="939"/>
      <c r="H906" s="939"/>
      <c r="I906" s="939"/>
      <c r="J906" s="939"/>
      <c r="K906" s="939"/>
      <c r="L906" s="939"/>
      <c r="M906" s="939"/>
      <c r="N906" s="939"/>
      <c r="O906" s="939"/>
      <c r="P906" s="939"/>
      <c r="Q906" s="939"/>
      <c r="R906" s="939"/>
      <c r="S906" s="939"/>
      <c r="T906" s="939"/>
      <c r="U906" s="939"/>
      <c r="V906" s="939"/>
      <c r="W906" s="939"/>
      <c r="X906" s="939"/>
      <c r="Y906" s="939"/>
      <c r="Z906" s="939"/>
      <c r="AA906" s="939"/>
      <c r="AB906" s="939"/>
      <c r="AC906" s="939"/>
      <c r="AD906" s="939"/>
      <c r="AE906" s="939"/>
      <c r="AF906" s="939"/>
      <c r="AG906" s="939"/>
      <c r="AH906" s="939"/>
      <c r="AI906" s="939"/>
      <c r="AJ906" s="939"/>
      <c r="AK906" s="939"/>
      <c r="AL906" s="939"/>
      <c r="AM906" s="939"/>
      <c r="AN906" s="939"/>
    </row>
    <row r="907" spans="1:40" ht="15" customHeight="1">
      <c r="A907" s="939"/>
      <c r="B907" s="939"/>
      <c r="C907" s="939"/>
      <c r="D907" s="939"/>
      <c r="E907" s="939"/>
      <c r="F907" s="939"/>
      <c r="G907" s="939"/>
      <c r="H907" s="939"/>
      <c r="I907" s="939"/>
      <c r="J907" s="939"/>
      <c r="K907" s="939"/>
      <c r="L907" s="939"/>
      <c r="M907" s="939"/>
      <c r="N907" s="939"/>
      <c r="O907" s="939"/>
      <c r="P907" s="939"/>
      <c r="Q907" s="939"/>
      <c r="R907" s="939"/>
      <c r="S907" s="939"/>
      <c r="T907" s="939"/>
      <c r="U907" s="939"/>
      <c r="V907" s="939"/>
      <c r="W907" s="939"/>
      <c r="X907" s="939"/>
      <c r="Y907" s="939"/>
      <c r="Z907" s="939"/>
      <c r="AA907" s="939"/>
      <c r="AB907" s="939"/>
      <c r="AC907" s="939"/>
      <c r="AD907" s="939"/>
      <c r="AE907" s="939"/>
      <c r="AF907" s="939"/>
      <c r="AG907" s="939"/>
      <c r="AH907" s="939"/>
      <c r="AI907" s="939"/>
      <c r="AJ907" s="939"/>
      <c r="AK907" s="939"/>
      <c r="AL907" s="939"/>
      <c r="AM907" s="939"/>
      <c r="AN907" s="939"/>
    </row>
    <row r="908" spans="1:40" ht="15" customHeight="1">
      <c r="A908" s="939"/>
      <c r="B908" s="939"/>
      <c r="C908" s="939"/>
      <c r="D908" s="939"/>
      <c r="E908" s="939"/>
      <c r="F908" s="939"/>
      <c r="G908" s="939"/>
      <c r="H908" s="939"/>
      <c r="I908" s="939"/>
      <c r="J908" s="939"/>
      <c r="K908" s="939"/>
      <c r="L908" s="939"/>
      <c r="M908" s="939"/>
      <c r="N908" s="939"/>
      <c r="O908" s="939"/>
      <c r="P908" s="939"/>
      <c r="Q908" s="939"/>
      <c r="R908" s="939"/>
      <c r="S908" s="939"/>
      <c r="T908" s="939"/>
      <c r="U908" s="939"/>
      <c r="V908" s="939"/>
      <c r="W908" s="939"/>
      <c r="X908" s="939"/>
      <c r="Y908" s="939"/>
      <c r="Z908" s="939"/>
      <c r="AA908" s="939"/>
      <c r="AB908" s="939"/>
      <c r="AC908" s="939"/>
      <c r="AD908" s="939"/>
      <c r="AE908" s="939"/>
      <c r="AF908" s="939"/>
      <c r="AG908" s="939"/>
      <c r="AH908" s="939"/>
      <c r="AI908" s="939"/>
      <c r="AJ908" s="939"/>
      <c r="AK908" s="939"/>
      <c r="AL908" s="939"/>
      <c r="AM908" s="939"/>
      <c r="AN908" s="939"/>
    </row>
    <row r="909" spans="1:40" ht="15" customHeight="1">
      <c r="A909" s="939"/>
      <c r="B909" s="939"/>
      <c r="C909" s="939"/>
      <c r="D909" s="939"/>
      <c r="E909" s="939"/>
      <c r="F909" s="939"/>
      <c r="G909" s="939"/>
      <c r="H909" s="939"/>
      <c r="I909" s="939"/>
      <c r="J909" s="939"/>
      <c r="K909" s="939"/>
      <c r="L909" s="939"/>
      <c r="M909" s="939"/>
      <c r="N909" s="939"/>
      <c r="O909" s="939"/>
      <c r="P909" s="939"/>
      <c r="Q909" s="939"/>
      <c r="R909" s="939"/>
      <c r="S909" s="939"/>
      <c r="T909" s="939"/>
      <c r="U909" s="939"/>
      <c r="V909" s="939"/>
      <c r="W909" s="939"/>
      <c r="X909" s="939"/>
      <c r="Y909" s="939"/>
      <c r="Z909" s="939"/>
      <c r="AA909" s="939"/>
      <c r="AB909" s="939"/>
      <c r="AC909" s="939"/>
      <c r="AD909" s="939"/>
      <c r="AE909" s="939"/>
      <c r="AF909" s="939"/>
      <c r="AG909" s="939"/>
      <c r="AH909" s="939"/>
      <c r="AI909" s="939"/>
      <c r="AJ909" s="939"/>
      <c r="AK909" s="939"/>
      <c r="AL909" s="939"/>
      <c r="AM909" s="939"/>
      <c r="AN909" s="939"/>
    </row>
    <row r="910" spans="1:40" ht="15" customHeight="1">
      <c r="A910" s="939"/>
      <c r="B910" s="939"/>
      <c r="C910" s="939"/>
      <c r="D910" s="939"/>
      <c r="E910" s="939"/>
      <c r="F910" s="939"/>
      <c r="G910" s="939"/>
      <c r="H910" s="939"/>
      <c r="I910" s="939"/>
      <c r="J910" s="939"/>
      <c r="K910" s="939"/>
      <c r="L910" s="939"/>
      <c r="M910" s="939"/>
      <c r="N910" s="939"/>
      <c r="O910" s="939"/>
      <c r="P910" s="939"/>
      <c r="Q910" s="939"/>
      <c r="R910" s="939"/>
      <c r="S910" s="939"/>
      <c r="T910" s="939"/>
      <c r="U910" s="939"/>
      <c r="V910" s="939"/>
      <c r="W910" s="939"/>
      <c r="X910" s="939"/>
      <c r="Y910" s="939"/>
      <c r="Z910" s="939"/>
      <c r="AA910" s="939"/>
      <c r="AB910" s="939"/>
      <c r="AC910" s="939"/>
      <c r="AD910" s="939"/>
      <c r="AE910" s="939"/>
      <c r="AF910" s="939"/>
      <c r="AG910" s="939"/>
      <c r="AH910" s="939"/>
      <c r="AI910" s="939"/>
      <c r="AJ910" s="939"/>
      <c r="AK910" s="939"/>
      <c r="AL910" s="939"/>
      <c r="AM910" s="939"/>
      <c r="AN910" s="939"/>
    </row>
    <row r="911" spans="1:40" ht="15" customHeight="1">
      <c r="A911" s="939"/>
      <c r="B911" s="939"/>
      <c r="C911" s="939"/>
      <c r="D911" s="939"/>
      <c r="E911" s="939"/>
      <c r="F911" s="939"/>
      <c r="G911" s="939"/>
      <c r="H911" s="939"/>
      <c r="I911" s="939"/>
      <c r="J911" s="939"/>
      <c r="K911" s="939"/>
      <c r="L911" s="939"/>
      <c r="M911" s="939"/>
      <c r="N911" s="939"/>
      <c r="O911" s="939"/>
      <c r="P911" s="939"/>
      <c r="Q911" s="939"/>
      <c r="R911" s="939"/>
      <c r="S911" s="939"/>
      <c r="T911" s="939"/>
      <c r="U911" s="939"/>
      <c r="V911" s="939"/>
      <c r="W911" s="939"/>
      <c r="X911" s="939"/>
      <c r="Y911" s="939"/>
      <c r="Z911" s="939"/>
      <c r="AA911" s="939"/>
      <c r="AB911" s="939"/>
      <c r="AC911" s="939"/>
      <c r="AD911" s="939"/>
      <c r="AE911" s="939"/>
      <c r="AF911" s="939"/>
      <c r="AG911" s="939"/>
      <c r="AH911" s="939"/>
      <c r="AI911" s="939"/>
      <c r="AJ911" s="939"/>
      <c r="AK911" s="939"/>
      <c r="AL911" s="939"/>
      <c r="AM911" s="939"/>
      <c r="AN911" s="939"/>
    </row>
    <row r="912" spans="1:40" ht="15" customHeight="1">
      <c r="A912" s="939"/>
      <c r="B912" s="939"/>
      <c r="C912" s="939"/>
      <c r="D912" s="939"/>
      <c r="E912" s="939"/>
      <c r="F912" s="939"/>
      <c r="G912" s="939"/>
      <c r="H912" s="939"/>
      <c r="I912" s="939"/>
      <c r="J912" s="939"/>
      <c r="K912" s="939"/>
      <c r="L912" s="939"/>
      <c r="M912" s="939"/>
      <c r="N912" s="939"/>
      <c r="O912" s="939"/>
      <c r="P912" s="939"/>
      <c r="Q912" s="939"/>
      <c r="R912" s="939"/>
      <c r="S912" s="939"/>
      <c r="T912" s="939"/>
      <c r="U912" s="939"/>
      <c r="V912" s="939"/>
      <c r="W912" s="939"/>
      <c r="X912" s="939"/>
      <c r="Y912" s="939"/>
      <c r="Z912" s="939"/>
      <c r="AA912" s="939"/>
      <c r="AB912" s="939"/>
      <c r="AC912" s="939"/>
      <c r="AD912" s="939"/>
      <c r="AE912" s="939"/>
      <c r="AF912" s="939"/>
      <c r="AG912" s="939"/>
      <c r="AH912" s="939"/>
      <c r="AI912" s="939"/>
      <c r="AJ912" s="939"/>
      <c r="AK912" s="939"/>
      <c r="AL912" s="939"/>
      <c r="AM912" s="939"/>
      <c r="AN912" s="939"/>
    </row>
    <row r="913" spans="1:40" ht="15" customHeight="1">
      <c r="A913" s="939"/>
      <c r="B913" s="939"/>
      <c r="C913" s="939"/>
      <c r="D913" s="939"/>
      <c r="E913" s="939"/>
      <c r="F913" s="939"/>
      <c r="G913" s="939"/>
      <c r="H913" s="939"/>
      <c r="I913" s="939"/>
      <c r="J913" s="939"/>
      <c r="K913" s="939"/>
      <c r="L913" s="939"/>
      <c r="M913" s="939"/>
      <c r="N913" s="939"/>
      <c r="O913" s="939"/>
      <c r="P913" s="939"/>
      <c r="Q913" s="939"/>
      <c r="R913" s="939"/>
      <c r="S913" s="939"/>
      <c r="T913" s="939"/>
      <c r="U913" s="939"/>
      <c r="V913" s="939"/>
      <c r="W913" s="939"/>
      <c r="X913" s="939"/>
      <c r="Y913" s="939"/>
      <c r="Z913" s="939"/>
      <c r="AA913" s="939"/>
      <c r="AB913" s="939"/>
      <c r="AC913" s="939"/>
      <c r="AD913" s="939"/>
      <c r="AE913" s="939"/>
      <c r="AF913" s="939"/>
      <c r="AG913" s="939"/>
      <c r="AH913" s="939"/>
      <c r="AI913" s="939"/>
      <c r="AJ913" s="939"/>
      <c r="AK913" s="939"/>
      <c r="AL913" s="939"/>
      <c r="AM913" s="939"/>
      <c r="AN913" s="939"/>
    </row>
    <row r="914" spans="1:40" ht="15" customHeight="1">
      <c r="A914" s="939"/>
      <c r="B914" s="939"/>
      <c r="C914" s="939"/>
      <c r="D914" s="939"/>
      <c r="E914" s="939"/>
      <c r="F914" s="939"/>
      <c r="G914" s="939"/>
      <c r="H914" s="939"/>
      <c r="I914" s="939"/>
      <c r="J914" s="939"/>
      <c r="K914" s="939"/>
      <c r="L914" s="939"/>
      <c r="M914" s="939"/>
      <c r="N914" s="939"/>
      <c r="O914" s="939"/>
      <c r="P914" s="939"/>
      <c r="Q914" s="939"/>
      <c r="R914" s="939"/>
      <c r="S914" s="939"/>
      <c r="T914" s="939"/>
      <c r="U914" s="939"/>
      <c r="V914" s="939"/>
      <c r="W914" s="939"/>
      <c r="X914" s="939"/>
      <c r="Y914" s="939"/>
      <c r="Z914" s="939"/>
      <c r="AA914" s="939"/>
      <c r="AB914" s="939"/>
      <c r="AC914" s="939"/>
      <c r="AD914" s="939"/>
      <c r="AE914" s="939"/>
      <c r="AF914" s="939"/>
      <c r="AG914" s="939"/>
      <c r="AH914" s="939"/>
      <c r="AI914" s="939"/>
      <c r="AJ914" s="939"/>
      <c r="AK914" s="939"/>
      <c r="AL914" s="939"/>
      <c r="AM914" s="939"/>
      <c r="AN914" s="939"/>
    </row>
    <row r="915" spans="1:40" ht="15" customHeight="1">
      <c r="A915" s="939"/>
      <c r="B915" s="939"/>
      <c r="C915" s="939"/>
      <c r="D915" s="939"/>
      <c r="E915" s="939"/>
      <c r="F915" s="939"/>
      <c r="G915" s="939"/>
      <c r="H915" s="939"/>
      <c r="I915" s="939"/>
      <c r="J915" s="939"/>
      <c r="K915" s="939"/>
      <c r="L915" s="939"/>
      <c r="M915" s="939"/>
      <c r="N915" s="939"/>
      <c r="O915" s="939"/>
      <c r="P915" s="939"/>
      <c r="Q915" s="939"/>
      <c r="R915" s="939"/>
      <c r="S915" s="939"/>
      <c r="T915" s="939"/>
      <c r="U915" s="939"/>
      <c r="V915" s="939"/>
      <c r="W915" s="939"/>
      <c r="X915" s="939"/>
      <c r="Y915" s="939"/>
      <c r="Z915" s="939"/>
      <c r="AA915" s="939"/>
      <c r="AB915" s="939"/>
      <c r="AC915" s="939"/>
      <c r="AD915" s="939"/>
      <c r="AE915" s="939"/>
      <c r="AF915" s="939"/>
      <c r="AG915" s="939"/>
      <c r="AH915" s="939"/>
      <c r="AI915" s="939"/>
      <c r="AJ915" s="939"/>
      <c r="AK915" s="939"/>
      <c r="AL915" s="939"/>
      <c r="AM915" s="939"/>
      <c r="AN915" s="939"/>
    </row>
    <row r="916" spans="1:40" ht="15" customHeight="1">
      <c r="A916" s="939"/>
      <c r="B916" s="939"/>
      <c r="C916" s="939"/>
      <c r="D916" s="939"/>
      <c r="E916" s="939"/>
      <c r="F916" s="939"/>
      <c r="G916" s="939"/>
      <c r="H916" s="939"/>
      <c r="I916" s="939"/>
      <c r="J916" s="939"/>
      <c r="K916" s="939"/>
      <c r="L916" s="939"/>
      <c r="M916" s="939"/>
      <c r="N916" s="939"/>
      <c r="O916" s="939"/>
      <c r="P916" s="939"/>
      <c r="Q916" s="939"/>
      <c r="R916" s="939"/>
      <c r="S916" s="939"/>
      <c r="T916" s="939"/>
      <c r="U916" s="939"/>
      <c r="V916" s="939"/>
      <c r="W916" s="939"/>
      <c r="X916" s="939"/>
      <c r="Y916" s="939"/>
      <c r="Z916" s="939"/>
      <c r="AA916" s="939"/>
      <c r="AB916" s="939"/>
      <c r="AC916" s="939"/>
      <c r="AD916" s="939"/>
      <c r="AE916" s="939"/>
      <c r="AF916" s="939"/>
      <c r="AG916" s="939"/>
      <c r="AH916" s="939"/>
      <c r="AI916" s="939"/>
      <c r="AJ916" s="939"/>
      <c r="AK916" s="939"/>
      <c r="AL916" s="939"/>
      <c r="AM916" s="939"/>
      <c r="AN916" s="939"/>
    </row>
    <row r="917" spans="1:40" ht="15" customHeight="1">
      <c r="A917" s="939"/>
      <c r="B917" s="939"/>
      <c r="C917" s="939"/>
      <c r="D917" s="939"/>
      <c r="E917" s="939"/>
      <c r="F917" s="939"/>
      <c r="G917" s="939"/>
      <c r="H917" s="939"/>
      <c r="I917" s="939"/>
      <c r="J917" s="939"/>
      <c r="K917" s="939"/>
      <c r="L917" s="939"/>
      <c r="M917" s="939"/>
      <c r="N917" s="939"/>
      <c r="O917" s="939"/>
      <c r="P917" s="939"/>
      <c r="Q917" s="939"/>
      <c r="R917" s="939"/>
      <c r="S917" s="939"/>
      <c r="T917" s="939"/>
      <c r="U917" s="939"/>
      <c r="V917" s="939"/>
      <c r="W917" s="939"/>
      <c r="X917" s="939"/>
      <c r="Y917" s="939"/>
      <c r="Z917" s="939"/>
      <c r="AA917" s="939"/>
      <c r="AB917" s="939"/>
      <c r="AC917" s="939"/>
      <c r="AD917" s="939"/>
      <c r="AE917" s="939"/>
      <c r="AF917" s="939"/>
      <c r="AG917" s="939"/>
      <c r="AH917" s="939"/>
      <c r="AI917" s="939"/>
      <c r="AJ917" s="939"/>
      <c r="AK917" s="939"/>
      <c r="AL917" s="939"/>
      <c r="AM917" s="939"/>
      <c r="AN917" s="939"/>
    </row>
    <row r="918" spans="1:40" ht="15" customHeight="1">
      <c r="A918" s="939"/>
      <c r="B918" s="939"/>
      <c r="C918" s="939"/>
      <c r="D918" s="939"/>
      <c r="E918" s="939"/>
      <c r="F918" s="939"/>
      <c r="G918" s="939"/>
      <c r="H918" s="939"/>
      <c r="I918" s="939"/>
      <c r="J918" s="939"/>
      <c r="K918" s="939"/>
      <c r="L918" s="939"/>
      <c r="M918" s="939"/>
      <c r="N918" s="939"/>
      <c r="O918" s="939"/>
      <c r="P918" s="939"/>
      <c r="Q918" s="939"/>
      <c r="R918" s="939"/>
      <c r="S918" s="939"/>
      <c r="T918" s="939"/>
      <c r="U918" s="939"/>
      <c r="V918" s="939"/>
      <c r="W918" s="939"/>
      <c r="X918" s="939"/>
      <c r="Y918" s="939"/>
      <c r="Z918" s="939"/>
      <c r="AA918" s="939"/>
      <c r="AB918" s="939"/>
      <c r="AC918" s="939"/>
      <c r="AD918" s="939"/>
      <c r="AE918" s="939"/>
      <c r="AF918" s="939"/>
      <c r="AG918" s="939"/>
      <c r="AH918" s="939"/>
      <c r="AI918" s="939"/>
      <c r="AJ918" s="939"/>
      <c r="AK918" s="939"/>
      <c r="AL918" s="939"/>
      <c r="AM918" s="939"/>
      <c r="AN918" s="939"/>
    </row>
    <row r="919" spans="1:40" ht="15" customHeight="1">
      <c r="A919" s="939"/>
      <c r="B919" s="939"/>
      <c r="C919" s="939"/>
      <c r="D919" s="939"/>
      <c r="E919" s="939"/>
      <c r="F919" s="939"/>
      <c r="G919" s="939"/>
      <c r="H919" s="939"/>
      <c r="I919" s="939"/>
      <c r="J919" s="939"/>
      <c r="K919" s="939"/>
      <c r="L919" s="939"/>
      <c r="M919" s="939"/>
      <c r="N919" s="939"/>
      <c r="O919" s="939"/>
      <c r="P919" s="939"/>
      <c r="Q919" s="939"/>
      <c r="R919" s="939"/>
      <c r="S919" s="939"/>
      <c r="T919" s="939"/>
      <c r="U919" s="939"/>
      <c r="V919" s="939"/>
      <c r="W919" s="939"/>
      <c r="X919" s="939"/>
      <c r="Y919" s="939"/>
      <c r="Z919" s="939"/>
      <c r="AA919" s="939"/>
      <c r="AB919" s="939"/>
      <c r="AC919" s="939"/>
      <c r="AD919" s="939"/>
      <c r="AE919" s="939"/>
      <c r="AF919" s="939"/>
      <c r="AG919" s="939"/>
      <c r="AH919" s="939"/>
      <c r="AI919" s="939"/>
      <c r="AJ919" s="939"/>
      <c r="AK919" s="939"/>
      <c r="AL919" s="939"/>
      <c r="AM919" s="939"/>
      <c r="AN919" s="939"/>
    </row>
    <row r="920" spans="1:40" ht="15" customHeight="1">
      <c r="A920" s="939"/>
      <c r="B920" s="939"/>
      <c r="C920" s="939"/>
      <c r="D920" s="939"/>
      <c r="E920" s="939"/>
      <c r="F920" s="939"/>
      <c r="G920" s="939"/>
      <c r="H920" s="939"/>
      <c r="I920" s="939"/>
      <c r="J920" s="939"/>
      <c r="K920" s="939"/>
      <c r="L920" s="939"/>
      <c r="M920" s="939"/>
      <c r="N920" s="939"/>
      <c r="O920" s="939"/>
      <c r="P920" s="939"/>
      <c r="Q920" s="939"/>
      <c r="R920" s="939"/>
      <c r="S920" s="939"/>
      <c r="T920" s="939"/>
      <c r="U920" s="939"/>
      <c r="V920" s="939"/>
      <c r="W920" s="939"/>
      <c r="X920" s="939"/>
      <c r="Y920" s="939"/>
      <c r="Z920" s="939"/>
      <c r="AA920" s="939"/>
      <c r="AB920" s="939"/>
      <c r="AC920" s="939"/>
      <c r="AD920" s="939"/>
      <c r="AE920" s="939"/>
      <c r="AF920" s="939"/>
      <c r="AG920" s="939"/>
      <c r="AH920" s="939"/>
      <c r="AI920" s="939"/>
      <c r="AJ920" s="939"/>
      <c r="AK920" s="939"/>
      <c r="AL920" s="939"/>
      <c r="AM920" s="939"/>
      <c r="AN920" s="939"/>
    </row>
    <row r="921" spans="1:40" ht="15" customHeight="1">
      <c r="A921" s="939"/>
      <c r="B921" s="939"/>
      <c r="C921" s="939"/>
      <c r="D921" s="939"/>
      <c r="E921" s="939"/>
      <c r="F921" s="939"/>
      <c r="G921" s="939"/>
      <c r="H921" s="939"/>
      <c r="I921" s="939"/>
      <c r="J921" s="939"/>
      <c r="K921" s="939"/>
      <c r="L921" s="939"/>
      <c r="M921" s="939"/>
      <c r="N921" s="939"/>
      <c r="O921" s="939"/>
      <c r="P921" s="939"/>
      <c r="Q921" s="939"/>
      <c r="R921" s="939"/>
      <c r="S921" s="939"/>
      <c r="T921" s="939"/>
      <c r="U921" s="939"/>
      <c r="V921" s="939"/>
      <c r="W921" s="939"/>
      <c r="X921" s="939"/>
      <c r="Y921" s="939"/>
      <c r="Z921" s="939"/>
      <c r="AA921" s="939"/>
      <c r="AB921" s="939"/>
      <c r="AC921" s="939"/>
      <c r="AD921" s="939"/>
      <c r="AE921" s="939"/>
      <c r="AF921" s="939"/>
      <c r="AG921" s="939"/>
      <c r="AH921" s="939"/>
      <c r="AI921" s="939"/>
      <c r="AJ921" s="939"/>
      <c r="AK921" s="939"/>
      <c r="AL921" s="939"/>
      <c r="AM921" s="939"/>
      <c r="AN921" s="939"/>
    </row>
    <row r="922" spans="1:40" ht="15" customHeight="1">
      <c r="A922" s="939"/>
      <c r="B922" s="939"/>
      <c r="C922" s="939"/>
      <c r="D922" s="939"/>
      <c r="E922" s="939"/>
      <c r="F922" s="939"/>
      <c r="G922" s="939"/>
      <c r="H922" s="939"/>
      <c r="I922" s="939"/>
      <c r="J922" s="939"/>
      <c r="K922" s="939"/>
      <c r="L922" s="939"/>
      <c r="M922" s="939"/>
      <c r="N922" s="939"/>
      <c r="O922" s="939"/>
      <c r="P922" s="939"/>
      <c r="Q922" s="939"/>
      <c r="R922" s="939"/>
      <c r="S922" s="939"/>
      <c r="T922" s="939"/>
      <c r="U922" s="939"/>
      <c r="V922" s="939"/>
      <c r="W922" s="939"/>
      <c r="X922" s="939"/>
      <c r="Y922" s="939"/>
      <c r="Z922" s="939"/>
      <c r="AA922" s="939"/>
      <c r="AB922" s="939"/>
      <c r="AC922" s="939"/>
      <c r="AD922" s="939"/>
      <c r="AE922" s="939"/>
      <c r="AF922" s="939"/>
      <c r="AG922" s="939"/>
      <c r="AH922" s="939"/>
      <c r="AI922" s="939"/>
      <c r="AJ922" s="939"/>
      <c r="AK922" s="939"/>
      <c r="AL922" s="939"/>
      <c r="AM922" s="939"/>
      <c r="AN922" s="939"/>
    </row>
    <row r="923" spans="1:40" ht="15" customHeight="1">
      <c r="A923" s="939"/>
      <c r="B923" s="939"/>
      <c r="C923" s="939"/>
      <c r="D923" s="939"/>
      <c r="E923" s="939"/>
      <c r="F923" s="939"/>
      <c r="G923" s="939"/>
      <c r="H923" s="939"/>
      <c r="I923" s="939"/>
      <c r="J923" s="939"/>
      <c r="K923" s="939"/>
      <c r="L923" s="939"/>
      <c r="M923" s="939"/>
      <c r="N923" s="939"/>
      <c r="O923" s="939"/>
      <c r="P923" s="939"/>
      <c r="Q923" s="939"/>
      <c r="R923" s="939"/>
      <c r="S923" s="939"/>
      <c r="T923" s="939"/>
      <c r="U923" s="939"/>
      <c r="V923" s="939"/>
      <c r="W923" s="939"/>
      <c r="X923" s="939"/>
      <c r="Y923" s="939"/>
      <c r="Z923" s="939"/>
      <c r="AA923" s="939"/>
      <c r="AB923" s="939"/>
      <c r="AC923" s="939"/>
      <c r="AD923" s="939"/>
      <c r="AE923" s="939"/>
      <c r="AF923" s="939"/>
      <c r="AG923" s="939"/>
      <c r="AH923" s="939"/>
      <c r="AI923" s="939"/>
      <c r="AJ923" s="939"/>
      <c r="AK923" s="939"/>
      <c r="AL923" s="939"/>
      <c r="AM923" s="939"/>
      <c r="AN923" s="939"/>
    </row>
    <row r="924" spans="1:40" ht="15" customHeight="1">
      <c r="A924" s="939"/>
      <c r="B924" s="939"/>
      <c r="C924" s="939"/>
      <c r="D924" s="939"/>
      <c r="E924" s="939"/>
      <c r="F924" s="939"/>
      <c r="G924" s="939"/>
      <c r="H924" s="939"/>
      <c r="I924" s="939"/>
      <c r="J924" s="939"/>
      <c r="K924" s="939"/>
      <c r="L924" s="939"/>
      <c r="M924" s="939"/>
      <c r="N924" s="939"/>
      <c r="O924" s="939"/>
      <c r="P924" s="939"/>
      <c r="Q924" s="939"/>
      <c r="R924" s="939"/>
      <c r="S924" s="939"/>
      <c r="T924" s="939"/>
      <c r="U924" s="939"/>
      <c r="V924" s="939"/>
      <c r="W924" s="939"/>
      <c r="X924" s="939"/>
      <c r="Y924" s="939"/>
      <c r="Z924" s="939"/>
      <c r="AA924" s="939"/>
      <c r="AB924" s="939"/>
      <c r="AC924" s="939"/>
      <c r="AD924" s="939"/>
      <c r="AE924" s="939"/>
      <c r="AF924" s="939"/>
      <c r="AG924" s="939"/>
      <c r="AH924" s="939"/>
      <c r="AI924" s="939"/>
      <c r="AJ924" s="939"/>
      <c r="AK924" s="939"/>
      <c r="AL924" s="939"/>
      <c r="AM924" s="939"/>
      <c r="AN924" s="939"/>
    </row>
    <row r="925" spans="1:40" ht="15" customHeight="1">
      <c r="A925" s="939"/>
      <c r="B925" s="939"/>
      <c r="C925" s="939"/>
      <c r="D925" s="939"/>
      <c r="E925" s="939"/>
      <c r="F925" s="939"/>
      <c r="G925" s="939"/>
      <c r="H925" s="939"/>
      <c r="I925" s="939"/>
      <c r="J925" s="939"/>
      <c r="K925" s="939"/>
      <c r="L925" s="939"/>
      <c r="M925" s="939"/>
      <c r="N925" s="939"/>
      <c r="O925" s="939"/>
      <c r="P925" s="939"/>
      <c r="Q925" s="939"/>
      <c r="R925" s="939"/>
      <c r="S925" s="939"/>
      <c r="T925" s="939"/>
      <c r="U925" s="939"/>
      <c r="V925" s="939"/>
      <c r="W925" s="939"/>
      <c r="X925" s="939"/>
      <c r="Y925" s="939"/>
      <c r="Z925" s="939"/>
      <c r="AA925" s="939"/>
      <c r="AB925" s="939"/>
      <c r="AC925" s="939"/>
      <c r="AD925" s="939"/>
      <c r="AE925" s="939"/>
      <c r="AF925" s="939"/>
      <c r="AG925" s="939"/>
      <c r="AH925" s="939"/>
      <c r="AI925" s="939"/>
      <c r="AJ925" s="939"/>
      <c r="AK925" s="939"/>
      <c r="AL925" s="939"/>
      <c r="AM925" s="939"/>
      <c r="AN925" s="939"/>
    </row>
    <row r="926" spans="1:40" ht="15" customHeight="1">
      <c r="A926" s="939"/>
      <c r="B926" s="939"/>
      <c r="C926" s="939"/>
      <c r="D926" s="939"/>
      <c r="E926" s="939"/>
      <c r="F926" s="939"/>
      <c r="G926" s="939"/>
      <c r="H926" s="939"/>
      <c r="I926" s="939"/>
      <c r="J926" s="939"/>
      <c r="K926" s="939"/>
      <c r="L926" s="939"/>
      <c r="M926" s="939"/>
      <c r="N926" s="939"/>
      <c r="O926" s="939"/>
      <c r="P926" s="939"/>
      <c r="Q926" s="939"/>
      <c r="R926" s="939"/>
      <c r="S926" s="939"/>
      <c r="T926" s="939"/>
      <c r="U926" s="939"/>
      <c r="V926" s="939"/>
      <c r="W926" s="939"/>
      <c r="X926" s="939"/>
      <c r="Y926" s="939"/>
      <c r="Z926" s="939"/>
      <c r="AA926" s="939"/>
      <c r="AB926" s="939"/>
      <c r="AC926" s="939"/>
      <c r="AD926" s="939"/>
      <c r="AE926" s="939"/>
      <c r="AF926" s="939"/>
      <c r="AG926" s="939"/>
      <c r="AH926" s="939"/>
      <c r="AI926" s="939"/>
      <c r="AJ926" s="939"/>
      <c r="AK926" s="939"/>
      <c r="AL926" s="939"/>
      <c r="AM926" s="939"/>
      <c r="AN926" s="939"/>
    </row>
    <row r="927" spans="1:40" ht="15" customHeight="1">
      <c r="A927" s="939"/>
      <c r="B927" s="939"/>
      <c r="C927" s="939"/>
      <c r="D927" s="939"/>
      <c r="E927" s="939"/>
      <c r="F927" s="939"/>
      <c r="G927" s="939"/>
      <c r="H927" s="939"/>
      <c r="I927" s="939"/>
      <c r="J927" s="939"/>
      <c r="K927" s="939"/>
      <c r="L927" s="939"/>
      <c r="M927" s="939"/>
      <c r="N927" s="939"/>
      <c r="O927" s="939"/>
      <c r="P927" s="939"/>
      <c r="Q927" s="939"/>
      <c r="R927" s="939"/>
      <c r="S927" s="939"/>
      <c r="T927" s="939"/>
      <c r="U927" s="939"/>
      <c r="V927" s="939"/>
      <c r="W927" s="939"/>
      <c r="X927" s="939"/>
      <c r="Y927" s="939"/>
      <c r="Z927" s="939"/>
      <c r="AA927" s="939"/>
      <c r="AB927" s="939"/>
      <c r="AC927" s="939"/>
      <c r="AD927" s="939"/>
      <c r="AE927" s="939"/>
      <c r="AF927" s="939"/>
      <c r="AG927" s="939"/>
      <c r="AH927" s="939"/>
      <c r="AI927" s="939"/>
      <c r="AJ927" s="939"/>
      <c r="AK927" s="939"/>
      <c r="AL927" s="939"/>
      <c r="AM927" s="939"/>
      <c r="AN927" s="939"/>
    </row>
    <row r="928" spans="1:40" ht="15" customHeight="1">
      <c r="A928" s="939"/>
      <c r="B928" s="939"/>
      <c r="C928" s="939"/>
      <c r="D928" s="939"/>
      <c r="E928" s="939"/>
      <c r="F928" s="939"/>
      <c r="G928" s="939"/>
      <c r="H928" s="939"/>
      <c r="I928" s="939"/>
      <c r="J928" s="939"/>
      <c r="K928" s="939"/>
      <c r="L928" s="939"/>
      <c r="M928" s="939"/>
      <c r="N928" s="939"/>
      <c r="O928" s="939"/>
      <c r="P928" s="939"/>
      <c r="Q928" s="939"/>
      <c r="R928" s="939"/>
      <c r="S928" s="939"/>
      <c r="T928" s="939"/>
      <c r="U928" s="939"/>
      <c r="V928" s="939"/>
      <c r="W928" s="939"/>
      <c r="X928" s="939"/>
      <c r="Y928" s="939"/>
      <c r="Z928" s="939"/>
      <c r="AA928" s="939"/>
      <c r="AB928" s="939"/>
      <c r="AC928" s="939"/>
      <c r="AD928" s="939"/>
      <c r="AE928" s="939"/>
      <c r="AF928" s="939"/>
      <c r="AG928" s="939"/>
      <c r="AH928" s="939"/>
      <c r="AI928" s="939"/>
      <c r="AJ928" s="939"/>
      <c r="AK928" s="939"/>
      <c r="AL928" s="939"/>
      <c r="AM928" s="939"/>
      <c r="AN928" s="939"/>
    </row>
    <row r="929" spans="1:40" ht="15" customHeight="1">
      <c r="A929" s="939"/>
      <c r="B929" s="939"/>
      <c r="C929" s="939"/>
      <c r="D929" s="939"/>
      <c r="E929" s="939"/>
      <c r="F929" s="939"/>
      <c r="G929" s="939"/>
      <c r="H929" s="939"/>
      <c r="I929" s="939"/>
      <c r="J929" s="939"/>
      <c r="K929" s="939"/>
      <c r="L929" s="939"/>
      <c r="M929" s="939"/>
      <c r="N929" s="939"/>
      <c r="O929" s="939"/>
      <c r="P929" s="939"/>
      <c r="Q929" s="939"/>
      <c r="R929" s="939"/>
      <c r="S929" s="939"/>
      <c r="T929" s="939"/>
      <c r="U929" s="939"/>
      <c r="V929" s="939"/>
      <c r="W929" s="939"/>
      <c r="X929" s="939"/>
      <c r="Y929" s="939"/>
      <c r="Z929" s="939"/>
      <c r="AA929" s="939"/>
      <c r="AB929" s="939"/>
      <c r="AC929" s="939"/>
      <c r="AD929" s="939"/>
      <c r="AE929" s="939"/>
      <c r="AF929" s="939"/>
      <c r="AG929" s="939"/>
      <c r="AH929" s="939"/>
      <c r="AI929" s="939"/>
      <c r="AJ929" s="939"/>
      <c r="AK929" s="939"/>
      <c r="AL929" s="939"/>
      <c r="AM929" s="939"/>
      <c r="AN929" s="939"/>
    </row>
    <row r="930" spans="1:40" ht="15" customHeight="1">
      <c r="A930" s="939"/>
      <c r="B930" s="939"/>
      <c r="C930" s="939"/>
      <c r="D930" s="939"/>
      <c r="E930" s="939"/>
      <c r="F930" s="939"/>
      <c r="G930" s="939"/>
      <c r="H930" s="939"/>
      <c r="I930" s="939"/>
      <c r="J930" s="939"/>
      <c r="K930" s="939"/>
      <c r="L930" s="939"/>
      <c r="M930" s="939"/>
      <c r="N930" s="939"/>
      <c r="O930" s="939"/>
      <c r="P930" s="939"/>
      <c r="Q930" s="939"/>
      <c r="R930" s="939"/>
      <c r="S930" s="939"/>
      <c r="T930" s="939"/>
      <c r="U930" s="939"/>
      <c r="V930" s="939"/>
      <c r="W930" s="939"/>
      <c r="X930" s="939"/>
      <c r="Y930" s="939"/>
      <c r="Z930" s="939"/>
      <c r="AA930" s="939"/>
      <c r="AB930" s="939"/>
      <c r="AC930" s="939"/>
      <c r="AD930" s="939"/>
      <c r="AE930" s="939"/>
      <c r="AF930" s="939"/>
      <c r="AG930" s="939"/>
      <c r="AH930" s="939"/>
      <c r="AI930" s="939"/>
      <c r="AJ930" s="939"/>
      <c r="AK930" s="939"/>
      <c r="AL930" s="939"/>
      <c r="AM930" s="939"/>
      <c r="AN930" s="939"/>
    </row>
    <row r="931" spans="1:40" ht="15" customHeight="1">
      <c r="A931" s="939"/>
      <c r="B931" s="939"/>
      <c r="C931" s="939"/>
      <c r="D931" s="939"/>
      <c r="E931" s="939"/>
      <c r="F931" s="939"/>
      <c r="G931" s="939"/>
      <c r="H931" s="939"/>
      <c r="I931" s="939"/>
      <c r="J931" s="939"/>
      <c r="K931" s="939"/>
      <c r="L931" s="939"/>
      <c r="M931" s="939"/>
      <c r="N931" s="939"/>
      <c r="O931" s="939"/>
      <c r="P931" s="939"/>
      <c r="Q931" s="939"/>
      <c r="R931" s="939"/>
      <c r="S931" s="939"/>
      <c r="T931" s="939"/>
      <c r="U931" s="939"/>
      <c r="V931" s="939"/>
      <c r="W931" s="939"/>
      <c r="X931" s="939"/>
      <c r="Y931" s="939"/>
      <c r="Z931" s="939"/>
      <c r="AA931" s="939"/>
      <c r="AB931" s="939"/>
      <c r="AC931" s="939"/>
      <c r="AD931" s="939"/>
      <c r="AE931" s="939"/>
      <c r="AF931" s="939"/>
      <c r="AG931" s="939"/>
      <c r="AH931" s="939"/>
      <c r="AI931" s="939"/>
      <c r="AJ931" s="939"/>
      <c r="AK931" s="939"/>
      <c r="AL931" s="939"/>
      <c r="AM931" s="939"/>
      <c r="AN931" s="939"/>
    </row>
    <row r="932" spans="1:40" ht="15" customHeight="1">
      <c r="A932" s="939"/>
      <c r="B932" s="939"/>
      <c r="C932" s="939"/>
      <c r="D932" s="939"/>
      <c r="E932" s="939"/>
      <c r="F932" s="939"/>
      <c r="G932" s="939"/>
      <c r="H932" s="939"/>
      <c r="I932" s="939"/>
      <c r="J932" s="939"/>
      <c r="K932" s="939"/>
      <c r="L932" s="939"/>
      <c r="M932" s="939"/>
      <c r="N932" s="939"/>
      <c r="O932" s="939"/>
      <c r="P932" s="939"/>
      <c r="Q932" s="939"/>
      <c r="R932" s="939"/>
      <c r="S932" s="939"/>
      <c r="T932" s="939"/>
      <c r="U932" s="939"/>
      <c r="V932" s="939"/>
      <c r="W932" s="939"/>
      <c r="X932" s="939"/>
      <c r="Y932" s="939"/>
      <c r="Z932" s="939"/>
      <c r="AA932" s="939"/>
      <c r="AB932" s="939"/>
      <c r="AC932" s="939"/>
      <c r="AD932" s="939"/>
      <c r="AE932" s="939"/>
      <c r="AF932" s="939"/>
      <c r="AG932" s="939"/>
      <c r="AH932" s="939"/>
      <c r="AI932" s="939"/>
      <c r="AJ932" s="939"/>
      <c r="AK932" s="939"/>
      <c r="AL932" s="939"/>
      <c r="AM932" s="939"/>
      <c r="AN932" s="939"/>
    </row>
    <row r="933" spans="1:40" ht="15" customHeight="1">
      <c r="A933" s="939"/>
      <c r="B933" s="939"/>
      <c r="C933" s="939"/>
      <c r="D933" s="939"/>
      <c r="E933" s="939"/>
      <c r="F933" s="939"/>
      <c r="G933" s="939"/>
      <c r="H933" s="939"/>
      <c r="I933" s="939"/>
      <c r="J933" s="939"/>
      <c r="K933" s="939"/>
      <c r="L933" s="939"/>
      <c r="M933" s="939"/>
      <c r="N933" s="939"/>
      <c r="O933" s="939"/>
      <c r="P933" s="939"/>
      <c r="Q933" s="939"/>
      <c r="R933" s="939"/>
      <c r="S933" s="939"/>
      <c r="T933" s="939"/>
      <c r="U933" s="939"/>
      <c r="V933" s="939"/>
      <c r="W933" s="939"/>
      <c r="X933" s="939"/>
      <c r="Y933" s="939"/>
      <c r="Z933" s="939"/>
      <c r="AA933" s="939"/>
      <c r="AB933" s="939"/>
      <c r="AC933" s="939"/>
      <c r="AD933" s="939"/>
      <c r="AE933" s="939"/>
      <c r="AF933" s="939"/>
      <c r="AG933" s="939"/>
      <c r="AH933" s="939"/>
      <c r="AI933" s="939"/>
      <c r="AJ933" s="939"/>
      <c r="AK933" s="939"/>
      <c r="AL933" s="939"/>
      <c r="AM933" s="939"/>
      <c r="AN933" s="939"/>
    </row>
    <row r="934" spans="1:40" ht="15" customHeight="1">
      <c r="A934" s="939"/>
      <c r="B934" s="939"/>
      <c r="C934" s="939"/>
      <c r="D934" s="939"/>
      <c r="E934" s="939"/>
      <c r="F934" s="939"/>
      <c r="G934" s="939"/>
      <c r="H934" s="939"/>
      <c r="I934" s="939"/>
      <c r="J934" s="939"/>
      <c r="K934" s="939"/>
      <c r="L934" s="939"/>
      <c r="M934" s="939"/>
      <c r="N934" s="939"/>
      <c r="O934" s="939"/>
      <c r="P934" s="939"/>
      <c r="Q934" s="939"/>
      <c r="R934" s="939"/>
      <c r="S934" s="939"/>
      <c r="T934" s="939"/>
      <c r="U934" s="939"/>
      <c r="V934" s="939"/>
      <c r="W934" s="939"/>
      <c r="X934" s="939"/>
      <c r="Y934" s="939"/>
      <c r="Z934" s="939"/>
      <c r="AA934" s="939"/>
      <c r="AB934" s="939"/>
      <c r="AC934" s="939"/>
      <c r="AD934" s="939"/>
      <c r="AE934" s="939"/>
      <c r="AF934" s="939"/>
      <c r="AG934" s="939"/>
      <c r="AH934" s="939"/>
      <c r="AI934" s="939"/>
      <c r="AJ934" s="939"/>
      <c r="AK934" s="939"/>
      <c r="AL934" s="939"/>
      <c r="AM934" s="939"/>
      <c r="AN934" s="939"/>
    </row>
    <row r="935" spans="1:40" ht="15" customHeight="1">
      <c r="A935" s="939"/>
      <c r="B935" s="939"/>
      <c r="C935" s="939"/>
      <c r="D935" s="939"/>
      <c r="E935" s="939"/>
      <c r="F935" s="939"/>
      <c r="G935" s="939"/>
      <c r="H935" s="939"/>
      <c r="I935" s="939"/>
      <c r="J935" s="939"/>
      <c r="K935" s="939"/>
      <c r="L935" s="939"/>
      <c r="M935" s="939"/>
      <c r="N935" s="939"/>
      <c r="O935" s="939"/>
      <c r="P935" s="939"/>
      <c r="Q935" s="939"/>
      <c r="R935" s="939"/>
      <c r="S935" s="939"/>
      <c r="T935" s="939"/>
      <c r="U935" s="939"/>
      <c r="V935" s="939"/>
      <c r="W935" s="939"/>
      <c r="X935" s="939"/>
      <c r="Y935" s="939"/>
      <c r="Z935" s="939"/>
      <c r="AA935" s="939"/>
      <c r="AB935" s="939"/>
      <c r="AC935" s="939"/>
      <c r="AD935" s="939"/>
      <c r="AE935" s="939"/>
      <c r="AF935" s="939"/>
      <c r="AG935" s="939"/>
      <c r="AH935" s="939"/>
      <c r="AI935" s="939"/>
      <c r="AJ935" s="939"/>
      <c r="AK935" s="939"/>
      <c r="AL935" s="939"/>
      <c r="AM935" s="939"/>
      <c r="AN935" s="939"/>
    </row>
    <row r="936" spans="1:40" ht="15" customHeight="1">
      <c r="A936" s="939"/>
      <c r="B936" s="939"/>
      <c r="C936" s="939"/>
      <c r="D936" s="939"/>
      <c r="E936" s="939"/>
      <c r="F936" s="939"/>
      <c r="G936" s="939"/>
      <c r="H936" s="939"/>
      <c r="I936" s="939"/>
      <c r="J936" s="939"/>
      <c r="K936" s="939"/>
      <c r="L936" s="939"/>
      <c r="M936" s="939"/>
      <c r="N936" s="939"/>
      <c r="O936" s="939"/>
      <c r="P936" s="939"/>
      <c r="Q936" s="939"/>
      <c r="R936" s="939"/>
      <c r="S936" s="939"/>
      <c r="T936" s="939"/>
      <c r="U936" s="939"/>
      <c r="V936" s="939"/>
      <c r="W936" s="939"/>
      <c r="X936" s="939"/>
      <c r="Y936" s="939"/>
      <c r="Z936" s="939"/>
      <c r="AA936" s="939"/>
      <c r="AB936" s="939"/>
      <c r="AC936" s="939"/>
      <c r="AD936" s="939"/>
      <c r="AE936" s="939"/>
      <c r="AF936" s="939"/>
      <c r="AG936" s="939"/>
      <c r="AH936" s="939"/>
      <c r="AI936" s="939"/>
      <c r="AJ936" s="939"/>
      <c r="AK936" s="939"/>
      <c r="AL936" s="939"/>
      <c r="AM936" s="939"/>
      <c r="AN936" s="939"/>
    </row>
    <row r="937" spans="1:40" ht="15" customHeight="1">
      <c r="A937" s="939"/>
      <c r="B937" s="939"/>
      <c r="C937" s="939"/>
      <c r="D937" s="939"/>
      <c r="E937" s="939"/>
      <c r="F937" s="939"/>
      <c r="G937" s="939"/>
      <c r="H937" s="939"/>
      <c r="I937" s="939"/>
      <c r="J937" s="939"/>
      <c r="K937" s="939"/>
      <c r="L937" s="939"/>
      <c r="M937" s="939"/>
      <c r="N937" s="939"/>
      <c r="O937" s="939"/>
      <c r="P937" s="939"/>
      <c r="Q937" s="939"/>
      <c r="R937" s="939"/>
      <c r="S937" s="939"/>
      <c r="T937" s="939"/>
      <c r="U937" s="939"/>
      <c r="V937" s="939"/>
      <c r="W937" s="939"/>
      <c r="X937" s="939"/>
      <c r="Y937" s="939"/>
      <c r="Z937" s="939"/>
      <c r="AA937" s="939"/>
      <c r="AB937" s="939"/>
      <c r="AC937" s="939"/>
      <c r="AD937" s="939"/>
      <c r="AE937" s="939"/>
      <c r="AF937" s="939"/>
      <c r="AG937" s="939"/>
      <c r="AH937" s="939"/>
      <c r="AI937" s="939"/>
      <c r="AJ937" s="939"/>
      <c r="AK937" s="939"/>
      <c r="AL937" s="939"/>
      <c r="AM937" s="939"/>
      <c r="AN937" s="939"/>
    </row>
    <row r="938" spans="1:40" ht="15" customHeight="1">
      <c r="A938" s="939"/>
      <c r="B938" s="939"/>
      <c r="C938" s="939"/>
      <c r="D938" s="939"/>
      <c r="E938" s="939"/>
      <c r="F938" s="939"/>
      <c r="G938" s="939"/>
      <c r="H938" s="939"/>
      <c r="I938" s="939"/>
      <c r="J938" s="939"/>
      <c r="K938" s="939"/>
      <c r="L938" s="939"/>
      <c r="M938" s="939"/>
      <c r="N938" s="939"/>
      <c r="O938" s="939"/>
      <c r="P938" s="939"/>
      <c r="Q938" s="939"/>
      <c r="R938" s="939"/>
      <c r="S938" s="939"/>
      <c r="T938" s="939"/>
      <c r="U938" s="939"/>
      <c r="V938" s="939"/>
      <c r="W938" s="939"/>
      <c r="X938" s="939"/>
      <c r="Y938" s="939"/>
      <c r="Z938" s="939"/>
      <c r="AA938" s="939"/>
      <c r="AB938" s="939"/>
      <c r="AC938" s="939"/>
      <c r="AD938" s="939"/>
      <c r="AE938" s="939"/>
      <c r="AF938" s="939"/>
      <c r="AG938" s="939"/>
      <c r="AH938" s="939"/>
      <c r="AI938" s="939"/>
      <c r="AJ938" s="939"/>
      <c r="AK938" s="939"/>
      <c r="AL938" s="939"/>
      <c r="AM938" s="939"/>
      <c r="AN938" s="939"/>
    </row>
    <row r="939" spans="1:40" ht="15" customHeight="1">
      <c r="A939" s="939"/>
      <c r="B939" s="939"/>
      <c r="C939" s="939"/>
      <c r="D939" s="939"/>
      <c r="E939" s="939"/>
      <c r="F939" s="939"/>
      <c r="G939" s="939"/>
      <c r="H939" s="939"/>
      <c r="I939" s="939"/>
      <c r="J939" s="939"/>
      <c r="K939" s="939"/>
      <c r="L939" s="939"/>
      <c r="M939" s="939"/>
      <c r="N939" s="939"/>
      <c r="O939" s="939"/>
      <c r="P939" s="939"/>
      <c r="Q939" s="939"/>
      <c r="R939" s="939"/>
      <c r="S939" s="939"/>
      <c r="T939" s="939"/>
      <c r="U939" s="939"/>
      <c r="V939" s="939"/>
      <c r="W939" s="939"/>
      <c r="X939" s="939"/>
      <c r="Y939" s="939"/>
      <c r="Z939" s="939"/>
      <c r="AA939" s="939"/>
      <c r="AB939" s="939"/>
      <c r="AC939" s="939"/>
      <c r="AD939" s="939"/>
      <c r="AE939" s="939"/>
      <c r="AF939" s="939"/>
      <c r="AG939" s="939"/>
      <c r="AH939" s="939"/>
      <c r="AI939" s="939"/>
      <c r="AJ939" s="939"/>
      <c r="AK939" s="939"/>
      <c r="AL939" s="939"/>
      <c r="AM939" s="939"/>
      <c r="AN939" s="939"/>
    </row>
    <row r="940" spans="1:40" ht="15" customHeight="1">
      <c r="A940" s="939"/>
      <c r="B940" s="939"/>
      <c r="C940" s="939"/>
      <c r="D940" s="939"/>
      <c r="E940" s="939"/>
      <c r="F940" s="939"/>
      <c r="G940" s="939"/>
      <c r="H940" s="939"/>
      <c r="I940" s="939"/>
      <c r="J940" s="939"/>
      <c r="K940" s="939"/>
      <c r="L940" s="939"/>
      <c r="M940" s="939"/>
      <c r="N940" s="939"/>
      <c r="O940" s="939"/>
      <c r="P940" s="939"/>
      <c r="Q940" s="939"/>
      <c r="R940" s="939"/>
      <c r="S940" s="939"/>
      <c r="T940" s="939"/>
      <c r="U940" s="939"/>
      <c r="V940" s="939"/>
      <c r="W940" s="939"/>
      <c r="X940" s="939"/>
      <c r="Y940" s="939"/>
      <c r="Z940" s="939"/>
      <c r="AA940" s="939"/>
      <c r="AB940" s="939"/>
      <c r="AC940" s="939"/>
      <c r="AD940" s="939"/>
      <c r="AE940" s="939"/>
      <c r="AF940" s="939"/>
      <c r="AG940" s="939"/>
      <c r="AH940" s="939"/>
      <c r="AI940" s="939"/>
      <c r="AJ940" s="939"/>
      <c r="AK940" s="939"/>
      <c r="AL940" s="939"/>
      <c r="AM940" s="939"/>
      <c r="AN940" s="939"/>
    </row>
    <row r="941" spans="1:40" ht="15" customHeight="1">
      <c r="A941" s="939"/>
      <c r="B941" s="939"/>
      <c r="C941" s="939"/>
      <c r="D941" s="939"/>
      <c r="E941" s="939"/>
      <c r="F941" s="939"/>
      <c r="G941" s="939"/>
      <c r="H941" s="939"/>
      <c r="I941" s="939"/>
      <c r="J941" s="939"/>
      <c r="K941" s="939"/>
      <c r="L941" s="939"/>
      <c r="M941" s="939"/>
      <c r="N941" s="939"/>
      <c r="O941" s="939"/>
      <c r="P941" s="939"/>
      <c r="Q941" s="939"/>
      <c r="R941" s="939"/>
      <c r="S941" s="939"/>
      <c r="T941" s="939"/>
      <c r="U941" s="939"/>
      <c r="V941" s="939"/>
      <c r="W941" s="939"/>
      <c r="X941" s="939"/>
      <c r="Y941" s="939"/>
      <c r="Z941" s="939"/>
      <c r="AA941" s="939"/>
      <c r="AB941" s="939"/>
      <c r="AC941" s="939"/>
      <c r="AD941" s="939"/>
      <c r="AE941" s="939"/>
      <c r="AF941" s="939"/>
      <c r="AG941" s="939"/>
      <c r="AH941" s="939"/>
      <c r="AI941" s="939"/>
      <c r="AJ941" s="939"/>
      <c r="AK941" s="939"/>
      <c r="AL941" s="939"/>
      <c r="AM941" s="939"/>
      <c r="AN941" s="939"/>
    </row>
    <row r="942" spans="1:40" ht="15" customHeight="1">
      <c r="A942" s="939"/>
      <c r="B942" s="939"/>
      <c r="C942" s="939"/>
      <c r="D942" s="939"/>
      <c r="E942" s="939"/>
      <c r="F942" s="939"/>
      <c r="G942" s="939"/>
      <c r="H942" s="939"/>
      <c r="I942" s="939"/>
      <c r="J942" s="939"/>
      <c r="K942" s="939"/>
      <c r="L942" s="939"/>
      <c r="M942" s="939"/>
      <c r="N942" s="939"/>
      <c r="O942" s="939"/>
      <c r="P942" s="939"/>
      <c r="Q942" s="939"/>
      <c r="R942" s="939"/>
      <c r="S942" s="939"/>
      <c r="T942" s="939"/>
      <c r="U942" s="939"/>
      <c r="V942" s="939"/>
      <c r="W942" s="939"/>
      <c r="X942" s="939"/>
      <c r="Y942" s="939"/>
      <c r="Z942" s="939"/>
      <c r="AA942" s="939"/>
      <c r="AB942" s="939"/>
      <c r="AC942" s="939"/>
      <c r="AD942" s="939"/>
      <c r="AE942" s="939"/>
      <c r="AF942" s="939"/>
      <c r="AG942" s="939"/>
      <c r="AH942" s="939"/>
      <c r="AI942" s="939"/>
      <c r="AJ942" s="939"/>
      <c r="AK942" s="939"/>
      <c r="AL942" s="939"/>
      <c r="AM942" s="939"/>
      <c r="AN942" s="939"/>
    </row>
    <row r="943" spans="1:40" ht="15" customHeight="1">
      <c r="A943" s="939"/>
      <c r="B943" s="939"/>
      <c r="C943" s="939"/>
      <c r="D943" s="939"/>
      <c r="E943" s="939"/>
      <c r="F943" s="939"/>
      <c r="G943" s="939"/>
      <c r="H943" s="939"/>
      <c r="I943" s="939"/>
      <c r="J943" s="939"/>
      <c r="K943" s="939"/>
      <c r="L943" s="939"/>
      <c r="M943" s="939"/>
      <c r="N943" s="939"/>
      <c r="O943" s="939"/>
      <c r="P943" s="939"/>
      <c r="Q943" s="939"/>
      <c r="R943" s="939"/>
      <c r="S943" s="939"/>
      <c r="T943" s="939"/>
      <c r="U943" s="939"/>
      <c r="V943" s="939"/>
      <c r="W943" s="939"/>
      <c r="X943" s="939"/>
      <c r="Y943" s="939"/>
      <c r="Z943" s="939"/>
      <c r="AA943" s="939"/>
      <c r="AB943" s="939"/>
      <c r="AC943" s="939"/>
      <c r="AD943" s="939"/>
      <c r="AE943" s="939"/>
      <c r="AF943" s="939"/>
      <c r="AG943" s="939"/>
      <c r="AH943" s="939"/>
      <c r="AI943" s="939"/>
      <c r="AJ943" s="939"/>
      <c r="AK943" s="939"/>
      <c r="AL943" s="939"/>
      <c r="AM943" s="939"/>
      <c r="AN943" s="939"/>
    </row>
    <row r="944" spans="1:40" ht="15" customHeight="1">
      <c r="A944" s="939"/>
      <c r="B944" s="939"/>
      <c r="C944" s="939"/>
      <c r="D944" s="939"/>
      <c r="E944" s="939"/>
      <c r="F944" s="939"/>
      <c r="G944" s="939"/>
      <c r="H944" s="939"/>
      <c r="I944" s="939"/>
      <c r="J944" s="939"/>
      <c r="K944" s="939"/>
      <c r="L944" s="939"/>
      <c r="M944" s="939"/>
      <c r="N944" s="939"/>
      <c r="O944" s="939"/>
      <c r="P944" s="939"/>
      <c r="Q944" s="939"/>
      <c r="R944" s="939"/>
      <c r="S944" s="939"/>
      <c r="T944" s="939"/>
      <c r="U944" s="939"/>
      <c r="V944" s="939"/>
      <c r="W944" s="939"/>
      <c r="X944" s="939"/>
      <c r="Y944" s="939"/>
      <c r="Z944" s="939"/>
      <c r="AA944" s="939"/>
      <c r="AB944" s="939"/>
      <c r="AC944" s="939"/>
      <c r="AD944" s="939"/>
      <c r="AE944" s="939"/>
      <c r="AF944" s="939"/>
      <c r="AG944" s="939"/>
      <c r="AH944" s="939"/>
      <c r="AI944" s="939"/>
      <c r="AJ944" s="939"/>
      <c r="AK944" s="939"/>
      <c r="AL944" s="939"/>
      <c r="AM944" s="939"/>
      <c r="AN944" s="939"/>
    </row>
    <row r="945" spans="1:40" ht="15" customHeight="1">
      <c r="A945" s="939"/>
      <c r="B945" s="939"/>
      <c r="C945" s="939"/>
      <c r="D945" s="939"/>
      <c r="E945" s="939"/>
      <c r="F945" s="939"/>
      <c r="G945" s="939"/>
      <c r="H945" s="939"/>
      <c r="I945" s="939"/>
      <c r="J945" s="939"/>
      <c r="K945" s="939"/>
      <c r="L945" s="939"/>
      <c r="M945" s="939"/>
      <c r="N945" s="939"/>
      <c r="O945" s="939"/>
      <c r="P945" s="939"/>
      <c r="Q945" s="939"/>
      <c r="R945" s="939"/>
      <c r="S945" s="939"/>
      <c r="T945" s="939"/>
      <c r="U945" s="939"/>
      <c r="V945" s="939"/>
      <c r="W945" s="939"/>
      <c r="X945" s="939"/>
      <c r="Y945" s="939"/>
      <c r="Z945" s="939"/>
      <c r="AA945" s="939"/>
      <c r="AB945" s="939"/>
      <c r="AC945" s="939"/>
      <c r="AD945" s="939"/>
      <c r="AE945" s="939"/>
      <c r="AF945" s="939"/>
      <c r="AG945" s="939"/>
      <c r="AH945" s="939"/>
      <c r="AI945" s="939"/>
      <c r="AJ945" s="939"/>
      <c r="AK945" s="939"/>
      <c r="AL945" s="939"/>
      <c r="AM945" s="939"/>
      <c r="AN945" s="939"/>
    </row>
    <row r="946" spans="1:40" ht="15" customHeight="1">
      <c r="A946" s="939"/>
      <c r="B946" s="939"/>
      <c r="C946" s="939"/>
      <c r="D946" s="939"/>
      <c r="E946" s="939"/>
      <c r="F946" s="939"/>
      <c r="G946" s="939"/>
      <c r="H946" s="939"/>
      <c r="I946" s="939"/>
      <c r="J946" s="939"/>
      <c r="K946" s="939"/>
      <c r="L946" s="939"/>
      <c r="M946" s="939"/>
      <c r="N946" s="939"/>
      <c r="O946" s="939"/>
      <c r="P946" s="939"/>
      <c r="Q946" s="939"/>
      <c r="R946" s="939"/>
      <c r="S946" s="939"/>
      <c r="T946" s="939"/>
      <c r="U946" s="939"/>
      <c r="V946" s="939"/>
      <c r="W946" s="939"/>
      <c r="X946" s="939"/>
      <c r="Y946" s="939"/>
      <c r="Z946" s="939"/>
      <c r="AA946" s="939"/>
      <c r="AB946" s="939"/>
      <c r="AC946" s="939"/>
      <c r="AD946" s="939"/>
      <c r="AE946" s="939"/>
      <c r="AF946" s="939"/>
      <c r="AG946" s="939"/>
      <c r="AH946" s="939"/>
      <c r="AI946" s="939"/>
      <c r="AJ946" s="939"/>
      <c r="AK946" s="939"/>
      <c r="AL946" s="939"/>
      <c r="AM946" s="939"/>
      <c r="AN946" s="939"/>
    </row>
    <row r="947" spans="1:40" ht="15" customHeight="1">
      <c r="A947" s="939"/>
      <c r="B947" s="939"/>
      <c r="C947" s="939"/>
      <c r="D947" s="939"/>
      <c r="E947" s="939"/>
      <c r="F947" s="939"/>
      <c r="G947" s="939"/>
      <c r="H947" s="939"/>
      <c r="I947" s="939"/>
      <c r="J947" s="939"/>
      <c r="K947" s="939"/>
      <c r="L947" s="939"/>
      <c r="M947" s="939"/>
      <c r="N947" s="939"/>
      <c r="O947" s="939"/>
      <c r="P947" s="939"/>
      <c r="Q947" s="939"/>
      <c r="R947" s="939"/>
      <c r="S947" s="939"/>
      <c r="T947" s="939"/>
      <c r="U947" s="939"/>
      <c r="V947" s="939"/>
      <c r="W947" s="939"/>
      <c r="X947" s="939"/>
      <c r="Y947" s="939"/>
      <c r="Z947" s="939"/>
      <c r="AA947" s="939"/>
      <c r="AB947" s="939"/>
      <c r="AC947" s="939"/>
      <c r="AD947" s="939"/>
      <c r="AE947" s="939"/>
      <c r="AF947" s="939"/>
      <c r="AG947" s="939"/>
      <c r="AH947" s="939"/>
      <c r="AI947" s="939"/>
      <c r="AJ947" s="939"/>
      <c r="AK947" s="939"/>
      <c r="AL947" s="939"/>
      <c r="AM947" s="939"/>
      <c r="AN947" s="939"/>
    </row>
    <row r="948" spans="1:40" ht="15" customHeight="1">
      <c r="A948" s="939"/>
      <c r="B948" s="939"/>
      <c r="C948" s="939"/>
      <c r="D948" s="939"/>
      <c r="E948" s="939"/>
      <c r="F948" s="939"/>
      <c r="G948" s="939"/>
      <c r="H948" s="939"/>
      <c r="I948" s="939"/>
      <c r="J948" s="939"/>
      <c r="K948" s="939"/>
      <c r="L948" s="939"/>
      <c r="M948" s="939"/>
      <c r="N948" s="939"/>
      <c r="O948" s="939"/>
      <c r="P948" s="939"/>
      <c r="Q948" s="939"/>
      <c r="R948" s="939"/>
      <c r="S948" s="939"/>
      <c r="T948" s="939"/>
      <c r="U948" s="939"/>
      <c r="V948" s="939"/>
      <c r="W948" s="939"/>
      <c r="X948" s="939"/>
      <c r="Y948" s="939"/>
      <c r="Z948" s="939"/>
      <c r="AA948" s="939"/>
      <c r="AB948" s="939"/>
      <c r="AC948" s="939"/>
      <c r="AD948" s="939"/>
      <c r="AE948" s="939"/>
      <c r="AF948" s="939"/>
      <c r="AG948" s="939"/>
      <c r="AH948" s="939"/>
      <c r="AI948" s="939"/>
      <c r="AJ948" s="939"/>
      <c r="AK948" s="939"/>
      <c r="AL948" s="939"/>
      <c r="AM948" s="939"/>
      <c r="AN948" s="939"/>
    </row>
    <row r="949" spans="1:40" ht="15" customHeight="1">
      <c r="A949" s="939"/>
      <c r="B949" s="939"/>
      <c r="C949" s="939"/>
      <c r="D949" s="939"/>
      <c r="E949" s="939"/>
      <c r="F949" s="939"/>
      <c r="G949" s="939"/>
      <c r="H949" s="939"/>
      <c r="I949" s="939"/>
      <c r="J949" s="939"/>
      <c r="K949" s="939"/>
      <c r="L949" s="939"/>
      <c r="M949" s="939"/>
      <c r="N949" s="939"/>
      <c r="O949" s="939"/>
      <c r="P949" s="939"/>
      <c r="Q949" s="939"/>
      <c r="R949" s="939"/>
      <c r="S949" s="939"/>
      <c r="T949" s="939"/>
      <c r="U949" s="939"/>
      <c r="V949" s="939"/>
      <c r="W949" s="939"/>
      <c r="X949" s="939"/>
      <c r="Y949" s="939"/>
      <c r="Z949" s="939"/>
      <c r="AA949" s="939"/>
      <c r="AB949" s="939"/>
      <c r="AC949" s="939"/>
      <c r="AD949" s="939"/>
      <c r="AE949" s="939"/>
      <c r="AF949" s="939"/>
      <c r="AG949" s="939"/>
      <c r="AH949" s="939"/>
      <c r="AI949" s="939"/>
      <c r="AJ949" s="939"/>
      <c r="AK949" s="939"/>
      <c r="AL949" s="939"/>
      <c r="AM949" s="939"/>
      <c r="AN949" s="939"/>
    </row>
    <row r="950" spans="1:40" ht="15" customHeight="1">
      <c r="A950" s="939"/>
      <c r="B950" s="939"/>
      <c r="C950" s="939"/>
      <c r="D950" s="939"/>
      <c r="E950" s="939"/>
      <c r="F950" s="939"/>
      <c r="G950" s="939"/>
      <c r="H950" s="939"/>
      <c r="I950" s="939"/>
      <c r="J950" s="939"/>
      <c r="K950" s="939"/>
      <c r="L950" s="939"/>
      <c r="M950" s="939"/>
      <c r="N950" s="939"/>
      <c r="O950" s="939"/>
      <c r="P950" s="939"/>
      <c r="Q950" s="939"/>
      <c r="R950" s="939"/>
      <c r="S950" s="939"/>
      <c r="T950" s="939"/>
      <c r="U950" s="939"/>
      <c r="V950" s="939"/>
      <c r="W950" s="939"/>
      <c r="X950" s="939"/>
      <c r="Y950" s="939"/>
      <c r="Z950" s="939"/>
      <c r="AA950" s="939"/>
      <c r="AB950" s="939"/>
      <c r="AC950" s="939"/>
      <c r="AD950" s="939"/>
      <c r="AE950" s="939"/>
      <c r="AF950" s="939"/>
      <c r="AG950" s="939"/>
      <c r="AH950" s="939"/>
      <c r="AI950" s="939"/>
      <c r="AJ950" s="939"/>
      <c r="AK950" s="939"/>
      <c r="AL950" s="939"/>
      <c r="AM950" s="939"/>
      <c r="AN950" s="939"/>
    </row>
    <row r="951" spans="1:40" ht="15" customHeight="1">
      <c r="A951" s="939"/>
      <c r="B951" s="939"/>
      <c r="C951" s="939"/>
      <c r="D951" s="939"/>
      <c r="E951" s="939"/>
      <c r="F951" s="939"/>
      <c r="G951" s="939"/>
      <c r="H951" s="939"/>
      <c r="I951" s="939"/>
      <c r="J951" s="939"/>
      <c r="K951" s="939"/>
      <c r="L951" s="939"/>
      <c r="M951" s="939"/>
      <c r="N951" s="939"/>
      <c r="O951" s="939"/>
      <c r="P951" s="939"/>
      <c r="Q951" s="939"/>
      <c r="R951" s="939"/>
      <c r="S951" s="939"/>
      <c r="T951" s="939"/>
      <c r="U951" s="939"/>
      <c r="V951" s="939"/>
      <c r="W951" s="939"/>
      <c r="X951" s="939"/>
      <c r="Y951" s="939"/>
      <c r="Z951" s="939"/>
      <c r="AA951" s="939"/>
      <c r="AB951" s="939"/>
      <c r="AC951" s="939"/>
      <c r="AD951" s="939"/>
      <c r="AE951" s="939"/>
      <c r="AF951" s="939"/>
      <c r="AG951" s="939"/>
      <c r="AH951" s="939"/>
      <c r="AI951" s="939"/>
      <c r="AJ951" s="939"/>
      <c r="AK951" s="939"/>
      <c r="AL951" s="939"/>
      <c r="AM951" s="939"/>
      <c r="AN951" s="939"/>
    </row>
    <row r="952" spans="1:40" ht="15" customHeight="1">
      <c r="A952" s="939"/>
      <c r="B952" s="939"/>
      <c r="C952" s="939"/>
      <c r="D952" s="939"/>
      <c r="E952" s="939"/>
      <c r="F952" s="939"/>
      <c r="G952" s="939"/>
      <c r="H952" s="939"/>
      <c r="I952" s="939"/>
      <c r="J952" s="939"/>
      <c r="K952" s="939"/>
      <c r="L952" s="939"/>
      <c r="M952" s="939"/>
      <c r="N952" s="939"/>
      <c r="O952" s="939"/>
      <c r="P952" s="939"/>
      <c r="Q952" s="939"/>
      <c r="R952" s="939"/>
      <c r="S952" s="939"/>
      <c r="T952" s="939"/>
      <c r="U952" s="939"/>
      <c r="V952" s="939"/>
      <c r="W952" s="939"/>
      <c r="X952" s="939"/>
      <c r="Y952" s="939"/>
      <c r="Z952" s="939"/>
      <c r="AA952" s="939"/>
      <c r="AB952" s="939"/>
      <c r="AC952" s="939"/>
      <c r="AD952" s="939"/>
      <c r="AE952" s="939"/>
      <c r="AF952" s="939"/>
      <c r="AG952" s="939"/>
      <c r="AH952" s="939"/>
      <c r="AI952" s="939"/>
      <c r="AJ952" s="939"/>
      <c r="AK952" s="939"/>
      <c r="AL952" s="939"/>
      <c r="AM952" s="939"/>
      <c r="AN952" s="939"/>
    </row>
    <row r="953" spans="1:40" ht="15" customHeight="1">
      <c r="A953" s="939"/>
      <c r="B953" s="939"/>
      <c r="C953" s="939"/>
      <c r="D953" s="939"/>
      <c r="E953" s="939"/>
      <c r="F953" s="939"/>
      <c r="G953" s="939"/>
      <c r="H953" s="939"/>
      <c r="I953" s="939"/>
      <c r="J953" s="939"/>
      <c r="K953" s="939"/>
      <c r="L953" s="939"/>
      <c r="M953" s="939"/>
      <c r="N953" s="939"/>
      <c r="O953" s="939"/>
      <c r="P953" s="939"/>
      <c r="Q953" s="939"/>
      <c r="R953" s="939"/>
      <c r="S953" s="939"/>
      <c r="T953" s="939"/>
      <c r="U953" s="939"/>
      <c r="V953" s="939"/>
      <c r="W953" s="939"/>
      <c r="X953" s="939"/>
      <c r="Y953" s="939"/>
      <c r="Z953" s="939"/>
      <c r="AA953" s="939"/>
      <c r="AB953" s="939"/>
      <c r="AC953" s="939"/>
      <c r="AD953" s="939"/>
      <c r="AE953" s="939"/>
      <c r="AF953" s="939"/>
      <c r="AG953" s="939"/>
      <c r="AH953" s="939"/>
      <c r="AI953" s="939"/>
      <c r="AJ953" s="939"/>
      <c r="AK953" s="939"/>
      <c r="AL953" s="939"/>
      <c r="AM953" s="939"/>
      <c r="AN953" s="939"/>
    </row>
    <row r="954" spans="1:40" ht="15" customHeight="1">
      <c r="A954" s="939"/>
      <c r="B954" s="939"/>
      <c r="C954" s="939"/>
      <c r="D954" s="939"/>
      <c r="E954" s="939"/>
      <c r="F954" s="939"/>
      <c r="G954" s="939"/>
      <c r="H954" s="939"/>
      <c r="I954" s="939"/>
      <c r="J954" s="939"/>
      <c r="K954" s="939"/>
      <c r="L954" s="939"/>
      <c r="M954" s="939"/>
      <c r="N954" s="939"/>
      <c r="O954" s="939"/>
      <c r="P954" s="939"/>
      <c r="Q954" s="939"/>
      <c r="R954" s="939"/>
      <c r="S954" s="939"/>
      <c r="T954" s="939"/>
      <c r="U954" s="939"/>
      <c r="V954" s="939"/>
      <c r="W954" s="939"/>
      <c r="X954" s="939"/>
      <c r="Y954" s="939"/>
      <c r="Z954" s="939"/>
      <c r="AA954" s="939"/>
      <c r="AB954" s="939"/>
      <c r="AC954" s="939"/>
      <c r="AD954" s="939"/>
      <c r="AE954" s="939"/>
      <c r="AF954" s="939"/>
      <c r="AG954" s="939"/>
      <c r="AH954" s="939"/>
      <c r="AI954" s="939"/>
      <c r="AJ954" s="939"/>
      <c r="AK954" s="939"/>
      <c r="AL954" s="939"/>
      <c r="AM954" s="939"/>
      <c r="AN954" s="939"/>
    </row>
    <row r="955" spans="1:40" ht="15" customHeight="1">
      <c r="A955" s="939"/>
      <c r="B955" s="939"/>
      <c r="C955" s="939"/>
      <c r="D955" s="939"/>
      <c r="E955" s="939"/>
      <c r="F955" s="939"/>
      <c r="G955" s="939"/>
      <c r="H955" s="939"/>
      <c r="I955" s="939"/>
      <c r="J955" s="939"/>
      <c r="K955" s="939"/>
      <c r="L955" s="939"/>
      <c r="M955" s="939"/>
      <c r="N955" s="939"/>
      <c r="O955" s="939"/>
      <c r="P955" s="939"/>
      <c r="Q955" s="939"/>
      <c r="R955" s="939"/>
      <c r="S955" s="939"/>
      <c r="T955" s="939"/>
      <c r="U955" s="939"/>
      <c r="V955" s="939"/>
      <c r="W955" s="939"/>
      <c r="X955" s="939"/>
      <c r="Y955" s="939"/>
      <c r="Z955" s="939"/>
      <c r="AA955" s="939"/>
      <c r="AB955" s="939"/>
      <c r="AC955" s="939"/>
      <c r="AD955" s="939"/>
      <c r="AE955" s="939"/>
      <c r="AF955" s="939"/>
      <c r="AG955" s="939"/>
      <c r="AH955" s="939"/>
      <c r="AI955" s="939"/>
      <c r="AJ955" s="939"/>
      <c r="AK955" s="939"/>
      <c r="AL955" s="939"/>
      <c r="AM955" s="939"/>
      <c r="AN955" s="939"/>
    </row>
    <row r="956" spans="1:40" ht="15" customHeight="1">
      <c r="A956" s="939"/>
      <c r="B956" s="939"/>
      <c r="C956" s="939"/>
      <c r="D956" s="939"/>
      <c r="E956" s="939"/>
      <c r="F956" s="939"/>
      <c r="G956" s="939"/>
      <c r="H956" s="939"/>
      <c r="I956" s="939"/>
      <c r="J956" s="939"/>
      <c r="K956" s="939"/>
      <c r="L956" s="939"/>
      <c r="M956" s="939"/>
      <c r="N956" s="939"/>
      <c r="O956" s="939"/>
      <c r="P956" s="939"/>
      <c r="Q956" s="939"/>
      <c r="R956" s="939"/>
      <c r="S956" s="939"/>
      <c r="T956" s="939"/>
      <c r="U956" s="939"/>
      <c r="V956" s="939"/>
      <c r="W956" s="939"/>
      <c r="X956" s="939"/>
      <c r="Y956" s="939"/>
      <c r="Z956" s="939"/>
      <c r="AA956" s="939"/>
      <c r="AB956" s="939"/>
      <c r="AC956" s="939"/>
      <c r="AD956" s="939"/>
      <c r="AE956" s="939"/>
      <c r="AF956" s="939"/>
      <c r="AG956" s="939"/>
      <c r="AH956" s="939"/>
      <c r="AI956" s="939"/>
      <c r="AJ956" s="939"/>
      <c r="AK956" s="939"/>
      <c r="AL956" s="939"/>
      <c r="AM956" s="939"/>
      <c r="AN956" s="939"/>
    </row>
    <row r="957" spans="1:40" ht="15" customHeight="1">
      <c r="A957" s="939"/>
      <c r="B957" s="939"/>
      <c r="C957" s="939"/>
      <c r="D957" s="939"/>
      <c r="E957" s="939"/>
      <c r="F957" s="939"/>
      <c r="G957" s="939"/>
      <c r="H957" s="939"/>
      <c r="I957" s="939"/>
      <c r="J957" s="939"/>
      <c r="K957" s="939"/>
      <c r="L957" s="939"/>
      <c r="M957" s="939"/>
      <c r="N957" s="939"/>
      <c r="O957" s="939"/>
      <c r="P957" s="939"/>
      <c r="Q957" s="939"/>
      <c r="R957" s="939"/>
      <c r="S957" s="939"/>
      <c r="T957" s="939"/>
      <c r="U957" s="939"/>
      <c r="V957" s="939"/>
      <c r="W957" s="939"/>
      <c r="X957" s="939"/>
      <c r="Y957" s="939"/>
      <c r="Z957" s="939"/>
      <c r="AA957" s="939"/>
      <c r="AB957" s="939"/>
      <c r="AC957" s="939"/>
      <c r="AD957" s="939"/>
      <c r="AE957" s="939"/>
      <c r="AF957" s="939"/>
      <c r="AG957" s="939"/>
      <c r="AH957" s="939"/>
      <c r="AI957" s="939"/>
      <c r="AJ957" s="939"/>
      <c r="AK957" s="939"/>
      <c r="AL957" s="939"/>
      <c r="AM957" s="939"/>
      <c r="AN957" s="939"/>
    </row>
    <row r="958" spans="1:40" ht="15" customHeight="1">
      <c r="A958" s="939"/>
      <c r="B958" s="939"/>
      <c r="C958" s="939"/>
      <c r="D958" s="939"/>
      <c r="E958" s="939"/>
      <c r="F958" s="939"/>
      <c r="G958" s="939"/>
      <c r="H958" s="939"/>
      <c r="I958" s="939"/>
      <c r="J958" s="939"/>
      <c r="K958" s="939"/>
      <c r="L958" s="939"/>
      <c r="M958" s="939"/>
      <c r="N958" s="939"/>
      <c r="O958" s="939"/>
      <c r="P958" s="939"/>
      <c r="Q958" s="939"/>
      <c r="R958" s="939"/>
      <c r="S958" s="939"/>
      <c r="T958" s="939"/>
      <c r="U958" s="939"/>
      <c r="V958" s="939"/>
      <c r="W958" s="939"/>
      <c r="X958" s="939"/>
      <c r="Y958" s="939"/>
      <c r="Z958" s="939"/>
      <c r="AA958" s="939"/>
      <c r="AB958" s="939"/>
      <c r="AC958" s="939"/>
      <c r="AD958" s="939"/>
      <c r="AE958" s="939"/>
      <c r="AF958" s="939"/>
      <c r="AG958" s="939"/>
      <c r="AH958" s="939"/>
      <c r="AI958" s="939"/>
      <c r="AJ958" s="939"/>
      <c r="AK958" s="939"/>
      <c r="AL958" s="939"/>
      <c r="AM958" s="939"/>
      <c r="AN958" s="939"/>
    </row>
    <row r="959" spans="1:40" ht="15" customHeight="1">
      <c r="A959" s="939"/>
      <c r="B959" s="939"/>
      <c r="C959" s="939"/>
      <c r="D959" s="939"/>
      <c r="E959" s="939"/>
      <c r="F959" s="939"/>
      <c r="G959" s="939"/>
      <c r="H959" s="939"/>
      <c r="I959" s="939"/>
      <c r="J959" s="939"/>
      <c r="K959" s="939"/>
      <c r="L959" s="939"/>
      <c r="M959" s="939"/>
      <c r="N959" s="939"/>
      <c r="O959" s="939"/>
      <c r="P959" s="939"/>
      <c r="Q959" s="939"/>
      <c r="R959" s="939"/>
      <c r="S959" s="939"/>
      <c r="T959" s="939"/>
      <c r="U959" s="939"/>
      <c r="V959" s="939"/>
      <c r="W959" s="939"/>
      <c r="X959" s="939"/>
      <c r="Y959" s="939"/>
      <c r="Z959" s="939"/>
      <c r="AA959" s="939"/>
      <c r="AB959" s="939"/>
      <c r="AC959" s="939"/>
      <c r="AD959" s="939"/>
      <c r="AE959" s="939"/>
      <c r="AF959" s="939"/>
      <c r="AG959" s="939"/>
      <c r="AH959" s="939"/>
      <c r="AI959" s="939"/>
      <c r="AJ959" s="939"/>
      <c r="AK959" s="939"/>
      <c r="AL959" s="939"/>
      <c r="AM959" s="939"/>
      <c r="AN959" s="939"/>
    </row>
    <row r="960" spans="1:40" ht="15" customHeight="1">
      <c r="A960" s="939"/>
      <c r="B960" s="939"/>
      <c r="C960" s="939"/>
      <c r="D960" s="939"/>
      <c r="E960" s="939"/>
      <c r="F960" s="939"/>
      <c r="G960" s="939"/>
      <c r="H960" s="939"/>
      <c r="I960" s="939"/>
      <c r="J960" s="939"/>
      <c r="K960" s="939"/>
      <c r="L960" s="939"/>
      <c r="M960" s="939"/>
      <c r="N960" s="939"/>
      <c r="O960" s="939"/>
      <c r="P960" s="939"/>
      <c r="Q960" s="939"/>
      <c r="R960" s="939"/>
      <c r="S960" s="939"/>
      <c r="T960" s="939"/>
      <c r="U960" s="939"/>
      <c r="V960" s="939"/>
      <c r="W960" s="939"/>
      <c r="X960" s="939"/>
      <c r="Y960" s="939"/>
      <c r="Z960" s="939"/>
      <c r="AA960" s="939"/>
      <c r="AB960" s="939"/>
      <c r="AC960" s="939"/>
      <c r="AD960" s="939"/>
      <c r="AE960" s="939"/>
      <c r="AF960" s="939"/>
      <c r="AG960" s="939"/>
      <c r="AH960" s="939"/>
      <c r="AI960" s="939"/>
      <c r="AJ960" s="939"/>
      <c r="AK960" s="939"/>
      <c r="AL960" s="939"/>
      <c r="AM960" s="939"/>
      <c r="AN960" s="939"/>
    </row>
    <row r="961" spans="1:40" ht="15" customHeight="1">
      <c r="A961" s="939"/>
      <c r="B961" s="939"/>
      <c r="C961" s="939"/>
      <c r="D961" s="939"/>
      <c r="E961" s="939"/>
      <c r="F961" s="939"/>
      <c r="G961" s="939"/>
      <c r="H961" s="939"/>
      <c r="I961" s="939"/>
      <c r="J961" s="939"/>
      <c r="K961" s="939"/>
      <c r="L961" s="939"/>
      <c r="M961" s="939"/>
      <c r="N961" s="939"/>
      <c r="O961" s="939"/>
      <c r="P961" s="939"/>
      <c r="Q961" s="939"/>
      <c r="R961" s="939"/>
      <c r="S961" s="939"/>
      <c r="T961" s="939"/>
      <c r="U961" s="939"/>
      <c r="V961" s="939"/>
      <c r="W961" s="939"/>
      <c r="X961" s="939"/>
      <c r="Y961" s="939"/>
      <c r="Z961" s="939"/>
      <c r="AA961" s="939"/>
      <c r="AB961" s="939"/>
      <c r="AC961" s="939"/>
      <c r="AD961" s="939"/>
      <c r="AE961" s="939"/>
      <c r="AF961" s="939"/>
      <c r="AG961" s="939"/>
      <c r="AH961" s="939"/>
      <c r="AI961" s="939"/>
      <c r="AJ961" s="939"/>
      <c r="AK961" s="939"/>
      <c r="AL961" s="939"/>
      <c r="AM961" s="939"/>
      <c r="AN961" s="939"/>
    </row>
    <row r="962" spans="1:40" ht="15" customHeight="1">
      <c r="A962" s="939"/>
      <c r="B962" s="939"/>
      <c r="C962" s="939"/>
      <c r="D962" s="939"/>
      <c r="E962" s="939"/>
      <c r="F962" s="939"/>
      <c r="G962" s="939"/>
      <c r="H962" s="939"/>
      <c r="I962" s="939"/>
      <c r="J962" s="939"/>
      <c r="K962" s="939"/>
      <c r="L962" s="939"/>
      <c r="M962" s="939"/>
      <c r="N962" s="939"/>
      <c r="O962" s="939"/>
      <c r="P962" s="939"/>
      <c r="Q962" s="939"/>
      <c r="R962" s="939"/>
      <c r="S962" s="939"/>
      <c r="T962" s="939"/>
      <c r="U962" s="939"/>
      <c r="V962" s="939"/>
      <c r="W962" s="939"/>
      <c r="X962" s="939"/>
      <c r="Y962" s="939"/>
      <c r="Z962" s="939"/>
      <c r="AA962" s="939"/>
      <c r="AB962" s="939"/>
      <c r="AC962" s="939"/>
      <c r="AD962" s="939"/>
      <c r="AE962" s="939"/>
      <c r="AF962" s="939"/>
      <c r="AG962" s="939"/>
      <c r="AH962" s="939"/>
      <c r="AI962" s="939"/>
      <c r="AJ962" s="939"/>
      <c r="AK962" s="939"/>
      <c r="AL962" s="939"/>
      <c r="AM962" s="939"/>
      <c r="AN962" s="939"/>
    </row>
    <row r="963" spans="1:40" ht="15" customHeight="1">
      <c r="A963" s="939"/>
      <c r="B963" s="939"/>
      <c r="C963" s="939"/>
      <c r="D963" s="939"/>
      <c r="E963" s="939"/>
      <c r="F963" s="939"/>
      <c r="G963" s="939"/>
      <c r="H963" s="939"/>
      <c r="I963" s="939"/>
      <c r="J963" s="939"/>
      <c r="K963" s="939"/>
      <c r="L963" s="939"/>
      <c r="M963" s="939"/>
      <c r="N963" s="939"/>
      <c r="O963" s="939"/>
      <c r="P963" s="939"/>
      <c r="Q963" s="939"/>
      <c r="R963" s="939"/>
      <c r="S963" s="939"/>
      <c r="T963" s="939"/>
      <c r="U963" s="939"/>
      <c r="V963" s="939"/>
      <c r="W963" s="939"/>
      <c r="X963" s="939"/>
      <c r="Y963" s="939"/>
      <c r="Z963" s="939"/>
      <c r="AA963" s="939"/>
      <c r="AB963" s="939"/>
      <c r="AC963" s="939"/>
      <c r="AD963" s="939"/>
      <c r="AE963" s="939"/>
      <c r="AF963" s="939"/>
      <c r="AG963" s="939"/>
      <c r="AH963" s="939"/>
      <c r="AI963" s="939"/>
      <c r="AJ963" s="939"/>
      <c r="AK963" s="939"/>
      <c r="AL963" s="939"/>
      <c r="AM963" s="939"/>
      <c r="AN963" s="939"/>
    </row>
    <row r="964" spans="1:40" ht="15" customHeight="1">
      <c r="A964" s="939"/>
      <c r="B964" s="939"/>
      <c r="C964" s="939"/>
      <c r="D964" s="939"/>
      <c r="E964" s="939"/>
      <c r="F964" s="939"/>
      <c r="G964" s="939"/>
      <c r="H964" s="939"/>
      <c r="I964" s="939"/>
      <c r="J964" s="939"/>
      <c r="K964" s="939"/>
      <c r="L964" s="939"/>
      <c r="M964" s="939"/>
      <c r="N964" s="939"/>
      <c r="O964" s="939"/>
      <c r="P964" s="939"/>
      <c r="Q964" s="939"/>
      <c r="R964" s="939"/>
      <c r="S964" s="939"/>
      <c r="T964" s="939"/>
      <c r="U964" s="939"/>
      <c r="V964" s="939"/>
      <c r="W964" s="939"/>
      <c r="X964" s="939"/>
      <c r="Y964" s="939"/>
      <c r="Z964" s="939"/>
      <c r="AA964" s="939"/>
      <c r="AB964" s="939"/>
      <c r="AC964" s="939"/>
      <c r="AD964" s="939"/>
      <c r="AE964" s="939"/>
      <c r="AF964" s="939"/>
      <c r="AG964" s="939"/>
      <c r="AH964" s="939"/>
      <c r="AI964" s="939"/>
      <c r="AJ964" s="939"/>
      <c r="AK964" s="939"/>
      <c r="AL964" s="939"/>
      <c r="AM964" s="939"/>
      <c r="AN964" s="939"/>
    </row>
    <row r="965" spans="1:40" ht="15" customHeight="1">
      <c r="A965" s="939"/>
      <c r="B965" s="939"/>
      <c r="C965" s="939"/>
      <c r="D965" s="939"/>
      <c r="E965" s="939"/>
      <c r="F965" s="939"/>
      <c r="G965" s="939"/>
      <c r="H965" s="939"/>
      <c r="I965" s="939"/>
      <c r="J965" s="939"/>
      <c r="K965" s="939"/>
      <c r="L965" s="939"/>
      <c r="M965" s="939"/>
      <c r="N965" s="939"/>
      <c r="O965" s="939"/>
      <c r="P965" s="939"/>
      <c r="Q965" s="939"/>
      <c r="R965" s="939"/>
      <c r="S965" s="939"/>
      <c r="T965" s="939"/>
      <c r="U965" s="939"/>
      <c r="V965" s="939"/>
      <c r="W965" s="939"/>
      <c r="X965" s="939"/>
      <c r="Y965" s="939"/>
      <c r="Z965" s="939"/>
      <c r="AA965" s="939"/>
      <c r="AB965" s="939"/>
      <c r="AC965" s="939"/>
      <c r="AD965" s="939"/>
      <c r="AE965" s="939"/>
      <c r="AF965" s="939"/>
      <c r="AG965" s="939"/>
      <c r="AH965" s="939"/>
      <c r="AI965" s="939"/>
      <c r="AJ965" s="939"/>
      <c r="AK965" s="939"/>
      <c r="AL965" s="939"/>
      <c r="AM965" s="939"/>
      <c r="AN965" s="939"/>
    </row>
    <row r="966" spans="1:40" ht="15" customHeight="1">
      <c r="A966" s="939"/>
      <c r="B966" s="939"/>
      <c r="C966" s="939"/>
      <c r="D966" s="939"/>
      <c r="E966" s="939"/>
      <c r="F966" s="939"/>
      <c r="G966" s="939"/>
      <c r="H966" s="939"/>
      <c r="I966" s="939"/>
      <c r="J966" s="939"/>
      <c r="K966" s="939"/>
      <c r="L966" s="939"/>
      <c r="M966" s="939"/>
      <c r="N966" s="939"/>
      <c r="O966" s="939"/>
      <c r="P966" s="939"/>
      <c r="Q966" s="939"/>
      <c r="R966" s="939"/>
      <c r="S966" s="939"/>
      <c r="T966" s="939"/>
      <c r="U966" s="939"/>
      <c r="V966" s="939"/>
      <c r="W966" s="939"/>
      <c r="X966" s="939"/>
      <c r="Y966" s="939"/>
      <c r="Z966" s="939"/>
      <c r="AA966" s="939"/>
      <c r="AB966" s="939"/>
      <c r="AC966" s="939"/>
      <c r="AD966" s="939"/>
      <c r="AE966" s="939"/>
      <c r="AF966" s="939"/>
      <c r="AG966" s="939"/>
      <c r="AH966" s="939"/>
      <c r="AI966" s="939"/>
      <c r="AJ966" s="939"/>
      <c r="AK966" s="939"/>
      <c r="AL966" s="939"/>
      <c r="AM966" s="939"/>
      <c r="AN966" s="939"/>
    </row>
    <row r="967" spans="1:40" ht="15" customHeight="1">
      <c r="A967" s="939"/>
      <c r="B967" s="939"/>
      <c r="C967" s="939"/>
      <c r="D967" s="939"/>
      <c r="E967" s="939"/>
      <c r="F967" s="939"/>
      <c r="G967" s="939"/>
      <c r="H967" s="939"/>
      <c r="I967" s="939"/>
      <c r="J967" s="939"/>
      <c r="K967" s="939"/>
      <c r="L967" s="939"/>
      <c r="M967" s="939"/>
      <c r="N967" s="939"/>
      <c r="O967" s="939"/>
      <c r="P967" s="939"/>
      <c r="Q967" s="939"/>
      <c r="R967" s="939"/>
      <c r="S967" s="939"/>
      <c r="T967" s="939"/>
      <c r="U967" s="939"/>
      <c r="V967" s="939"/>
      <c r="W967" s="939"/>
      <c r="X967" s="939"/>
      <c r="Y967" s="939"/>
      <c r="Z967" s="939"/>
      <c r="AA967" s="939"/>
      <c r="AB967" s="939"/>
      <c r="AC967" s="939"/>
      <c r="AD967" s="939"/>
      <c r="AE967" s="939"/>
      <c r="AF967" s="939"/>
      <c r="AG967" s="939"/>
      <c r="AH967" s="939"/>
      <c r="AI967" s="939"/>
      <c r="AJ967" s="939"/>
      <c r="AK967" s="939"/>
      <c r="AL967" s="939"/>
      <c r="AM967" s="939"/>
      <c r="AN967" s="939"/>
    </row>
    <row r="968" spans="1:40" ht="15" customHeight="1">
      <c r="A968" s="939"/>
      <c r="B968" s="939"/>
      <c r="C968" s="939"/>
      <c r="D968" s="939"/>
      <c r="E968" s="939"/>
      <c r="F968" s="939"/>
      <c r="G968" s="939"/>
      <c r="H968" s="939"/>
      <c r="I968" s="939"/>
      <c r="J968" s="939"/>
      <c r="K968" s="939"/>
      <c r="L968" s="939"/>
      <c r="M968" s="939"/>
      <c r="N968" s="939"/>
      <c r="O968" s="939"/>
      <c r="P968" s="939"/>
      <c r="Q968" s="939"/>
      <c r="R968" s="939"/>
      <c r="S968" s="939"/>
      <c r="T968" s="939"/>
      <c r="U968" s="939"/>
      <c r="V968" s="939"/>
      <c r="W968" s="939"/>
      <c r="X968" s="939"/>
      <c r="Y968" s="939"/>
      <c r="Z968" s="939"/>
      <c r="AA968" s="939"/>
      <c r="AB968" s="939"/>
      <c r="AC968" s="939"/>
      <c r="AD968" s="939"/>
      <c r="AE968" s="939"/>
      <c r="AF968" s="939"/>
      <c r="AG968" s="939"/>
      <c r="AH968" s="939"/>
      <c r="AI968" s="939"/>
      <c r="AJ968" s="939"/>
      <c r="AK968" s="939"/>
      <c r="AL968" s="939"/>
      <c r="AM968" s="939"/>
      <c r="AN968" s="939"/>
    </row>
    <row r="969" spans="1:40" ht="15" customHeight="1">
      <c r="A969" s="939"/>
      <c r="B969" s="939"/>
      <c r="C969" s="939"/>
      <c r="D969" s="939"/>
      <c r="E969" s="939"/>
      <c r="F969" s="939"/>
      <c r="G969" s="939"/>
      <c r="H969" s="939"/>
      <c r="I969" s="939"/>
      <c r="J969" s="939"/>
      <c r="K969" s="939"/>
      <c r="L969" s="939"/>
      <c r="M969" s="939"/>
      <c r="N969" s="939"/>
      <c r="O969" s="939"/>
      <c r="P969" s="939"/>
      <c r="Q969" s="939"/>
      <c r="R969" s="939"/>
      <c r="S969" s="939"/>
      <c r="T969" s="939"/>
      <c r="U969" s="939"/>
      <c r="V969" s="939"/>
      <c r="W969" s="939"/>
      <c r="X969" s="939"/>
      <c r="Y969" s="939"/>
      <c r="Z969" s="939"/>
      <c r="AA969" s="939"/>
      <c r="AB969" s="939"/>
      <c r="AC969" s="939"/>
      <c r="AD969" s="939"/>
      <c r="AE969" s="939"/>
      <c r="AF969" s="939"/>
      <c r="AG969" s="939"/>
      <c r="AH969" s="939"/>
      <c r="AI969" s="939"/>
      <c r="AJ969" s="939"/>
      <c r="AK969" s="939"/>
      <c r="AL969" s="939"/>
      <c r="AM969" s="939"/>
      <c r="AN969" s="939"/>
    </row>
    <row r="970" spans="1:40" ht="15" customHeight="1">
      <c r="A970" s="939"/>
      <c r="B970" s="939"/>
      <c r="C970" s="939"/>
      <c r="D970" s="939"/>
      <c r="E970" s="939"/>
      <c r="F970" s="939"/>
      <c r="G970" s="939"/>
      <c r="H970" s="939"/>
      <c r="I970" s="939"/>
      <c r="J970" s="939"/>
      <c r="K970" s="939"/>
      <c r="L970" s="939"/>
      <c r="M970" s="939"/>
      <c r="N970" s="939"/>
      <c r="O970" s="939"/>
      <c r="P970" s="939"/>
      <c r="Q970" s="939"/>
      <c r="R970" s="939"/>
      <c r="S970" s="939"/>
      <c r="T970" s="939"/>
      <c r="U970" s="939"/>
      <c r="V970" s="939"/>
      <c r="W970" s="939"/>
      <c r="X970" s="939"/>
      <c r="Y970" s="939"/>
      <c r="Z970" s="939"/>
      <c r="AA970" s="939"/>
      <c r="AB970" s="939"/>
      <c r="AC970" s="939"/>
      <c r="AD970" s="939"/>
      <c r="AE970" s="939"/>
      <c r="AF970" s="939"/>
      <c r="AG970" s="939"/>
      <c r="AH970" s="939"/>
      <c r="AI970" s="939"/>
      <c r="AJ970" s="939"/>
      <c r="AK970" s="939"/>
      <c r="AL970" s="939"/>
      <c r="AM970" s="939"/>
      <c r="AN970" s="939"/>
    </row>
    <row r="971" spans="1:40" ht="15" customHeight="1">
      <c r="A971" s="939"/>
      <c r="B971" s="939"/>
      <c r="C971" s="939"/>
      <c r="D971" s="939"/>
      <c r="E971" s="939"/>
      <c r="F971" s="939"/>
      <c r="G971" s="939"/>
      <c r="H971" s="939"/>
      <c r="I971" s="939"/>
      <c r="J971" s="939"/>
      <c r="K971" s="939"/>
      <c r="L971" s="939"/>
      <c r="M971" s="939"/>
      <c r="N971" s="939"/>
      <c r="O971" s="939"/>
      <c r="P971" s="939"/>
      <c r="Q971" s="939"/>
      <c r="R971" s="939"/>
      <c r="S971" s="939"/>
      <c r="T971" s="939"/>
      <c r="U971" s="939"/>
      <c r="V971" s="939"/>
      <c r="W971" s="939"/>
      <c r="X971" s="939"/>
      <c r="Y971" s="939"/>
      <c r="Z971" s="939"/>
      <c r="AA971" s="939"/>
      <c r="AB971" s="939"/>
      <c r="AC971" s="939"/>
      <c r="AD971" s="939"/>
      <c r="AE971" s="939"/>
      <c r="AF971" s="939"/>
      <c r="AG971" s="939"/>
      <c r="AH971" s="939"/>
      <c r="AI971" s="939"/>
      <c r="AJ971" s="939"/>
      <c r="AK971" s="939"/>
      <c r="AL971" s="939"/>
      <c r="AM971" s="939"/>
      <c r="AN971" s="939"/>
    </row>
    <row r="972" spans="1:40" ht="15" customHeight="1">
      <c r="A972" s="939"/>
      <c r="B972" s="939"/>
      <c r="C972" s="939"/>
      <c r="D972" s="939"/>
      <c r="E972" s="939"/>
      <c r="F972" s="939"/>
      <c r="G972" s="939"/>
      <c r="H972" s="939"/>
      <c r="I972" s="939"/>
      <c r="J972" s="939"/>
      <c r="K972" s="939"/>
      <c r="L972" s="939"/>
      <c r="M972" s="939"/>
      <c r="N972" s="939"/>
      <c r="O972" s="939"/>
      <c r="P972" s="939"/>
      <c r="Q972" s="939"/>
      <c r="R972" s="939"/>
      <c r="S972" s="939"/>
      <c r="T972" s="939"/>
      <c r="U972" s="939"/>
      <c r="V972" s="939"/>
      <c r="W972" s="939"/>
      <c r="X972" s="939"/>
      <c r="Y972" s="939"/>
      <c r="Z972" s="939"/>
      <c r="AA972" s="939"/>
      <c r="AB972" s="939"/>
      <c r="AC972" s="939"/>
      <c r="AD972" s="939"/>
      <c r="AE972" s="939"/>
      <c r="AF972" s="939"/>
      <c r="AG972" s="939"/>
      <c r="AH972" s="939"/>
      <c r="AI972" s="939"/>
      <c r="AJ972" s="939"/>
      <c r="AK972" s="939"/>
      <c r="AL972" s="939"/>
      <c r="AM972" s="939"/>
      <c r="AN972" s="939"/>
    </row>
    <row r="973" spans="1:40" ht="15" customHeight="1">
      <c r="A973" s="939"/>
      <c r="B973" s="939"/>
      <c r="C973" s="939"/>
      <c r="D973" s="939"/>
      <c r="E973" s="939"/>
      <c r="F973" s="939"/>
      <c r="G973" s="939"/>
      <c r="H973" s="939"/>
      <c r="I973" s="939"/>
      <c r="J973" s="939"/>
      <c r="K973" s="939"/>
      <c r="L973" s="939"/>
      <c r="M973" s="939"/>
      <c r="N973" s="939"/>
      <c r="O973" s="939"/>
      <c r="P973" s="939"/>
      <c r="Q973" s="939"/>
      <c r="R973" s="939"/>
      <c r="S973" s="939"/>
      <c r="T973" s="939"/>
      <c r="U973" s="939"/>
      <c r="V973" s="939"/>
      <c r="W973" s="939"/>
      <c r="X973" s="939"/>
      <c r="Y973" s="939"/>
      <c r="Z973" s="939"/>
      <c r="AA973" s="939"/>
      <c r="AB973" s="939"/>
      <c r="AC973" s="939"/>
      <c r="AD973" s="939"/>
      <c r="AE973" s="939"/>
      <c r="AF973" s="939"/>
      <c r="AG973" s="939"/>
      <c r="AH973" s="939"/>
      <c r="AI973" s="939"/>
      <c r="AJ973" s="939"/>
      <c r="AK973" s="939"/>
      <c r="AL973" s="939"/>
      <c r="AM973" s="939"/>
      <c r="AN973" s="939"/>
    </row>
    <row r="974" spans="1:40" ht="15" customHeight="1">
      <c r="A974" s="939"/>
      <c r="B974" s="939"/>
      <c r="C974" s="939"/>
      <c r="D974" s="939"/>
      <c r="E974" s="939"/>
      <c r="F974" s="939"/>
      <c r="G974" s="939"/>
      <c r="H974" s="939"/>
      <c r="I974" s="939"/>
      <c r="J974" s="939"/>
      <c r="K974" s="939"/>
      <c r="L974" s="939"/>
      <c r="M974" s="939"/>
      <c r="N974" s="939"/>
      <c r="O974" s="939"/>
      <c r="P974" s="939"/>
      <c r="Q974" s="939"/>
      <c r="R974" s="939"/>
      <c r="S974" s="939"/>
      <c r="T974" s="939"/>
      <c r="U974" s="939"/>
      <c r="V974" s="939"/>
      <c r="W974" s="939"/>
      <c r="X974" s="939"/>
      <c r="Y974" s="939"/>
      <c r="Z974" s="939"/>
      <c r="AA974" s="939"/>
      <c r="AB974" s="939"/>
      <c r="AC974" s="939"/>
      <c r="AD974" s="939"/>
      <c r="AE974" s="939"/>
      <c r="AF974" s="939"/>
      <c r="AG974" s="939"/>
      <c r="AH974" s="939"/>
      <c r="AI974" s="939"/>
      <c r="AJ974" s="939"/>
      <c r="AK974" s="939"/>
      <c r="AL974" s="939"/>
      <c r="AM974" s="939"/>
      <c r="AN974" s="939"/>
    </row>
    <row r="975" spans="1:40" ht="15" customHeight="1">
      <c r="A975" s="939"/>
      <c r="B975" s="939"/>
      <c r="C975" s="939"/>
      <c r="D975" s="939"/>
      <c r="E975" s="939"/>
      <c r="F975" s="939"/>
      <c r="G975" s="939"/>
      <c r="H975" s="939"/>
      <c r="I975" s="939"/>
      <c r="J975" s="939"/>
      <c r="K975" s="939"/>
      <c r="L975" s="939"/>
      <c r="M975" s="939"/>
      <c r="N975" s="939"/>
      <c r="O975" s="939"/>
      <c r="P975" s="939"/>
      <c r="Q975" s="939"/>
      <c r="R975" s="939"/>
      <c r="S975" s="939"/>
      <c r="T975" s="939"/>
      <c r="U975" s="939"/>
      <c r="V975" s="939"/>
      <c r="W975" s="939"/>
      <c r="X975" s="939"/>
      <c r="Y975" s="939"/>
      <c r="Z975" s="939"/>
      <c r="AA975" s="939"/>
      <c r="AB975" s="939"/>
      <c r="AC975" s="939"/>
      <c r="AD975" s="939"/>
      <c r="AE975" s="939"/>
      <c r="AF975" s="939"/>
      <c r="AG975" s="939"/>
      <c r="AH975" s="939"/>
      <c r="AI975" s="939"/>
      <c r="AJ975" s="939"/>
      <c r="AK975" s="939"/>
      <c r="AL975" s="939"/>
      <c r="AM975" s="939"/>
      <c r="AN975" s="939"/>
    </row>
    <row r="976" spans="1:40" ht="15" customHeight="1">
      <c r="A976" s="939"/>
      <c r="B976" s="939"/>
      <c r="C976" s="939"/>
      <c r="D976" s="939"/>
      <c r="E976" s="939"/>
      <c r="F976" s="939"/>
      <c r="G976" s="939"/>
      <c r="H976" s="939"/>
      <c r="I976" s="939"/>
      <c r="J976" s="939"/>
      <c r="K976" s="939"/>
      <c r="L976" s="939"/>
      <c r="M976" s="939"/>
      <c r="N976" s="939"/>
      <c r="O976" s="939"/>
      <c r="P976" s="939"/>
      <c r="Q976" s="939"/>
      <c r="R976" s="939"/>
      <c r="S976" s="939"/>
      <c r="T976" s="939"/>
      <c r="U976" s="939"/>
      <c r="V976" s="939"/>
      <c r="W976" s="939"/>
      <c r="X976" s="939"/>
      <c r="Y976" s="939"/>
      <c r="Z976" s="939"/>
      <c r="AA976" s="939"/>
      <c r="AB976" s="939"/>
      <c r="AC976" s="939"/>
      <c r="AD976" s="939"/>
      <c r="AE976" s="939"/>
      <c r="AF976" s="939"/>
      <c r="AG976" s="939"/>
      <c r="AH976" s="939"/>
      <c r="AI976" s="939"/>
      <c r="AJ976" s="939"/>
      <c r="AK976" s="939"/>
      <c r="AL976" s="939"/>
      <c r="AM976" s="939"/>
      <c r="AN976" s="939"/>
    </row>
    <row r="977" spans="1:40" ht="15" customHeight="1">
      <c r="A977" s="939"/>
      <c r="B977" s="939"/>
      <c r="C977" s="939"/>
      <c r="D977" s="939"/>
      <c r="E977" s="939"/>
      <c r="F977" s="939"/>
      <c r="G977" s="939"/>
      <c r="H977" s="939"/>
      <c r="I977" s="939"/>
      <c r="J977" s="939"/>
      <c r="K977" s="939"/>
      <c r="L977" s="939"/>
      <c r="M977" s="939"/>
      <c r="N977" s="939"/>
      <c r="O977" s="939"/>
      <c r="P977" s="939"/>
      <c r="Q977" s="939"/>
      <c r="R977" s="939"/>
      <c r="S977" s="939"/>
      <c r="T977" s="939"/>
      <c r="U977" s="939"/>
      <c r="V977" s="939"/>
      <c r="W977" s="939"/>
      <c r="X977" s="939"/>
      <c r="Y977" s="939"/>
      <c r="Z977" s="939"/>
      <c r="AA977" s="939"/>
      <c r="AB977" s="939"/>
      <c r="AC977" s="939"/>
      <c r="AD977" s="939"/>
      <c r="AE977" s="939"/>
      <c r="AF977" s="939"/>
      <c r="AG977" s="939"/>
      <c r="AH977" s="939"/>
      <c r="AI977" s="939"/>
      <c r="AJ977" s="939"/>
      <c r="AK977" s="939"/>
      <c r="AL977" s="939"/>
      <c r="AM977" s="939"/>
      <c r="AN977" s="939"/>
    </row>
    <row r="978" spans="1:40" ht="15" customHeight="1">
      <c r="A978" s="939"/>
      <c r="B978" s="939"/>
      <c r="C978" s="939"/>
      <c r="D978" s="939"/>
      <c r="E978" s="939"/>
      <c r="F978" s="939"/>
      <c r="G978" s="939"/>
      <c r="H978" s="939"/>
      <c r="I978" s="939"/>
      <c r="J978" s="939"/>
      <c r="K978" s="939"/>
      <c r="L978" s="939"/>
      <c r="M978" s="939"/>
      <c r="N978" s="939"/>
      <c r="O978" s="939"/>
      <c r="P978" s="939"/>
      <c r="Q978" s="939"/>
      <c r="R978" s="939"/>
      <c r="S978" s="939"/>
      <c r="T978" s="939"/>
      <c r="U978" s="939"/>
      <c r="V978" s="939"/>
      <c r="W978" s="939"/>
      <c r="X978" s="939"/>
      <c r="Y978" s="939"/>
      <c r="Z978" s="939"/>
      <c r="AA978" s="939"/>
      <c r="AB978" s="939"/>
      <c r="AC978" s="939"/>
      <c r="AD978" s="939"/>
      <c r="AE978" s="939"/>
      <c r="AF978" s="939"/>
      <c r="AG978" s="939"/>
      <c r="AH978" s="939"/>
      <c r="AI978" s="939"/>
      <c r="AJ978" s="939"/>
      <c r="AK978" s="939"/>
      <c r="AL978" s="939"/>
      <c r="AM978" s="939"/>
      <c r="AN978" s="939"/>
    </row>
    <row r="979" spans="1:40" ht="15" customHeight="1">
      <c r="A979" s="939"/>
      <c r="B979" s="939"/>
      <c r="C979" s="939"/>
      <c r="D979" s="939"/>
      <c r="E979" s="939"/>
      <c r="F979" s="939"/>
      <c r="G979" s="939"/>
      <c r="H979" s="939"/>
      <c r="I979" s="939"/>
      <c r="J979" s="939"/>
      <c r="K979" s="939"/>
      <c r="L979" s="939"/>
      <c r="M979" s="939"/>
      <c r="N979" s="939"/>
      <c r="O979" s="939"/>
      <c r="P979" s="939"/>
      <c r="Q979" s="939"/>
      <c r="R979" s="939"/>
      <c r="S979" s="939"/>
      <c r="T979" s="939"/>
      <c r="U979" s="939"/>
      <c r="V979" s="939"/>
      <c r="W979" s="939"/>
      <c r="X979" s="939"/>
      <c r="Y979" s="939"/>
      <c r="Z979" s="939"/>
      <c r="AA979" s="939"/>
      <c r="AB979" s="939"/>
      <c r="AC979" s="939"/>
      <c r="AD979" s="939"/>
      <c r="AE979" s="939"/>
      <c r="AF979" s="939"/>
      <c r="AG979" s="939"/>
      <c r="AH979" s="939"/>
      <c r="AI979" s="939"/>
      <c r="AJ979" s="939"/>
      <c r="AK979" s="939"/>
      <c r="AL979" s="939"/>
      <c r="AM979" s="939"/>
      <c r="AN979" s="939"/>
    </row>
    <row r="980" spans="1:40" ht="15" customHeight="1">
      <c r="A980" s="939"/>
      <c r="B980" s="939"/>
      <c r="C980" s="939"/>
      <c r="D980" s="939"/>
      <c r="E980" s="939"/>
      <c r="F980" s="939"/>
      <c r="G980" s="939"/>
      <c r="H980" s="939"/>
      <c r="I980" s="939"/>
      <c r="J980" s="939"/>
      <c r="K980" s="939"/>
      <c r="L980" s="939"/>
      <c r="M980" s="939"/>
      <c r="N980" s="939"/>
      <c r="O980" s="939"/>
      <c r="P980" s="939"/>
      <c r="Q980" s="939"/>
      <c r="R980" s="939"/>
      <c r="S980" s="939"/>
      <c r="T980" s="939"/>
      <c r="U980" s="939"/>
      <c r="V980" s="939"/>
      <c r="W980" s="939"/>
      <c r="X980" s="939"/>
      <c r="Y980" s="939"/>
      <c r="Z980" s="939"/>
      <c r="AA980" s="939"/>
      <c r="AB980" s="939"/>
      <c r="AC980" s="939"/>
      <c r="AD980" s="939"/>
      <c r="AE980" s="939"/>
      <c r="AF980" s="939"/>
      <c r="AG980" s="939"/>
      <c r="AH980" s="939"/>
      <c r="AI980" s="939"/>
      <c r="AJ980" s="939"/>
      <c r="AK980" s="939"/>
      <c r="AL980" s="939"/>
      <c r="AM980" s="939"/>
      <c r="AN980" s="939"/>
    </row>
    <row r="981" spans="1:40" ht="15" customHeight="1">
      <c r="A981" s="939"/>
      <c r="B981" s="939"/>
      <c r="C981" s="939"/>
      <c r="D981" s="939"/>
      <c r="E981" s="939"/>
      <c r="F981" s="939"/>
      <c r="G981" s="939"/>
      <c r="H981" s="939"/>
      <c r="I981" s="939"/>
      <c r="J981" s="939"/>
      <c r="K981" s="939"/>
      <c r="L981" s="939"/>
      <c r="M981" s="939"/>
      <c r="N981" s="939"/>
      <c r="O981" s="939"/>
      <c r="P981" s="939"/>
      <c r="Q981" s="939"/>
      <c r="R981" s="939"/>
      <c r="S981" s="939"/>
      <c r="T981" s="939"/>
      <c r="U981" s="939"/>
      <c r="V981" s="939"/>
      <c r="W981" s="939"/>
      <c r="X981" s="939"/>
      <c r="Y981" s="939"/>
      <c r="Z981" s="939"/>
      <c r="AA981" s="939"/>
      <c r="AB981" s="939"/>
      <c r="AC981" s="939"/>
      <c r="AD981" s="939"/>
      <c r="AE981" s="939"/>
      <c r="AF981" s="939"/>
      <c r="AG981" s="939"/>
      <c r="AH981" s="939"/>
      <c r="AI981" s="939"/>
      <c r="AJ981" s="939"/>
      <c r="AK981" s="939"/>
      <c r="AL981" s="939"/>
      <c r="AM981" s="939"/>
      <c r="AN981" s="939"/>
    </row>
    <row r="982" spans="1:40" ht="15" customHeight="1">
      <c r="A982" s="939"/>
      <c r="B982" s="939"/>
      <c r="C982" s="939"/>
      <c r="D982" s="939"/>
      <c r="E982" s="939"/>
      <c r="F982" s="939"/>
      <c r="G982" s="939"/>
      <c r="H982" s="939"/>
      <c r="I982" s="939"/>
      <c r="J982" s="939"/>
      <c r="K982" s="939"/>
      <c r="L982" s="939"/>
      <c r="M982" s="939"/>
      <c r="N982" s="939"/>
      <c r="O982" s="939"/>
      <c r="P982" s="939"/>
      <c r="Q982" s="939"/>
      <c r="R982" s="939"/>
      <c r="S982" s="939"/>
      <c r="T982" s="939"/>
      <c r="U982" s="939"/>
      <c r="V982" s="939"/>
      <c r="W982" s="939"/>
      <c r="X982" s="939"/>
      <c r="Y982" s="939"/>
      <c r="Z982" s="939"/>
      <c r="AA982" s="939"/>
      <c r="AB982" s="939"/>
      <c r="AC982" s="939"/>
      <c r="AD982" s="939"/>
      <c r="AE982" s="939"/>
      <c r="AF982" s="939"/>
      <c r="AG982" s="939"/>
      <c r="AH982" s="939"/>
      <c r="AI982" s="939"/>
      <c r="AJ982" s="939"/>
      <c r="AK982" s="939"/>
      <c r="AL982" s="939"/>
      <c r="AM982" s="939"/>
      <c r="AN982" s="939"/>
    </row>
    <row r="983" spans="1:40" ht="15" customHeight="1">
      <c r="A983" s="939"/>
      <c r="B983" s="939"/>
      <c r="C983" s="939"/>
      <c r="D983" s="939"/>
      <c r="E983" s="939"/>
      <c r="F983" s="939"/>
      <c r="G983" s="939"/>
      <c r="H983" s="939"/>
      <c r="I983" s="939"/>
      <c r="J983" s="939"/>
      <c r="K983" s="939"/>
      <c r="L983" s="939"/>
      <c r="M983" s="939"/>
      <c r="N983" s="939"/>
      <c r="O983" s="939"/>
      <c r="P983" s="939"/>
      <c r="Q983" s="939"/>
      <c r="R983" s="939"/>
      <c r="S983" s="939"/>
      <c r="T983" s="939"/>
      <c r="U983" s="939"/>
      <c r="V983" s="939"/>
      <c r="W983" s="939"/>
      <c r="X983" s="939"/>
      <c r="Y983" s="939"/>
      <c r="Z983" s="939"/>
      <c r="AA983" s="939"/>
      <c r="AB983" s="939"/>
      <c r="AC983" s="939"/>
      <c r="AD983" s="939"/>
      <c r="AE983" s="939"/>
      <c r="AF983" s="939"/>
      <c r="AG983" s="939"/>
      <c r="AH983" s="939"/>
      <c r="AI983" s="939"/>
      <c r="AJ983" s="939"/>
      <c r="AK983" s="939"/>
      <c r="AL983" s="939"/>
      <c r="AM983" s="939"/>
      <c r="AN983" s="939"/>
    </row>
    <row r="984" spans="1:40" ht="15" customHeight="1">
      <c r="A984" s="939"/>
      <c r="B984" s="939"/>
      <c r="C984" s="939"/>
      <c r="D984" s="939"/>
      <c r="E984" s="939"/>
      <c r="F984" s="939"/>
      <c r="G984" s="939"/>
      <c r="H984" s="939"/>
      <c r="I984" s="939"/>
      <c r="J984" s="939"/>
      <c r="K984" s="939"/>
      <c r="L984" s="939"/>
      <c r="M984" s="939"/>
      <c r="N984" s="939"/>
      <c r="O984" s="939"/>
      <c r="P984" s="939"/>
      <c r="Q984" s="939"/>
      <c r="R984" s="939"/>
      <c r="S984" s="939"/>
      <c r="T984" s="939"/>
      <c r="U984" s="939"/>
      <c r="V984" s="939"/>
      <c r="W984" s="939"/>
      <c r="X984" s="939"/>
      <c r="Y984" s="939"/>
      <c r="Z984" s="939"/>
      <c r="AA984" s="939"/>
      <c r="AB984" s="939"/>
      <c r="AC984" s="939"/>
      <c r="AD984" s="939"/>
      <c r="AE984" s="939"/>
      <c r="AF984" s="939"/>
      <c r="AG984" s="939"/>
      <c r="AH984" s="939"/>
      <c r="AI984" s="939"/>
      <c r="AJ984" s="939"/>
      <c r="AK984" s="939"/>
      <c r="AL984" s="939"/>
      <c r="AM984" s="939"/>
      <c r="AN984" s="939"/>
    </row>
    <row r="985" spans="1:40" ht="15" customHeight="1">
      <c r="A985" s="939"/>
      <c r="B985" s="939"/>
      <c r="C985" s="939"/>
      <c r="D985" s="939"/>
      <c r="E985" s="939"/>
      <c r="F985" s="939"/>
      <c r="G985" s="939"/>
      <c r="H985" s="939"/>
      <c r="I985" s="939"/>
      <c r="J985" s="939"/>
      <c r="K985" s="939"/>
      <c r="L985" s="939"/>
      <c r="M985" s="939"/>
      <c r="N985" s="939"/>
      <c r="O985" s="939"/>
      <c r="P985" s="939"/>
      <c r="Q985" s="939"/>
      <c r="R985" s="939"/>
      <c r="S985" s="939"/>
      <c r="T985" s="939"/>
      <c r="U985" s="939"/>
      <c r="V985" s="939"/>
      <c r="W985" s="939"/>
      <c r="X985" s="939"/>
      <c r="Y985" s="939"/>
      <c r="Z985" s="939"/>
      <c r="AA985" s="939"/>
      <c r="AB985" s="939"/>
      <c r="AC985" s="939"/>
      <c r="AD985" s="939"/>
      <c r="AE985" s="939"/>
      <c r="AF985" s="939"/>
      <c r="AG985" s="939"/>
      <c r="AH985" s="939"/>
      <c r="AI985" s="939"/>
      <c r="AJ985" s="939"/>
      <c r="AK985" s="939"/>
      <c r="AL985" s="939"/>
      <c r="AM985" s="939"/>
      <c r="AN985" s="939"/>
    </row>
    <row r="986" spans="1:40" ht="15" customHeight="1">
      <c r="A986" s="939"/>
      <c r="B986" s="939"/>
      <c r="C986" s="939"/>
      <c r="D986" s="939"/>
      <c r="E986" s="939"/>
      <c r="F986" s="939"/>
      <c r="G986" s="939"/>
      <c r="H986" s="939"/>
      <c r="I986" s="939"/>
      <c r="J986" s="939"/>
      <c r="K986" s="939"/>
      <c r="L986" s="939"/>
      <c r="M986" s="939"/>
      <c r="N986" s="939"/>
      <c r="O986" s="939"/>
      <c r="P986" s="939"/>
      <c r="Q986" s="939"/>
      <c r="R986" s="939"/>
      <c r="S986" s="939"/>
      <c r="T986" s="939"/>
      <c r="U986" s="939"/>
      <c r="V986" s="939"/>
      <c r="W986" s="939"/>
      <c r="X986" s="939"/>
      <c r="Y986" s="939"/>
      <c r="Z986" s="939"/>
      <c r="AA986" s="939"/>
      <c r="AB986" s="939"/>
      <c r="AC986" s="939"/>
      <c r="AD986" s="939"/>
      <c r="AE986" s="939"/>
      <c r="AF986" s="939"/>
      <c r="AG986" s="939"/>
      <c r="AH986" s="939"/>
      <c r="AI986" s="939"/>
      <c r="AJ986" s="939"/>
      <c r="AK986" s="939"/>
      <c r="AL986" s="939"/>
      <c r="AM986" s="939"/>
      <c r="AN986" s="939"/>
    </row>
    <row r="987" spans="1:40" ht="15" customHeight="1">
      <c r="A987" s="939"/>
      <c r="B987" s="939"/>
      <c r="C987" s="939"/>
      <c r="D987" s="939"/>
      <c r="E987" s="939"/>
      <c r="F987" s="939"/>
      <c r="G987" s="939"/>
      <c r="H987" s="939"/>
      <c r="I987" s="939"/>
      <c r="J987" s="939"/>
      <c r="K987" s="939"/>
      <c r="L987" s="939"/>
      <c r="M987" s="939"/>
      <c r="N987" s="939"/>
      <c r="O987" s="939"/>
      <c r="P987" s="939"/>
      <c r="Q987" s="939"/>
      <c r="R987" s="939"/>
      <c r="S987" s="939"/>
      <c r="T987" s="939"/>
      <c r="U987" s="939"/>
      <c r="V987" s="939"/>
      <c r="W987" s="939"/>
      <c r="X987" s="939"/>
      <c r="Y987" s="939"/>
      <c r="Z987" s="939"/>
      <c r="AA987" s="939"/>
      <c r="AB987" s="939"/>
      <c r="AC987" s="939"/>
      <c r="AD987" s="939"/>
      <c r="AE987" s="939"/>
      <c r="AF987" s="939"/>
      <c r="AG987" s="939"/>
      <c r="AH987" s="939"/>
      <c r="AI987" s="939"/>
      <c r="AJ987" s="939"/>
      <c r="AK987" s="939"/>
      <c r="AL987" s="939"/>
      <c r="AM987" s="939"/>
      <c r="AN987" s="939"/>
    </row>
    <row r="988" spans="1:40" ht="15" customHeight="1">
      <c r="A988" s="939"/>
      <c r="B988" s="939"/>
      <c r="C988" s="939"/>
      <c r="D988" s="939"/>
      <c r="E988" s="939"/>
      <c r="F988" s="939"/>
      <c r="G988" s="939"/>
      <c r="H988" s="939"/>
      <c r="I988" s="939"/>
      <c r="J988" s="939"/>
      <c r="K988" s="939"/>
      <c r="L988" s="939"/>
      <c r="M988" s="939"/>
      <c r="N988" s="939"/>
      <c r="O988" s="939"/>
      <c r="P988" s="939"/>
      <c r="Q988" s="939"/>
      <c r="R988" s="939"/>
      <c r="S988" s="939"/>
      <c r="T988" s="939"/>
      <c r="U988" s="939"/>
      <c r="V988" s="939"/>
      <c r="W988" s="939"/>
      <c r="X988" s="939"/>
      <c r="Y988" s="939"/>
      <c r="Z988" s="939"/>
      <c r="AA988" s="939"/>
      <c r="AB988" s="939"/>
      <c r="AC988" s="939"/>
      <c r="AD988" s="939"/>
      <c r="AE988" s="939"/>
      <c r="AF988" s="939"/>
      <c r="AG988" s="939"/>
      <c r="AH988" s="939"/>
      <c r="AI988" s="939"/>
      <c r="AJ988" s="939"/>
      <c r="AK988" s="939"/>
      <c r="AL988" s="939"/>
      <c r="AM988" s="939"/>
      <c r="AN988" s="939"/>
    </row>
    <row r="989" spans="1:40" ht="15" customHeight="1">
      <c r="A989" s="939"/>
      <c r="B989" s="939"/>
      <c r="C989" s="939"/>
      <c r="D989" s="939"/>
      <c r="E989" s="939"/>
      <c r="F989" s="939"/>
      <c r="G989" s="939"/>
      <c r="H989" s="939"/>
      <c r="I989" s="939"/>
      <c r="J989" s="939"/>
      <c r="K989" s="939"/>
      <c r="L989" s="939"/>
      <c r="M989" s="939"/>
      <c r="N989" s="939"/>
      <c r="O989" s="939"/>
      <c r="P989" s="939"/>
      <c r="Q989" s="939"/>
      <c r="R989" s="939"/>
      <c r="S989" s="939"/>
      <c r="T989" s="939"/>
      <c r="U989" s="939"/>
      <c r="V989" s="939"/>
      <c r="W989" s="939"/>
      <c r="X989" s="939"/>
      <c r="Y989" s="939"/>
      <c r="Z989" s="939"/>
      <c r="AA989" s="939"/>
      <c r="AB989" s="939"/>
      <c r="AC989" s="939"/>
      <c r="AD989" s="939"/>
      <c r="AE989" s="939"/>
      <c r="AF989" s="939"/>
      <c r="AG989" s="939"/>
      <c r="AH989" s="939"/>
      <c r="AI989" s="939"/>
      <c r="AJ989" s="939"/>
      <c r="AK989" s="939"/>
      <c r="AL989" s="939"/>
      <c r="AM989" s="939"/>
      <c r="AN989" s="939"/>
    </row>
    <row r="990" spans="1:40" ht="15" customHeight="1">
      <c r="A990" s="939"/>
      <c r="B990" s="939"/>
      <c r="C990" s="939"/>
      <c r="D990" s="939"/>
      <c r="E990" s="939"/>
      <c r="F990" s="939"/>
      <c r="G990" s="939"/>
      <c r="H990" s="939"/>
      <c r="I990" s="939"/>
      <c r="J990" s="939"/>
      <c r="K990" s="939"/>
      <c r="L990" s="939"/>
      <c r="M990" s="939"/>
      <c r="N990" s="939"/>
      <c r="O990" s="939"/>
      <c r="P990" s="939"/>
      <c r="Q990" s="939"/>
      <c r="R990" s="939"/>
      <c r="S990" s="939"/>
      <c r="T990" s="939"/>
      <c r="U990" s="939"/>
      <c r="V990" s="939"/>
      <c r="W990" s="939"/>
      <c r="X990" s="939"/>
      <c r="Y990" s="939"/>
      <c r="Z990" s="939"/>
      <c r="AA990" s="939"/>
      <c r="AB990" s="939"/>
      <c r="AC990" s="939"/>
      <c r="AD990" s="939"/>
      <c r="AE990" s="939"/>
      <c r="AF990" s="939"/>
      <c r="AG990" s="939"/>
      <c r="AH990" s="939"/>
      <c r="AI990" s="939"/>
      <c r="AJ990" s="939"/>
      <c r="AK990" s="939"/>
      <c r="AL990" s="939"/>
      <c r="AM990" s="939"/>
      <c r="AN990" s="939"/>
    </row>
    <row r="991" spans="1:40" ht="15" customHeight="1">
      <c r="A991" s="939"/>
      <c r="B991" s="939"/>
      <c r="C991" s="939"/>
      <c r="D991" s="939"/>
      <c r="E991" s="939"/>
      <c r="F991" s="939"/>
      <c r="G991" s="939"/>
      <c r="H991" s="939"/>
      <c r="I991" s="939"/>
      <c r="J991" s="939"/>
      <c r="K991" s="939"/>
      <c r="L991" s="939"/>
      <c r="M991" s="939"/>
      <c r="N991" s="939"/>
      <c r="O991" s="939"/>
      <c r="P991" s="939"/>
      <c r="Q991" s="939"/>
      <c r="R991" s="939"/>
      <c r="S991" s="939"/>
      <c r="T991" s="939"/>
      <c r="U991" s="939"/>
      <c r="V991" s="939"/>
      <c r="W991" s="939"/>
      <c r="X991" s="939"/>
      <c r="Y991" s="939"/>
      <c r="Z991" s="939"/>
      <c r="AA991" s="939"/>
      <c r="AB991" s="939"/>
      <c r="AC991" s="939"/>
      <c r="AD991" s="939"/>
      <c r="AE991" s="939"/>
      <c r="AF991" s="939"/>
      <c r="AG991" s="939"/>
      <c r="AH991" s="939"/>
      <c r="AI991" s="939"/>
      <c r="AJ991" s="939"/>
      <c r="AK991" s="939"/>
      <c r="AL991" s="939"/>
      <c r="AM991" s="939"/>
      <c r="AN991" s="939"/>
    </row>
    <row r="992" spans="1:40" ht="15" customHeight="1">
      <c r="A992" s="939"/>
      <c r="B992" s="939"/>
      <c r="C992" s="939"/>
      <c r="D992" s="939"/>
      <c r="E992" s="939"/>
      <c r="F992" s="939"/>
      <c r="G992" s="939"/>
      <c r="H992" s="939"/>
      <c r="I992" s="939"/>
      <c r="J992" s="939"/>
      <c r="K992" s="939"/>
      <c r="L992" s="939"/>
      <c r="M992" s="939"/>
      <c r="N992" s="939"/>
      <c r="O992" s="939"/>
      <c r="P992" s="939"/>
      <c r="Q992" s="939"/>
      <c r="R992" s="939"/>
      <c r="S992" s="939"/>
      <c r="T992" s="939"/>
      <c r="U992" s="939"/>
      <c r="V992" s="939"/>
      <c r="W992" s="939"/>
      <c r="X992" s="939"/>
      <c r="Y992" s="939"/>
      <c r="Z992" s="939"/>
      <c r="AA992" s="939"/>
      <c r="AB992" s="939"/>
      <c r="AC992" s="939"/>
      <c r="AD992" s="939"/>
      <c r="AE992" s="939"/>
      <c r="AF992" s="939"/>
      <c r="AG992" s="939"/>
      <c r="AH992" s="939"/>
      <c r="AI992" s="939"/>
      <c r="AJ992" s="939"/>
      <c r="AK992" s="939"/>
      <c r="AL992" s="939"/>
      <c r="AM992" s="939"/>
      <c r="AN992" s="939"/>
    </row>
    <row r="993" spans="1:40" ht="15" customHeight="1">
      <c r="A993" s="939"/>
      <c r="B993" s="939"/>
      <c r="C993" s="939"/>
      <c r="D993" s="939"/>
      <c r="E993" s="939"/>
      <c r="F993" s="939"/>
      <c r="G993" s="939"/>
      <c r="H993" s="939"/>
      <c r="I993" s="939"/>
      <c r="J993" s="939"/>
      <c r="K993" s="939"/>
      <c r="L993" s="939"/>
      <c r="M993" s="939"/>
      <c r="N993" s="939"/>
      <c r="O993" s="939"/>
      <c r="P993" s="939"/>
      <c r="Q993" s="939"/>
      <c r="R993" s="939"/>
      <c r="S993" s="939"/>
      <c r="T993" s="939"/>
      <c r="U993" s="939"/>
      <c r="V993" s="939"/>
      <c r="W993" s="939"/>
      <c r="X993" s="939"/>
      <c r="Y993" s="939"/>
      <c r="Z993" s="939"/>
      <c r="AA993" s="939"/>
      <c r="AB993" s="939"/>
      <c r="AC993" s="939"/>
      <c r="AD993" s="939"/>
      <c r="AE993" s="939"/>
      <c r="AF993" s="939"/>
      <c r="AG993" s="939"/>
      <c r="AH993" s="939"/>
      <c r="AI993" s="939"/>
      <c r="AJ993" s="939"/>
      <c r="AK993" s="939"/>
      <c r="AL993" s="939"/>
      <c r="AM993" s="939"/>
      <c r="AN993" s="939"/>
    </row>
    <row r="994" spans="1:40" ht="15" customHeight="1">
      <c r="A994" s="939"/>
      <c r="B994" s="939"/>
      <c r="C994" s="939"/>
      <c r="D994" s="939"/>
      <c r="E994" s="939"/>
      <c r="F994" s="939"/>
      <c r="G994" s="939"/>
      <c r="H994" s="939"/>
      <c r="I994" s="939"/>
      <c r="J994" s="939"/>
      <c r="K994" s="939"/>
      <c r="L994" s="939"/>
      <c r="M994" s="939"/>
      <c r="N994" s="939"/>
      <c r="O994" s="939"/>
      <c r="P994" s="939"/>
      <c r="Q994" s="939"/>
      <c r="R994" s="939"/>
      <c r="S994" s="939"/>
      <c r="T994" s="939"/>
      <c r="U994" s="939"/>
      <c r="V994" s="939"/>
      <c r="W994" s="939"/>
      <c r="X994" s="939"/>
      <c r="Y994" s="939"/>
      <c r="Z994" s="939"/>
      <c r="AA994" s="939"/>
      <c r="AB994" s="939"/>
      <c r="AC994" s="939"/>
      <c r="AD994" s="939"/>
      <c r="AE994" s="939"/>
      <c r="AF994" s="939"/>
      <c r="AG994" s="939"/>
      <c r="AH994" s="939"/>
      <c r="AI994" s="939"/>
      <c r="AJ994" s="939"/>
      <c r="AK994" s="939"/>
      <c r="AL994" s="939"/>
      <c r="AM994" s="939"/>
      <c r="AN994" s="939"/>
    </row>
    <row r="995" spans="1:40" ht="15" customHeight="1">
      <c r="A995" s="939"/>
      <c r="B995" s="939"/>
      <c r="C995" s="939"/>
      <c r="D995" s="939"/>
      <c r="E995" s="939"/>
      <c r="F995" s="939"/>
      <c r="G995" s="939"/>
      <c r="H995" s="939"/>
      <c r="I995" s="939"/>
      <c r="J995" s="939"/>
      <c r="K995" s="939"/>
      <c r="L995" s="939"/>
      <c r="M995" s="939"/>
      <c r="N995" s="939"/>
      <c r="O995" s="939"/>
      <c r="P995" s="939"/>
      <c r="Q995" s="939"/>
      <c r="R995" s="939"/>
      <c r="S995" s="939"/>
      <c r="T995" s="939"/>
      <c r="U995" s="939"/>
      <c r="V995" s="939"/>
      <c r="W995" s="939"/>
      <c r="X995" s="939"/>
      <c r="Y995" s="939"/>
      <c r="Z995" s="939"/>
      <c r="AA995" s="939"/>
      <c r="AB995" s="939"/>
      <c r="AC995" s="939"/>
      <c r="AD995" s="939"/>
      <c r="AE995" s="939"/>
      <c r="AF995" s="939"/>
      <c r="AG995" s="939"/>
      <c r="AH995" s="939"/>
      <c r="AI995" s="939"/>
      <c r="AJ995" s="939"/>
      <c r="AK995" s="939"/>
      <c r="AL995" s="939"/>
      <c r="AM995" s="939"/>
      <c r="AN995" s="939"/>
    </row>
    <row r="996" spans="1:40" ht="15" customHeight="1">
      <c r="A996" s="939"/>
      <c r="B996" s="939"/>
      <c r="C996" s="939"/>
      <c r="D996" s="939"/>
      <c r="E996" s="939"/>
      <c r="F996" s="939"/>
      <c r="G996" s="939"/>
      <c r="H996" s="939"/>
      <c r="I996" s="939"/>
      <c r="J996" s="939"/>
      <c r="K996" s="939"/>
      <c r="L996" s="939"/>
      <c r="M996" s="939"/>
      <c r="N996" s="939"/>
      <c r="O996" s="939"/>
      <c r="P996" s="939"/>
      <c r="Q996" s="939"/>
      <c r="R996" s="939"/>
      <c r="S996" s="939"/>
      <c r="T996" s="939"/>
      <c r="U996" s="939"/>
      <c r="V996" s="939"/>
      <c r="W996" s="939"/>
      <c r="X996" s="939"/>
      <c r="Y996" s="939"/>
      <c r="Z996" s="939"/>
      <c r="AA996" s="939"/>
      <c r="AB996" s="939"/>
      <c r="AC996" s="939"/>
      <c r="AD996" s="939"/>
      <c r="AE996" s="939"/>
      <c r="AF996" s="939"/>
      <c r="AG996" s="939"/>
      <c r="AH996" s="939"/>
      <c r="AI996" s="939"/>
      <c r="AJ996" s="939"/>
      <c r="AK996" s="939"/>
      <c r="AL996" s="939"/>
      <c r="AM996" s="939"/>
      <c r="AN996" s="939"/>
    </row>
    <row r="997" spans="1:40" ht="15" customHeight="1">
      <c r="A997" s="939"/>
      <c r="B997" s="939"/>
      <c r="C997" s="939"/>
      <c r="D997" s="939"/>
      <c r="E997" s="939"/>
      <c r="F997" s="939"/>
      <c r="G997" s="939"/>
      <c r="H997" s="939"/>
      <c r="I997" s="939"/>
      <c r="J997" s="939"/>
      <c r="K997" s="939"/>
      <c r="L997" s="939"/>
      <c r="M997" s="939"/>
      <c r="N997" s="939"/>
      <c r="O997" s="939"/>
      <c r="P997" s="939"/>
      <c r="Q997" s="939"/>
      <c r="R997" s="939"/>
      <c r="S997" s="939"/>
      <c r="T997" s="939"/>
      <c r="U997" s="939"/>
      <c r="V997" s="939"/>
      <c r="W997" s="939"/>
      <c r="X997" s="939"/>
      <c r="Y997" s="939"/>
      <c r="Z997" s="939"/>
      <c r="AA997" s="939"/>
      <c r="AB997" s="939"/>
      <c r="AC997" s="939"/>
      <c r="AD997" s="939"/>
      <c r="AE997" s="939"/>
      <c r="AF997" s="939"/>
      <c r="AG997" s="939"/>
      <c r="AH997" s="939"/>
      <c r="AI997" s="939"/>
      <c r="AJ997" s="939"/>
      <c r="AK997" s="939"/>
      <c r="AL997" s="939"/>
      <c r="AM997" s="939"/>
      <c r="AN997" s="939"/>
    </row>
    <row r="998" spans="1:40" ht="15" customHeight="1">
      <c r="A998" s="939"/>
      <c r="B998" s="939"/>
      <c r="C998" s="939"/>
      <c r="D998" s="939"/>
      <c r="E998" s="939"/>
      <c r="F998" s="939"/>
      <c r="G998" s="939"/>
      <c r="H998" s="939"/>
      <c r="I998" s="939"/>
      <c r="J998" s="939"/>
      <c r="K998" s="939"/>
      <c r="L998" s="939"/>
      <c r="M998" s="939"/>
      <c r="N998" s="939"/>
      <c r="O998" s="939"/>
      <c r="P998" s="939"/>
      <c r="Q998" s="939"/>
      <c r="R998" s="939"/>
      <c r="S998" s="939"/>
      <c r="T998" s="939"/>
      <c r="U998" s="939"/>
      <c r="V998" s="939"/>
      <c r="W998" s="939"/>
      <c r="X998" s="939"/>
      <c r="Y998" s="939"/>
      <c r="Z998" s="939"/>
      <c r="AA998" s="939"/>
      <c r="AB998" s="939"/>
      <c r="AC998" s="939"/>
      <c r="AD998" s="939"/>
      <c r="AE998" s="939"/>
      <c r="AF998" s="939"/>
      <c r="AG998" s="939"/>
      <c r="AH998" s="939"/>
      <c r="AI998" s="939"/>
      <c r="AJ998" s="939"/>
      <c r="AK998" s="939"/>
      <c r="AL998" s="939"/>
      <c r="AM998" s="939"/>
      <c r="AN998" s="939"/>
    </row>
    <row r="999" spans="1:40" ht="15" customHeight="1">
      <c r="A999" s="939"/>
      <c r="B999" s="939"/>
      <c r="C999" s="939"/>
      <c r="D999" s="939"/>
      <c r="E999" s="939"/>
      <c r="F999" s="939"/>
      <c r="G999" s="939"/>
      <c r="H999" s="939"/>
      <c r="I999" s="939"/>
      <c r="J999" s="939"/>
      <c r="K999" s="939"/>
      <c r="L999" s="939"/>
      <c r="M999" s="939"/>
      <c r="N999" s="939"/>
      <c r="O999" s="939"/>
      <c r="P999" s="939"/>
      <c r="Q999" s="939"/>
      <c r="R999" s="939"/>
      <c r="S999" s="939"/>
      <c r="T999" s="939"/>
      <c r="U999" s="939"/>
      <c r="V999" s="939"/>
      <c r="W999" s="939"/>
      <c r="X999" s="939"/>
      <c r="Y999" s="939"/>
      <c r="Z999" s="939"/>
      <c r="AA999" s="939"/>
      <c r="AB999" s="939"/>
      <c r="AC999" s="939"/>
      <c r="AD999" s="939"/>
      <c r="AE999" s="939"/>
      <c r="AF999" s="939"/>
      <c r="AG999" s="939"/>
      <c r="AH999" s="939"/>
      <c r="AI999" s="939"/>
      <c r="AJ999" s="939"/>
      <c r="AK999" s="939"/>
      <c r="AL999" s="939"/>
      <c r="AM999" s="939"/>
      <c r="AN999" s="939"/>
    </row>
    <row r="1000" spans="1:40" ht="15" customHeight="1">
      <c r="A1000" s="939"/>
      <c r="B1000" s="939"/>
      <c r="C1000" s="939"/>
      <c r="D1000" s="939"/>
      <c r="E1000" s="939"/>
      <c r="F1000" s="939"/>
      <c r="G1000" s="939"/>
      <c r="H1000" s="939"/>
      <c r="I1000" s="939"/>
      <c r="J1000" s="939"/>
      <c r="K1000" s="939"/>
      <c r="L1000" s="939"/>
      <c r="M1000" s="939"/>
      <c r="N1000" s="939"/>
      <c r="O1000" s="939"/>
      <c r="P1000" s="939"/>
      <c r="Q1000" s="939"/>
      <c r="R1000" s="939"/>
      <c r="S1000" s="939"/>
      <c r="T1000" s="939"/>
      <c r="U1000" s="939"/>
      <c r="V1000" s="939"/>
      <c r="W1000" s="939"/>
      <c r="X1000" s="939"/>
      <c r="Y1000" s="939"/>
      <c r="Z1000" s="939"/>
      <c r="AA1000" s="939"/>
      <c r="AB1000" s="939"/>
      <c r="AC1000" s="939"/>
      <c r="AD1000" s="939"/>
      <c r="AE1000" s="939"/>
      <c r="AF1000" s="939"/>
      <c r="AG1000" s="939"/>
      <c r="AH1000" s="939"/>
      <c r="AI1000" s="939"/>
      <c r="AJ1000" s="939"/>
      <c r="AK1000" s="939"/>
      <c r="AL1000" s="939"/>
      <c r="AM1000" s="939"/>
      <c r="AN1000" s="939"/>
    </row>
    <row r="1001" spans="1:40" ht="15" customHeight="1">
      <c r="A1001" s="939"/>
      <c r="B1001" s="939"/>
      <c r="C1001" s="939"/>
      <c r="D1001" s="939"/>
      <c r="E1001" s="939"/>
      <c r="F1001" s="939"/>
      <c r="G1001" s="939"/>
      <c r="H1001" s="939"/>
      <c r="I1001" s="939"/>
      <c r="J1001" s="939"/>
      <c r="K1001" s="939"/>
      <c r="L1001" s="939"/>
      <c r="M1001" s="939"/>
      <c r="N1001" s="939"/>
      <c r="O1001" s="939"/>
      <c r="P1001" s="939"/>
      <c r="Q1001" s="939"/>
      <c r="R1001" s="939"/>
      <c r="S1001" s="939"/>
      <c r="T1001" s="939"/>
      <c r="U1001" s="939"/>
      <c r="V1001" s="939"/>
      <c r="W1001" s="939"/>
      <c r="X1001" s="939"/>
      <c r="Y1001" s="939"/>
      <c r="Z1001" s="939"/>
      <c r="AA1001" s="939"/>
      <c r="AB1001" s="939"/>
      <c r="AC1001" s="939"/>
      <c r="AD1001" s="939"/>
      <c r="AE1001" s="939"/>
      <c r="AF1001" s="939"/>
      <c r="AG1001" s="939"/>
      <c r="AH1001" s="939"/>
      <c r="AI1001" s="939"/>
      <c r="AJ1001" s="939"/>
      <c r="AK1001" s="939"/>
      <c r="AL1001" s="939"/>
      <c r="AM1001" s="939"/>
      <c r="AN1001" s="939"/>
    </row>
    <row r="1002" spans="1:40" ht="15" customHeight="1">
      <c r="A1002" s="939"/>
      <c r="B1002" s="939"/>
      <c r="C1002" s="939"/>
      <c r="D1002" s="939"/>
      <c r="E1002" s="939"/>
      <c r="F1002" s="939"/>
      <c r="G1002" s="939"/>
      <c r="H1002" s="939"/>
      <c r="I1002" s="939"/>
      <c r="J1002" s="939"/>
      <c r="K1002" s="939"/>
      <c r="L1002" s="939"/>
      <c r="M1002" s="939"/>
      <c r="N1002" s="939"/>
      <c r="O1002" s="939"/>
      <c r="P1002" s="939"/>
      <c r="Q1002" s="939"/>
      <c r="R1002" s="939"/>
      <c r="S1002" s="939"/>
      <c r="T1002" s="939"/>
      <c r="U1002" s="939"/>
      <c r="V1002" s="939"/>
      <c r="W1002" s="939"/>
      <c r="X1002" s="939"/>
      <c r="Y1002" s="939"/>
      <c r="Z1002" s="939"/>
      <c r="AA1002" s="939"/>
      <c r="AB1002" s="939"/>
      <c r="AC1002" s="939"/>
      <c r="AD1002" s="939"/>
      <c r="AE1002" s="939"/>
      <c r="AF1002" s="939"/>
      <c r="AG1002" s="939"/>
      <c r="AH1002" s="939"/>
      <c r="AI1002" s="939"/>
      <c r="AJ1002" s="939"/>
      <c r="AK1002" s="939"/>
      <c r="AL1002" s="939"/>
      <c r="AM1002" s="939"/>
      <c r="AN1002" s="939"/>
    </row>
    <row r="1003" spans="1:40" ht="15" customHeight="1">
      <c r="A1003" s="939"/>
      <c r="B1003" s="939"/>
      <c r="C1003" s="939"/>
      <c r="D1003" s="939"/>
      <c r="E1003" s="939"/>
      <c r="F1003" s="939"/>
      <c r="G1003" s="939"/>
      <c r="H1003" s="939"/>
      <c r="I1003" s="939"/>
      <c r="J1003" s="939"/>
      <c r="K1003" s="939"/>
      <c r="L1003" s="939"/>
      <c r="M1003" s="939"/>
      <c r="N1003" s="939"/>
      <c r="O1003" s="939"/>
      <c r="P1003" s="939"/>
      <c r="Q1003" s="939"/>
      <c r="R1003" s="939"/>
      <c r="S1003" s="939"/>
      <c r="T1003" s="939"/>
      <c r="U1003" s="939"/>
      <c r="V1003" s="939"/>
      <c r="W1003" s="939"/>
      <c r="X1003" s="939"/>
      <c r="Y1003" s="939"/>
      <c r="Z1003" s="939"/>
      <c r="AA1003" s="939"/>
      <c r="AB1003" s="939"/>
      <c r="AC1003" s="939"/>
      <c r="AD1003" s="939"/>
      <c r="AE1003" s="939"/>
      <c r="AF1003" s="939"/>
      <c r="AG1003" s="939"/>
      <c r="AH1003" s="939"/>
      <c r="AI1003" s="939"/>
      <c r="AJ1003" s="939"/>
      <c r="AK1003" s="939"/>
      <c r="AL1003" s="939"/>
      <c r="AM1003" s="939"/>
      <c r="AN1003" s="939"/>
    </row>
    <row r="1004" spans="1:40" ht="15" customHeight="1">
      <c r="A1004" s="939"/>
      <c r="B1004" s="939"/>
      <c r="C1004" s="939"/>
      <c r="D1004" s="939"/>
      <c r="E1004" s="939"/>
      <c r="F1004" s="939"/>
      <c r="G1004" s="939"/>
      <c r="H1004" s="939"/>
      <c r="I1004" s="939"/>
      <c r="J1004" s="939"/>
      <c r="K1004" s="939"/>
      <c r="L1004" s="939"/>
      <c r="M1004" s="939"/>
      <c r="N1004" s="939"/>
      <c r="O1004" s="939"/>
      <c r="P1004" s="939"/>
      <c r="Q1004" s="939"/>
      <c r="R1004" s="939"/>
      <c r="S1004" s="939"/>
      <c r="T1004" s="939"/>
      <c r="U1004" s="939"/>
      <c r="V1004" s="939"/>
      <c r="W1004" s="939"/>
      <c r="X1004" s="939"/>
      <c r="Y1004" s="939"/>
      <c r="Z1004" s="939"/>
      <c r="AA1004" s="939"/>
      <c r="AB1004" s="939"/>
      <c r="AC1004" s="939"/>
      <c r="AD1004" s="939"/>
      <c r="AE1004" s="939"/>
      <c r="AF1004" s="939"/>
      <c r="AG1004" s="939"/>
      <c r="AH1004" s="939"/>
      <c r="AI1004" s="939"/>
      <c r="AJ1004" s="939"/>
      <c r="AK1004" s="939"/>
      <c r="AL1004" s="939"/>
      <c r="AM1004" s="939"/>
      <c r="AN1004" s="939"/>
    </row>
    <row r="1005" spans="1:40" ht="15" customHeight="1">
      <c r="A1005" s="939"/>
      <c r="B1005" s="939"/>
      <c r="C1005" s="939"/>
      <c r="D1005" s="939"/>
      <c r="E1005" s="939"/>
      <c r="F1005" s="939"/>
      <c r="G1005" s="939"/>
      <c r="H1005" s="939"/>
      <c r="I1005" s="939"/>
      <c r="J1005" s="939"/>
      <c r="K1005" s="939"/>
      <c r="L1005" s="939"/>
      <c r="M1005" s="939"/>
      <c r="N1005" s="939"/>
      <c r="O1005" s="939"/>
      <c r="P1005" s="939"/>
      <c r="Q1005" s="939"/>
      <c r="R1005" s="939"/>
      <c r="S1005" s="939"/>
      <c r="T1005" s="939"/>
      <c r="U1005" s="939"/>
      <c r="V1005" s="939"/>
      <c r="W1005" s="939"/>
      <c r="X1005" s="939"/>
      <c r="Y1005" s="939"/>
      <c r="Z1005" s="939"/>
      <c r="AA1005" s="939"/>
      <c r="AB1005" s="939"/>
      <c r="AC1005" s="939"/>
      <c r="AD1005" s="939"/>
      <c r="AE1005" s="939"/>
      <c r="AF1005" s="939"/>
      <c r="AG1005" s="939"/>
      <c r="AH1005" s="939"/>
      <c r="AI1005" s="939"/>
      <c r="AJ1005" s="939"/>
      <c r="AK1005" s="939"/>
      <c r="AL1005" s="939"/>
      <c r="AM1005" s="939"/>
      <c r="AN1005" s="939"/>
    </row>
    <row r="1006" spans="1:40" ht="15" customHeight="1">
      <c r="A1006" s="939"/>
      <c r="B1006" s="939"/>
      <c r="C1006" s="939"/>
      <c r="D1006" s="939"/>
      <c r="E1006" s="939"/>
      <c r="F1006" s="939"/>
      <c r="G1006" s="939"/>
      <c r="H1006" s="939"/>
      <c r="I1006" s="939"/>
      <c r="J1006" s="939"/>
      <c r="K1006" s="939"/>
      <c r="L1006" s="939"/>
      <c r="M1006" s="939"/>
      <c r="N1006" s="939"/>
      <c r="O1006" s="939"/>
      <c r="P1006" s="939"/>
      <c r="Q1006" s="939"/>
      <c r="R1006" s="939"/>
      <c r="S1006" s="939"/>
      <c r="T1006" s="939"/>
      <c r="U1006" s="939"/>
      <c r="V1006" s="939"/>
      <c r="W1006" s="939"/>
      <c r="X1006" s="939"/>
      <c r="Y1006" s="939"/>
      <c r="Z1006" s="939"/>
      <c r="AA1006" s="939"/>
      <c r="AB1006" s="939"/>
      <c r="AC1006" s="939"/>
      <c r="AD1006" s="939"/>
      <c r="AE1006" s="939"/>
      <c r="AF1006" s="939"/>
      <c r="AG1006" s="939"/>
      <c r="AH1006" s="939"/>
      <c r="AI1006" s="939"/>
      <c r="AJ1006" s="939"/>
      <c r="AK1006" s="939"/>
      <c r="AL1006" s="939"/>
      <c r="AM1006" s="939"/>
      <c r="AN1006" s="939"/>
    </row>
    <row r="1007" spans="1:40" ht="15" customHeight="1">
      <c r="A1007" s="939"/>
      <c r="B1007" s="939"/>
      <c r="C1007" s="939"/>
      <c r="D1007" s="939"/>
      <c r="E1007" s="939"/>
      <c r="F1007" s="939"/>
      <c r="G1007" s="939"/>
      <c r="H1007" s="939"/>
      <c r="I1007" s="939"/>
      <c r="J1007" s="939"/>
      <c r="K1007" s="939"/>
      <c r="L1007" s="939"/>
      <c r="M1007" s="939"/>
      <c r="N1007" s="939"/>
      <c r="O1007" s="939"/>
      <c r="P1007" s="939"/>
      <c r="Q1007" s="939"/>
      <c r="R1007" s="939"/>
      <c r="S1007" s="939"/>
      <c r="T1007" s="939"/>
      <c r="U1007" s="939"/>
      <c r="V1007" s="939"/>
      <c r="W1007" s="939"/>
      <c r="X1007" s="939"/>
      <c r="Y1007" s="939"/>
      <c r="Z1007" s="939"/>
      <c r="AA1007" s="939"/>
      <c r="AB1007" s="939"/>
      <c r="AC1007" s="939"/>
      <c r="AD1007" s="939"/>
      <c r="AE1007" s="939"/>
      <c r="AF1007" s="939"/>
      <c r="AG1007" s="939"/>
      <c r="AH1007" s="939"/>
      <c r="AI1007" s="939"/>
      <c r="AJ1007" s="939"/>
      <c r="AK1007" s="939"/>
      <c r="AL1007" s="939"/>
      <c r="AM1007" s="939"/>
      <c r="AN1007" s="939"/>
    </row>
    <row r="1008" spans="1:40" ht="15" customHeight="1">
      <c r="A1008" s="939"/>
      <c r="B1008" s="939"/>
      <c r="C1008" s="939"/>
      <c r="D1008" s="939"/>
      <c r="E1008" s="939"/>
      <c r="F1008" s="939"/>
      <c r="G1008" s="939"/>
      <c r="H1008" s="939"/>
      <c r="I1008" s="939"/>
      <c r="J1008" s="939"/>
      <c r="K1008" s="939"/>
      <c r="L1008" s="939"/>
      <c r="M1008" s="939"/>
      <c r="N1008" s="939"/>
      <c r="O1008" s="939"/>
      <c r="P1008" s="939"/>
      <c r="Q1008" s="939"/>
      <c r="R1008" s="939"/>
      <c r="S1008" s="939"/>
      <c r="T1008" s="939"/>
      <c r="U1008" s="939"/>
      <c r="V1008" s="939"/>
      <c r="W1008" s="939"/>
      <c r="X1008" s="939"/>
      <c r="Y1008" s="939"/>
      <c r="Z1008" s="939"/>
      <c r="AA1008" s="939"/>
      <c r="AB1008" s="939"/>
      <c r="AC1008" s="939"/>
      <c r="AD1008" s="939"/>
      <c r="AE1008" s="939"/>
      <c r="AF1008" s="939"/>
      <c r="AG1008" s="939"/>
      <c r="AH1008" s="939"/>
      <c r="AI1008" s="939"/>
      <c r="AJ1008" s="939"/>
      <c r="AK1008" s="939"/>
      <c r="AL1008" s="939"/>
      <c r="AM1008" s="939"/>
      <c r="AN1008" s="939"/>
    </row>
    <row r="1009" spans="1:40" ht="15" customHeight="1">
      <c r="A1009" s="939"/>
      <c r="B1009" s="939"/>
      <c r="C1009" s="939"/>
      <c r="D1009" s="939"/>
      <c r="E1009" s="939"/>
      <c r="F1009" s="939"/>
      <c r="G1009" s="939"/>
      <c r="H1009" s="939"/>
      <c r="I1009" s="939"/>
      <c r="J1009" s="939"/>
      <c r="K1009" s="939"/>
      <c r="L1009" s="939"/>
      <c r="M1009" s="939"/>
      <c r="N1009" s="939"/>
      <c r="O1009" s="939"/>
      <c r="P1009" s="939"/>
      <c r="Q1009" s="939"/>
      <c r="R1009" s="939"/>
      <c r="S1009" s="939"/>
      <c r="T1009" s="939"/>
      <c r="U1009" s="939"/>
      <c r="V1009" s="939"/>
      <c r="W1009" s="939"/>
      <c r="X1009" s="939"/>
      <c r="Y1009" s="939"/>
      <c r="Z1009" s="939"/>
      <c r="AA1009" s="939"/>
      <c r="AB1009" s="939"/>
      <c r="AC1009" s="939"/>
      <c r="AD1009" s="939"/>
      <c r="AE1009" s="939"/>
      <c r="AF1009" s="939"/>
      <c r="AG1009" s="939"/>
      <c r="AH1009" s="939"/>
      <c r="AI1009" s="939"/>
      <c r="AJ1009" s="939"/>
      <c r="AK1009" s="939"/>
      <c r="AL1009" s="939"/>
      <c r="AM1009" s="939"/>
      <c r="AN1009" s="939"/>
    </row>
    <row r="1010" spans="1:40" ht="15" customHeight="1">
      <c r="A1010" s="939"/>
      <c r="B1010" s="939"/>
      <c r="C1010" s="939"/>
      <c r="D1010" s="939"/>
      <c r="E1010" s="939"/>
      <c r="F1010" s="939"/>
      <c r="G1010" s="939"/>
      <c r="H1010" s="939"/>
      <c r="I1010" s="939"/>
      <c r="J1010" s="939"/>
      <c r="K1010" s="939"/>
      <c r="L1010" s="939"/>
      <c r="M1010" s="939"/>
      <c r="N1010" s="939"/>
      <c r="O1010" s="939"/>
      <c r="P1010" s="939"/>
      <c r="Q1010" s="939"/>
      <c r="R1010" s="939"/>
      <c r="S1010" s="939"/>
      <c r="T1010" s="939"/>
      <c r="U1010" s="939"/>
      <c r="V1010" s="939"/>
      <c r="W1010" s="939"/>
      <c r="X1010" s="939"/>
      <c r="Y1010" s="939"/>
      <c r="Z1010" s="939"/>
      <c r="AA1010" s="939"/>
      <c r="AB1010" s="939"/>
      <c r="AC1010" s="939"/>
      <c r="AD1010" s="939"/>
      <c r="AE1010" s="939"/>
      <c r="AF1010" s="939"/>
      <c r="AG1010" s="939"/>
      <c r="AH1010" s="939"/>
      <c r="AI1010" s="939"/>
      <c r="AJ1010" s="939"/>
      <c r="AK1010" s="939"/>
      <c r="AL1010" s="939"/>
      <c r="AM1010" s="939"/>
      <c r="AN1010" s="939"/>
    </row>
    <row r="1011" spans="1:40" ht="15" customHeight="1">
      <c r="A1011" s="939"/>
      <c r="B1011" s="939"/>
      <c r="C1011" s="939"/>
      <c r="D1011" s="939"/>
      <c r="E1011" s="939"/>
      <c r="F1011" s="939"/>
      <c r="G1011" s="939"/>
      <c r="H1011" s="939"/>
      <c r="I1011" s="939"/>
      <c r="J1011" s="939"/>
      <c r="K1011" s="939"/>
      <c r="L1011" s="939"/>
      <c r="M1011" s="939"/>
      <c r="N1011" s="939"/>
      <c r="O1011" s="939"/>
      <c r="P1011" s="939"/>
      <c r="Q1011" s="939"/>
      <c r="R1011" s="939"/>
      <c r="S1011" s="939"/>
      <c r="T1011" s="939"/>
      <c r="U1011" s="939"/>
      <c r="V1011" s="939"/>
      <c r="W1011" s="939"/>
      <c r="X1011" s="939"/>
      <c r="Y1011" s="939"/>
      <c r="Z1011" s="939"/>
      <c r="AA1011" s="939"/>
      <c r="AB1011" s="939"/>
      <c r="AC1011" s="939"/>
      <c r="AD1011" s="939"/>
      <c r="AE1011" s="939"/>
      <c r="AF1011" s="939"/>
      <c r="AG1011" s="939"/>
      <c r="AH1011" s="939"/>
      <c r="AI1011" s="939"/>
      <c r="AJ1011" s="939"/>
      <c r="AK1011" s="939"/>
      <c r="AL1011" s="939"/>
      <c r="AM1011" s="939"/>
      <c r="AN1011" s="939"/>
    </row>
    <row r="1012" spans="1:40" ht="15" customHeight="1">
      <c r="A1012" s="939"/>
      <c r="B1012" s="939"/>
      <c r="C1012" s="939"/>
      <c r="D1012" s="939"/>
      <c r="E1012" s="939"/>
      <c r="F1012" s="939"/>
      <c r="G1012" s="939"/>
      <c r="H1012" s="939"/>
      <c r="I1012" s="939"/>
      <c r="J1012" s="939"/>
      <c r="K1012" s="939"/>
      <c r="L1012" s="939"/>
      <c r="M1012" s="939"/>
      <c r="N1012" s="939"/>
      <c r="O1012" s="939"/>
      <c r="P1012" s="939"/>
      <c r="Q1012" s="939"/>
      <c r="R1012" s="939"/>
      <c r="S1012" s="939"/>
      <c r="T1012" s="939"/>
      <c r="U1012" s="939"/>
      <c r="V1012" s="939"/>
      <c r="W1012" s="939"/>
      <c r="X1012" s="939"/>
      <c r="Y1012" s="939"/>
      <c r="Z1012" s="939"/>
      <c r="AA1012" s="939"/>
      <c r="AB1012" s="939"/>
      <c r="AC1012" s="939"/>
      <c r="AD1012" s="939"/>
      <c r="AE1012" s="939"/>
      <c r="AF1012" s="939"/>
      <c r="AG1012" s="939"/>
      <c r="AH1012" s="939"/>
      <c r="AI1012" s="939"/>
      <c r="AJ1012" s="939"/>
      <c r="AK1012" s="939"/>
      <c r="AL1012" s="939"/>
      <c r="AM1012" s="939"/>
      <c r="AN1012" s="939"/>
    </row>
    <row r="1013" spans="1:40" ht="15" customHeight="1">
      <c r="A1013" s="939"/>
      <c r="B1013" s="939"/>
      <c r="C1013" s="939"/>
      <c r="D1013" s="939"/>
      <c r="E1013" s="939"/>
      <c r="F1013" s="939"/>
      <c r="G1013" s="939"/>
      <c r="H1013" s="939"/>
      <c r="I1013" s="939"/>
      <c r="J1013" s="939"/>
      <c r="K1013" s="939"/>
      <c r="L1013" s="939"/>
      <c r="M1013" s="939"/>
      <c r="N1013" s="939"/>
      <c r="O1013" s="939"/>
      <c r="P1013" s="939"/>
      <c r="Q1013" s="939"/>
      <c r="R1013" s="939"/>
      <c r="S1013" s="939"/>
      <c r="T1013" s="939"/>
      <c r="U1013" s="939"/>
      <c r="V1013" s="939"/>
      <c r="W1013" s="939"/>
      <c r="X1013" s="939"/>
      <c r="Y1013" s="939"/>
      <c r="Z1013" s="939"/>
      <c r="AA1013" s="939"/>
      <c r="AB1013" s="939"/>
      <c r="AC1013" s="939"/>
      <c r="AD1013" s="939"/>
      <c r="AE1013" s="939"/>
      <c r="AF1013" s="939"/>
      <c r="AG1013" s="939"/>
      <c r="AH1013" s="939"/>
      <c r="AI1013" s="939"/>
      <c r="AJ1013" s="939"/>
      <c r="AK1013" s="939"/>
      <c r="AL1013" s="939"/>
      <c r="AM1013" s="939"/>
      <c r="AN1013" s="939"/>
    </row>
    <row r="1014" spans="1:40" ht="15" customHeight="1">
      <c r="A1014" s="939"/>
      <c r="B1014" s="939"/>
      <c r="C1014" s="939"/>
      <c r="D1014" s="939"/>
      <c r="E1014" s="939"/>
      <c r="F1014" s="939"/>
      <c r="G1014" s="939"/>
      <c r="H1014" s="939"/>
      <c r="I1014" s="939"/>
      <c r="J1014" s="939"/>
      <c r="K1014" s="939"/>
      <c r="L1014" s="939"/>
      <c r="M1014" s="939"/>
      <c r="N1014" s="939"/>
      <c r="O1014" s="939"/>
      <c r="P1014" s="939"/>
      <c r="Q1014" s="939"/>
      <c r="R1014" s="939"/>
      <c r="S1014" s="939"/>
      <c r="T1014" s="939"/>
      <c r="U1014" s="939"/>
      <c r="V1014" s="939"/>
      <c r="W1014" s="939"/>
      <c r="X1014" s="939"/>
      <c r="Y1014" s="939"/>
      <c r="Z1014" s="939"/>
      <c r="AA1014" s="939"/>
      <c r="AB1014" s="939"/>
      <c r="AC1014" s="939"/>
      <c r="AD1014" s="939"/>
      <c r="AE1014" s="939"/>
      <c r="AF1014" s="939"/>
      <c r="AG1014" s="939"/>
      <c r="AH1014" s="939"/>
      <c r="AI1014" s="939"/>
      <c r="AJ1014" s="939"/>
      <c r="AK1014" s="939"/>
      <c r="AL1014" s="939"/>
      <c r="AM1014" s="939"/>
      <c r="AN1014" s="939"/>
    </row>
    <row r="1015" spans="1:40" ht="15" customHeight="1">
      <c r="A1015" s="939"/>
      <c r="B1015" s="939"/>
      <c r="C1015" s="939"/>
      <c r="D1015" s="939"/>
      <c r="E1015" s="939"/>
      <c r="F1015" s="939"/>
      <c r="G1015" s="939"/>
      <c r="H1015" s="939"/>
      <c r="I1015" s="939"/>
      <c r="J1015" s="939"/>
      <c r="K1015" s="939"/>
      <c r="L1015" s="939"/>
      <c r="M1015" s="939"/>
      <c r="N1015" s="939"/>
      <c r="O1015" s="939"/>
      <c r="P1015" s="939"/>
      <c r="Q1015" s="939"/>
      <c r="R1015" s="939"/>
      <c r="S1015" s="939"/>
      <c r="T1015" s="939"/>
      <c r="U1015" s="939"/>
      <c r="V1015" s="939"/>
      <c r="W1015" s="939"/>
      <c r="X1015" s="939"/>
      <c r="Y1015" s="939"/>
      <c r="Z1015" s="939"/>
      <c r="AA1015" s="939"/>
      <c r="AB1015" s="939"/>
      <c r="AC1015" s="939"/>
      <c r="AD1015" s="939"/>
      <c r="AE1015" s="939"/>
      <c r="AF1015" s="939"/>
      <c r="AG1015" s="939"/>
      <c r="AH1015" s="939"/>
      <c r="AI1015" s="939"/>
      <c r="AJ1015" s="939"/>
      <c r="AK1015" s="939"/>
      <c r="AL1015" s="939"/>
      <c r="AM1015" s="939"/>
      <c r="AN1015" s="939"/>
    </row>
    <row r="1016" spans="1:40" ht="15" customHeight="1">
      <c r="A1016" s="939"/>
      <c r="B1016" s="939"/>
      <c r="C1016" s="939"/>
      <c r="D1016" s="939"/>
      <c r="E1016" s="939"/>
      <c r="F1016" s="939"/>
      <c r="G1016" s="939"/>
      <c r="H1016" s="939"/>
      <c r="I1016" s="939"/>
      <c r="J1016" s="939"/>
      <c r="K1016" s="939"/>
      <c r="L1016" s="939"/>
      <c r="M1016" s="939"/>
      <c r="N1016" s="939"/>
      <c r="O1016" s="939"/>
      <c r="P1016" s="939"/>
      <c r="Q1016" s="939"/>
      <c r="R1016" s="939"/>
      <c r="S1016" s="939"/>
      <c r="T1016" s="939"/>
      <c r="U1016" s="939"/>
      <c r="V1016" s="939"/>
      <c r="W1016" s="939"/>
      <c r="X1016" s="939"/>
      <c r="Y1016" s="939"/>
      <c r="Z1016" s="939"/>
      <c r="AA1016" s="939"/>
      <c r="AB1016" s="939"/>
      <c r="AC1016" s="939"/>
      <c r="AD1016" s="939"/>
      <c r="AE1016" s="939"/>
      <c r="AF1016" s="939"/>
      <c r="AG1016" s="939"/>
      <c r="AH1016" s="939"/>
      <c r="AI1016" s="939"/>
      <c r="AJ1016" s="939"/>
      <c r="AK1016" s="939"/>
      <c r="AL1016" s="939"/>
      <c r="AM1016" s="939"/>
      <c r="AN1016" s="939"/>
    </row>
    <row r="1017" spans="1:40" ht="15" customHeight="1">
      <c r="A1017" s="939"/>
      <c r="B1017" s="939"/>
      <c r="C1017" s="939"/>
      <c r="D1017" s="939"/>
      <c r="E1017" s="939"/>
      <c r="F1017" s="939"/>
      <c r="G1017" s="939"/>
      <c r="H1017" s="939"/>
      <c r="I1017" s="939"/>
      <c r="J1017" s="939"/>
      <c r="K1017" s="939"/>
      <c r="L1017" s="939"/>
      <c r="M1017" s="939"/>
      <c r="N1017" s="939"/>
      <c r="O1017" s="939"/>
      <c r="P1017" s="939"/>
      <c r="Q1017" s="939"/>
      <c r="R1017" s="939"/>
      <c r="S1017" s="939"/>
      <c r="T1017" s="939"/>
      <c r="U1017" s="939"/>
      <c r="V1017" s="939"/>
      <c r="W1017" s="939"/>
      <c r="X1017" s="939"/>
      <c r="Y1017" s="939"/>
      <c r="Z1017" s="939"/>
      <c r="AA1017" s="939"/>
      <c r="AB1017" s="939"/>
      <c r="AC1017" s="939"/>
      <c r="AD1017" s="939"/>
      <c r="AE1017" s="939"/>
      <c r="AF1017" s="939"/>
      <c r="AG1017" s="939"/>
      <c r="AH1017" s="939"/>
      <c r="AI1017" s="939"/>
      <c r="AJ1017" s="939"/>
      <c r="AK1017" s="939"/>
      <c r="AL1017" s="939"/>
      <c r="AM1017" s="939"/>
      <c r="AN1017" s="939"/>
    </row>
  </sheetData>
  <mergeCells count="37">
    <mergeCell ref="W3:Y3"/>
    <mergeCell ref="AD3:AE3"/>
    <mergeCell ref="W70:AI70"/>
    <mergeCell ref="W71:Y71"/>
    <mergeCell ref="Z71:AI71"/>
    <mergeCell ref="Z6:AI6"/>
    <mergeCell ref="W5:AI5"/>
    <mergeCell ref="W72:Y72"/>
    <mergeCell ref="E2:G2"/>
    <mergeCell ref="H2:N2"/>
    <mergeCell ref="O2:R2"/>
    <mergeCell ref="W2:Y2"/>
    <mergeCell ref="E3:G3"/>
    <mergeCell ref="H3:N3"/>
    <mergeCell ref="O3:T3"/>
    <mergeCell ref="L6:U6"/>
    <mergeCell ref="W6:Y6"/>
    <mergeCell ref="W7:Y7"/>
    <mergeCell ref="E4:G4"/>
    <mergeCell ref="H4:J4"/>
    <mergeCell ref="L4:N4"/>
    <mergeCell ref="O4:R4"/>
    <mergeCell ref="W4:Y4"/>
    <mergeCell ref="E72:G72"/>
    <mergeCell ref="B5:C5"/>
    <mergeCell ref="B6:C6"/>
    <mergeCell ref="E6:G6"/>
    <mergeCell ref="H6:I6"/>
    <mergeCell ref="E7:G7"/>
    <mergeCell ref="E70:U70"/>
    <mergeCell ref="L71:U71"/>
    <mergeCell ref="E5:U5"/>
    <mergeCell ref="B70:C70"/>
    <mergeCell ref="B71:C71"/>
    <mergeCell ref="E71:G71"/>
    <mergeCell ref="H71:I71"/>
    <mergeCell ref="J6:K8"/>
  </mergeCells>
  <pageMargins left="0.7" right="0.7" top="0.75" bottom="0.75" header="0" footer="0"/>
  <pageSetup orientation="landscape"/>
  <headerFooter>
    <oddFooter>&amp;RSABAK - GENERIK NON STANDARD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AF1000"/>
  <sheetViews>
    <sheetView showGridLines="0" topLeftCell="A4" workbookViewId="0">
      <selection activeCell="K51" sqref="K51"/>
    </sheetView>
  </sheetViews>
  <sheetFormatPr defaultColWidth="12.42578125" defaultRowHeight="15" customHeight="1"/>
  <cols>
    <col min="1" max="1" width="6.7109375" customWidth="1"/>
    <col min="2" max="2" width="3.7109375" customWidth="1"/>
    <col min="3" max="3" width="30.42578125" customWidth="1"/>
    <col min="4" max="4" width="8.5703125" bestFit="1" customWidth="1"/>
    <col min="5" max="6" width="9.5703125" bestFit="1" customWidth="1"/>
    <col min="7" max="7" width="9.28515625" bestFit="1" customWidth="1"/>
    <col min="8" max="17" width="9.5703125" bestFit="1" customWidth="1"/>
    <col min="18" max="27" width="11.42578125" customWidth="1"/>
    <col min="28" max="28" width="12.42578125" customWidth="1"/>
    <col min="29" max="32" width="11.42578125" customWidth="1"/>
  </cols>
  <sheetData>
    <row r="1" spans="1:32" ht="12" customHeight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5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</row>
    <row r="2" spans="1:32" ht="12" customHeight="1">
      <c r="A2" s="174"/>
      <c r="B2" s="176"/>
      <c r="C2" s="177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5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</row>
    <row r="3" spans="1:32" ht="6.75" customHeight="1">
      <c r="A3" s="174"/>
      <c r="B3" s="178"/>
      <c r="C3" s="178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5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</row>
    <row r="4" spans="1:32" ht="16.5" customHeight="1">
      <c r="A4" s="174"/>
      <c r="B4" s="178"/>
      <c r="C4" s="178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5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</row>
    <row r="5" spans="1:32" ht="12" customHeight="1">
      <c r="A5" s="174"/>
      <c r="B5" s="179" t="s">
        <v>657</v>
      </c>
      <c r="C5" s="178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5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</row>
    <row r="6" spans="1:32" ht="12" customHeight="1">
      <c r="A6" s="174"/>
      <c r="B6" s="178" t="s">
        <v>658</v>
      </c>
      <c r="C6" s="178"/>
      <c r="D6" s="174"/>
      <c r="E6" s="174"/>
      <c r="F6" s="174"/>
      <c r="G6" s="174"/>
      <c r="H6" s="180"/>
      <c r="I6" s="174"/>
      <c r="J6" s="174"/>
      <c r="K6" s="174"/>
      <c r="L6" s="174"/>
      <c r="M6" s="174"/>
      <c r="N6" s="174"/>
      <c r="O6" s="174"/>
      <c r="P6" s="175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</row>
    <row r="7" spans="1:32" ht="12" customHeight="1">
      <c r="A7" s="174"/>
      <c r="B7" s="174"/>
      <c r="C7" s="174"/>
      <c r="D7" s="174"/>
      <c r="E7" s="174"/>
      <c r="F7" s="181"/>
      <c r="G7" s="181"/>
      <c r="H7" s="181"/>
      <c r="I7" s="181"/>
      <c r="J7" s="174"/>
      <c r="K7" s="174"/>
      <c r="L7" s="174"/>
      <c r="M7" s="174"/>
      <c r="N7" s="174"/>
      <c r="O7" s="174"/>
      <c r="P7" s="175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</row>
    <row r="8" spans="1:32" ht="12" customHeight="1">
      <c r="A8" s="174"/>
      <c r="B8" s="178" t="s">
        <v>659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5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</row>
    <row r="9" spans="1:32" ht="12" customHeight="1">
      <c r="A9" s="174"/>
      <c r="B9" s="178"/>
      <c r="C9" s="1576" t="s">
        <v>660</v>
      </c>
      <c r="D9" s="1634"/>
      <c r="E9" s="1577" t="s">
        <v>661</v>
      </c>
      <c r="F9" s="1624"/>
      <c r="G9" s="1623"/>
      <c r="H9" s="1578" t="s">
        <v>662</v>
      </c>
      <c r="I9" s="1624"/>
      <c r="J9" s="1624"/>
      <c r="K9" s="1624"/>
      <c r="L9" s="1624"/>
      <c r="M9" s="1624"/>
      <c r="N9" s="1624"/>
      <c r="O9" s="1624"/>
      <c r="P9" s="1624"/>
      <c r="Q9" s="1623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74"/>
      <c r="AD9" s="174"/>
      <c r="AE9" s="174"/>
      <c r="AF9" s="174"/>
    </row>
    <row r="10" spans="1:32" ht="12" customHeight="1">
      <c r="A10" s="174"/>
      <c r="B10" s="178"/>
      <c r="C10" s="1635"/>
      <c r="D10" s="1636"/>
      <c r="E10" s="182">
        <f>+Historical!G13</f>
        <v>44926</v>
      </c>
      <c r="F10" s="182">
        <f>+Historical!I13</f>
        <v>45291</v>
      </c>
      <c r="G10" s="183">
        <f>+Projection!B72</f>
        <v>45473</v>
      </c>
      <c r="H10" s="184">
        <f>+Assumption!F15</f>
        <v>45657</v>
      </c>
      <c r="I10" s="184">
        <f>+Assumption!F28</f>
        <v>46022</v>
      </c>
      <c r="J10" s="184">
        <f>+Assumption!F38</f>
        <v>46387</v>
      </c>
      <c r="K10" s="184">
        <f>+Assumption!F48</f>
        <v>46752</v>
      </c>
      <c r="L10" s="184">
        <f>+Assumption!F58</f>
        <v>47118</v>
      </c>
      <c r="M10" s="184">
        <f>+Assumption!F68</f>
        <v>47483</v>
      </c>
      <c r="N10" s="184">
        <f>+Assumption!F74</f>
        <v>47848</v>
      </c>
      <c r="O10" s="184">
        <f>+Assumption!F75</f>
        <v>48213</v>
      </c>
      <c r="P10" s="184">
        <f>+Assumption!F76</f>
        <v>48579</v>
      </c>
      <c r="Q10" s="184">
        <f>+Assumption!F77</f>
        <v>48944</v>
      </c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85"/>
      <c r="AC10" s="174"/>
      <c r="AD10" s="174"/>
      <c r="AE10" s="174"/>
      <c r="AF10" s="174"/>
    </row>
    <row r="11" spans="1:32" ht="12" customHeight="1">
      <c r="A11" s="174"/>
      <c r="B11" s="178"/>
      <c r="C11" s="1579" t="s">
        <v>206</v>
      </c>
      <c r="D11" s="1623"/>
      <c r="E11" s="186">
        <f>+Assumption!G10</f>
        <v>110000</v>
      </c>
      <c r="F11" s="186">
        <f>+Assumption!G11</f>
        <v>120000</v>
      </c>
      <c r="G11" s="186">
        <f>+Assumption!G12</f>
        <v>130000</v>
      </c>
      <c r="H11" s="186">
        <f>+Assumption!G15</f>
        <v>132000</v>
      </c>
      <c r="I11" s="186">
        <f>+Assumption!G28</f>
        <v>157300</v>
      </c>
      <c r="J11" s="186">
        <f>+Assumption!G38</f>
        <v>173030</v>
      </c>
      <c r="K11" s="186">
        <f>+Assumption!G48</f>
        <v>190333.00000000003</v>
      </c>
      <c r="L11" s="186">
        <f>+Assumption!G58</f>
        <v>209366.30000000002</v>
      </c>
      <c r="M11" s="186">
        <f>+Assumption!G68</f>
        <v>209366.30000000002</v>
      </c>
      <c r="N11" s="186">
        <f>+Assumption!G74</f>
        <v>209366.30000000002</v>
      </c>
      <c r="O11" s="186">
        <f>+Assumption!G75</f>
        <v>209366.30000000002</v>
      </c>
      <c r="P11" s="186">
        <f>+Assumption!G76</f>
        <v>209366.30000000002</v>
      </c>
      <c r="Q11" s="186">
        <f>+Assumption!G77</f>
        <v>209366.30000000002</v>
      </c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74"/>
      <c r="AD11" s="174"/>
      <c r="AE11" s="174"/>
      <c r="AF11" s="174"/>
    </row>
    <row r="12" spans="1:32" ht="12" customHeight="1">
      <c r="A12" s="188"/>
      <c r="B12" s="189"/>
      <c r="C12" s="188"/>
      <c r="D12" s="188"/>
      <c r="E12" s="190"/>
      <c r="F12" s="191"/>
      <c r="G12" s="190"/>
      <c r="H12" s="192"/>
      <c r="I12" s="192"/>
      <c r="J12" s="192"/>
      <c r="K12" s="192"/>
      <c r="L12" s="192"/>
      <c r="M12" s="190"/>
      <c r="N12" s="190"/>
      <c r="O12" s="190"/>
      <c r="P12" s="188"/>
      <c r="Q12" s="188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88"/>
      <c r="AD12" s="188"/>
      <c r="AE12" s="188"/>
      <c r="AF12" s="188"/>
    </row>
    <row r="13" spans="1:32" ht="12" customHeight="1">
      <c r="A13" s="174"/>
      <c r="B13" s="174"/>
      <c r="C13" s="174"/>
      <c r="D13" s="188"/>
      <c r="E13" s="193"/>
      <c r="F13" s="194"/>
      <c r="G13" s="194"/>
      <c r="H13" s="194"/>
      <c r="I13" s="188"/>
      <c r="J13" s="188"/>
      <c r="K13" s="188"/>
      <c r="L13" s="188"/>
      <c r="M13" s="188"/>
      <c r="N13" s="188"/>
      <c r="O13" s="190"/>
      <c r="P13" s="175"/>
      <c r="Q13" s="174"/>
      <c r="R13" s="195"/>
      <c r="S13" s="174"/>
      <c r="T13" s="174"/>
      <c r="U13" s="174"/>
      <c r="V13" s="174"/>
      <c r="W13" s="174"/>
      <c r="X13" s="174"/>
      <c r="Y13" s="174"/>
      <c r="Z13" s="174"/>
      <c r="AA13" s="174"/>
      <c r="AB13" s="185"/>
      <c r="AC13" s="174"/>
      <c r="AD13" s="174"/>
      <c r="AE13" s="174"/>
      <c r="AF13" s="174"/>
    </row>
    <row r="14" spans="1:32" ht="12" customHeight="1">
      <c r="A14" s="174"/>
      <c r="B14" s="178" t="s">
        <v>663</v>
      </c>
      <c r="C14" s="174"/>
      <c r="D14" s="188"/>
      <c r="E14" s="188"/>
      <c r="F14" s="188"/>
      <c r="G14" s="188"/>
      <c r="H14" s="188"/>
      <c r="I14" s="190"/>
      <c r="J14" s="190"/>
      <c r="K14" s="190"/>
      <c r="L14" s="190"/>
      <c r="M14" s="190"/>
      <c r="N14" s="190"/>
      <c r="O14" s="190"/>
      <c r="P14" s="175"/>
      <c r="Q14" s="174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74"/>
      <c r="AD14" s="174"/>
      <c r="AE14" s="174"/>
      <c r="AF14" s="174"/>
    </row>
    <row r="15" spans="1:32" ht="12" customHeight="1">
      <c r="A15" s="174"/>
      <c r="B15" s="174"/>
      <c r="C15" s="174"/>
      <c r="D15" s="185">
        <v>1</v>
      </c>
      <c r="E15" s="185">
        <v>2</v>
      </c>
      <c r="F15" s="185">
        <v>3</v>
      </c>
      <c r="G15" s="185">
        <v>4</v>
      </c>
      <c r="H15" s="185">
        <v>5</v>
      </c>
      <c r="I15" s="185">
        <v>6</v>
      </c>
      <c r="J15" s="185">
        <v>7</v>
      </c>
      <c r="K15" s="185">
        <v>8</v>
      </c>
      <c r="L15" s="185">
        <v>9</v>
      </c>
      <c r="M15" s="185">
        <v>10</v>
      </c>
      <c r="N15" s="185">
        <v>11</v>
      </c>
      <c r="O15" s="185">
        <v>12</v>
      </c>
      <c r="P15" s="175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</row>
    <row r="16" spans="1:32" ht="12" customHeight="1">
      <c r="A16" s="174"/>
      <c r="B16" s="174"/>
      <c r="C16" s="174"/>
      <c r="D16" s="185">
        <f>+MONTH(G10)</f>
        <v>6</v>
      </c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75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</row>
    <row r="17" spans="1:32" ht="12" customHeight="1">
      <c r="A17" s="174"/>
      <c r="B17" s="174"/>
      <c r="C17" s="174"/>
      <c r="D17" s="185">
        <f t="shared" ref="D17:O17" si="0">+IF($D$16&lt;12,IF(D15&lt;$D$16+1,0,1),1)</f>
        <v>0</v>
      </c>
      <c r="E17" s="185">
        <f t="shared" si="0"/>
        <v>0</v>
      </c>
      <c r="F17" s="185">
        <f t="shared" si="0"/>
        <v>0</v>
      </c>
      <c r="G17" s="185">
        <f t="shared" si="0"/>
        <v>0</v>
      </c>
      <c r="H17" s="185">
        <f t="shared" si="0"/>
        <v>0</v>
      </c>
      <c r="I17" s="185">
        <f t="shared" si="0"/>
        <v>0</v>
      </c>
      <c r="J17" s="185">
        <f t="shared" si="0"/>
        <v>1</v>
      </c>
      <c r="K17" s="185">
        <f t="shared" si="0"/>
        <v>1</v>
      </c>
      <c r="L17" s="185">
        <f t="shared" si="0"/>
        <v>1</v>
      </c>
      <c r="M17" s="185">
        <f t="shared" si="0"/>
        <v>1</v>
      </c>
      <c r="N17" s="185">
        <f t="shared" si="0"/>
        <v>1</v>
      </c>
      <c r="O17" s="185">
        <f t="shared" si="0"/>
        <v>1</v>
      </c>
      <c r="P17" s="175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</row>
    <row r="18" spans="1:32" ht="12" customHeight="1">
      <c r="A18" s="174"/>
      <c r="B18" s="174"/>
      <c r="C18" s="174"/>
      <c r="D18" s="196">
        <f>+Assumption!G96</f>
        <v>0.1</v>
      </c>
      <c r="E18" s="196">
        <f>+Assumption!G97</f>
        <v>0.08</v>
      </c>
      <c r="F18" s="196">
        <f>+Assumption!G98</f>
        <v>0.06</v>
      </c>
      <c r="G18" s="196">
        <f>+Assumption!G99</f>
        <v>0.08</v>
      </c>
      <c r="H18" s="196">
        <f>+Assumption!G100</f>
        <v>0.1</v>
      </c>
      <c r="I18" s="196">
        <f>+Assumption!G101</f>
        <v>0.08</v>
      </c>
      <c r="J18" s="196">
        <f>+Assumption!G102</f>
        <v>0.08</v>
      </c>
      <c r="K18" s="196">
        <f>+Assumption!G103</f>
        <v>0.1</v>
      </c>
      <c r="L18" s="196">
        <f>+Assumption!G104</f>
        <v>0.08</v>
      </c>
      <c r="M18" s="196">
        <f>+Assumption!G105</f>
        <v>0.06</v>
      </c>
      <c r="N18" s="196">
        <f>+Assumption!G106</f>
        <v>0.08</v>
      </c>
      <c r="O18" s="196">
        <f>+Assumption!G107</f>
        <v>0.1</v>
      </c>
      <c r="P18" s="175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</row>
    <row r="19" spans="1:32" ht="12" customHeight="1">
      <c r="A19" s="174"/>
      <c r="B19" s="174"/>
      <c r="C19" s="174"/>
      <c r="D19" s="196">
        <f t="shared" ref="D19:O19" si="1">+D18*D17</f>
        <v>0</v>
      </c>
      <c r="E19" s="196">
        <f t="shared" si="1"/>
        <v>0</v>
      </c>
      <c r="F19" s="196">
        <f t="shared" si="1"/>
        <v>0</v>
      </c>
      <c r="G19" s="196">
        <f t="shared" si="1"/>
        <v>0</v>
      </c>
      <c r="H19" s="196">
        <f t="shared" si="1"/>
        <v>0</v>
      </c>
      <c r="I19" s="196">
        <f t="shared" si="1"/>
        <v>0</v>
      </c>
      <c r="J19" s="196">
        <f t="shared" si="1"/>
        <v>0.08</v>
      </c>
      <c r="K19" s="196">
        <f t="shared" si="1"/>
        <v>0.1</v>
      </c>
      <c r="L19" s="196">
        <f t="shared" si="1"/>
        <v>0.08</v>
      </c>
      <c r="M19" s="196">
        <f t="shared" si="1"/>
        <v>0.06</v>
      </c>
      <c r="N19" s="196">
        <f t="shared" si="1"/>
        <v>0.08</v>
      </c>
      <c r="O19" s="196">
        <f t="shared" si="1"/>
        <v>0.1</v>
      </c>
      <c r="P19" s="175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</row>
    <row r="20" spans="1:32" ht="12" customHeight="1">
      <c r="A20" s="174"/>
      <c r="B20" s="174"/>
      <c r="C20" s="174"/>
      <c r="D20" s="196">
        <f t="shared" ref="D20:O20" si="2">+D19/SUM($D$19:$O$19)</f>
        <v>0</v>
      </c>
      <c r="E20" s="196">
        <f t="shared" si="2"/>
        <v>0</v>
      </c>
      <c r="F20" s="196">
        <f t="shared" si="2"/>
        <v>0</v>
      </c>
      <c r="G20" s="196">
        <f t="shared" si="2"/>
        <v>0</v>
      </c>
      <c r="H20" s="196">
        <f t="shared" si="2"/>
        <v>0</v>
      </c>
      <c r="I20" s="196">
        <f t="shared" si="2"/>
        <v>0</v>
      </c>
      <c r="J20" s="196">
        <f t="shared" si="2"/>
        <v>0.16</v>
      </c>
      <c r="K20" s="196">
        <f t="shared" si="2"/>
        <v>0.2</v>
      </c>
      <c r="L20" s="196">
        <f t="shared" si="2"/>
        <v>0.16</v>
      </c>
      <c r="M20" s="196">
        <f t="shared" si="2"/>
        <v>0.12</v>
      </c>
      <c r="N20" s="196">
        <f t="shared" si="2"/>
        <v>0.16</v>
      </c>
      <c r="O20" s="196">
        <f t="shared" si="2"/>
        <v>0.2</v>
      </c>
      <c r="P20" s="175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</row>
    <row r="21" spans="1:32" ht="12" customHeight="1">
      <c r="A21" s="174"/>
      <c r="B21" s="174"/>
      <c r="C21" s="197" t="s">
        <v>664</v>
      </c>
      <c r="D21" s="198" t="s">
        <v>665</v>
      </c>
      <c r="E21" s="198" t="s">
        <v>666</v>
      </c>
      <c r="F21" s="198" t="s">
        <v>667</v>
      </c>
      <c r="G21" s="198" t="s">
        <v>668</v>
      </c>
      <c r="H21" s="198" t="s">
        <v>669</v>
      </c>
      <c r="I21" s="198" t="s">
        <v>670</v>
      </c>
      <c r="J21" s="198" t="s">
        <v>671</v>
      </c>
      <c r="K21" s="198" t="s">
        <v>672</v>
      </c>
      <c r="L21" s="198" t="s">
        <v>673</v>
      </c>
      <c r="M21" s="198" t="s">
        <v>674</v>
      </c>
      <c r="N21" s="198" t="s">
        <v>675</v>
      </c>
      <c r="O21" s="198" t="s">
        <v>676</v>
      </c>
      <c r="P21" s="175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</row>
    <row r="22" spans="1:32" ht="12" customHeight="1">
      <c r="A22" s="174"/>
      <c r="B22" s="174"/>
      <c r="C22" s="199">
        <f>+H10</f>
        <v>45657</v>
      </c>
      <c r="D22" s="186">
        <f>(+IF($D$16=12,$H$11*D18,($H$11-$G$11)*D20))*D17</f>
        <v>0</v>
      </c>
      <c r="E22" s="186">
        <f t="shared" ref="E22:O22" si="3">(+IF($D$16=12,$H$11*E18,($H$11-$G$11)*E20))*E17</f>
        <v>0</v>
      </c>
      <c r="F22" s="186">
        <f t="shared" si="3"/>
        <v>0</v>
      </c>
      <c r="G22" s="186">
        <f t="shared" si="3"/>
        <v>0</v>
      </c>
      <c r="H22" s="186">
        <f t="shared" si="3"/>
        <v>0</v>
      </c>
      <c r="I22" s="186">
        <f t="shared" si="3"/>
        <v>0</v>
      </c>
      <c r="J22" s="186">
        <f t="shared" si="3"/>
        <v>320</v>
      </c>
      <c r="K22" s="186">
        <f t="shared" si="3"/>
        <v>400</v>
      </c>
      <c r="L22" s="186">
        <f t="shared" si="3"/>
        <v>320</v>
      </c>
      <c r="M22" s="186">
        <f t="shared" si="3"/>
        <v>240</v>
      </c>
      <c r="N22" s="186">
        <f t="shared" si="3"/>
        <v>320</v>
      </c>
      <c r="O22" s="186">
        <f t="shared" si="3"/>
        <v>400</v>
      </c>
      <c r="P22" s="191">
        <f>SUM(C22:O22)+I23</f>
        <v>177657</v>
      </c>
      <c r="Q22" s="185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</row>
    <row r="23" spans="1:32" ht="12" customHeight="1">
      <c r="A23" s="174"/>
      <c r="B23" s="174"/>
      <c r="C23" s="200" t="s">
        <v>677</v>
      </c>
      <c r="D23" s="186">
        <f>+IF(MONTH(Historical!K13)=12,D22,'Sales-AR Schedule'!G11)</f>
        <v>130000</v>
      </c>
      <c r="E23" s="186">
        <f t="shared" ref="E23:O23" si="4">+D23+E22</f>
        <v>130000</v>
      </c>
      <c r="F23" s="186">
        <f t="shared" si="4"/>
        <v>130000</v>
      </c>
      <c r="G23" s="186">
        <f t="shared" si="4"/>
        <v>130000</v>
      </c>
      <c r="H23" s="186">
        <f t="shared" si="4"/>
        <v>130000</v>
      </c>
      <c r="I23" s="186">
        <f t="shared" si="4"/>
        <v>130000</v>
      </c>
      <c r="J23" s="186">
        <f t="shared" si="4"/>
        <v>130320</v>
      </c>
      <c r="K23" s="186">
        <f t="shared" si="4"/>
        <v>130720</v>
      </c>
      <c r="L23" s="186">
        <f t="shared" si="4"/>
        <v>131040</v>
      </c>
      <c r="M23" s="186">
        <f t="shared" si="4"/>
        <v>131280</v>
      </c>
      <c r="N23" s="186">
        <f t="shared" si="4"/>
        <v>131600</v>
      </c>
      <c r="O23" s="186">
        <f t="shared" si="4"/>
        <v>132000</v>
      </c>
      <c r="P23" s="188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</row>
    <row r="24" spans="1:32" ht="12" customHeight="1">
      <c r="A24" s="174"/>
      <c r="B24" s="174"/>
      <c r="C24" s="199">
        <f>+I10</f>
        <v>46022</v>
      </c>
      <c r="D24" s="186">
        <f t="shared" ref="D24:O24" si="5">+$I$11*D18</f>
        <v>15730</v>
      </c>
      <c r="E24" s="186">
        <f t="shared" si="5"/>
        <v>12584</v>
      </c>
      <c r="F24" s="186">
        <f t="shared" si="5"/>
        <v>9438</v>
      </c>
      <c r="G24" s="186">
        <f t="shared" si="5"/>
        <v>12584</v>
      </c>
      <c r="H24" s="186">
        <f t="shared" si="5"/>
        <v>15730</v>
      </c>
      <c r="I24" s="186">
        <f t="shared" si="5"/>
        <v>12584</v>
      </c>
      <c r="J24" s="186">
        <f t="shared" si="5"/>
        <v>12584</v>
      </c>
      <c r="K24" s="186">
        <f t="shared" si="5"/>
        <v>15730</v>
      </c>
      <c r="L24" s="186">
        <f t="shared" si="5"/>
        <v>12584</v>
      </c>
      <c r="M24" s="186">
        <f t="shared" si="5"/>
        <v>9438</v>
      </c>
      <c r="N24" s="186">
        <f t="shared" si="5"/>
        <v>12584</v>
      </c>
      <c r="O24" s="186">
        <f t="shared" si="5"/>
        <v>15730</v>
      </c>
      <c r="P24" s="191">
        <f>SUM(C24:O24)</f>
        <v>203322</v>
      </c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</row>
    <row r="25" spans="1:32" ht="12" customHeight="1">
      <c r="A25" s="174"/>
      <c r="B25" s="174"/>
      <c r="C25" s="200" t="s">
        <v>677</v>
      </c>
      <c r="D25" s="186">
        <f>+D24</f>
        <v>15730</v>
      </c>
      <c r="E25" s="186">
        <f t="shared" ref="E25:O25" si="6">D25+E24</f>
        <v>28314</v>
      </c>
      <c r="F25" s="186">
        <f t="shared" si="6"/>
        <v>37752</v>
      </c>
      <c r="G25" s="186">
        <f t="shared" si="6"/>
        <v>50336</v>
      </c>
      <c r="H25" s="186">
        <f t="shared" si="6"/>
        <v>66066</v>
      </c>
      <c r="I25" s="186">
        <f t="shared" si="6"/>
        <v>78650</v>
      </c>
      <c r="J25" s="186">
        <f t="shared" si="6"/>
        <v>91234</v>
      </c>
      <c r="K25" s="186">
        <f t="shared" si="6"/>
        <v>106964</v>
      </c>
      <c r="L25" s="186">
        <f t="shared" si="6"/>
        <v>119548</v>
      </c>
      <c r="M25" s="186">
        <f t="shared" si="6"/>
        <v>128986</v>
      </c>
      <c r="N25" s="186">
        <f t="shared" si="6"/>
        <v>141570</v>
      </c>
      <c r="O25" s="186">
        <f t="shared" si="6"/>
        <v>157300</v>
      </c>
      <c r="P25" s="188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</row>
    <row r="26" spans="1:32" ht="12" customHeight="1">
      <c r="A26" s="174"/>
      <c r="B26" s="174"/>
      <c r="C26" s="199">
        <f>+J10</f>
        <v>46387</v>
      </c>
      <c r="D26" s="186">
        <f t="shared" ref="D26:O26" si="7">+$J$11*D18</f>
        <v>17303</v>
      </c>
      <c r="E26" s="186">
        <f t="shared" si="7"/>
        <v>13842.4</v>
      </c>
      <c r="F26" s="186">
        <f t="shared" si="7"/>
        <v>10381.799999999999</v>
      </c>
      <c r="G26" s="186">
        <f t="shared" si="7"/>
        <v>13842.4</v>
      </c>
      <c r="H26" s="186">
        <f t="shared" si="7"/>
        <v>17303</v>
      </c>
      <c r="I26" s="186">
        <f t="shared" si="7"/>
        <v>13842.4</v>
      </c>
      <c r="J26" s="186">
        <f t="shared" si="7"/>
        <v>13842.4</v>
      </c>
      <c r="K26" s="186">
        <f t="shared" si="7"/>
        <v>17303</v>
      </c>
      <c r="L26" s="186">
        <f t="shared" si="7"/>
        <v>13842.4</v>
      </c>
      <c r="M26" s="186">
        <f t="shared" si="7"/>
        <v>10381.799999999999</v>
      </c>
      <c r="N26" s="186">
        <f t="shared" si="7"/>
        <v>13842.4</v>
      </c>
      <c r="O26" s="186">
        <f t="shared" si="7"/>
        <v>17303</v>
      </c>
      <c r="P26" s="191">
        <f>SUM(C26:O26)</f>
        <v>219416.99999999997</v>
      </c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</row>
    <row r="27" spans="1:32" ht="12" customHeight="1">
      <c r="A27" s="174"/>
      <c r="B27" s="174"/>
      <c r="C27" s="200" t="s">
        <v>677</v>
      </c>
      <c r="D27" s="186">
        <f>D26</f>
        <v>17303</v>
      </c>
      <c r="E27" s="186">
        <f t="shared" ref="E27:O27" si="8">D27+E26</f>
        <v>31145.4</v>
      </c>
      <c r="F27" s="186">
        <f t="shared" si="8"/>
        <v>41527.199999999997</v>
      </c>
      <c r="G27" s="186">
        <f t="shared" si="8"/>
        <v>55369.599999999999</v>
      </c>
      <c r="H27" s="186">
        <f t="shared" si="8"/>
        <v>72672.600000000006</v>
      </c>
      <c r="I27" s="186">
        <f t="shared" si="8"/>
        <v>86515</v>
      </c>
      <c r="J27" s="186">
        <f t="shared" si="8"/>
        <v>100357.4</v>
      </c>
      <c r="K27" s="186">
        <f t="shared" si="8"/>
        <v>117660.4</v>
      </c>
      <c r="L27" s="186">
        <f t="shared" si="8"/>
        <v>131502.79999999999</v>
      </c>
      <c r="M27" s="186">
        <f t="shared" si="8"/>
        <v>141884.59999999998</v>
      </c>
      <c r="N27" s="186">
        <f t="shared" si="8"/>
        <v>155726.99999999997</v>
      </c>
      <c r="O27" s="186">
        <f t="shared" si="8"/>
        <v>173029.99999999997</v>
      </c>
      <c r="P27" s="188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</row>
    <row r="28" spans="1:32" ht="12" customHeight="1">
      <c r="A28" s="174"/>
      <c r="B28" s="174"/>
      <c r="C28" s="199">
        <f>+K10</f>
        <v>46752</v>
      </c>
      <c r="D28" s="186">
        <f t="shared" ref="D28:O28" si="9">+$K$11*D18</f>
        <v>19033.300000000003</v>
      </c>
      <c r="E28" s="186">
        <f t="shared" si="9"/>
        <v>15226.640000000003</v>
      </c>
      <c r="F28" s="186">
        <f t="shared" si="9"/>
        <v>11419.980000000001</v>
      </c>
      <c r="G28" s="186">
        <f t="shared" si="9"/>
        <v>15226.640000000003</v>
      </c>
      <c r="H28" s="186">
        <f t="shared" si="9"/>
        <v>19033.300000000003</v>
      </c>
      <c r="I28" s="186">
        <f t="shared" si="9"/>
        <v>15226.640000000003</v>
      </c>
      <c r="J28" s="186">
        <f t="shared" si="9"/>
        <v>15226.640000000003</v>
      </c>
      <c r="K28" s="186">
        <f t="shared" si="9"/>
        <v>19033.300000000003</v>
      </c>
      <c r="L28" s="186">
        <f t="shared" si="9"/>
        <v>15226.640000000003</v>
      </c>
      <c r="M28" s="186">
        <f t="shared" si="9"/>
        <v>11419.980000000001</v>
      </c>
      <c r="N28" s="186">
        <f t="shared" si="9"/>
        <v>15226.640000000003</v>
      </c>
      <c r="O28" s="186">
        <f t="shared" si="9"/>
        <v>19033.300000000003</v>
      </c>
      <c r="P28" s="191">
        <f>SUM(C28:O28)</f>
        <v>237085.00000000006</v>
      </c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</row>
    <row r="29" spans="1:32" ht="13.5" customHeight="1">
      <c r="A29" s="174"/>
      <c r="B29" s="174"/>
      <c r="C29" s="200" t="s">
        <v>677</v>
      </c>
      <c r="D29" s="186">
        <f>D28</f>
        <v>19033.300000000003</v>
      </c>
      <c r="E29" s="186">
        <f t="shared" ref="E29:O29" si="10">D29+E28</f>
        <v>34259.94</v>
      </c>
      <c r="F29" s="186">
        <f t="shared" si="10"/>
        <v>45679.920000000006</v>
      </c>
      <c r="G29" s="186">
        <f t="shared" si="10"/>
        <v>60906.560000000012</v>
      </c>
      <c r="H29" s="186">
        <f t="shared" si="10"/>
        <v>79939.860000000015</v>
      </c>
      <c r="I29" s="186">
        <f t="shared" si="10"/>
        <v>95166.500000000015</v>
      </c>
      <c r="J29" s="186">
        <f t="shared" si="10"/>
        <v>110393.14000000001</v>
      </c>
      <c r="K29" s="186">
        <f t="shared" si="10"/>
        <v>129426.44000000002</v>
      </c>
      <c r="L29" s="186">
        <f t="shared" si="10"/>
        <v>144653.08000000002</v>
      </c>
      <c r="M29" s="186">
        <f t="shared" si="10"/>
        <v>156073.06000000003</v>
      </c>
      <c r="N29" s="186">
        <f t="shared" si="10"/>
        <v>171299.70000000004</v>
      </c>
      <c r="O29" s="186">
        <f t="shared" si="10"/>
        <v>190333.00000000006</v>
      </c>
      <c r="P29" s="188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</row>
    <row r="30" spans="1:32" ht="12" customHeight="1">
      <c r="A30" s="174"/>
      <c r="B30" s="174"/>
      <c r="C30" s="199">
        <f>+L10</f>
        <v>47118</v>
      </c>
      <c r="D30" s="186">
        <f t="shared" ref="D30:O30" si="11">+$L$11*D18</f>
        <v>20936.630000000005</v>
      </c>
      <c r="E30" s="186">
        <f t="shared" si="11"/>
        <v>16749.304</v>
      </c>
      <c r="F30" s="186">
        <f t="shared" si="11"/>
        <v>12561.978000000001</v>
      </c>
      <c r="G30" s="186">
        <f t="shared" si="11"/>
        <v>16749.304</v>
      </c>
      <c r="H30" s="186">
        <f t="shared" si="11"/>
        <v>20936.630000000005</v>
      </c>
      <c r="I30" s="186">
        <f t="shared" si="11"/>
        <v>16749.304</v>
      </c>
      <c r="J30" s="186">
        <f t="shared" si="11"/>
        <v>16749.304</v>
      </c>
      <c r="K30" s="186">
        <f t="shared" si="11"/>
        <v>20936.630000000005</v>
      </c>
      <c r="L30" s="186">
        <f t="shared" si="11"/>
        <v>16749.304</v>
      </c>
      <c r="M30" s="186">
        <f t="shared" si="11"/>
        <v>12561.978000000001</v>
      </c>
      <c r="N30" s="186">
        <f t="shared" si="11"/>
        <v>16749.304</v>
      </c>
      <c r="O30" s="186">
        <f t="shared" si="11"/>
        <v>20936.630000000005</v>
      </c>
      <c r="P30" s="191">
        <f>SUM(C30:O30)</f>
        <v>256484.30000000005</v>
      </c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</row>
    <row r="31" spans="1:32" ht="13.5" customHeight="1">
      <c r="A31" s="174"/>
      <c r="B31" s="174"/>
      <c r="C31" s="200" t="s">
        <v>677</v>
      </c>
      <c r="D31" s="186">
        <f>D30</f>
        <v>20936.630000000005</v>
      </c>
      <c r="E31" s="186">
        <f t="shared" ref="E31:O31" si="12">D31+E30</f>
        <v>37685.934000000008</v>
      </c>
      <c r="F31" s="186">
        <f t="shared" si="12"/>
        <v>50247.912000000011</v>
      </c>
      <c r="G31" s="186">
        <f t="shared" si="12"/>
        <v>66997.216000000015</v>
      </c>
      <c r="H31" s="186">
        <f t="shared" si="12"/>
        <v>87933.84600000002</v>
      </c>
      <c r="I31" s="186">
        <f t="shared" si="12"/>
        <v>104683.15000000002</v>
      </c>
      <c r="J31" s="186">
        <f t="shared" si="12"/>
        <v>121432.45400000003</v>
      </c>
      <c r="K31" s="186">
        <f t="shared" si="12"/>
        <v>142369.08400000003</v>
      </c>
      <c r="L31" s="186">
        <f t="shared" si="12"/>
        <v>159118.38800000004</v>
      </c>
      <c r="M31" s="186">
        <f t="shared" si="12"/>
        <v>171680.36600000004</v>
      </c>
      <c r="N31" s="186">
        <f t="shared" si="12"/>
        <v>188429.67000000004</v>
      </c>
      <c r="O31" s="186">
        <f t="shared" si="12"/>
        <v>209366.30000000005</v>
      </c>
      <c r="P31" s="188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</row>
    <row r="32" spans="1:32" ht="12" customHeight="1">
      <c r="A32" s="174"/>
      <c r="B32" s="174"/>
      <c r="C32" s="199">
        <f>+M10</f>
        <v>47483</v>
      </c>
      <c r="D32" s="186">
        <f t="shared" ref="D32:O32" si="13">+$M$11*D18</f>
        <v>20936.630000000005</v>
      </c>
      <c r="E32" s="186">
        <f t="shared" si="13"/>
        <v>16749.304</v>
      </c>
      <c r="F32" s="186">
        <f t="shared" si="13"/>
        <v>12561.978000000001</v>
      </c>
      <c r="G32" s="186">
        <f t="shared" si="13"/>
        <v>16749.304</v>
      </c>
      <c r="H32" s="186">
        <f t="shared" si="13"/>
        <v>20936.630000000005</v>
      </c>
      <c r="I32" s="186">
        <f t="shared" si="13"/>
        <v>16749.304</v>
      </c>
      <c r="J32" s="186">
        <f t="shared" si="13"/>
        <v>16749.304</v>
      </c>
      <c r="K32" s="186">
        <f t="shared" si="13"/>
        <v>20936.630000000005</v>
      </c>
      <c r="L32" s="186">
        <f t="shared" si="13"/>
        <v>16749.304</v>
      </c>
      <c r="M32" s="186">
        <f t="shared" si="13"/>
        <v>12561.978000000001</v>
      </c>
      <c r="N32" s="186">
        <f t="shared" si="13"/>
        <v>16749.304</v>
      </c>
      <c r="O32" s="186">
        <f t="shared" si="13"/>
        <v>20936.630000000005</v>
      </c>
      <c r="P32" s="191">
        <f>SUM(C32:O32)</f>
        <v>256849.30000000005</v>
      </c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</row>
    <row r="33" spans="1:32" ht="13.5" customHeight="1">
      <c r="A33" s="174"/>
      <c r="B33" s="174"/>
      <c r="C33" s="200" t="s">
        <v>677</v>
      </c>
      <c r="D33" s="186">
        <f>D32</f>
        <v>20936.630000000005</v>
      </c>
      <c r="E33" s="186">
        <f t="shared" ref="E33:O33" si="14">D33+E32</f>
        <v>37685.934000000008</v>
      </c>
      <c r="F33" s="186">
        <f t="shared" si="14"/>
        <v>50247.912000000011</v>
      </c>
      <c r="G33" s="186">
        <f t="shared" si="14"/>
        <v>66997.216000000015</v>
      </c>
      <c r="H33" s="186">
        <f t="shared" si="14"/>
        <v>87933.84600000002</v>
      </c>
      <c r="I33" s="186">
        <f t="shared" si="14"/>
        <v>104683.15000000002</v>
      </c>
      <c r="J33" s="186">
        <f t="shared" si="14"/>
        <v>121432.45400000003</v>
      </c>
      <c r="K33" s="186">
        <f t="shared" si="14"/>
        <v>142369.08400000003</v>
      </c>
      <c r="L33" s="186">
        <f t="shared" si="14"/>
        <v>159118.38800000004</v>
      </c>
      <c r="M33" s="186">
        <f t="shared" si="14"/>
        <v>171680.36600000004</v>
      </c>
      <c r="N33" s="186">
        <f t="shared" si="14"/>
        <v>188429.67000000004</v>
      </c>
      <c r="O33" s="186">
        <f t="shared" si="14"/>
        <v>209366.30000000005</v>
      </c>
      <c r="P33" s="188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</row>
    <row r="34" spans="1:32" ht="13.5" customHeight="1">
      <c r="A34" s="174"/>
      <c r="B34" s="174"/>
      <c r="C34" s="199">
        <f>+N10</f>
        <v>47848</v>
      </c>
      <c r="D34" s="186">
        <f t="shared" ref="D34:O34" si="15">+$N$11*D18</f>
        <v>20936.630000000005</v>
      </c>
      <c r="E34" s="186">
        <f t="shared" si="15"/>
        <v>16749.304</v>
      </c>
      <c r="F34" s="186">
        <f t="shared" si="15"/>
        <v>12561.978000000001</v>
      </c>
      <c r="G34" s="186">
        <f t="shared" si="15"/>
        <v>16749.304</v>
      </c>
      <c r="H34" s="186">
        <f t="shared" si="15"/>
        <v>20936.630000000005</v>
      </c>
      <c r="I34" s="186">
        <f t="shared" si="15"/>
        <v>16749.304</v>
      </c>
      <c r="J34" s="186">
        <f t="shared" si="15"/>
        <v>16749.304</v>
      </c>
      <c r="K34" s="186">
        <f t="shared" si="15"/>
        <v>20936.630000000005</v>
      </c>
      <c r="L34" s="186">
        <f t="shared" si="15"/>
        <v>16749.304</v>
      </c>
      <c r="M34" s="186">
        <f t="shared" si="15"/>
        <v>12561.978000000001</v>
      </c>
      <c r="N34" s="186">
        <f t="shared" si="15"/>
        <v>16749.304</v>
      </c>
      <c r="O34" s="186">
        <f t="shared" si="15"/>
        <v>20936.630000000005</v>
      </c>
      <c r="P34" s="188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</row>
    <row r="35" spans="1:32" ht="13.5" customHeight="1">
      <c r="A35" s="174"/>
      <c r="B35" s="174"/>
      <c r="C35" s="200" t="s">
        <v>677</v>
      </c>
      <c r="D35" s="201">
        <f>+D34</f>
        <v>20936.630000000005</v>
      </c>
      <c r="E35" s="201">
        <f t="shared" ref="E35:O35" si="16">+D35+E34</f>
        <v>37685.934000000008</v>
      </c>
      <c r="F35" s="201">
        <f t="shared" si="16"/>
        <v>50247.912000000011</v>
      </c>
      <c r="G35" s="201">
        <f t="shared" si="16"/>
        <v>66997.216000000015</v>
      </c>
      <c r="H35" s="201">
        <f t="shared" si="16"/>
        <v>87933.84600000002</v>
      </c>
      <c r="I35" s="201">
        <f t="shared" si="16"/>
        <v>104683.15000000002</v>
      </c>
      <c r="J35" s="201">
        <f t="shared" si="16"/>
        <v>121432.45400000003</v>
      </c>
      <c r="K35" s="201">
        <f t="shared" si="16"/>
        <v>142369.08400000003</v>
      </c>
      <c r="L35" s="201">
        <f t="shared" si="16"/>
        <v>159118.38800000004</v>
      </c>
      <c r="M35" s="201">
        <f t="shared" si="16"/>
        <v>171680.36600000004</v>
      </c>
      <c r="N35" s="201">
        <f t="shared" si="16"/>
        <v>188429.67000000004</v>
      </c>
      <c r="O35" s="201">
        <f t="shared" si="16"/>
        <v>209366.30000000005</v>
      </c>
      <c r="P35" s="188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</row>
    <row r="36" spans="1:32" ht="13.5" customHeight="1">
      <c r="A36" s="174"/>
      <c r="B36" s="174"/>
      <c r="C36" s="199">
        <f>+O10</f>
        <v>48213</v>
      </c>
      <c r="D36" s="201">
        <f t="shared" ref="D36:O36" si="17">+$O$11*D18</f>
        <v>20936.630000000005</v>
      </c>
      <c r="E36" s="201">
        <f t="shared" si="17"/>
        <v>16749.304</v>
      </c>
      <c r="F36" s="201">
        <f t="shared" si="17"/>
        <v>12561.978000000001</v>
      </c>
      <c r="G36" s="201">
        <f t="shared" si="17"/>
        <v>16749.304</v>
      </c>
      <c r="H36" s="201">
        <f t="shared" si="17"/>
        <v>20936.630000000005</v>
      </c>
      <c r="I36" s="201">
        <f t="shared" si="17"/>
        <v>16749.304</v>
      </c>
      <c r="J36" s="201">
        <f t="shared" si="17"/>
        <v>16749.304</v>
      </c>
      <c r="K36" s="201">
        <f t="shared" si="17"/>
        <v>20936.630000000005</v>
      </c>
      <c r="L36" s="201">
        <f t="shared" si="17"/>
        <v>16749.304</v>
      </c>
      <c r="M36" s="201">
        <f t="shared" si="17"/>
        <v>12561.978000000001</v>
      </c>
      <c r="N36" s="201">
        <f t="shared" si="17"/>
        <v>16749.304</v>
      </c>
      <c r="O36" s="201">
        <f t="shared" si="17"/>
        <v>20936.630000000005</v>
      </c>
      <c r="P36" s="188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</row>
    <row r="37" spans="1:32" ht="13.5" customHeight="1">
      <c r="A37" s="174"/>
      <c r="B37" s="174"/>
      <c r="C37" s="200" t="s">
        <v>677</v>
      </c>
      <c r="D37" s="201">
        <f>+D36</f>
        <v>20936.630000000005</v>
      </c>
      <c r="E37" s="201">
        <f t="shared" ref="E37:O37" si="18">+D37+E36</f>
        <v>37685.934000000008</v>
      </c>
      <c r="F37" s="201">
        <f t="shared" si="18"/>
        <v>50247.912000000011</v>
      </c>
      <c r="G37" s="201">
        <f t="shared" si="18"/>
        <v>66997.216000000015</v>
      </c>
      <c r="H37" s="201">
        <f t="shared" si="18"/>
        <v>87933.84600000002</v>
      </c>
      <c r="I37" s="201">
        <f t="shared" si="18"/>
        <v>104683.15000000002</v>
      </c>
      <c r="J37" s="201">
        <f t="shared" si="18"/>
        <v>121432.45400000003</v>
      </c>
      <c r="K37" s="201">
        <f t="shared" si="18"/>
        <v>142369.08400000003</v>
      </c>
      <c r="L37" s="201">
        <f t="shared" si="18"/>
        <v>159118.38800000004</v>
      </c>
      <c r="M37" s="201">
        <f t="shared" si="18"/>
        <v>171680.36600000004</v>
      </c>
      <c r="N37" s="201">
        <f t="shared" si="18"/>
        <v>188429.67000000004</v>
      </c>
      <c r="O37" s="201">
        <f t="shared" si="18"/>
        <v>209366.30000000005</v>
      </c>
      <c r="P37" s="188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</row>
    <row r="38" spans="1:32" ht="13.5" customHeight="1">
      <c r="A38" s="174"/>
      <c r="B38" s="174"/>
      <c r="C38" s="199">
        <f>+P10</f>
        <v>48579</v>
      </c>
      <c r="D38" s="201">
        <f t="shared" ref="D38:O38" si="19">+$P$11*D18</f>
        <v>20936.630000000005</v>
      </c>
      <c r="E38" s="201">
        <f t="shared" si="19"/>
        <v>16749.304</v>
      </c>
      <c r="F38" s="201">
        <f t="shared" si="19"/>
        <v>12561.978000000001</v>
      </c>
      <c r="G38" s="201">
        <f t="shared" si="19"/>
        <v>16749.304</v>
      </c>
      <c r="H38" s="201">
        <f t="shared" si="19"/>
        <v>20936.630000000005</v>
      </c>
      <c r="I38" s="201">
        <f t="shared" si="19"/>
        <v>16749.304</v>
      </c>
      <c r="J38" s="201">
        <f t="shared" si="19"/>
        <v>16749.304</v>
      </c>
      <c r="K38" s="201">
        <f t="shared" si="19"/>
        <v>20936.630000000005</v>
      </c>
      <c r="L38" s="201">
        <f t="shared" si="19"/>
        <v>16749.304</v>
      </c>
      <c r="M38" s="201">
        <f t="shared" si="19"/>
        <v>12561.978000000001</v>
      </c>
      <c r="N38" s="201">
        <f t="shared" si="19"/>
        <v>16749.304</v>
      </c>
      <c r="O38" s="201">
        <f t="shared" si="19"/>
        <v>20936.630000000005</v>
      </c>
      <c r="P38" s="188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</row>
    <row r="39" spans="1:32" ht="13.5" customHeight="1">
      <c r="A39" s="174"/>
      <c r="B39" s="174"/>
      <c r="C39" s="200" t="s">
        <v>677</v>
      </c>
      <c r="D39" s="201">
        <f>+D38</f>
        <v>20936.630000000005</v>
      </c>
      <c r="E39" s="201">
        <f t="shared" ref="E39:O39" si="20">+D39+E38</f>
        <v>37685.934000000008</v>
      </c>
      <c r="F39" s="201">
        <f t="shared" si="20"/>
        <v>50247.912000000011</v>
      </c>
      <c r="G39" s="201">
        <f t="shared" si="20"/>
        <v>66997.216000000015</v>
      </c>
      <c r="H39" s="201">
        <f t="shared" si="20"/>
        <v>87933.84600000002</v>
      </c>
      <c r="I39" s="201">
        <f t="shared" si="20"/>
        <v>104683.15000000002</v>
      </c>
      <c r="J39" s="201">
        <f t="shared" si="20"/>
        <v>121432.45400000003</v>
      </c>
      <c r="K39" s="201">
        <f t="shared" si="20"/>
        <v>142369.08400000003</v>
      </c>
      <c r="L39" s="201">
        <f t="shared" si="20"/>
        <v>159118.38800000004</v>
      </c>
      <c r="M39" s="201">
        <f t="shared" si="20"/>
        <v>171680.36600000004</v>
      </c>
      <c r="N39" s="201">
        <f t="shared" si="20"/>
        <v>188429.67000000004</v>
      </c>
      <c r="O39" s="201">
        <f t="shared" si="20"/>
        <v>209366.30000000005</v>
      </c>
      <c r="P39" s="188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</row>
    <row r="40" spans="1:32" ht="13.5" customHeight="1">
      <c r="A40" s="174"/>
      <c r="B40" s="174"/>
      <c r="C40" s="199">
        <f>+Q10</f>
        <v>48944</v>
      </c>
      <c r="D40" s="201">
        <f t="shared" ref="D40:O40" si="21">+$Q$11*D18</f>
        <v>20936.630000000005</v>
      </c>
      <c r="E40" s="201">
        <f t="shared" si="21"/>
        <v>16749.304</v>
      </c>
      <c r="F40" s="201">
        <f t="shared" si="21"/>
        <v>12561.978000000001</v>
      </c>
      <c r="G40" s="201">
        <f t="shared" si="21"/>
        <v>16749.304</v>
      </c>
      <c r="H40" s="201">
        <f t="shared" si="21"/>
        <v>20936.630000000005</v>
      </c>
      <c r="I40" s="201">
        <f t="shared" si="21"/>
        <v>16749.304</v>
      </c>
      <c r="J40" s="201">
        <f t="shared" si="21"/>
        <v>16749.304</v>
      </c>
      <c r="K40" s="201">
        <f t="shared" si="21"/>
        <v>20936.630000000005</v>
      </c>
      <c r="L40" s="201">
        <f t="shared" si="21"/>
        <v>16749.304</v>
      </c>
      <c r="M40" s="201">
        <f t="shared" si="21"/>
        <v>12561.978000000001</v>
      </c>
      <c r="N40" s="201">
        <f t="shared" si="21"/>
        <v>16749.304</v>
      </c>
      <c r="O40" s="201">
        <f t="shared" si="21"/>
        <v>20936.630000000005</v>
      </c>
      <c r="P40" s="188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74"/>
      <c r="AF40" s="174"/>
    </row>
    <row r="41" spans="1:32" ht="12" customHeight="1">
      <c r="A41" s="174"/>
      <c r="B41" s="174"/>
      <c r="C41" s="200" t="s">
        <v>677</v>
      </c>
      <c r="D41" s="201">
        <f>+D40</f>
        <v>20936.630000000005</v>
      </c>
      <c r="E41" s="201">
        <f t="shared" ref="E41:O41" si="22">+D41+E40</f>
        <v>37685.934000000008</v>
      </c>
      <c r="F41" s="201">
        <f t="shared" si="22"/>
        <v>50247.912000000011</v>
      </c>
      <c r="G41" s="201">
        <f t="shared" si="22"/>
        <v>66997.216000000015</v>
      </c>
      <c r="H41" s="201">
        <f t="shared" si="22"/>
        <v>87933.84600000002</v>
      </c>
      <c r="I41" s="201">
        <f t="shared" si="22"/>
        <v>104683.15000000002</v>
      </c>
      <c r="J41" s="201">
        <f t="shared" si="22"/>
        <v>121432.45400000003</v>
      </c>
      <c r="K41" s="201">
        <f t="shared" si="22"/>
        <v>142369.08400000003</v>
      </c>
      <c r="L41" s="201">
        <f t="shared" si="22"/>
        <v>159118.38800000004</v>
      </c>
      <c r="M41" s="201">
        <f t="shared" si="22"/>
        <v>171680.36600000004</v>
      </c>
      <c r="N41" s="201">
        <f t="shared" si="22"/>
        <v>188429.67000000004</v>
      </c>
      <c r="O41" s="201">
        <f t="shared" si="22"/>
        <v>209366.30000000005</v>
      </c>
      <c r="P41" s="175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</row>
    <row r="42" spans="1:32" ht="12" customHeight="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5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</row>
    <row r="43" spans="1:32" ht="12" customHeight="1">
      <c r="A43" s="174"/>
      <c r="B43" s="178" t="s">
        <v>678</v>
      </c>
      <c r="C43" s="174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75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</row>
    <row r="44" spans="1:32" ht="12" hidden="1" customHeight="1">
      <c r="A44" s="174"/>
      <c r="B44" s="174"/>
      <c r="C44" s="174"/>
      <c r="D44" s="188">
        <v>31</v>
      </c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75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</row>
    <row r="45" spans="1:32" ht="12" customHeight="1">
      <c r="A45" s="174"/>
      <c r="B45" s="174"/>
      <c r="C45" s="590" t="s">
        <v>679</v>
      </c>
      <c r="D45" s="202">
        <f>+Assumption!M215</f>
        <v>45</v>
      </c>
      <c r="E45" s="203">
        <f>+Assumption!K215</f>
        <v>2024</v>
      </c>
      <c r="F45" s="204"/>
      <c r="G45" s="205"/>
      <c r="H45" s="205"/>
      <c r="I45" s="205"/>
      <c r="J45" s="205"/>
      <c r="K45" s="205"/>
      <c r="L45" s="205"/>
      <c r="M45" s="205"/>
      <c r="N45" s="205"/>
      <c r="O45" s="206"/>
      <c r="P45" s="175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</row>
    <row r="46" spans="1:32" ht="12" customHeight="1">
      <c r="A46" s="174"/>
      <c r="B46" s="174"/>
      <c r="C46" s="590"/>
      <c r="D46" s="202">
        <f>+Assumption!M216</f>
        <v>45</v>
      </c>
      <c r="E46" s="203">
        <f>+Assumption!K216</f>
        <v>2025</v>
      </c>
      <c r="F46" s="204"/>
      <c r="G46" s="205"/>
      <c r="H46" s="205"/>
      <c r="I46" s="205"/>
      <c r="J46" s="205"/>
      <c r="K46" s="205"/>
      <c r="L46" s="205"/>
      <c r="M46" s="205"/>
      <c r="N46" s="205"/>
      <c r="O46" s="206"/>
      <c r="P46" s="175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</row>
    <row r="47" spans="1:32" ht="12" customHeight="1">
      <c r="A47" s="174"/>
      <c r="B47" s="174"/>
      <c r="C47" s="590"/>
      <c r="D47" s="202">
        <f>+Assumption!M217</f>
        <v>45</v>
      </c>
      <c r="E47" s="203">
        <f>+Assumption!K217</f>
        <v>2026</v>
      </c>
      <c r="F47" s="204"/>
      <c r="G47" s="205"/>
      <c r="H47" s="205"/>
      <c r="I47" s="205"/>
      <c r="J47" s="205"/>
      <c r="K47" s="205"/>
      <c r="L47" s="205"/>
      <c r="M47" s="205"/>
      <c r="N47" s="205"/>
      <c r="O47" s="206"/>
      <c r="P47" s="175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</row>
    <row r="48" spans="1:32" ht="12" customHeight="1">
      <c r="A48" s="174"/>
      <c r="B48" s="174"/>
      <c r="C48" s="590"/>
      <c r="D48" s="202">
        <f>+Assumption!M218</f>
        <v>45</v>
      </c>
      <c r="E48" s="203">
        <f>+Assumption!K218</f>
        <v>2027</v>
      </c>
      <c r="F48" s="204"/>
      <c r="G48" s="205"/>
      <c r="H48" s="205"/>
      <c r="I48" s="205"/>
      <c r="J48" s="205"/>
      <c r="K48" s="205"/>
      <c r="L48" s="205"/>
      <c r="M48" s="205"/>
      <c r="N48" s="205"/>
      <c r="O48" s="206"/>
      <c r="P48" s="175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</row>
    <row r="49" spans="1:32" ht="12" customHeight="1">
      <c r="A49" s="174"/>
      <c r="B49" s="174"/>
      <c r="C49" s="590"/>
      <c r="D49" s="202">
        <f>+Assumption!M219</f>
        <v>45</v>
      </c>
      <c r="E49" s="203">
        <f>+Assumption!K219</f>
        <v>2028</v>
      </c>
      <c r="F49" s="204"/>
      <c r="G49" s="205"/>
      <c r="H49" s="205"/>
      <c r="I49" s="205"/>
      <c r="J49" s="205"/>
      <c r="K49" s="205"/>
      <c r="L49" s="205"/>
      <c r="M49" s="205"/>
      <c r="N49" s="205"/>
      <c r="O49" s="206"/>
      <c r="P49" s="175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</row>
    <row r="50" spans="1:32" ht="12" customHeight="1">
      <c r="A50" s="174"/>
      <c r="B50" s="174"/>
      <c r="C50" s="590"/>
      <c r="D50" s="202">
        <f>+Assumption!M220</f>
        <v>45</v>
      </c>
      <c r="E50" s="203">
        <f>+Assumption!K220</f>
        <v>2029</v>
      </c>
      <c r="F50" s="204"/>
      <c r="G50" s="205"/>
      <c r="H50" s="205"/>
      <c r="I50" s="205"/>
      <c r="J50" s="205"/>
      <c r="K50" s="205"/>
      <c r="L50" s="205"/>
      <c r="M50" s="205"/>
      <c r="N50" s="205"/>
      <c r="O50" s="206"/>
      <c r="P50" s="175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</row>
    <row r="51" spans="1:32" ht="12" customHeight="1">
      <c r="A51" s="174"/>
      <c r="B51" s="174"/>
      <c r="C51" s="590"/>
      <c r="D51" s="202">
        <f>+Assumption!M221</f>
        <v>120</v>
      </c>
      <c r="E51" s="203">
        <f>+Assumption!K221</f>
        <v>2030</v>
      </c>
      <c r="F51" s="204"/>
      <c r="G51" s="205"/>
      <c r="H51" s="205"/>
      <c r="I51" s="205"/>
      <c r="J51" s="205"/>
      <c r="K51" s="205"/>
      <c r="L51" s="205"/>
      <c r="M51" s="205"/>
      <c r="N51" s="205"/>
      <c r="O51" s="206"/>
      <c r="P51" s="175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</row>
    <row r="52" spans="1:32" ht="12" customHeight="1">
      <c r="A52" s="174"/>
      <c r="B52" s="174"/>
      <c r="C52" s="590"/>
      <c r="D52" s="202">
        <f>+Assumption!M222</f>
        <v>120</v>
      </c>
      <c r="E52" s="203">
        <f>+Assumption!K222</f>
        <v>2031</v>
      </c>
      <c r="F52" s="204"/>
      <c r="G52" s="205"/>
      <c r="H52" s="205"/>
      <c r="I52" s="205"/>
      <c r="J52" s="205"/>
      <c r="K52" s="205"/>
      <c r="L52" s="205"/>
      <c r="M52" s="205"/>
      <c r="N52" s="205"/>
      <c r="O52" s="205"/>
      <c r="P52" s="175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</row>
    <row r="53" spans="1:32" ht="12" customHeight="1">
      <c r="A53" s="174"/>
      <c r="B53" s="174"/>
      <c r="C53" s="590"/>
      <c r="D53" s="202">
        <f>+Assumption!M223</f>
        <v>120</v>
      </c>
      <c r="E53" s="203">
        <f>+Assumption!K223</f>
        <v>2032</v>
      </c>
      <c r="F53" s="204"/>
      <c r="G53" s="205"/>
      <c r="H53" s="205"/>
      <c r="I53" s="205"/>
      <c r="J53" s="205"/>
      <c r="K53" s="205"/>
      <c r="L53" s="205"/>
      <c r="M53" s="205"/>
      <c r="N53" s="205"/>
      <c r="O53" s="205"/>
      <c r="P53" s="175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</row>
    <row r="54" spans="1:32" ht="12" customHeight="1">
      <c r="A54" s="174"/>
      <c r="B54" s="174"/>
      <c r="C54" s="590"/>
      <c r="D54" s="202">
        <f>+Assumption!M224</f>
        <v>120</v>
      </c>
      <c r="E54" s="203">
        <f>+Assumption!K224</f>
        <v>2033</v>
      </c>
      <c r="F54" s="591"/>
      <c r="G54" s="592"/>
      <c r="H54" s="592"/>
      <c r="I54" s="592"/>
      <c r="J54" s="592"/>
      <c r="K54" s="592"/>
      <c r="L54" s="592"/>
      <c r="M54" s="592"/>
      <c r="N54" s="592"/>
      <c r="O54" s="592"/>
      <c r="P54" s="175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</row>
    <row r="55" spans="1:32" ht="12" customHeight="1">
      <c r="A55" s="174"/>
      <c r="B55" s="174"/>
      <c r="C55" s="207" t="s">
        <v>664</v>
      </c>
      <c r="D55" s="208" t="s">
        <v>665</v>
      </c>
      <c r="E55" s="208" t="s">
        <v>666</v>
      </c>
      <c r="F55" s="208" t="s">
        <v>667</v>
      </c>
      <c r="G55" s="208" t="s">
        <v>668</v>
      </c>
      <c r="H55" s="208" t="s">
        <v>680</v>
      </c>
      <c r="I55" s="208" t="s">
        <v>670</v>
      </c>
      <c r="J55" s="208" t="s">
        <v>671</v>
      </c>
      <c r="K55" s="208" t="s">
        <v>681</v>
      </c>
      <c r="L55" s="208" t="s">
        <v>673</v>
      </c>
      <c r="M55" s="208" t="s">
        <v>682</v>
      </c>
      <c r="N55" s="208" t="s">
        <v>683</v>
      </c>
      <c r="O55" s="208" t="s">
        <v>684</v>
      </c>
      <c r="P55" s="175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</row>
    <row r="56" spans="1:32" ht="12" customHeight="1">
      <c r="A56" s="174"/>
      <c r="B56" s="174"/>
      <c r="C56" s="209" t="s">
        <v>685</v>
      </c>
      <c r="D56" s="200">
        <v>30</v>
      </c>
      <c r="E56" s="200">
        <f t="shared" ref="E56:O56" si="23">D56+30</f>
        <v>60</v>
      </c>
      <c r="F56" s="200">
        <f t="shared" si="23"/>
        <v>90</v>
      </c>
      <c r="G56" s="200">
        <f t="shared" si="23"/>
        <v>120</v>
      </c>
      <c r="H56" s="200">
        <f t="shared" si="23"/>
        <v>150</v>
      </c>
      <c r="I56" s="200">
        <f t="shared" si="23"/>
        <v>180</v>
      </c>
      <c r="J56" s="200">
        <f t="shared" si="23"/>
        <v>210</v>
      </c>
      <c r="K56" s="200">
        <f t="shared" si="23"/>
        <v>240</v>
      </c>
      <c r="L56" s="200">
        <f t="shared" si="23"/>
        <v>270</v>
      </c>
      <c r="M56" s="200">
        <f t="shared" si="23"/>
        <v>300</v>
      </c>
      <c r="N56" s="200">
        <f t="shared" si="23"/>
        <v>330</v>
      </c>
      <c r="O56" s="200">
        <f t="shared" si="23"/>
        <v>360</v>
      </c>
      <c r="P56" s="175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</row>
    <row r="57" spans="1:32" ht="12" customHeight="1">
      <c r="A57" s="174"/>
      <c r="B57" s="174"/>
      <c r="C57" s="199">
        <f>+C22</f>
        <v>45657</v>
      </c>
      <c r="D57" s="186">
        <f>($D$45/D56)*D23*D17</f>
        <v>0</v>
      </c>
      <c r="E57" s="186">
        <f>($D$45/E56)*E23*E17</f>
        <v>0</v>
      </c>
      <c r="F57" s="186">
        <f t="shared" ref="F57:O57" si="24">($D$45/F56)*F23*F17</f>
        <v>0</v>
      </c>
      <c r="G57" s="186">
        <f t="shared" si="24"/>
        <v>0</v>
      </c>
      <c r="H57" s="186">
        <f t="shared" si="24"/>
        <v>0</v>
      </c>
      <c r="I57" s="186">
        <f t="shared" si="24"/>
        <v>0</v>
      </c>
      <c r="J57" s="186">
        <f>($D$45/J56)*J23*J17</f>
        <v>27925.714285714283</v>
      </c>
      <c r="K57" s="186">
        <f t="shared" si="24"/>
        <v>24510</v>
      </c>
      <c r="L57" s="186">
        <f t="shared" si="24"/>
        <v>21840</v>
      </c>
      <c r="M57" s="186">
        <f t="shared" si="24"/>
        <v>19692</v>
      </c>
      <c r="N57" s="186">
        <f t="shared" si="24"/>
        <v>17945.454545454544</v>
      </c>
      <c r="O57" s="186">
        <f t="shared" si="24"/>
        <v>16500</v>
      </c>
      <c r="P57" s="175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</row>
    <row r="58" spans="1:32" ht="12" customHeight="1">
      <c r="A58" s="174"/>
      <c r="B58" s="174"/>
      <c r="C58" s="199">
        <f>+C24</f>
        <v>46022</v>
      </c>
      <c r="D58" s="186">
        <f t="shared" ref="D58:O58" si="25">($D$46/D56)*D25</f>
        <v>23595</v>
      </c>
      <c r="E58" s="186">
        <f t="shared" si="25"/>
        <v>21235.5</v>
      </c>
      <c r="F58" s="186">
        <f t="shared" si="25"/>
        <v>18876</v>
      </c>
      <c r="G58" s="186">
        <f t="shared" si="25"/>
        <v>18876</v>
      </c>
      <c r="H58" s="186">
        <f t="shared" si="25"/>
        <v>19819.8</v>
      </c>
      <c r="I58" s="186">
        <f t="shared" si="25"/>
        <v>19662.5</v>
      </c>
      <c r="J58" s="186">
        <f t="shared" si="25"/>
        <v>19550.142857142855</v>
      </c>
      <c r="K58" s="186">
        <f t="shared" si="25"/>
        <v>20055.75</v>
      </c>
      <c r="L58" s="186">
        <f t="shared" si="25"/>
        <v>19924.666666666664</v>
      </c>
      <c r="M58" s="186">
        <f t="shared" si="25"/>
        <v>19347.899999999998</v>
      </c>
      <c r="N58" s="186">
        <f t="shared" si="25"/>
        <v>19305</v>
      </c>
      <c r="O58" s="186">
        <f t="shared" si="25"/>
        <v>19662.5</v>
      </c>
      <c r="P58" s="175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</row>
    <row r="59" spans="1:32" ht="12" customHeight="1">
      <c r="A59" s="174"/>
      <c r="B59" s="174"/>
      <c r="C59" s="199">
        <f>+C26</f>
        <v>46387</v>
      </c>
      <c r="D59" s="186">
        <f t="shared" ref="D59:O59" si="26">($D$47/D56)*D27</f>
        <v>25954.5</v>
      </c>
      <c r="E59" s="186">
        <f t="shared" si="26"/>
        <v>23359.050000000003</v>
      </c>
      <c r="F59" s="186">
        <f t="shared" si="26"/>
        <v>20763.599999999999</v>
      </c>
      <c r="G59" s="186">
        <f t="shared" si="26"/>
        <v>20763.599999999999</v>
      </c>
      <c r="H59" s="186">
        <f t="shared" si="26"/>
        <v>21801.780000000002</v>
      </c>
      <c r="I59" s="186">
        <f t="shared" si="26"/>
        <v>21628.75</v>
      </c>
      <c r="J59" s="186">
        <f t="shared" si="26"/>
        <v>21505.157142857141</v>
      </c>
      <c r="K59" s="186">
        <f t="shared" si="26"/>
        <v>22061.324999999997</v>
      </c>
      <c r="L59" s="186">
        <f t="shared" si="26"/>
        <v>21917.133333333331</v>
      </c>
      <c r="M59" s="186">
        <f t="shared" si="26"/>
        <v>21282.689999999995</v>
      </c>
      <c r="N59" s="186">
        <f t="shared" si="26"/>
        <v>21235.499999999993</v>
      </c>
      <c r="O59" s="186">
        <f t="shared" si="26"/>
        <v>21628.749999999996</v>
      </c>
      <c r="P59" s="175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</row>
    <row r="60" spans="1:32" ht="12" customHeight="1">
      <c r="A60" s="174"/>
      <c r="B60" s="174"/>
      <c r="C60" s="199">
        <f>+C28</f>
        <v>46752</v>
      </c>
      <c r="D60" s="186">
        <f t="shared" ref="D60:O60" si="27">($D$48/D56)*D29</f>
        <v>28549.950000000004</v>
      </c>
      <c r="E60" s="186">
        <f t="shared" si="27"/>
        <v>25694.955000000002</v>
      </c>
      <c r="F60" s="186">
        <f t="shared" si="27"/>
        <v>22839.960000000003</v>
      </c>
      <c r="G60" s="186">
        <f t="shared" si="27"/>
        <v>22839.960000000006</v>
      </c>
      <c r="H60" s="186">
        <f t="shared" si="27"/>
        <v>23981.958000000002</v>
      </c>
      <c r="I60" s="186">
        <f t="shared" si="27"/>
        <v>23791.625000000004</v>
      </c>
      <c r="J60" s="186">
        <f t="shared" si="27"/>
        <v>23655.672857142858</v>
      </c>
      <c r="K60" s="186">
        <f t="shared" si="27"/>
        <v>24267.457500000004</v>
      </c>
      <c r="L60" s="186">
        <f t="shared" si="27"/>
        <v>24108.846666666668</v>
      </c>
      <c r="M60" s="186">
        <f t="shared" si="27"/>
        <v>23410.959000000003</v>
      </c>
      <c r="N60" s="186">
        <f t="shared" si="27"/>
        <v>23359.050000000003</v>
      </c>
      <c r="O60" s="186">
        <f t="shared" si="27"/>
        <v>23791.625000000007</v>
      </c>
      <c r="P60" s="175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</row>
    <row r="61" spans="1:32" ht="12" customHeight="1">
      <c r="A61" s="174"/>
      <c r="B61" s="174"/>
      <c r="C61" s="199">
        <f>+L10</f>
        <v>47118</v>
      </c>
      <c r="D61" s="186">
        <f t="shared" ref="D61:O61" si="28">($D$49/D56)*D31</f>
        <v>31404.945000000007</v>
      </c>
      <c r="E61" s="186">
        <f t="shared" si="28"/>
        <v>28264.450500000006</v>
      </c>
      <c r="F61" s="186">
        <f t="shared" si="28"/>
        <v>25123.956000000006</v>
      </c>
      <c r="G61" s="186">
        <f t="shared" si="28"/>
        <v>25123.956000000006</v>
      </c>
      <c r="H61" s="186">
        <f t="shared" si="28"/>
        <v>26380.153800000004</v>
      </c>
      <c r="I61" s="186">
        <f t="shared" si="28"/>
        <v>26170.787500000006</v>
      </c>
      <c r="J61" s="186">
        <f t="shared" si="28"/>
        <v>26021.240142857147</v>
      </c>
      <c r="K61" s="186">
        <f t="shared" si="28"/>
        <v>26694.203250000006</v>
      </c>
      <c r="L61" s="186">
        <f t="shared" si="28"/>
        <v>26519.731333333337</v>
      </c>
      <c r="M61" s="186">
        <f t="shared" si="28"/>
        <v>25752.054900000006</v>
      </c>
      <c r="N61" s="186">
        <f t="shared" si="28"/>
        <v>25694.955000000005</v>
      </c>
      <c r="O61" s="186">
        <f t="shared" si="28"/>
        <v>26170.787500000006</v>
      </c>
      <c r="P61" s="175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</row>
    <row r="62" spans="1:32" ht="12" customHeight="1">
      <c r="A62" s="174"/>
      <c r="B62" s="174"/>
      <c r="C62" s="199">
        <f>+M10</f>
        <v>47483</v>
      </c>
      <c r="D62" s="186">
        <f t="shared" ref="D62:O62" si="29">($D$50/D56)*D33</f>
        <v>31404.945000000007</v>
      </c>
      <c r="E62" s="186">
        <f t="shared" si="29"/>
        <v>28264.450500000006</v>
      </c>
      <c r="F62" s="186">
        <f t="shared" si="29"/>
        <v>25123.956000000006</v>
      </c>
      <c r="G62" s="186">
        <f t="shared" si="29"/>
        <v>25123.956000000006</v>
      </c>
      <c r="H62" s="186">
        <f t="shared" si="29"/>
        <v>26380.153800000004</v>
      </c>
      <c r="I62" s="186">
        <f t="shared" si="29"/>
        <v>26170.787500000006</v>
      </c>
      <c r="J62" s="186">
        <f t="shared" si="29"/>
        <v>26021.240142857147</v>
      </c>
      <c r="K62" s="186">
        <f t="shared" si="29"/>
        <v>26694.203250000006</v>
      </c>
      <c r="L62" s="186">
        <f t="shared" si="29"/>
        <v>26519.731333333337</v>
      </c>
      <c r="M62" s="186">
        <f t="shared" si="29"/>
        <v>25752.054900000006</v>
      </c>
      <c r="N62" s="186">
        <f t="shared" si="29"/>
        <v>25694.955000000005</v>
      </c>
      <c r="O62" s="186">
        <f t="shared" si="29"/>
        <v>26170.787500000006</v>
      </c>
      <c r="P62" s="175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</row>
    <row r="63" spans="1:32" ht="12" customHeight="1">
      <c r="A63" s="174"/>
      <c r="B63" s="174"/>
      <c r="C63" s="199">
        <f>+C34</f>
        <v>47848</v>
      </c>
      <c r="D63" s="186">
        <f t="shared" ref="D63:O63" si="30">($D$51/D56)*D35</f>
        <v>83746.520000000019</v>
      </c>
      <c r="E63" s="186">
        <f t="shared" si="30"/>
        <v>75371.868000000017</v>
      </c>
      <c r="F63" s="186">
        <f t="shared" si="30"/>
        <v>66997.216000000015</v>
      </c>
      <c r="G63" s="186">
        <f t="shared" si="30"/>
        <v>66997.216000000015</v>
      </c>
      <c r="H63" s="186">
        <f t="shared" si="30"/>
        <v>70347.076800000024</v>
      </c>
      <c r="I63" s="186">
        <f t="shared" si="30"/>
        <v>69788.766666666677</v>
      </c>
      <c r="J63" s="186">
        <f t="shared" si="30"/>
        <v>69389.973714285719</v>
      </c>
      <c r="K63" s="186">
        <f t="shared" si="30"/>
        <v>71184.542000000016</v>
      </c>
      <c r="L63" s="186">
        <f t="shared" si="30"/>
        <v>70719.283555555565</v>
      </c>
      <c r="M63" s="186">
        <f t="shared" si="30"/>
        <v>68672.146400000012</v>
      </c>
      <c r="N63" s="186">
        <f t="shared" si="30"/>
        <v>68519.880000000019</v>
      </c>
      <c r="O63" s="186">
        <f t="shared" si="30"/>
        <v>69788.766666666677</v>
      </c>
      <c r="P63" s="175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</row>
    <row r="64" spans="1:32" ht="12" customHeight="1">
      <c r="A64" s="174"/>
      <c r="B64" s="174"/>
      <c r="C64" s="199">
        <f>+C36</f>
        <v>48213</v>
      </c>
      <c r="D64" s="186">
        <f t="shared" ref="D64:O64" si="31">($D$52/D56*D37)</f>
        <v>83746.520000000019</v>
      </c>
      <c r="E64" s="186">
        <f t="shared" si="31"/>
        <v>75371.868000000017</v>
      </c>
      <c r="F64" s="186">
        <f t="shared" si="31"/>
        <v>66997.216000000015</v>
      </c>
      <c r="G64" s="186">
        <f t="shared" si="31"/>
        <v>66997.216000000015</v>
      </c>
      <c r="H64" s="186">
        <f t="shared" si="31"/>
        <v>70347.076800000024</v>
      </c>
      <c r="I64" s="186">
        <f t="shared" si="31"/>
        <v>69788.766666666677</v>
      </c>
      <c r="J64" s="186">
        <f t="shared" si="31"/>
        <v>69389.973714285719</v>
      </c>
      <c r="K64" s="186">
        <f t="shared" si="31"/>
        <v>71184.542000000016</v>
      </c>
      <c r="L64" s="186">
        <f t="shared" si="31"/>
        <v>70719.283555555565</v>
      </c>
      <c r="M64" s="186">
        <f t="shared" si="31"/>
        <v>68672.146400000012</v>
      </c>
      <c r="N64" s="186">
        <f t="shared" si="31"/>
        <v>68519.880000000019</v>
      </c>
      <c r="O64" s="186">
        <f t="shared" si="31"/>
        <v>69788.766666666677</v>
      </c>
      <c r="P64" s="175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4"/>
    </row>
    <row r="65" spans="1:32" ht="12" customHeight="1">
      <c r="A65" s="174"/>
      <c r="B65" s="174"/>
      <c r="C65" s="199">
        <f>+C38</f>
        <v>48579</v>
      </c>
      <c r="D65" s="186">
        <f t="shared" ref="D65:O65" si="32">($D$53/D56)*D39</f>
        <v>83746.520000000019</v>
      </c>
      <c r="E65" s="186">
        <f t="shared" si="32"/>
        <v>75371.868000000017</v>
      </c>
      <c r="F65" s="186">
        <f t="shared" si="32"/>
        <v>66997.216000000015</v>
      </c>
      <c r="G65" s="186">
        <f t="shared" si="32"/>
        <v>66997.216000000015</v>
      </c>
      <c r="H65" s="186">
        <f t="shared" si="32"/>
        <v>70347.076800000024</v>
      </c>
      <c r="I65" s="186">
        <f t="shared" si="32"/>
        <v>69788.766666666677</v>
      </c>
      <c r="J65" s="186">
        <f t="shared" si="32"/>
        <v>69389.973714285719</v>
      </c>
      <c r="K65" s="186">
        <f t="shared" si="32"/>
        <v>71184.542000000016</v>
      </c>
      <c r="L65" s="186">
        <f t="shared" si="32"/>
        <v>70719.283555555565</v>
      </c>
      <c r="M65" s="186">
        <f t="shared" si="32"/>
        <v>68672.146400000012</v>
      </c>
      <c r="N65" s="186">
        <f t="shared" si="32"/>
        <v>68519.880000000019</v>
      </c>
      <c r="O65" s="186">
        <f t="shared" si="32"/>
        <v>69788.766666666677</v>
      </c>
      <c r="P65" s="175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  <c r="AB65" s="174"/>
      <c r="AC65" s="174"/>
      <c r="AD65" s="174"/>
      <c r="AE65" s="174"/>
      <c r="AF65" s="174"/>
    </row>
    <row r="66" spans="1:32" ht="12" customHeight="1">
      <c r="A66" s="174"/>
      <c r="B66" s="174"/>
      <c r="C66" s="199">
        <f>+C40</f>
        <v>48944</v>
      </c>
      <c r="D66" s="186">
        <f t="shared" ref="D66:O66" si="33">($D$54/D56)*D41</f>
        <v>83746.520000000019</v>
      </c>
      <c r="E66" s="186">
        <f t="shared" si="33"/>
        <v>75371.868000000017</v>
      </c>
      <c r="F66" s="186">
        <f t="shared" si="33"/>
        <v>66997.216000000015</v>
      </c>
      <c r="G66" s="186">
        <f t="shared" si="33"/>
        <v>66997.216000000015</v>
      </c>
      <c r="H66" s="186">
        <f t="shared" si="33"/>
        <v>70347.076800000024</v>
      </c>
      <c r="I66" s="186">
        <f t="shared" si="33"/>
        <v>69788.766666666677</v>
      </c>
      <c r="J66" s="186">
        <f t="shared" si="33"/>
        <v>69389.973714285719</v>
      </c>
      <c r="K66" s="186">
        <f t="shared" si="33"/>
        <v>71184.542000000016</v>
      </c>
      <c r="L66" s="186">
        <f t="shared" si="33"/>
        <v>70719.283555555565</v>
      </c>
      <c r="M66" s="186">
        <f t="shared" si="33"/>
        <v>68672.146400000012</v>
      </c>
      <c r="N66" s="186">
        <f t="shared" si="33"/>
        <v>68519.880000000019</v>
      </c>
      <c r="O66" s="186">
        <f t="shared" si="33"/>
        <v>69788.766666666677</v>
      </c>
      <c r="P66" s="175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</row>
    <row r="67" spans="1:32" ht="12" customHeight="1">
      <c r="A67" s="174"/>
      <c r="B67" s="174"/>
      <c r="C67" s="185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88"/>
      <c r="P67" s="175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</row>
    <row r="68" spans="1:32" ht="12" customHeight="1">
      <c r="A68" s="174"/>
      <c r="B68" s="174"/>
      <c r="C68" s="185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88"/>
      <c r="P68" s="175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  <c r="AB68" s="174"/>
      <c r="AC68" s="174"/>
      <c r="AD68" s="174"/>
      <c r="AE68" s="174"/>
      <c r="AF68" s="174"/>
    </row>
    <row r="69" spans="1:32" ht="12" customHeight="1">
      <c r="A69" s="174"/>
      <c r="B69" s="174"/>
      <c r="C69" s="185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91"/>
      <c r="P69" s="175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</row>
    <row r="70" spans="1:32" ht="12" customHeight="1">
      <c r="A70" s="174"/>
      <c r="B70" s="174"/>
      <c r="C70" s="174"/>
      <c r="D70" s="185"/>
      <c r="E70" s="185"/>
      <c r="F70" s="191"/>
      <c r="G70" s="191"/>
      <c r="H70" s="191"/>
      <c r="I70" s="188"/>
      <c r="J70" s="188"/>
      <c r="K70" s="188"/>
      <c r="L70" s="188"/>
      <c r="M70" s="188"/>
      <c r="N70" s="188"/>
      <c r="O70" s="188"/>
      <c r="P70" s="175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174"/>
      <c r="AF70" s="174"/>
    </row>
    <row r="71" spans="1:32" ht="12" customHeight="1">
      <c r="A71" s="174"/>
      <c r="B71" s="174"/>
      <c r="C71" s="174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75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174"/>
      <c r="AF71" s="174"/>
    </row>
    <row r="72" spans="1:32" ht="12" customHeight="1">
      <c r="A72" s="174"/>
      <c r="B72" s="174"/>
      <c r="C72" s="174"/>
      <c r="D72" s="210"/>
      <c r="E72" s="210"/>
      <c r="F72" s="210"/>
      <c r="G72" s="210">
        <f>G71/3</f>
        <v>0</v>
      </c>
      <c r="H72" s="210"/>
      <c r="I72" s="210"/>
      <c r="J72" s="210"/>
      <c r="K72" s="210"/>
      <c r="L72" s="210"/>
      <c r="M72" s="210"/>
      <c r="N72" s="210"/>
      <c r="O72" s="210"/>
      <c r="P72" s="175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  <c r="AF72" s="174"/>
    </row>
    <row r="73" spans="1:32" ht="12" customHeight="1">
      <c r="A73" s="174"/>
      <c r="B73" s="174"/>
      <c r="C73" s="174"/>
      <c r="D73" s="174"/>
      <c r="E73" s="174"/>
      <c r="F73" s="181"/>
      <c r="G73" s="174"/>
      <c r="H73" s="174"/>
      <c r="I73" s="211"/>
      <c r="J73" s="174"/>
      <c r="K73" s="174"/>
      <c r="L73" s="174"/>
      <c r="M73" s="174"/>
      <c r="N73" s="174"/>
      <c r="O73" s="174"/>
      <c r="P73" s="175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174"/>
      <c r="AF73" s="174"/>
    </row>
    <row r="74" spans="1:32" ht="12" customHeight="1">
      <c r="A74" s="174"/>
      <c r="B74" s="174"/>
      <c r="C74" s="174"/>
      <c r="D74" s="174"/>
      <c r="E74" s="174"/>
      <c r="F74" s="174"/>
      <c r="G74" s="174"/>
      <c r="H74" s="174"/>
      <c r="I74" s="211"/>
      <c r="J74" s="174"/>
      <c r="K74" s="174"/>
      <c r="L74" s="174"/>
      <c r="M74" s="174"/>
      <c r="N74" s="174"/>
      <c r="O74" s="174"/>
      <c r="P74" s="175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74"/>
      <c r="AF74" s="174"/>
    </row>
    <row r="75" spans="1:32" ht="12" customHeight="1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5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4"/>
      <c r="AF75" s="174"/>
    </row>
    <row r="76" spans="1:32" ht="12" customHeight="1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5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  <c r="AD76" s="174"/>
      <c r="AE76" s="174"/>
      <c r="AF76" s="174"/>
    </row>
    <row r="77" spans="1:32" ht="12" customHeight="1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5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</row>
    <row r="78" spans="1:32" ht="12" customHeight="1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5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174"/>
      <c r="AF78" s="174"/>
    </row>
    <row r="79" spans="1:32" ht="12" customHeight="1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5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</row>
    <row r="80" spans="1:32" ht="12" customHeight="1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5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</row>
    <row r="81" spans="1:32" ht="12" customHeight="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5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</row>
    <row r="82" spans="1:32" ht="12" customHeight="1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5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  <c r="AF82" s="174"/>
    </row>
    <row r="83" spans="1:32" ht="12" customHeight="1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5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  <c r="AF83" s="174"/>
    </row>
    <row r="84" spans="1:32" ht="12" customHeight="1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5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  <c r="AF84" s="174"/>
    </row>
    <row r="85" spans="1:32" ht="12" customHeight="1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5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  <c r="AE85" s="174"/>
      <c r="AF85" s="174"/>
    </row>
    <row r="86" spans="1:32" ht="12" customHeight="1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5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  <c r="AF86" s="174"/>
    </row>
    <row r="87" spans="1:32" ht="12" customHeight="1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5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</row>
    <row r="88" spans="1:32" ht="12" customHeight="1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5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  <c r="AF88" s="174"/>
    </row>
    <row r="89" spans="1:32" ht="12" customHeight="1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5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  <c r="AD89" s="174"/>
      <c r="AE89" s="174"/>
      <c r="AF89" s="174"/>
    </row>
    <row r="90" spans="1:32" ht="12" customHeight="1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5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  <c r="AF90" s="174"/>
    </row>
    <row r="91" spans="1:32" ht="12" customHeight="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5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  <c r="AD91" s="174"/>
      <c r="AE91" s="174"/>
      <c r="AF91" s="174"/>
    </row>
    <row r="92" spans="1:32" ht="12" customHeight="1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5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  <c r="AF92" s="174"/>
    </row>
    <row r="93" spans="1:32" ht="12" customHeight="1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5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  <c r="AF93" s="174"/>
    </row>
    <row r="94" spans="1:32" ht="12" customHeight="1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5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  <c r="AF94" s="174"/>
    </row>
    <row r="95" spans="1:32" ht="12" customHeight="1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5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</row>
    <row r="96" spans="1:32" ht="12" customHeight="1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5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  <c r="AF96" s="174"/>
    </row>
    <row r="97" spans="1:32" ht="12" customHeight="1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5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</row>
    <row r="98" spans="1:32" ht="12" customHeight="1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5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</row>
    <row r="99" spans="1:32" ht="12" customHeight="1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5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</row>
    <row r="100" spans="1:32" ht="12" customHeight="1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5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</row>
    <row r="101" spans="1:32" ht="12" customHeight="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5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</row>
    <row r="102" spans="1:32" ht="12" customHeight="1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5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</row>
    <row r="103" spans="1:32" ht="12" customHeight="1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5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</row>
    <row r="104" spans="1:32" ht="12" customHeight="1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5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</row>
    <row r="105" spans="1:32" ht="12" customHeight="1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5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</row>
    <row r="106" spans="1:32" ht="12" customHeight="1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5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</row>
    <row r="107" spans="1:32" ht="12" customHeight="1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5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</row>
    <row r="108" spans="1:32" ht="12" customHeight="1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5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</row>
    <row r="109" spans="1:32" ht="12" customHeight="1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5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</row>
    <row r="110" spans="1:32" ht="12" customHeight="1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5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</row>
    <row r="111" spans="1:32" ht="12" customHeight="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5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</row>
    <row r="112" spans="1:32" ht="12" customHeight="1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5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</row>
    <row r="113" spans="1:32" ht="12" customHeight="1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5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</row>
    <row r="114" spans="1:32" ht="12" customHeight="1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5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</row>
    <row r="115" spans="1:32" ht="12" customHeight="1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5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</row>
    <row r="116" spans="1:32" ht="12" customHeight="1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5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</row>
    <row r="117" spans="1:32" ht="12" customHeight="1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5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</row>
    <row r="118" spans="1:32" ht="12" customHeight="1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5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</row>
    <row r="119" spans="1:32" ht="12" customHeight="1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5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</row>
    <row r="120" spans="1:32" ht="12" customHeight="1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5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</row>
    <row r="121" spans="1:32" ht="12" customHeight="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5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</row>
    <row r="122" spans="1:32" ht="12" customHeight="1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5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</row>
    <row r="123" spans="1:32" ht="12" customHeight="1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5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</row>
    <row r="124" spans="1:32" ht="12" customHeight="1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5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</row>
    <row r="125" spans="1:32" ht="12" customHeight="1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5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</row>
    <row r="126" spans="1:32" ht="12" customHeight="1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5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</row>
    <row r="127" spans="1:32" ht="12" customHeight="1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5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</row>
    <row r="128" spans="1:32" ht="12" customHeight="1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5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</row>
    <row r="129" spans="1:32" ht="12" customHeight="1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5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</row>
    <row r="130" spans="1:32" ht="12" customHeight="1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5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</row>
    <row r="131" spans="1:32" ht="12" customHeight="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5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</row>
    <row r="132" spans="1:32" ht="12" customHeight="1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5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</row>
    <row r="133" spans="1:32" ht="12" customHeight="1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5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</row>
    <row r="134" spans="1:32" ht="12" customHeight="1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5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</row>
    <row r="135" spans="1:32" ht="12" customHeight="1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5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</row>
    <row r="136" spans="1:32" ht="12" customHeight="1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5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</row>
    <row r="137" spans="1:32" ht="12" customHeight="1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5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</row>
    <row r="138" spans="1:32" ht="12" customHeight="1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5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</row>
    <row r="139" spans="1:32" ht="12" customHeight="1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5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</row>
    <row r="140" spans="1:32" ht="12" customHeight="1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5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</row>
    <row r="141" spans="1:32" ht="12" customHeight="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5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</row>
    <row r="142" spans="1:32" ht="12" customHeight="1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5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</row>
    <row r="143" spans="1:32" ht="12" customHeight="1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5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</row>
    <row r="144" spans="1:32" ht="12" customHeight="1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5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</row>
    <row r="145" spans="1:32" ht="12" customHeight="1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5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</row>
    <row r="146" spans="1:32" ht="12" customHeight="1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5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</row>
    <row r="147" spans="1:32" ht="12" customHeight="1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5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</row>
    <row r="148" spans="1:32" ht="12" customHeight="1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5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</row>
    <row r="149" spans="1:32" ht="12" customHeight="1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5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</row>
    <row r="150" spans="1:32" ht="12" customHeight="1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5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</row>
    <row r="151" spans="1:32" ht="12" customHeight="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5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</row>
    <row r="152" spans="1:32" ht="12" customHeight="1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5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</row>
    <row r="153" spans="1:32" ht="12" customHeight="1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5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</row>
    <row r="154" spans="1:32" ht="12" customHeight="1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5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</row>
    <row r="155" spans="1:32" ht="12" customHeight="1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5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</row>
    <row r="156" spans="1:32" ht="12" customHeight="1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5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</row>
    <row r="157" spans="1:32" ht="12" customHeight="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5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</row>
    <row r="158" spans="1:32" ht="12" customHeight="1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5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</row>
    <row r="159" spans="1:32" ht="12" customHeight="1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5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</row>
    <row r="160" spans="1:32" ht="12" customHeight="1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5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</row>
    <row r="161" spans="1:32" ht="12" customHeight="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5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</row>
    <row r="162" spans="1:32" ht="12" customHeight="1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5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</row>
    <row r="163" spans="1:32" ht="12" customHeight="1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5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</row>
    <row r="164" spans="1:32" ht="12" customHeight="1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5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</row>
    <row r="165" spans="1:32" ht="12" customHeight="1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5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</row>
    <row r="166" spans="1:32" ht="12" customHeight="1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5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</row>
    <row r="167" spans="1:32" ht="12" customHeight="1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5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</row>
    <row r="168" spans="1:32" ht="12" customHeight="1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5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</row>
    <row r="169" spans="1:32" ht="12" customHeight="1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5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</row>
    <row r="170" spans="1:32" ht="12" customHeight="1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5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</row>
    <row r="171" spans="1:32" ht="12" customHeight="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5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</row>
    <row r="172" spans="1:32" ht="12" customHeight="1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5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</row>
    <row r="173" spans="1:32" ht="12" customHeight="1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5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</row>
    <row r="174" spans="1:32" ht="12" customHeight="1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5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</row>
    <row r="175" spans="1:32" ht="12" customHeight="1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5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</row>
    <row r="176" spans="1:32" ht="12" customHeight="1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5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</row>
    <row r="177" spans="1:32" ht="12" customHeight="1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5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</row>
    <row r="178" spans="1:32" ht="12" customHeight="1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5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</row>
    <row r="179" spans="1:32" ht="12" customHeight="1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5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</row>
    <row r="180" spans="1:32" ht="12" customHeight="1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5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</row>
    <row r="181" spans="1:32" ht="12" customHeight="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5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</row>
    <row r="182" spans="1:32" ht="12" customHeight="1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5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</row>
    <row r="183" spans="1:32" ht="12" customHeight="1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5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</row>
    <row r="184" spans="1:32" ht="12" customHeight="1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5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</row>
    <row r="185" spans="1:32" ht="12" customHeight="1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5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</row>
    <row r="186" spans="1:32" ht="12" customHeight="1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5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</row>
    <row r="187" spans="1:32" ht="12" customHeight="1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5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</row>
    <row r="188" spans="1:32" ht="12" customHeight="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5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</row>
    <row r="189" spans="1:32" ht="12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5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</row>
    <row r="190" spans="1:32" ht="12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5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</row>
    <row r="191" spans="1:32" ht="12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5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</row>
    <row r="192" spans="1:32" ht="12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5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</row>
    <row r="193" spans="1:32" ht="12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5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</row>
    <row r="194" spans="1:32" ht="12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5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</row>
    <row r="195" spans="1:32" ht="12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5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</row>
    <row r="196" spans="1:32" ht="12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5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</row>
    <row r="197" spans="1:32" ht="12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5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</row>
    <row r="198" spans="1:32" ht="12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5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</row>
    <row r="199" spans="1:32" ht="12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5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</row>
    <row r="200" spans="1:32" ht="12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5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</row>
    <row r="201" spans="1:32" ht="12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5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</row>
    <row r="202" spans="1:32" ht="12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5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</row>
    <row r="203" spans="1:32" ht="12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5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</row>
    <row r="204" spans="1:32" ht="12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5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</row>
    <row r="205" spans="1:32" ht="12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5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</row>
    <row r="206" spans="1:32" ht="12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5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</row>
    <row r="207" spans="1:32" ht="12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5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</row>
    <row r="208" spans="1:32" ht="12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5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</row>
    <row r="209" spans="1:32" ht="12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5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</row>
    <row r="210" spans="1:32" ht="12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5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</row>
    <row r="211" spans="1:32" ht="12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5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</row>
    <row r="212" spans="1:32" ht="12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5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</row>
    <row r="213" spans="1:32" ht="12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5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</row>
    <row r="214" spans="1:32" ht="12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5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</row>
    <row r="215" spans="1:32" ht="12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5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</row>
    <row r="216" spans="1:32" ht="12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5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</row>
    <row r="217" spans="1:32" ht="12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5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</row>
    <row r="218" spans="1:32" ht="12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5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</row>
    <row r="219" spans="1:32" ht="12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5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</row>
    <row r="220" spans="1:32" ht="12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5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</row>
    <row r="221" spans="1:32" ht="12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5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</row>
    <row r="222" spans="1:32" ht="12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5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</row>
    <row r="223" spans="1:32" ht="12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5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</row>
    <row r="224" spans="1:32" ht="12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5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</row>
    <row r="225" spans="1:32" ht="12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5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</row>
    <row r="226" spans="1:32" ht="12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5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</row>
    <row r="227" spans="1:32" ht="12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5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</row>
    <row r="228" spans="1:32" ht="12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5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</row>
    <row r="229" spans="1:32" ht="12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5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</row>
    <row r="230" spans="1:32" ht="12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5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</row>
    <row r="231" spans="1:32" ht="12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5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</row>
    <row r="232" spans="1:32" ht="12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5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</row>
    <row r="233" spans="1:32" ht="12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5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</row>
    <row r="234" spans="1:32" ht="12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5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</row>
    <row r="235" spans="1:32" ht="12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5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</row>
    <row r="236" spans="1:32" ht="12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5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</row>
    <row r="237" spans="1:32" ht="12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5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</row>
    <row r="238" spans="1:32" ht="12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5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</row>
    <row r="239" spans="1:32" ht="12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5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</row>
    <row r="240" spans="1:32" ht="12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5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</row>
    <row r="241" spans="1:32" ht="12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5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</row>
    <row r="242" spans="1:32" ht="12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5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</row>
    <row r="243" spans="1:32" ht="12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5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</row>
    <row r="244" spans="1:32" ht="12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5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</row>
    <row r="245" spans="1:32" ht="12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5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</row>
    <row r="246" spans="1:32" ht="12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5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</row>
    <row r="247" spans="1:32" ht="12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5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</row>
    <row r="248" spans="1:32" ht="12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5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</row>
    <row r="249" spans="1:32" ht="12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5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</row>
    <row r="250" spans="1:32" ht="12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5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</row>
    <row r="251" spans="1:32" ht="12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5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</row>
    <row r="252" spans="1:32" ht="12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5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</row>
    <row r="253" spans="1:32" ht="12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5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</row>
    <row r="254" spans="1:32" ht="12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5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</row>
    <row r="255" spans="1:32" ht="12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5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</row>
    <row r="256" spans="1:32" ht="12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5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</row>
    <row r="257" spans="1:32" ht="12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5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</row>
    <row r="258" spans="1:32" ht="12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5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</row>
    <row r="259" spans="1:32" ht="12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5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</row>
    <row r="260" spans="1:32" ht="12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5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</row>
    <row r="261" spans="1:32" ht="12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5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</row>
    <row r="262" spans="1:32" ht="12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5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</row>
    <row r="263" spans="1:32" ht="12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5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</row>
    <row r="264" spans="1:32" ht="12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5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</row>
    <row r="265" spans="1:32" ht="12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5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</row>
    <row r="266" spans="1:32" ht="12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5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</row>
    <row r="267" spans="1:32" ht="12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5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</row>
    <row r="268" spans="1:32" ht="12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5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</row>
    <row r="269" spans="1:32" ht="12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5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</row>
    <row r="270" spans="1:32" ht="12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5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174"/>
      <c r="AF270" s="174"/>
    </row>
    <row r="271" spans="1:32" ht="12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5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  <c r="AB271" s="174"/>
      <c r="AC271" s="174"/>
      <c r="AD271" s="174"/>
      <c r="AE271" s="174"/>
      <c r="AF271" s="174"/>
    </row>
    <row r="272" spans="1:32" ht="12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5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  <c r="AB272" s="174"/>
      <c r="AC272" s="174"/>
      <c r="AD272" s="174"/>
      <c r="AE272" s="174"/>
      <c r="AF272" s="174"/>
    </row>
    <row r="273" spans="1:32" ht="12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5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  <c r="AB273" s="174"/>
      <c r="AC273" s="174"/>
      <c r="AD273" s="174"/>
      <c r="AE273" s="174"/>
      <c r="AF273" s="174"/>
    </row>
    <row r="274" spans="1:32" ht="12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5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  <c r="AB274" s="174"/>
      <c r="AC274" s="174"/>
      <c r="AD274" s="174"/>
      <c r="AE274" s="174"/>
      <c r="AF274" s="174"/>
    </row>
    <row r="275" spans="1:32" ht="12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5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  <c r="AB275" s="174"/>
      <c r="AC275" s="174"/>
      <c r="AD275" s="174"/>
      <c r="AE275" s="174"/>
      <c r="AF275" s="174"/>
    </row>
    <row r="276" spans="1:32" ht="12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5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  <c r="AB276" s="174"/>
      <c r="AC276" s="174"/>
      <c r="AD276" s="174"/>
      <c r="AE276" s="174"/>
      <c r="AF276" s="174"/>
    </row>
    <row r="277" spans="1:32" ht="12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5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  <c r="AB277" s="174"/>
      <c r="AC277" s="174"/>
      <c r="AD277" s="174"/>
      <c r="AE277" s="174"/>
      <c r="AF277" s="174"/>
    </row>
    <row r="278" spans="1:32" ht="12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5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  <c r="AB278" s="174"/>
      <c r="AC278" s="174"/>
      <c r="AD278" s="174"/>
      <c r="AE278" s="174"/>
      <c r="AF278" s="174"/>
    </row>
    <row r="279" spans="1:32" ht="12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5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  <c r="AB279" s="174"/>
      <c r="AC279" s="174"/>
      <c r="AD279" s="174"/>
      <c r="AE279" s="174"/>
      <c r="AF279" s="174"/>
    </row>
    <row r="280" spans="1:32" ht="12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5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  <c r="AB280" s="174"/>
      <c r="AC280" s="174"/>
      <c r="AD280" s="174"/>
      <c r="AE280" s="174"/>
      <c r="AF280" s="174"/>
    </row>
    <row r="281" spans="1:32" ht="12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5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174"/>
      <c r="AF281" s="174"/>
    </row>
    <row r="282" spans="1:32" ht="12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5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174"/>
      <c r="AF282" s="174"/>
    </row>
    <row r="283" spans="1:32" ht="12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5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  <c r="AF283" s="174"/>
    </row>
    <row r="284" spans="1:32" ht="12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5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 s="174"/>
      <c r="AC284" s="174"/>
      <c r="AD284" s="174"/>
      <c r="AE284" s="174"/>
      <c r="AF284" s="174"/>
    </row>
    <row r="285" spans="1:32" ht="12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5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  <c r="AB285" s="174"/>
      <c r="AC285" s="174"/>
      <c r="AD285" s="174"/>
      <c r="AE285" s="174"/>
      <c r="AF285" s="174"/>
    </row>
    <row r="286" spans="1:32" ht="12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5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 s="174"/>
      <c r="AC286" s="174"/>
      <c r="AD286" s="174"/>
      <c r="AE286" s="174"/>
      <c r="AF286" s="174"/>
    </row>
    <row r="287" spans="1:32" ht="12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5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 s="174"/>
      <c r="AC287" s="174"/>
      <c r="AD287" s="174"/>
      <c r="AE287" s="174"/>
      <c r="AF287" s="174"/>
    </row>
    <row r="288" spans="1:32" ht="12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5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 s="174"/>
      <c r="AC288" s="174"/>
      <c r="AD288" s="174"/>
      <c r="AE288" s="174"/>
      <c r="AF288" s="174"/>
    </row>
    <row r="289" spans="1:32" ht="12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5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174"/>
      <c r="AF289" s="174"/>
    </row>
    <row r="290" spans="1:32" ht="12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5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 s="174"/>
      <c r="AC290" s="174"/>
      <c r="AD290" s="174"/>
      <c r="AE290" s="174"/>
      <c r="AF290" s="174"/>
    </row>
    <row r="291" spans="1:32" ht="12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5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  <c r="AB291" s="174"/>
      <c r="AC291" s="174"/>
      <c r="AD291" s="174"/>
      <c r="AE291" s="174"/>
      <c r="AF291" s="174"/>
    </row>
    <row r="292" spans="1:32" ht="12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5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  <c r="AB292" s="174"/>
      <c r="AC292" s="174"/>
      <c r="AD292" s="174"/>
      <c r="AE292" s="174"/>
      <c r="AF292" s="174"/>
    </row>
    <row r="293" spans="1:32" ht="12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5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  <c r="AB293" s="174"/>
      <c r="AC293" s="174"/>
      <c r="AD293" s="174"/>
      <c r="AE293" s="174"/>
      <c r="AF293" s="174"/>
    </row>
    <row r="294" spans="1:32" ht="12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5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  <c r="AB294" s="174"/>
      <c r="AC294" s="174"/>
      <c r="AD294" s="174"/>
      <c r="AE294" s="174"/>
      <c r="AF294" s="174"/>
    </row>
    <row r="295" spans="1:32" ht="12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5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174"/>
      <c r="AF295" s="174"/>
    </row>
    <row r="296" spans="1:32" ht="12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5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  <c r="AE296" s="174"/>
      <c r="AF296" s="174"/>
    </row>
    <row r="297" spans="1:32" ht="12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5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  <c r="AB297" s="174"/>
      <c r="AC297" s="174"/>
      <c r="AD297" s="174"/>
      <c r="AE297" s="174"/>
      <c r="AF297" s="174"/>
    </row>
    <row r="298" spans="1:32" ht="12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5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  <c r="AB298" s="174"/>
      <c r="AC298" s="174"/>
      <c r="AD298" s="174"/>
      <c r="AE298" s="174"/>
      <c r="AF298" s="174"/>
    </row>
    <row r="299" spans="1:32" ht="12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5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  <c r="AB299" s="174"/>
      <c r="AC299" s="174"/>
      <c r="AD299" s="174"/>
      <c r="AE299" s="174"/>
      <c r="AF299" s="174"/>
    </row>
    <row r="300" spans="1:32" ht="12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5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174"/>
      <c r="AF300" s="174"/>
    </row>
    <row r="301" spans="1:32" ht="12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5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  <c r="AB301" s="174"/>
      <c r="AC301" s="174"/>
      <c r="AD301" s="174"/>
      <c r="AE301" s="174"/>
      <c r="AF301" s="174"/>
    </row>
    <row r="302" spans="1:32" ht="12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5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174"/>
      <c r="AF302" s="174"/>
    </row>
    <row r="303" spans="1:32" ht="12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5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  <c r="AB303" s="174"/>
      <c r="AC303" s="174"/>
      <c r="AD303" s="174"/>
      <c r="AE303" s="174"/>
      <c r="AF303" s="174"/>
    </row>
    <row r="304" spans="1:32" ht="12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5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  <c r="AB304" s="174"/>
      <c r="AC304" s="174"/>
      <c r="AD304" s="174"/>
      <c r="AE304" s="174"/>
      <c r="AF304" s="174"/>
    </row>
    <row r="305" spans="1:32" ht="12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5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  <c r="AF305" s="174"/>
    </row>
    <row r="306" spans="1:32" ht="12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5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174"/>
      <c r="AF306" s="174"/>
    </row>
    <row r="307" spans="1:32" ht="12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5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174"/>
      <c r="AF307" s="174"/>
    </row>
    <row r="308" spans="1:32" ht="12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5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  <c r="AB308" s="174"/>
      <c r="AC308" s="174"/>
      <c r="AD308" s="174"/>
      <c r="AE308" s="174"/>
      <c r="AF308" s="174"/>
    </row>
    <row r="309" spans="1:32" ht="12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5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  <c r="AB309" s="174"/>
      <c r="AC309" s="174"/>
      <c r="AD309" s="174"/>
      <c r="AE309" s="174"/>
      <c r="AF309" s="174"/>
    </row>
    <row r="310" spans="1:32" ht="12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5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174"/>
      <c r="AF310" s="174"/>
    </row>
    <row r="311" spans="1:32" ht="12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5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174"/>
      <c r="AF311" s="174"/>
    </row>
    <row r="312" spans="1:32" ht="12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5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  <c r="AF312" s="174"/>
    </row>
    <row r="313" spans="1:32" ht="12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5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  <c r="AB313" s="174"/>
      <c r="AC313" s="174"/>
      <c r="AD313" s="174"/>
      <c r="AE313" s="174"/>
      <c r="AF313" s="174"/>
    </row>
    <row r="314" spans="1:32" ht="12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5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  <c r="AB314" s="174"/>
      <c r="AC314" s="174"/>
      <c r="AD314" s="174"/>
      <c r="AE314" s="174"/>
      <c r="AF314" s="174"/>
    </row>
    <row r="315" spans="1:32" ht="12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5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174"/>
      <c r="AF315" s="174"/>
    </row>
    <row r="316" spans="1:32" ht="12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5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  <c r="AA316" s="174"/>
      <c r="AB316" s="174"/>
      <c r="AC316" s="174"/>
      <c r="AD316" s="174"/>
      <c r="AE316" s="174"/>
      <c r="AF316" s="174"/>
    </row>
    <row r="317" spans="1:32" ht="12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5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  <c r="AA317" s="174"/>
      <c r="AB317" s="174"/>
      <c r="AC317" s="174"/>
      <c r="AD317" s="174"/>
      <c r="AE317" s="174"/>
      <c r="AF317" s="174"/>
    </row>
    <row r="318" spans="1:32" ht="12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5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  <c r="AD318" s="174"/>
      <c r="AE318" s="174"/>
      <c r="AF318" s="174"/>
    </row>
    <row r="319" spans="1:32" ht="12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5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  <c r="AB319" s="174"/>
      <c r="AC319" s="174"/>
      <c r="AD319" s="174"/>
      <c r="AE319" s="174"/>
      <c r="AF319" s="174"/>
    </row>
    <row r="320" spans="1:32" ht="12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5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  <c r="AB320" s="174"/>
      <c r="AC320" s="174"/>
      <c r="AD320" s="174"/>
      <c r="AE320" s="174"/>
      <c r="AF320" s="174"/>
    </row>
    <row r="321" spans="1:32" ht="12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5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  <c r="AB321" s="174"/>
      <c r="AC321" s="174"/>
      <c r="AD321" s="174"/>
      <c r="AE321" s="174"/>
      <c r="AF321" s="174"/>
    </row>
    <row r="322" spans="1:32" ht="12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5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  <c r="AB322" s="174"/>
      <c r="AC322" s="174"/>
      <c r="AD322" s="174"/>
      <c r="AE322" s="174"/>
      <c r="AF322" s="174"/>
    </row>
    <row r="323" spans="1:32" ht="12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5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  <c r="AB323" s="174"/>
      <c r="AC323" s="174"/>
      <c r="AD323" s="174"/>
      <c r="AE323" s="174"/>
      <c r="AF323" s="174"/>
    </row>
    <row r="324" spans="1:32" ht="12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5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  <c r="AC324" s="174"/>
      <c r="AD324" s="174"/>
      <c r="AE324" s="174"/>
      <c r="AF324" s="174"/>
    </row>
    <row r="325" spans="1:32" ht="12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5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  <c r="AB325" s="174"/>
      <c r="AC325" s="174"/>
      <c r="AD325" s="174"/>
      <c r="AE325" s="174"/>
      <c r="AF325" s="174"/>
    </row>
    <row r="326" spans="1:32" ht="12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5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  <c r="AB326" s="174"/>
      <c r="AC326" s="174"/>
      <c r="AD326" s="174"/>
      <c r="AE326" s="174"/>
      <c r="AF326" s="174"/>
    </row>
    <row r="327" spans="1:32" ht="12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5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  <c r="AB327" s="174"/>
      <c r="AC327" s="174"/>
      <c r="AD327" s="174"/>
      <c r="AE327" s="174"/>
      <c r="AF327" s="174"/>
    </row>
    <row r="328" spans="1:32" ht="12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5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174"/>
      <c r="AF328" s="174"/>
    </row>
    <row r="329" spans="1:32" ht="12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5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  <c r="AB329" s="174"/>
      <c r="AC329" s="174"/>
      <c r="AD329" s="174"/>
      <c r="AE329" s="174"/>
      <c r="AF329" s="174"/>
    </row>
    <row r="330" spans="1:32" ht="12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5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  <c r="AB330" s="174"/>
      <c r="AC330" s="174"/>
      <c r="AD330" s="174"/>
      <c r="AE330" s="174"/>
      <c r="AF330" s="174"/>
    </row>
    <row r="331" spans="1:32" ht="12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5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  <c r="AB331" s="174"/>
      <c r="AC331" s="174"/>
      <c r="AD331" s="174"/>
      <c r="AE331" s="174"/>
      <c r="AF331" s="174"/>
    </row>
    <row r="332" spans="1:32" ht="12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5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  <c r="AB332" s="174"/>
      <c r="AC332" s="174"/>
      <c r="AD332" s="174"/>
      <c r="AE332" s="174"/>
      <c r="AF332" s="174"/>
    </row>
    <row r="333" spans="1:32" ht="12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5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  <c r="AB333" s="174"/>
      <c r="AC333" s="174"/>
      <c r="AD333" s="174"/>
      <c r="AE333" s="174"/>
      <c r="AF333" s="174"/>
    </row>
    <row r="334" spans="1:32" ht="12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5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  <c r="AB334" s="174"/>
      <c r="AC334" s="174"/>
      <c r="AD334" s="174"/>
      <c r="AE334" s="174"/>
      <c r="AF334" s="174"/>
    </row>
    <row r="335" spans="1:32" ht="12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5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  <c r="AB335" s="174"/>
      <c r="AC335" s="174"/>
      <c r="AD335" s="174"/>
      <c r="AE335" s="174"/>
      <c r="AF335" s="174"/>
    </row>
    <row r="336" spans="1:32" ht="12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5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  <c r="AB336" s="174"/>
      <c r="AC336" s="174"/>
      <c r="AD336" s="174"/>
      <c r="AE336" s="174"/>
      <c r="AF336" s="174"/>
    </row>
    <row r="337" spans="1:32" ht="12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5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  <c r="AB337" s="174"/>
      <c r="AC337" s="174"/>
      <c r="AD337" s="174"/>
      <c r="AE337" s="174"/>
      <c r="AF337" s="174"/>
    </row>
    <row r="338" spans="1:32" ht="12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5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  <c r="AB338" s="174"/>
      <c r="AC338" s="174"/>
      <c r="AD338" s="174"/>
      <c r="AE338" s="174"/>
      <c r="AF338" s="174"/>
    </row>
    <row r="339" spans="1:32" ht="12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5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  <c r="AB339" s="174"/>
      <c r="AC339" s="174"/>
      <c r="AD339" s="174"/>
      <c r="AE339" s="174"/>
      <c r="AF339" s="174"/>
    </row>
    <row r="340" spans="1:32" ht="12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5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  <c r="AB340" s="174"/>
      <c r="AC340" s="174"/>
      <c r="AD340" s="174"/>
      <c r="AE340" s="174"/>
      <c r="AF340" s="174"/>
    </row>
    <row r="341" spans="1:32" ht="12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5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  <c r="AB341" s="174"/>
      <c r="AC341" s="174"/>
      <c r="AD341" s="174"/>
      <c r="AE341" s="174"/>
      <c r="AF341" s="174"/>
    </row>
    <row r="342" spans="1:32" ht="12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5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  <c r="AB342" s="174"/>
      <c r="AC342" s="174"/>
      <c r="AD342" s="174"/>
      <c r="AE342" s="174"/>
      <c r="AF342" s="174"/>
    </row>
    <row r="343" spans="1:32" ht="12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5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  <c r="AB343" s="174"/>
      <c r="AC343" s="174"/>
      <c r="AD343" s="174"/>
      <c r="AE343" s="174"/>
      <c r="AF343" s="174"/>
    </row>
    <row r="344" spans="1:32" ht="12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5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  <c r="AB344" s="174"/>
      <c r="AC344" s="174"/>
      <c r="AD344" s="174"/>
      <c r="AE344" s="174"/>
      <c r="AF344" s="174"/>
    </row>
    <row r="345" spans="1:32" ht="12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5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  <c r="AB345" s="174"/>
      <c r="AC345" s="174"/>
      <c r="AD345" s="174"/>
      <c r="AE345" s="174"/>
      <c r="AF345" s="174"/>
    </row>
    <row r="346" spans="1:32" ht="12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5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  <c r="AA346" s="174"/>
      <c r="AB346" s="174"/>
      <c r="AC346" s="174"/>
      <c r="AD346" s="174"/>
      <c r="AE346" s="174"/>
      <c r="AF346" s="174"/>
    </row>
    <row r="347" spans="1:32" ht="12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5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  <c r="AB347" s="174"/>
      <c r="AC347" s="174"/>
      <c r="AD347" s="174"/>
      <c r="AE347" s="174"/>
      <c r="AF347" s="174"/>
    </row>
    <row r="348" spans="1:32" ht="12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5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  <c r="AA348" s="174"/>
      <c r="AB348" s="174"/>
      <c r="AC348" s="174"/>
      <c r="AD348" s="174"/>
      <c r="AE348" s="174"/>
      <c r="AF348" s="174"/>
    </row>
    <row r="349" spans="1:32" ht="12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5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  <c r="AA349" s="174"/>
      <c r="AB349" s="174"/>
      <c r="AC349" s="174"/>
      <c r="AD349" s="174"/>
      <c r="AE349" s="174"/>
      <c r="AF349" s="174"/>
    </row>
    <row r="350" spans="1:32" ht="12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5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  <c r="AB350" s="174"/>
      <c r="AC350" s="174"/>
      <c r="AD350" s="174"/>
      <c r="AE350" s="174"/>
      <c r="AF350" s="174"/>
    </row>
    <row r="351" spans="1:32" ht="12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5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  <c r="AB351" s="174"/>
      <c r="AC351" s="174"/>
      <c r="AD351" s="174"/>
      <c r="AE351" s="174"/>
      <c r="AF351" s="174"/>
    </row>
    <row r="352" spans="1:32" ht="12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5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  <c r="AA352" s="174"/>
      <c r="AB352" s="174"/>
      <c r="AC352" s="174"/>
      <c r="AD352" s="174"/>
      <c r="AE352" s="174"/>
      <c r="AF352" s="174"/>
    </row>
    <row r="353" spans="1:32" ht="12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5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  <c r="AB353" s="174"/>
      <c r="AC353" s="174"/>
      <c r="AD353" s="174"/>
      <c r="AE353" s="174"/>
      <c r="AF353" s="174"/>
    </row>
    <row r="354" spans="1:32" ht="12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5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  <c r="AA354" s="174"/>
      <c r="AB354" s="174"/>
      <c r="AC354" s="174"/>
      <c r="AD354" s="174"/>
      <c r="AE354" s="174"/>
      <c r="AF354" s="174"/>
    </row>
    <row r="355" spans="1:32" ht="12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5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  <c r="AB355" s="174"/>
      <c r="AC355" s="174"/>
      <c r="AD355" s="174"/>
      <c r="AE355" s="174"/>
      <c r="AF355" s="174"/>
    </row>
    <row r="356" spans="1:32" ht="12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5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  <c r="AB356" s="174"/>
      <c r="AC356" s="174"/>
      <c r="AD356" s="174"/>
      <c r="AE356" s="174"/>
      <c r="AF356" s="174"/>
    </row>
    <row r="357" spans="1:32" ht="12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5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  <c r="AB357" s="174"/>
      <c r="AC357" s="174"/>
      <c r="AD357" s="174"/>
      <c r="AE357" s="174"/>
      <c r="AF357" s="174"/>
    </row>
    <row r="358" spans="1:32" ht="12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5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  <c r="AB358" s="174"/>
      <c r="AC358" s="174"/>
      <c r="AD358" s="174"/>
      <c r="AE358" s="174"/>
      <c r="AF358" s="174"/>
    </row>
    <row r="359" spans="1:32" ht="12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5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  <c r="AB359" s="174"/>
      <c r="AC359" s="174"/>
      <c r="AD359" s="174"/>
      <c r="AE359" s="174"/>
      <c r="AF359" s="174"/>
    </row>
    <row r="360" spans="1:32" ht="12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5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  <c r="AB360" s="174"/>
      <c r="AC360" s="174"/>
      <c r="AD360" s="174"/>
      <c r="AE360" s="174"/>
      <c r="AF360" s="174"/>
    </row>
    <row r="361" spans="1:32" ht="12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5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  <c r="AB361" s="174"/>
      <c r="AC361" s="174"/>
      <c r="AD361" s="174"/>
      <c r="AE361" s="174"/>
      <c r="AF361" s="174"/>
    </row>
    <row r="362" spans="1:32" ht="12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5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  <c r="AA362" s="174"/>
      <c r="AB362" s="174"/>
      <c r="AC362" s="174"/>
      <c r="AD362" s="174"/>
      <c r="AE362" s="174"/>
      <c r="AF362" s="174"/>
    </row>
    <row r="363" spans="1:32" ht="12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5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  <c r="AA363" s="174"/>
      <c r="AB363" s="174"/>
      <c r="AC363" s="174"/>
      <c r="AD363" s="174"/>
      <c r="AE363" s="174"/>
      <c r="AF363" s="174"/>
    </row>
    <row r="364" spans="1:32" ht="12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5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  <c r="AB364" s="174"/>
      <c r="AC364" s="174"/>
      <c r="AD364" s="174"/>
      <c r="AE364" s="174"/>
      <c r="AF364" s="174"/>
    </row>
    <row r="365" spans="1:32" ht="12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5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  <c r="AB365" s="174"/>
      <c r="AC365" s="174"/>
      <c r="AD365" s="174"/>
      <c r="AE365" s="174"/>
      <c r="AF365" s="174"/>
    </row>
    <row r="366" spans="1:32" ht="12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5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  <c r="AB366" s="174"/>
      <c r="AC366" s="174"/>
      <c r="AD366" s="174"/>
      <c r="AE366" s="174"/>
      <c r="AF366" s="174"/>
    </row>
    <row r="367" spans="1:32" ht="12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5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  <c r="AB367" s="174"/>
      <c r="AC367" s="174"/>
      <c r="AD367" s="174"/>
      <c r="AE367" s="174"/>
      <c r="AF367" s="174"/>
    </row>
    <row r="368" spans="1:32" ht="12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5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  <c r="AB368" s="174"/>
      <c r="AC368" s="174"/>
      <c r="AD368" s="174"/>
      <c r="AE368" s="174"/>
      <c r="AF368" s="174"/>
    </row>
    <row r="369" spans="1:32" ht="12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5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  <c r="AB369" s="174"/>
      <c r="AC369" s="174"/>
      <c r="AD369" s="174"/>
      <c r="AE369" s="174"/>
      <c r="AF369" s="174"/>
    </row>
    <row r="370" spans="1:32" ht="12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5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  <c r="AA370" s="174"/>
      <c r="AB370" s="174"/>
      <c r="AC370" s="174"/>
      <c r="AD370" s="174"/>
      <c r="AE370" s="174"/>
      <c r="AF370" s="174"/>
    </row>
    <row r="371" spans="1:32" ht="12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5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  <c r="AB371" s="174"/>
      <c r="AC371" s="174"/>
      <c r="AD371" s="174"/>
      <c r="AE371" s="174"/>
      <c r="AF371" s="174"/>
    </row>
    <row r="372" spans="1:32" ht="12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5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  <c r="AB372" s="174"/>
      <c r="AC372" s="174"/>
      <c r="AD372" s="174"/>
      <c r="AE372" s="174"/>
      <c r="AF372" s="174"/>
    </row>
    <row r="373" spans="1:32" ht="12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5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  <c r="AB373" s="174"/>
      <c r="AC373" s="174"/>
      <c r="AD373" s="174"/>
      <c r="AE373" s="174"/>
      <c r="AF373" s="174"/>
    </row>
    <row r="374" spans="1:32" ht="12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5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  <c r="AA374" s="174"/>
      <c r="AB374" s="174"/>
      <c r="AC374" s="174"/>
      <c r="AD374" s="174"/>
      <c r="AE374" s="174"/>
      <c r="AF374" s="174"/>
    </row>
    <row r="375" spans="1:32" ht="12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5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  <c r="AB375" s="174"/>
      <c r="AC375" s="174"/>
      <c r="AD375" s="174"/>
      <c r="AE375" s="174"/>
      <c r="AF375" s="174"/>
    </row>
    <row r="376" spans="1:32" ht="12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5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  <c r="AB376" s="174"/>
      <c r="AC376" s="174"/>
      <c r="AD376" s="174"/>
      <c r="AE376" s="174"/>
      <c r="AF376" s="174"/>
    </row>
    <row r="377" spans="1:32" ht="12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5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  <c r="AA377" s="174"/>
      <c r="AB377" s="174"/>
      <c r="AC377" s="174"/>
      <c r="AD377" s="174"/>
      <c r="AE377" s="174"/>
      <c r="AF377" s="174"/>
    </row>
    <row r="378" spans="1:32" ht="12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5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  <c r="AB378" s="174"/>
      <c r="AC378" s="174"/>
      <c r="AD378" s="174"/>
      <c r="AE378" s="174"/>
      <c r="AF378" s="174"/>
    </row>
    <row r="379" spans="1:32" ht="12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5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  <c r="AB379" s="174"/>
      <c r="AC379" s="174"/>
      <c r="AD379" s="174"/>
      <c r="AE379" s="174"/>
      <c r="AF379" s="174"/>
    </row>
    <row r="380" spans="1:32" ht="12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5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  <c r="AB380" s="174"/>
      <c r="AC380" s="174"/>
      <c r="AD380" s="174"/>
      <c r="AE380" s="174"/>
      <c r="AF380" s="174"/>
    </row>
    <row r="381" spans="1:32" ht="12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5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  <c r="AA381" s="174"/>
      <c r="AB381" s="174"/>
      <c r="AC381" s="174"/>
      <c r="AD381" s="174"/>
      <c r="AE381" s="174"/>
      <c r="AF381" s="174"/>
    </row>
    <row r="382" spans="1:32" ht="12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5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  <c r="AB382" s="174"/>
      <c r="AC382" s="174"/>
      <c r="AD382" s="174"/>
      <c r="AE382" s="174"/>
      <c r="AF382" s="174"/>
    </row>
    <row r="383" spans="1:32" ht="12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5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  <c r="AA383" s="174"/>
      <c r="AB383" s="174"/>
      <c r="AC383" s="174"/>
      <c r="AD383" s="174"/>
      <c r="AE383" s="174"/>
      <c r="AF383" s="174"/>
    </row>
    <row r="384" spans="1:32" ht="12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5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  <c r="AB384" s="174"/>
      <c r="AC384" s="174"/>
      <c r="AD384" s="174"/>
      <c r="AE384" s="174"/>
      <c r="AF384" s="174"/>
    </row>
    <row r="385" spans="1:32" ht="12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5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  <c r="AB385" s="174"/>
      <c r="AC385" s="174"/>
      <c r="AD385" s="174"/>
      <c r="AE385" s="174"/>
      <c r="AF385" s="174"/>
    </row>
    <row r="386" spans="1:32" ht="12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5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  <c r="AB386" s="174"/>
      <c r="AC386" s="174"/>
      <c r="AD386" s="174"/>
      <c r="AE386" s="174"/>
      <c r="AF386" s="174"/>
    </row>
    <row r="387" spans="1:32" ht="12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5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  <c r="AB387" s="174"/>
      <c r="AC387" s="174"/>
      <c r="AD387" s="174"/>
      <c r="AE387" s="174"/>
      <c r="AF387" s="174"/>
    </row>
    <row r="388" spans="1:32" ht="12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5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  <c r="AB388" s="174"/>
      <c r="AC388" s="174"/>
      <c r="AD388" s="174"/>
      <c r="AE388" s="174"/>
      <c r="AF388" s="174"/>
    </row>
    <row r="389" spans="1:32" ht="12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5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  <c r="AB389" s="174"/>
      <c r="AC389" s="174"/>
      <c r="AD389" s="174"/>
      <c r="AE389" s="174"/>
      <c r="AF389" s="174"/>
    </row>
    <row r="390" spans="1:32" ht="12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5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  <c r="AA390" s="174"/>
      <c r="AB390" s="174"/>
      <c r="AC390" s="174"/>
      <c r="AD390" s="174"/>
      <c r="AE390" s="174"/>
      <c r="AF390" s="174"/>
    </row>
    <row r="391" spans="1:32" ht="12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5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  <c r="AB391" s="174"/>
      <c r="AC391" s="174"/>
      <c r="AD391" s="174"/>
      <c r="AE391" s="174"/>
      <c r="AF391" s="174"/>
    </row>
    <row r="392" spans="1:32" ht="12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5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174"/>
      <c r="AB392" s="174"/>
      <c r="AC392" s="174"/>
      <c r="AD392" s="174"/>
      <c r="AE392" s="174"/>
      <c r="AF392" s="174"/>
    </row>
    <row r="393" spans="1:32" ht="12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5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  <c r="AB393" s="174"/>
      <c r="AC393" s="174"/>
      <c r="AD393" s="174"/>
      <c r="AE393" s="174"/>
      <c r="AF393" s="174"/>
    </row>
    <row r="394" spans="1:32" ht="12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5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  <c r="AB394" s="174"/>
      <c r="AC394" s="174"/>
      <c r="AD394" s="174"/>
      <c r="AE394" s="174"/>
      <c r="AF394" s="174"/>
    </row>
    <row r="395" spans="1:32" ht="12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5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  <c r="AB395" s="174"/>
      <c r="AC395" s="174"/>
      <c r="AD395" s="174"/>
      <c r="AE395" s="174"/>
      <c r="AF395" s="174"/>
    </row>
    <row r="396" spans="1:32" ht="12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5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  <c r="AB396" s="174"/>
      <c r="AC396" s="174"/>
      <c r="AD396" s="174"/>
      <c r="AE396" s="174"/>
      <c r="AF396" s="174"/>
    </row>
    <row r="397" spans="1:32" ht="12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5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174"/>
      <c r="AB397" s="174"/>
      <c r="AC397" s="174"/>
      <c r="AD397" s="174"/>
      <c r="AE397" s="174"/>
      <c r="AF397" s="174"/>
    </row>
    <row r="398" spans="1:32" ht="12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5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  <c r="AB398" s="174"/>
      <c r="AC398" s="174"/>
      <c r="AD398" s="174"/>
      <c r="AE398" s="174"/>
      <c r="AF398" s="174"/>
    </row>
    <row r="399" spans="1:32" ht="12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5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  <c r="AA399" s="174"/>
      <c r="AB399" s="174"/>
      <c r="AC399" s="174"/>
      <c r="AD399" s="174"/>
      <c r="AE399" s="174"/>
      <c r="AF399" s="174"/>
    </row>
    <row r="400" spans="1:32" ht="12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5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  <c r="AA400" s="174"/>
      <c r="AB400" s="174"/>
      <c r="AC400" s="174"/>
      <c r="AD400" s="174"/>
      <c r="AE400" s="174"/>
      <c r="AF400" s="174"/>
    </row>
    <row r="401" spans="1:32" ht="12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5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  <c r="AA401" s="174"/>
      <c r="AB401" s="174"/>
      <c r="AC401" s="174"/>
      <c r="AD401" s="174"/>
      <c r="AE401" s="174"/>
      <c r="AF401" s="174"/>
    </row>
    <row r="402" spans="1:32" ht="12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5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  <c r="AA402" s="174"/>
      <c r="AB402" s="174"/>
      <c r="AC402" s="174"/>
      <c r="AD402" s="174"/>
      <c r="AE402" s="174"/>
      <c r="AF402" s="174"/>
    </row>
    <row r="403" spans="1:32" ht="12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5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  <c r="AA403" s="174"/>
      <c r="AB403" s="174"/>
      <c r="AC403" s="174"/>
      <c r="AD403" s="174"/>
      <c r="AE403" s="174"/>
      <c r="AF403" s="174"/>
    </row>
    <row r="404" spans="1:32" ht="12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5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  <c r="AA404" s="174"/>
      <c r="AB404" s="174"/>
      <c r="AC404" s="174"/>
      <c r="AD404" s="174"/>
      <c r="AE404" s="174"/>
      <c r="AF404" s="174"/>
    </row>
    <row r="405" spans="1:32" ht="12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5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  <c r="AB405" s="174"/>
      <c r="AC405" s="174"/>
      <c r="AD405" s="174"/>
      <c r="AE405" s="174"/>
      <c r="AF405" s="174"/>
    </row>
    <row r="406" spans="1:32" ht="12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5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  <c r="AA406" s="174"/>
      <c r="AB406" s="174"/>
      <c r="AC406" s="174"/>
      <c r="AD406" s="174"/>
      <c r="AE406" s="174"/>
      <c r="AF406" s="174"/>
    </row>
    <row r="407" spans="1:32" ht="12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5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  <c r="AA407" s="174"/>
      <c r="AB407" s="174"/>
      <c r="AC407" s="174"/>
      <c r="AD407" s="174"/>
      <c r="AE407" s="174"/>
      <c r="AF407" s="174"/>
    </row>
    <row r="408" spans="1:32" ht="12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5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  <c r="AA408" s="174"/>
      <c r="AB408" s="174"/>
      <c r="AC408" s="174"/>
      <c r="AD408" s="174"/>
      <c r="AE408" s="174"/>
      <c r="AF408" s="174"/>
    </row>
    <row r="409" spans="1:32" ht="12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5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  <c r="AA409" s="174"/>
      <c r="AB409" s="174"/>
      <c r="AC409" s="174"/>
      <c r="AD409" s="174"/>
      <c r="AE409" s="174"/>
      <c r="AF409" s="174"/>
    </row>
    <row r="410" spans="1:32" ht="12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5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  <c r="AA410" s="174"/>
      <c r="AB410" s="174"/>
      <c r="AC410" s="174"/>
      <c r="AD410" s="174"/>
      <c r="AE410" s="174"/>
      <c r="AF410" s="174"/>
    </row>
    <row r="411" spans="1:32" ht="12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5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  <c r="AA411" s="174"/>
      <c r="AB411" s="174"/>
      <c r="AC411" s="174"/>
      <c r="AD411" s="174"/>
      <c r="AE411" s="174"/>
      <c r="AF411" s="174"/>
    </row>
    <row r="412" spans="1:32" ht="12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5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  <c r="AA412" s="174"/>
      <c r="AB412" s="174"/>
      <c r="AC412" s="174"/>
      <c r="AD412" s="174"/>
      <c r="AE412" s="174"/>
      <c r="AF412" s="174"/>
    </row>
    <row r="413" spans="1:32" ht="12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5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  <c r="AA413" s="174"/>
      <c r="AB413" s="174"/>
      <c r="AC413" s="174"/>
      <c r="AD413" s="174"/>
      <c r="AE413" s="174"/>
      <c r="AF413" s="174"/>
    </row>
    <row r="414" spans="1:32" ht="12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5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  <c r="AB414" s="174"/>
      <c r="AC414" s="174"/>
      <c r="AD414" s="174"/>
      <c r="AE414" s="174"/>
      <c r="AF414" s="174"/>
    </row>
    <row r="415" spans="1:32" ht="12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5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  <c r="AA415" s="174"/>
      <c r="AB415" s="174"/>
      <c r="AC415" s="174"/>
      <c r="AD415" s="174"/>
      <c r="AE415" s="174"/>
      <c r="AF415" s="174"/>
    </row>
    <row r="416" spans="1:32" ht="12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5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  <c r="AA416" s="174"/>
      <c r="AB416" s="174"/>
      <c r="AC416" s="174"/>
      <c r="AD416" s="174"/>
      <c r="AE416" s="174"/>
      <c r="AF416" s="174"/>
    </row>
    <row r="417" spans="1:32" ht="12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5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  <c r="AA417" s="174"/>
      <c r="AB417" s="174"/>
      <c r="AC417" s="174"/>
      <c r="AD417" s="174"/>
      <c r="AE417" s="174"/>
      <c r="AF417" s="174"/>
    </row>
    <row r="418" spans="1:32" ht="12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5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  <c r="AA418" s="174"/>
      <c r="AB418" s="174"/>
      <c r="AC418" s="174"/>
      <c r="AD418" s="174"/>
      <c r="AE418" s="174"/>
      <c r="AF418" s="174"/>
    </row>
    <row r="419" spans="1:32" ht="12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5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  <c r="AB419" s="174"/>
      <c r="AC419" s="174"/>
      <c r="AD419" s="174"/>
      <c r="AE419" s="174"/>
      <c r="AF419" s="174"/>
    </row>
    <row r="420" spans="1:32" ht="12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5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  <c r="AA420" s="174"/>
      <c r="AB420" s="174"/>
      <c r="AC420" s="174"/>
      <c r="AD420" s="174"/>
      <c r="AE420" s="174"/>
      <c r="AF420" s="174"/>
    </row>
    <row r="421" spans="1:32" ht="12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5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  <c r="AA421" s="174"/>
      <c r="AB421" s="174"/>
      <c r="AC421" s="174"/>
      <c r="AD421" s="174"/>
      <c r="AE421" s="174"/>
      <c r="AF421" s="174"/>
    </row>
    <row r="422" spans="1:32" ht="12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5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  <c r="AA422" s="174"/>
      <c r="AB422" s="174"/>
      <c r="AC422" s="174"/>
      <c r="AD422" s="174"/>
      <c r="AE422" s="174"/>
      <c r="AF422" s="174"/>
    </row>
    <row r="423" spans="1:32" ht="12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5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  <c r="AA423" s="174"/>
      <c r="AB423" s="174"/>
      <c r="AC423" s="174"/>
      <c r="AD423" s="174"/>
      <c r="AE423" s="174"/>
      <c r="AF423" s="174"/>
    </row>
    <row r="424" spans="1:32" ht="12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5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  <c r="AA424" s="174"/>
      <c r="AB424" s="174"/>
      <c r="AC424" s="174"/>
      <c r="AD424" s="174"/>
      <c r="AE424" s="174"/>
      <c r="AF424" s="174"/>
    </row>
    <row r="425" spans="1:32" ht="12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5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  <c r="AA425" s="174"/>
      <c r="AB425" s="174"/>
      <c r="AC425" s="174"/>
      <c r="AD425" s="174"/>
      <c r="AE425" s="174"/>
      <c r="AF425" s="174"/>
    </row>
    <row r="426" spans="1:32" ht="12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5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  <c r="AA426" s="174"/>
      <c r="AB426" s="174"/>
      <c r="AC426" s="174"/>
      <c r="AD426" s="174"/>
      <c r="AE426" s="174"/>
      <c r="AF426" s="174"/>
    </row>
    <row r="427" spans="1:32" ht="12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5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  <c r="AA427" s="174"/>
      <c r="AB427" s="174"/>
      <c r="AC427" s="174"/>
      <c r="AD427" s="174"/>
      <c r="AE427" s="174"/>
      <c r="AF427" s="174"/>
    </row>
    <row r="428" spans="1:32" ht="12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5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  <c r="AA428" s="174"/>
      <c r="AB428" s="174"/>
      <c r="AC428" s="174"/>
      <c r="AD428" s="174"/>
      <c r="AE428" s="174"/>
      <c r="AF428" s="174"/>
    </row>
    <row r="429" spans="1:32" ht="12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5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  <c r="AB429" s="174"/>
      <c r="AC429" s="174"/>
      <c r="AD429" s="174"/>
      <c r="AE429" s="174"/>
      <c r="AF429" s="174"/>
    </row>
    <row r="430" spans="1:32" ht="12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5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  <c r="AA430" s="174"/>
      <c r="AB430" s="174"/>
      <c r="AC430" s="174"/>
      <c r="AD430" s="174"/>
      <c r="AE430" s="174"/>
      <c r="AF430" s="174"/>
    </row>
    <row r="431" spans="1:32" ht="12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5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  <c r="AA431" s="174"/>
      <c r="AB431" s="174"/>
      <c r="AC431" s="174"/>
      <c r="AD431" s="174"/>
      <c r="AE431" s="174"/>
      <c r="AF431" s="174"/>
    </row>
    <row r="432" spans="1:32" ht="12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5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  <c r="AA432" s="174"/>
      <c r="AB432" s="174"/>
      <c r="AC432" s="174"/>
      <c r="AD432" s="174"/>
      <c r="AE432" s="174"/>
      <c r="AF432" s="174"/>
    </row>
    <row r="433" spans="1:32" ht="12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5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  <c r="AA433" s="174"/>
      <c r="AB433" s="174"/>
      <c r="AC433" s="174"/>
      <c r="AD433" s="174"/>
      <c r="AE433" s="174"/>
      <c r="AF433" s="174"/>
    </row>
    <row r="434" spans="1:32" ht="12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5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  <c r="AA434" s="174"/>
      <c r="AB434" s="174"/>
      <c r="AC434" s="174"/>
      <c r="AD434" s="174"/>
      <c r="AE434" s="174"/>
      <c r="AF434" s="174"/>
    </row>
    <row r="435" spans="1:32" ht="12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5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  <c r="AB435" s="174"/>
      <c r="AC435" s="174"/>
      <c r="AD435" s="174"/>
      <c r="AE435" s="174"/>
      <c r="AF435" s="174"/>
    </row>
    <row r="436" spans="1:32" ht="12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5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  <c r="AA436" s="174"/>
      <c r="AB436" s="174"/>
      <c r="AC436" s="174"/>
      <c r="AD436" s="174"/>
      <c r="AE436" s="174"/>
      <c r="AF436" s="174"/>
    </row>
    <row r="437" spans="1:32" ht="12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5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  <c r="AA437" s="174"/>
      <c r="AB437" s="174"/>
      <c r="AC437" s="174"/>
      <c r="AD437" s="174"/>
      <c r="AE437" s="174"/>
      <c r="AF437" s="174"/>
    </row>
    <row r="438" spans="1:32" ht="12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5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  <c r="AA438" s="174"/>
      <c r="AB438" s="174"/>
      <c r="AC438" s="174"/>
      <c r="AD438" s="174"/>
      <c r="AE438" s="174"/>
      <c r="AF438" s="174"/>
    </row>
    <row r="439" spans="1:32" ht="12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5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  <c r="AA439" s="174"/>
      <c r="AB439" s="174"/>
      <c r="AC439" s="174"/>
      <c r="AD439" s="174"/>
      <c r="AE439" s="174"/>
      <c r="AF439" s="174"/>
    </row>
    <row r="440" spans="1:32" ht="12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5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  <c r="AA440" s="174"/>
      <c r="AB440" s="174"/>
      <c r="AC440" s="174"/>
      <c r="AD440" s="174"/>
      <c r="AE440" s="174"/>
      <c r="AF440" s="174"/>
    </row>
    <row r="441" spans="1:32" ht="12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5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  <c r="AB441" s="174"/>
      <c r="AC441" s="174"/>
      <c r="AD441" s="174"/>
      <c r="AE441" s="174"/>
      <c r="AF441" s="174"/>
    </row>
    <row r="442" spans="1:32" ht="12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5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  <c r="AA442" s="174"/>
      <c r="AB442" s="174"/>
      <c r="AC442" s="174"/>
      <c r="AD442" s="174"/>
      <c r="AE442" s="174"/>
      <c r="AF442" s="174"/>
    </row>
    <row r="443" spans="1:32" ht="12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5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  <c r="AA443" s="174"/>
      <c r="AB443" s="174"/>
      <c r="AC443" s="174"/>
      <c r="AD443" s="174"/>
      <c r="AE443" s="174"/>
      <c r="AF443" s="174"/>
    </row>
    <row r="444" spans="1:32" ht="12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5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  <c r="AA444" s="174"/>
      <c r="AB444" s="174"/>
      <c r="AC444" s="174"/>
      <c r="AD444" s="174"/>
      <c r="AE444" s="174"/>
      <c r="AF444" s="174"/>
    </row>
    <row r="445" spans="1:32" ht="12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5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  <c r="AB445" s="174"/>
      <c r="AC445" s="174"/>
      <c r="AD445" s="174"/>
      <c r="AE445" s="174"/>
      <c r="AF445" s="174"/>
    </row>
    <row r="446" spans="1:32" ht="12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5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  <c r="AA446" s="174"/>
      <c r="AB446" s="174"/>
      <c r="AC446" s="174"/>
      <c r="AD446" s="174"/>
      <c r="AE446" s="174"/>
      <c r="AF446" s="174"/>
    </row>
    <row r="447" spans="1:32" ht="12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5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  <c r="AA447" s="174"/>
      <c r="AB447" s="174"/>
      <c r="AC447" s="174"/>
      <c r="AD447" s="174"/>
      <c r="AE447" s="174"/>
      <c r="AF447" s="174"/>
    </row>
    <row r="448" spans="1:32" ht="12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5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  <c r="AA448" s="174"/>
      <c r="AB448" s="174"/>
      <c r="AC448" s="174"/>
      <c r="AD448" s="174"/>
      <c r="AE448" s="174"/>
      <c r="AF448" s="174"/>
    </row>
    <row r="449" spans="1:32" ht="12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5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  <c r="AA449" s="174"/>
      <c r="AB449" s="174"/>
      <c r="AC449" s="174"/>
      <c r="AD449" s="174"/>
      <c r="AE449" s="174"/>
      <c r="AF449" s="174"/>
    </row>
    <row r="450" spans="1:32" ht="12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5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  <c r="AA450" s="174"/>
      <c r="AB450" s="174"/>
      <c r="AC450" s="174"/>
      <c r="AD450" s="174"/>
      <c r="AE450" s="174"/>
      <c r="AF450" s="174"/>
    </row>
    <row r="451" spans="1:32" ht="12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5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  <c r="AA451" s="174"/>
      <c r="AB451" s="174"/>
      <c r="AC451" s="174"/>
      <c r="AD451" s="174"/>
      <c r="AE451" s="174"/>
      <c r="AF451" s="174"/>
    </row>
    <row r="452" spans="1:32" ht="12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5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  <c r="AA452" s="174"/>
      <c r="AB452" s="174"/>
      <c r="AC452" s="174"/>
      <c r="AD452" s="174"/>
      <c r="AE452" s="174"/>
      <c r="AF452" s="174"/>
    </row>
    <row r="453" spans="1:32" ht="12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5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  <c r="AA453" s="174"/>
      <c r="AB453" s="174"/>
      <c r="AC453" s="174"/>
      <c r="AD453" s="174"/>
      <c r="AE453" s="174"/>
      <c r="AF453" s="174"/>
    </row>
    <row r="454" spans="1:32" ht="12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5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  <c r="AA454" s="174"/>
      <c r="AB454" s="174"/>
      <c r="AC454" s="174"/>
      <c r="AD454" s="174"/>
      <c r="AE454" s="174"/>
      <c r="AF454" s="174"/>
    </row>
    <row r="455" spans="1:32" ht="12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5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  <c r="AB455" s="174"/>
      <c r="AC455" s="174"/>
      <c r="AD455" s="174"/>
      <c r="AE455" s="174"/>
      <c r="AF455" s="174"/>
    </row>
    <row r="456" spans="1:32" ht="12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5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  <c r="AA456" s="174"/>
      <c r="AB456" s="174"/>
      <c r="AC456" s="174"/>
      <c r="AD456" s="174"/>
      <c r="AE456" s="174"/>
      <c r="AF456" s="174"/>
    </row>
    <row r="457" spans="1:32" ht="12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5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  <c r="AA457" s="174"/>
      <c r="AB457" s="174"/>
      <c r="AC457" s="174"/>
      <c r="AD457" s="174"/>
      <c r="AE457" s="174"/>
      <c r="AF457" s="174"/>
    </row>
    <row r="458" spans="1:32" ht="12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5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  <c r="AA458" s="174"/>
      <c r="AB458" s="174"/>
      <c r="AC458" s="174"/>
      <c r="AD458" s="174"/>
      <c r="AE458" s="174"/>
      <c r="AF458" s="174"/>
    </row>
    <row r="459" spans="1:32" ht="12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5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  <c r="AA459" s="174"/>
      <c r="AB459" s="174"/>
      <c r="AC459" s="174"/>
      <c r="AD459" s="174"/>
      <c r="AE459" s="174"/>
      <c r="AF459" s="174"/>
    </row>
    <row r="460" spans="1:32" ht="12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5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  <c r="AA460" s="174"/>
      <c r="AB460" s="174"/>
      <c r="AC460" s="174"/>
      <c r="AD460" s="174"/>
      <c r="AE460" s="174"/>
      <c r="AF460" s="174"/>
    </row>
    <row r="461" spans="1:32" ht="12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5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  <c r="AA461" s="174"/>
      <c r="AB461" s="174"/>
      <c r="AC461" s="174"/>
      <c r="AD461" s="174"/>
      <c r="AE461" s="174"/>
      <c r="AF461" s="174"/>
    </row>
    <row r="462" spans="1:32" ht="12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5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  <c r="AA462" s="174"/>
      <c r="AB462" s="174"/>
      <c r="AC462" s="174"/>
      <c r="AD462" s="174"/>
      <c r="AE462" s="174"/>
      <c r="AF462" s="174"/>
    </row>
    <row r="463" spans="1:32" ht="12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5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  <c r="AA463" s="174"/>
      <c r="AB463" s="174"/>
      <c r="AC463" s="174"/>
      <c r="AD463" s="174"/>
      <c r="AE463" s="174"/>
      <c r="AF463" s="174"/>
    </row>
    <row r="464" spans="1:32" ht="12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5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  <c r="AA464" s="174"/>
      <c r="AB464" s="174"/>
      <c r="AC464" s="174"/>
      <c r="AD464" s="174"/>
      <c r="AE464" s="174"/>
      <c r="AF464" s="174"/>
    </row>
    <row r="465" spans="1:32" ht="12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5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  <c r="AA465" s="174"/>
      <c r="AB465" s="174"/>
      <c r="AC465" s="174"/>
      <c r="AD465" s="174"/>
      <c r="AE465" s="174"/>
      <c r="AF465" s="174"/>
    </row>
    <row r="466" spans="1:32" ht="12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5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  <c r="AA466" s="174"/>
      <c r="AB466" s="174"/>
      <c r="AC466" s="174"/>
      <c r="AD466" s="174"/>
      <c r="AE466" s="174"/>
      <c r="AF466" s="174"/>
    </row>
    <row r="467" spans="1:32" ht="12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5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  <c r="AA467" s="174"/>
      <c r="AB467" s="174"/>
      <c r="AC467" s="174"/>
      <c r="AD467" s="174"/>
      <c r="AE467" s="174"/>
      <c r="AF467" s="174"/>
    </row>
    <row r="468" spans="1:32" ht="12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5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  <c r="AA468" s="174"/>
      <c r="AB468" s="174"/>
      <c r="AC468" s="174"/>
      <c r="AD468" s="174"/>
      <c r="AE468" s="174"/>
      <c r="AF468" s="174"/>
    </row>
    <row r="469" spans="1:32" ht="12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5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  <c r="AA469" s="174"/>
      <c r="AB469" s="174"/>
      <c r="AC469" s="174"/>
      <c r="AD469" s="174"/>
      <c r="AE469" s="174"/>
      <c r="AF469" s="174"/>
    </row>
    <row r="470" spans="1:32" ht="12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5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  <c r="AA470" s="174"/>
      <c r="AB470" s="174"/>
      <c r="AC470" s="174"/>
      <c r="AD470" s="174"/>
      <c r="AE470" s="174"/>
      <c r="AF470" s="174"/>
    </row>
    <row r="471" spans="1:32" ht="12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5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  <c r="AA471" s="174"/>
      <c r="AB471" s="174"/>
      <c r="AC471" s="174"/>
      <c r="AD471" s="174"/>
      <c r="AE471" s="174"/>
      <c r="AF471" s="174"/>
    </row>
    <row r="472" spans="1:32" ht="12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5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  <c r="AA472" s="174"/>
      <c r="AB472" s="174"/>
      <c r="AC472" s="174"/>
      <c r="AD472" s="174"/>
      <c r="AE472" s="174"/>
      <c r="AF472" s="174"/>
    </row>
    <row r="473" spans="1:32" ht="12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5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  <c r="AA473" s="174"/>
      <c r="AB473" s="174"/>
      <c r="AC473" s="174"/>
      <c r="AD473" s="174"/>
      <c r="AE473" s="174"/>
      <c r="AF473" s="174"/>
    </row>
    <row r="474" spans="1:32" ht="12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5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  <c r="AA474" s="174"/>
      <c r="AB474" s="174"/>
      <c r="AC474" s="174"/>
      <c r="AD474" s="174"/>
      <c r="AE474" s="174"/>
      <c r="AF474" s="174"/>
    </row>
    <row r="475" spans="1:32" ht="12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5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  <c r="AA475" s="174"/>
      <c r="AB475" s="174"/>
      <c r="AC475" s="174"/>
      <c r="AD475" s="174"/>
      <c r="AE475" s="174"/>
      <c r="AF475" s="174"/>
    </row>
    <row r="476" spans="1:32" ht="12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5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  <c r="AA476" s="174"/>
      <c r="AB476" s="174"/>
      <c r="AC476" s="174"/>
      <c r="AD476" s="174"/>
      <c r="AE476" s="174"/>
      <c r="AF476" s="174"/>
    </row>
    <row r="477" spans="1:32" ht="12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5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  <c r="AA477" s="174"/>
      <c r="AB477" s="174"/>
      <c r="AC477" s="174"/>
      <c r="AD477" s="174"/>
      <c r="AE477" s="174"/>
      <c r="AF477" s="174"/>
    </row>
    <row r="478" spans="1:32" ht="12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5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  <c r="AA478" s="174"/>
      <c r="AB478" s="174"/>
      <c r="AC478" s="174"/>
      <c r="AD478" s="174"/>
      <c r="AE478" s="174"/>
      <c r="AF478" s="174"/>
    </row>
    <row r="479" spans="1:32" ht="12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5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  <c r="AA479" s="174"/>
      <c r="AB479" s="174"/>
      <c r="AC479" s="174"/>
      <c r="AD479" s="174"/>
      <c r="AE479" s="174"/>
      <c r="AF479" s="174"/>
    </row>
    <row r="480" spans="1:32" ht="12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5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  <c r="AA480" s="174"/>
      <c r="AB480" s="174"/>
      <c r="AC480" s="174"/>
      <c r="AD480" s="174"/>
      <c r="AE480" s="174"/>
      <c r="AF480" s="174"/>
    </row>
    <row r="481" spans="1:32" ht="12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5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  <c r="AA481" s="174"/>
      <c r="AB481" s="174"/>
      <c r="AC481" s="174"/>
      <c r="AD481" s="174"/>
      <c r="AE481" s="174"/>
      <c r="AF481" s="174"/>
    </row>
    <row r="482" spans="1:32" ht="12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5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  <c r="AA482" s="174"/>
      <c r="AB482" s="174"/>
      <c r="AC482" s="174"/>
      <c r="AD482" s="174"/>
      <c r="AE482" s="174"/>
      <c r="AF482" s="174"/>
    </row>
    <row r="483" spans="1:32" ht="12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5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  <c r="AA483" s="174"/>
      <c r="AB483" s="174"/>
      <c r="AC483" s="174"/>
      <c r="AD483" s="174"/>
      <c r="AE483" s="174"/>
      <c r="AF483" s="174"/>
    </row>
    <row r="484" spans="1:32" ht="12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5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  <c r="AB484" s="174"/>
      <c r="AC484" s="174"/>
      <c r="AD484" s="174"/>
      <c r="AE484" s="174"/>
      <c r="AF484" s="174"/>
    </row>
    <row r="485" spans="1:32" ht="12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5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  <c r="AA485" s="174"/>
      <c r="AB485" s="174"/>
      <c r="AC485" s="174"/>
      <c r="AD485" s="174"/>
      <c r="AE485" s="174"/>
      <c r="AF485" s="174"/>
    </row>
    <row r="486" spans="1:32" ht="12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5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  <c r="AA486" s="174"/>
      <c r="AB486" s="174"/>
      <c r="AC486" s="174"/>
      <c r="AD486" s="174"/>
      <c r="AE486" s="174"/>
      <c r="AF486" s="174"/>
    </row>
    <row r="487" spans="1:32" ht="12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5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  <c r="AA487" s="174"/>
      <c r="AB487" s="174"/>
      <c r="AC487" s="174"/>
      <c r="AD487" s="174"/>
      <c r="AE487" s="174"/>
      <c r="AF487" s="174"/>
    </row>
    <row r="488" spans="1:32" ht="12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5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  <c r="AA488" s="174"/>
      <c r="AB488" s="174"/>
      <c r="AC488" s="174"/>
      <c r="AD488" s="174"/>
      <c r="AE488" s="174"/>
      <c r="AF488" s="174"/>
    </row>
    <row r="489" spans="1:32" ht="12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5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  <c r="AA489" s="174"/>
      <c r="AB489" s="174"/>
      <c r="AC489" s="174"/>
      <c r="AD489" s="174"/>
      <c r="AE489" s="174"/>
      <c r="AF489" s="174"/>
    </row>
    <row r="490" spans="1:32" ht="12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5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  <c r="AA490" s="174"/>
      <c r="AB490" s="174"/>
      <c r="AC490" s="174"/>
      <c r="AD490" s="174"/>
      <c r="AE490" s="174"/>
      <c r="AF490" s="174"/>
    </row>
    <row r="491" spans="1:32" ht="12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5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  <c r="AA491" s="174"/>
      <c r="AB491" s="174"/>
      <c r="AC491" s="174"/>
      <c r="AD491" s="174"/>
      <c r="AE491" s="174"/>
      <c r="AF491" s="174"/>
    </row>
    <row r="492" spans="1:32" ht="12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5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  <c r="AA492" s="174"/>
      <c r="AB492" s="174"/>
      <c r="AC492" s="174"/>
      <c r="AD492" s="174"/>
      <c r="AE492" s="174"/>
      <c r="AF492" s="174"/>
    </row>
    <row r="493" spans="1:32" ht="12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5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  <c r="AA493" s="174"/>
      <c r="AB493" s="174"/>
      <c r="AC493" s="174"/>
      <c r="AD493" s="174"/>
      <c r="AE493" s="174"/>
      <c r="AF493" s="174"/>
    </row>
    <row r="494" spans="1:32" ht="12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5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  <c r="AA494" s="174"/>
      <c r="AB494" s="174"/>
      <c r="AC494" s="174"/>
      <c r="AD494" s="174"/>
      <c r="AE494" s="174"/>
      <c r="AF494" s="174"/>
    </row>
    <row r="495" spans="1:32" ht="12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5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  <c r="AA495" s="174"/>
      <c r="AB495" s="174"/>
      <c r="AC495" s="174"/>
      <c r="AD495" s="174"/>
      <c r="AE495" s="174"/>
      <c r="AF495" s="174"/>
    </row>
    <row r="496" spans="1:32" ht="12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5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  <c r="AA496" s="174"/>
      <c r="AB496" s="174"/>
      <c r="AC496" s="174"/>
      <c r="AD496" s="174"/>
      <c r="AE496" s="174"/>
      <c r="AF496" s="174"/>
    </row>
    <row r="497" spans="1:32" ht="12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5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  <c r="AA497" s="174"/>
      <c r="AB497" s="174"/>
      <c r="AC497" s="174"/>
      <c r="AD497" s="174"/>
      <c r="AE497" s="174"/>
      <c r="AF497" s="174"/>
    </row>
    <row r="498" spans="1:32" ht="12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5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  <c r="AB498" s="174"/>
      <c r="AC498" s="174"/>
      <c r="AD498" s="174"/>
      <c r="AE498" s="174"/>
      <c r="AF498" s="174"/>
    </row>
    <row r="499" spans="1:32" ht="12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5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  <c r="AA499" s="174"/>
      <c r="AB499" s="174"/>
      <c r="AC499" s="174"/>
      <c r="AD499" s="174"/>
      <c r="AE499" s="174"/>
      <c r="AF499" s="174"/>
    </row>
    <row r="500" spans="1:32" ht="12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5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  <c r="AA500" s="174"/>
      <c r="AB500" s="174"/>
      <c r="AC500" s="174"/>
      <c r="AD500" s="174"/>
      <c r="AE500" s="174"/>
      <c r="AF500" s="174"/>
    </row>
    <row r="501" spans="1:32" ht="12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5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  <c r="AA501" s="174"/>
      <c r="AB501" s="174"/>
      <c r="AC501" s="174"/>
      <c r="AD501" s="174"/>
      <c r="AE501" s="174"/>
      <c r="AF501" s="174"/>
    </row>
    <row r="502" spans="1:32" ht="12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5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  <c r="AA502" s="174"/>
      <c r="AB502" s="174"/>
      <c r="AC502" s="174"/>
      <c r="AD502" s="174"/>
      <c r="AE502" s="174"/>
      <c r="AF502" s="174"/>
    </row>
    <row r="503" spans="1:32" ht="12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5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  <c r="AA503" s="174"/>
      <c r="AB503" s="174"/>
      <c r="AC503" s="174"/>
      <c r="AD503" s="174"/>
      <c r="AE503" s="174"/>
      <c r="AF503" s="174"/>
    </row>
    <row r="504" spans="1:32" ht="12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5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  <c r="AA504" s="174"/>
      <c r="AB504" s="174"/>
      <c r="AC504" s="174"/>
      <c r="AD504" s="174"/>
      <c r="AE504" s="174"/>
      <c r="AF504" s="174"/>
    </row>
    <row r="505" spans="1:32" ht="12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5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  <c r="AB505" s="174"/>
      <c r="AC505" s="174"/>
      <c r="AD505" s="174"/>
      <c r="AE505" s="174"/>
      <c r="AF505" s="174"/>
    </row>
    <row r="506" spans="1:32" ht="12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5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  <c r="AA506" s="174"/>
      <c r="AB506" s="174"/>
      <c r="AC506" s="174"/>
      <c r="AD506" s="174"/>
      <c r="AE506" s="174"/>
      <c r="AF506" s="174"/>
    </row>
    <row r="507" spans="1:32" ht="12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5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  <c r="AA507" s="174"/>
      <c r="AB507" s="174"/>
      <c r="AC507" s="174"/>
      <c r="AD507" s="174"/>
      <c r="AE507" s="174"/>
      <c r="AF507" s="174"/>
    </row>
    <row r="508" spans="1:32" ht="12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5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  <c r="AA508" s="174"/>
      <c r="AB508" s="174"/>
      <c r="AC508" s="174"/>
      <c r="AD508" s="174"/>
      <c r="AE508" s="174"/>
      <c r="AF508" s="174"/>
    </row>
    <row r="509" spans="1:32" ht="12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5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  <c r="AA509" s="174"/>
      <c r="AB509" s="174"/>
      <c r="AC509" s="174"/>
      <c r="AD509" s="174"/>
      <c r="AE509" s="174"/>
      <c r="AF509" s="174"/>
    </row>
    <row r="510" spans="1:32" ht="12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5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  <c r="AA510" s="174"/>
      <c r="AB510" s="174"/>
      <c r="AC510" s="174"/>
      <c r="AD510" s="174"/>
      <c r="AE510" s="174"/>
      <c r="AF510" s="174"/>
    </row>
    <row r="511" spans="1:32" ht="12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5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  <c r="AA511" s="174"/>
      <c r="AB511" s="174"/>
      <c r="AC511" s="174"/>
      <c r="AD511" s="174"/>
      <c r="AE511" s="174"/>
      <c r="AF511" s="174"/>
    </row>
    <row r="512" spans="1:32" ht="12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5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  <c r="AA512" s="174"/>
      <c r="AB512" s="174"/>
      <c r="AC512" s="174"/>
      <c r="AD512" s="174"/>
      <c r="AE512" s="174"/>
      <c r="AF512" s="174"/>
    </row>
    <row r="513" spans="1:32" ht="12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5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  <c r="AA513" s="174"/>
      <c r="AB513" s="174"/>
      <c r="AC513" s="174"/>
      <c r="AD513" s="174"/>
      <c r="AE513" s="174"/>
      <c r="AF513" s="174"/>
    </row>
    <row r="514" spans="1:32" ht="12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5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  <c r="AA514" s="174"/>
      <c r="AB514" s="174"/>
      <c r="AC514" s="174"/>
      <c r="AD514" s="174"/>
      <c r="AE514" s="174"/>
      <c r="AF514" s="174"/>
    </row>
    <row r="515" spans="1:32" ht="12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5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  <c r="AB515" s="174"/>
      <c r="AC515" s="174"/>
      <c r="AD515" s="174"/>
      <c r="AE515" s="174"/>
      <c r="AF515" s="174"/>
    </row>
    <row r="516" spans="1:32" ht="12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5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  <c r="AB516" s="174"/>
      <c r="AC516" s="174"/>
      <c r="AD516" s="174"/>
      <c r="AE516" s="174"/>
      <c r="AF516" s="174"/>
    </row>
    <row r="517" spans="1:32" ht="12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5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  <c r="AB517" s="174"/>
      <c r="AC517" s="174"/>
      <c r="AD517" s="174"/>
      <c r="AE517" s="174"/>
      <c r="AF517" s="174"/>
    </row>
    <row r="518" spans="1:32" ht="12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5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  <c r="AA518" s="174"/>
      <c r="AB518" s="174"/>
      <c r="AC518" s="174"/>
      <c r="AD518" s="174"/>
      <c r="AE518" s="174"/>
      <c r="AF518" s="174"/>
    </row>
    <row r="519" spans="1:32" ht="12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5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  <c r="AB519" s="174"/>
      <c r="AC519" s="174"/>
      <c r="AD519" s="174"/>
      <c r="AE519" s="174"/>
      <c r="AF519" s="174"/>
    </row>
    <row r="520" spans="1:32" ht="12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5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  <c r="AB520" s="174"/>
      <c r="AC520" s="174"/>
      <c r="AD520" s="174"/>
      <c r="AE520" s="174"/>
      <c r="AF520" s="174"/>
    </row>
    <row r="521" spans="1:32" ht="12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5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  <c r="AA521" s="174"/>
      <c r="AB521" s="174"/>
      <c r="AC521" s="174"/>
      <c r="AD521" s="174"/>
      <c r="AE521" s="174"/>
      <c r="AF521" s="174"/>
    </row>
    <row r="522" spans="1:32" ht="12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5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  <c r="AB522" s="174"/>
      <c r="AC522" s="174"/>
      <c r="AD522" s="174"/>
      <c r="AE522" s="174"/>
      <c r="AF522" s="174"/>
    </row>
    <row r="523" spans="1:32" ht="12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5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  <c r="AB523" s="174"/>
      <c r="AC523" s="174"/>
      <c r="AD523" s="174"/>
      <c r="AE523" s="174"/>
      <c r="AF523" s="174"/>
    </row>
    <row r="524" spans="1:32" ht="12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5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  <c r="AA524" s="174"/>
      <c r="AB524" s="174"/>
      <c r="AC524" s="174"/>
      <c r="AD524" s="174"/>
      <c r="AE524" s="174"/>
      <c r="AF524" s="174"/>
    </row>
    <row r="525" spans="1:32" ht="12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5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  <c r="AA525" s="174"/>
      <c r="AB525" s="174"/>
      <c r="AC525" s="174"/>
      <c r="AD525" s="174"/>
      <c r="AE525" s="174"/>
      <c r="AF525" s="174"/>
    </row>
    <row r="526" spans="1:32" ht="12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5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  <c r="AD526" s="174"/>
      <c r="AE526" s="174"/>
      <c r="AF526" s="174"/>
    </row>
    <row r="527" spans="1:32" ht="12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5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  <c r="AD527" s="174"/>
      <c r="AE527" s="174"/>
      <c r="AF527" s="174"/>
    </row>
    <row r="528" spans="1:32" ht="12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5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  <c r="AD528" s="174"/>
      <c r="AE528" s="174"/>
      <c r="AF528" s="174"/>
    </row>
    <row r="529" spans="1:32" ht="12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5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  <c r="AB529" s="174"/>
      <c r="AC529" s="174"/>
      <c r="AD529" s="174"/>
      <c r="AE529" s="174"/>
      <c r="AF529" s="174"/>
    </row>
    <row r="530" spans="1:32" ht="12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5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  <c r="AA530" s="174"/>
      <c r="AB530" s="174"/>
      <c r="AC530" s="174"/>
      <c r="AD530" s="174"/>
      <c r="AE530" s="174"/>
      <c r="AF530" s="174"/>
    </row>
    <row r="531" spans="1:32" ht="12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5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  <c r="AA531" s="174"/>
      <c r="AB531" s="174"/>
      <c r="AC531" s="174"/>
      <c r="AD531" s="174"/>
      <c r="AE531" s="174"/>
      <c r="AF531" s="174"/>
    </row>
    <row r="532" spans="1:32" ht="12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5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  <c r="AA532" s="174"/>
      <c r="AB532" s="174"/>
      <c r="AC532" s="174"/>
      <c r="AD532" s="174"/>
      <c r="AE532" s="174"/>
      <c r="AF532" s="174"/>
    </row>
    <row r="533" spans="1:32" ht="12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5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  <c r="AA533" s="174"/>
      <c r="AB533" s="174"/>
      <c r="AC533" s="174"/>
      <c r="AD533" s="174"/>
      <c r="AE533" s="174"/>
      <c r="AF533" s="174"/>
    </row>
    <row r="534" spans="1:32" ht="12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5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  <c r="AB534" s="174"/>
      <c r="AC534" s="174"/>
      <c r="AD534" s="174"/>
      <c r="AE534" s="174"/>
      <c r="AF534" s="174"/>
    </row>
    <row r="535" spans="1:32" ht="12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5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  <c r="AB535" s="174"/>
      <c r="AC535" s="174"/>
      <c r="AD535" s="174"/>
      <c r="AE535" s="174"/>
      <c r="AF535" s="174"/>
    </row>
    <row r="536" spans="1:32" ht="12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5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  <c r="AB536" s="174"/>
      <c r="AC536" s="174"/>
      <c r="AD536" s="174"/>
      <c r="AE536" s="174"/>
      <c r="AF536" s="174"/>
    </row>
    <row r="537" spans="1:32" ht="12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5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/>
      <c r="AB537" s="174"/>
      <c r="AC537" s="174"/>
      <c r="AD537" s="174"/>
      <c r="AE537" s="174"/>
      <c r="AF537" s="174"/>
    </row>
    <row r="538" spans="1:32" ht="12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5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  <c r="AA538" s="174"/>
      <c r="AB538" s="174"/>
      <c r="AC538" s="174"/>
      <c r="AD538" s="174"/>
      <c r="AE538" s="174"/>
      <c r="AF538" s="174"/>
    </row>
    <row r="539" spans="1:32" ht="12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5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  <c r="AB539" s="174"/>
      <c r="AC539" s="174"/>
      <c r="AD539" s="174"/>
      <c r="AE539" s="174"/>
      <c r="AF539" s="174"/>
    </row>
    <row r="540" spans="1:32" ht="12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5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  <c r="AB540" s="174"/>
      <c r="AC540" s="174"/>
      <c r="AD540" s="174"/>
      <c r="AE540" s="174"/>
      <c r="AF540" s="174"/>
    </row>
    <row r="541" spans="1:32" ht="12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5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  <c r="AB541" s="174"/>
      <c r="AC541" s="174"/>
      <c r="AD541" s="174"/>
      <c r="AE541" s="174"/>
      <c r="AF541" s="174"/>
    </row>
    <row r="542" spans="1:32" ht="12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5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  <c r="AA542" s="174"/>
      <c r="AB542" s="174"/>
      <c r="AC542" s="174"/>
      <c r="AD542" s="174"/>
      <c r="AE542" s="174"/>
      <c r="AF542" s="174"/>
    </row>
    <row r="543" spans="1:32" ht="12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5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  <c r="AA543" s="174"/>
      <c r="AB543" s="174"/>
      <c r="AC543" s="174"/>
      <c r="AD543" s="174"/>
      <c r="AE543" s="174"/>
      <c r="AF543" s="174"/>
    </row>
    <row r="544" spans="1:32" ht="12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5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  <c r="AA544" s="174"/>
      <c r="AB544" s="174"/>
      <c r="AC544" s="174"/>
      <c r="AD544" s="174"/>
      <c r="AE544" s="174"/>
      <c r="AF544" s="174"/>
    </row>
    <row r="545" spans="1:32" ht="12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5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  <c r="AA545" s="174"/>
      <c r="AB545" s="174"/>
      <c r="AC545" s="174"/>
      <c r="AD545" s="174"/>
      <c r="AE545" s="174"/>
      <c r="AF545" s="174"/>
    </row>
    <row r="546" spans="1:32" ht="12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5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  <c r="AA546" s="174"/>
      <c r="AB546" s="174"/>
      <c r="AC546" s="174"/>
      <c r="AD546" s="174"/>
      <c r="AE546" s="174"/>
      <c r="AF546" s="174"/>
    </row>
    <row r="547" spans="1:32" ht="12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5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  <c r="AA547" s="174"/>
      <c r="AB547" s="174"/>
      <c r="AC547" s="174"/>
      <c r="AD547" s="174"/>
      <c r="AE547" s="174"/>
      <c r="AF547" s="174"/>
    </row>
    <row r="548" spans="1:32" ht="12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5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  <c r="AA548" s="174"/>
      <c r="AB548" s="174"/>
      <c r="AC548" s="174"/>
      <c r="AD548" s="174"/>
      <c r="AE548" s="174"/>
      <c r="AF548" s="174"/>
    </row>
    <row r="549" spans="1:32" ht="12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5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  <c r="AA549" s="174"/>
      <c r="AB549" s="174"/>
      <c r="AC549" s="174"/>
      <c r="AD549" s="174"/>
      <c r="AE549" s="174"/>
      <c r="AF549" s="174"/>
    </row>
    <row r="550" spans="1:32" ht="12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5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  <c r="AB550" s="174"/>
      <c r="AC550" s="174"/>
      <c r="AD550" s="174"/>
      <c r="AE550" s="174"/>
      <c r="AF550" s="174"/>
    </row>
    <row r="551" spans="1:32" ht="12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5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  <c r="AA551" s="174"/>
      <c r="AB551" s="174"/>
      <c r="AC551" s="174"/>
      <c r="AD551" s="174"/>
      <c r="AE551" s="174"/>
      <c r="AF551" s="174"/>
    </row>
    <row r="552" spans="1:32" ht="12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5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  <c r="AA552" s="174"/>
      <c r="AB552" s="174"/>
      <c r="AC552" s="174"/>
      <c r="AD552" s="174"/>
      <c r="AE552" s="174"/>
      <c r="AF552" s="174"/>
    </row>
    <row r="553" spans="1:32" ht="12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5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  <c r="AA553" s="174"/>
      <c r="AB553" s="174"/>
      <c r="AC553" s="174"/>
      <c r="AD553" s="174"/>
      <c r="AE553" s="174"/>
      <c r="AF553" s="174"/>
    </row>
    <row r="554" spans="1:32" ht="12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5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  <c r="AA554" s="174"/>
      <c r="AB554" s="174"/>
      <c r="AC554" s="174"/>
      <c r="AD554" s="174"/>
      <c r="AE554" s="174"/>
      <c r="AF554" s="174"/>
    </row>
    <row r="555" spans="1:32" ht="12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5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  <c r="AB555" s="174"/>
      <c r="AC555" s="174"/>
      <c r="AD555" s="174"/>
      <c r="AE555" s="174"/>
      <c r="AF555" s="174"/>
    </row>
    <row r="556" spans="1:32" ht="12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5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  <c r="AA556" s="174"/>
      <c r="AB556" s="174"/>
      <c r="AC556" s="174"/>
      <c r="AD556" s="174"/>
      <c r="AE556" s="174"/>
      <c r="AF556" s="174"/>
    </row>
    <row r="557" spans="1:32" ht="12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5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  <c r="AA557" s="174"/>
      <c r="AB557" s="174"/>
      <c r="AC557" s="174"/>
      <c r="AD557" s="174"/>
      <c r="AE557" s="174"/>
      <c r="AF557" s="174"/>
    </row>
    <row r="558" spans="1:32" ht="12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5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  <c r="AA558" s="174"/>
      <c r="AB558" s="174"/>
      <c r="AC558" s="174"/>
      <c r="AD558" s="174"/>
      <c r="AE558" s="174"/>
      <c r="AF558" s="174"/>
    </row>
    <row r="559" spans="1:32" ht="12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5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  <c r="AA559" s="174"/>
      <c r="AB559" s="174"/>
      <c r="AC559" s="174"/>
      <c r="AD559" s="174"/>
      <c r="AE559" s="174"/>
      <c r="AF559" s="174"/>
    </row>
    <row r="560" spans="1:32" ht="12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5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  <c r="AA560" s="174"/>
      <c r="AB560" s="174"/>
      <c r="AC560" s="174"/>
      <c r="AD560" s="174"/>
      <c r="AE560" s="174"/>
      <c r="AF560" s="174"/>
    </row>
    <row r="561" spans="1:32" ht="12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5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  <c r="AA561" s="174"/>
      <c r="AB561" s="174"/>
      <c r="AC561" s="174"/>
      <c r="AD561" s="174"/>
      <c r="AE561" s="174"/>
      <c r="AF561" s="174"/>
    </row>
    <row r="562" spans="1:32" ht="12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5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  <c r="AA562" s="174"/>
      <c r="AB562" s="174"/>
      <c r="AC562" s="174"/>
      <c r="AD562" s="174"/>
      <c r="AE562" s="174"/>
      <c r="AF562" s="174"/>
    </row>
    <row r="563" spans="1:32" ht="12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5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  <c r="AA563" s="174"/>
      <c r="AB563" s="174"/>
      <c r="AC563" s="174"/>
      <c r="AD563" s="174"/>
      <c r="AE563" s="174"/>
      <c r="AF563" s="174"/>
    </row>
    <row r="564" spans="1:32" ht="12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5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  <c r="AA564" s="174"/>
      <c r="AB564" s="174"/>
      <c r="AC564" s="174"/>
      <c r="AD564" s="174"/>
      <c r="AE564" s="174"/>
      <c r="AF564" s="174"/>
    </row>
    <row r="565" spans="1:32" ht="12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5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  <c r="AA565" s="174"/>
      <c r="AB565" s="174"/>
      <c r="AC565" s="174"/>
      <c r="AD565" s="174"/>
      <c r="AE565" s="174"/>
      <c r="AF565" s="174"/>
    </row>
    <row r="566" spans="1:32" ht="12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5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  <c r="AA566" s="174"/>
      <c r="AB566" s="174"/>
      <c r="AC566" s="174"/>
      <c r="AD566" s="174"/>
      <c r="AE566" s="174"/>
      <c r="AF566" s="174"/>
    </row>
    <row r="567" spans="1:32" ht="12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5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  <c r="AA567" s="174"/>
      <c r="AB567" s="174"/>
      <c r="AC567" s="174"/>
      <c r="AD567" s="174"/>
      <c r="AE567" s="174"/>
      <c r="AF567" s="174"/>
    </row>
    <row r="568" spans="1:32" ht="12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5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  <c r="AA568" s="174"/>
      <c r="AB568" s="174"/>
      <c r="AC568" s="174"/>
      <c r="AD568" s="174"/>
      <c r="AE568" s="174"/>
      <c r="AF568" s="174"/>
    </row>
    <row r="569" spans="1:32" ht="12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5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  <c r="AA569" s="174"/>
      <c r="AB569" s="174"/>
      <c r="AC569" s="174"/>
      <c r="AD569" s="174"/>
      <c r="AE569" s="174"/>
      <c r="AF569" s="174"/>
    </row>
    <row r="570" spans="1:32" ht="12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5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  <c r="AA570" s="174"/>
      <c r="AB570" s="174"/>
      <c r="AC570" s="174"/>
      <c r="AD570" s="174"/>
      <c r="AE570" s="174"/>
      <c r="AF570" s="174"/>
    </row>
    <row r="571" spans="1:32" ht="12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5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  <c r="AA571" s="174"/>
      <c r="AB571" s="174"/>
      <c r="AC571" s="174"/>
      <c r="AD571" s="174"/>
      <c r="AE571" s="174"/>
      <c r="AF571" s="174"/>
    </row>
    <row r="572" spans="1:32" ht="12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5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  <c r="AA572" s="174"/>
      <c r="AB572" s="174"/>
      <c r="AC572" s="174"/>
      <c r="AD572" s="174"/>
      <c r="AE572" s="174"/>
      <c r="AF572" s="174"/>
    </row>
    <row r="573" spans="1:32" ht="12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5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  <c r="AA573" s="174"/>
      <c r="AB573" s="174"/>
      <c r="AC573" s="174"/>
      <c r="AD573" s="174"/>
      <c r="AE573" s="174"/>
      <c r="AF573" s="174"/>
    </row>
    <row r="574" spans="1:32" ht="12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5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  <c r="AA574" s="174"/>
      <c r="AB574" s="174"/>
      <c r="AC574" s="174"/>
      <c r="AD574" s="174"/>
      <c r="AE574" s="174"/>
      <c r="AF574" s="174"/>
    </row>
    <row r="575" spans="1:32" ht="12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5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  <c r="AA575" s="174"/>
      <c r="AB575" s="174"/>
      <c r="AC575" s="174"/>
      <c r="AD575" s="174"/>
      <c r="AE575" s="174"/>
      <c r="AF575" s="174"/>
    </row>
    <row r="576" spans="1:32" ht="12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5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  <c r="AA576" s="174"/>
      <c r="AB576" s="174"/>
      <c r="AC576" s="174"/>
      <c r="AD576" s="174"/>
      <c r="AE576" s="174"/>
      <c r="AF576" s="174"/>
    </row>
    <row r="577" spans="1:32" ht="12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5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  <c r="AB577" s="174"/>
      <c r="AC577" s="174"/>
      <c r="AD577" s="174"/>
      <c r="AE577" s="174"/>
      <c r="AF577" s="174"/>
    </row>
    <row r="578" spans="1:32" ht="12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5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  <c r="AB578" s="174"/>
      <c r="AC578" s="174"/>
      <c r="AD578" s="174"/>
      <c r="AE578" s="174"/>
      <c r="AF578" s="174"/>
    </row>
    <row r="579" spans="1:32" ht="12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5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  <c r="AA579" s="174"/>
      <c r="AB579" s="174"/>
      <c r="AC579" s="174"/>
      <c r="AD579" s="174"/>
      <c r="AE579" s="174"/>
      <c r="AF579" s="174"/>
    </row>
    <row r="580" spans="1:32" ht="12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5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  <c r="AA580" s="174"/>
      <c r="AB580" s="174"/>
      <c r="AC580" s="174"/>
      <c r="AD580" s="174"/>
      <c r="AE580" s="174"/>
      <c r="AF580" s="174"/>
    </row>
    <row r="581" spans="1:32" ht="12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5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  <c r="AA581" s="174"/>
      <c r="AB581" s="174"/>
      <c r="AC581" s="174"/>
      <c r="AD581" s="174"/>
      <c r="AE581" s="174"/>
      <c r="AF581" s="174"/>
    </row>
    <row r="582" spans="1:32" ht="12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5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  <c r="AA582" s="174"/>
      <c r="AB582" s="174"/>
      <c r="AC582" s="174"/>
      <c r="AD582" s="174"/>
      <c r="AE582" s="174"/>
      <c r="AF582" s="174"/>
    </row>
    <row r="583" spans="1:32" ht="12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5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  <c r="AA583" s="174"/>
      <c r="AB583" s="174"/>
      <c r="AC583" s="174"/>
      <c r="AD583" s="174"/>
      <c r="AE583" s="174"/>
      <c r="AF583" s="174"/>
    </row>
    <row r="584" spans="1:32" ht="12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5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  <c r="AA584" s="174"/>
      <c r="AB584" s="174"/>
      <c r="AC584" s="174"/>
      <c r="AD584" s="174"/>
      <c r="AE584" s="174"/>
      <c r="AF584" s="174"/>
    </row>
    <row r="585" spans="1:32" ht="12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5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  <c r="AA585" s="174"/>
      <c r="AB585" s="174"/>
      <c r="AC585" s="174"/>
      <c r="AD585" s="174"/>
      <c r="AE585" s="174"/>
      <c r="AF585" s="174"/>
    </row>
    <row r="586" spans="1:32" ht="12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5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  <c r="AA586" s="174"/>
      <c r="AB586" s="174"/>
      <c r="AC586" s="174"/>
      <c r="AD586" s="174"/>
      <c r="AE586" s="174"/>
      <c r="AF586" s="174"/>
    </row>
    <row r="587" spans="1:32" ht="12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5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  <c r="AA587" s="174"/>
      <c r="AB587" s="174"/>
      <c r="AC587" s="174"/>
      <c r="AD587" s="174"/>
      <c r="AE587" s="174"/>
      <c r="AF587" s="174"/>
    </row>
    <row r="588" spans="1:32" ht="12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5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  <c r="AB588" s="174"/>
      <c r="AC588" s="174"/>
      <c r="AD588" s="174"/>
      <c r="AE588" s="174"/>
      <c r="AF588" s="174"/>
    </row>
    <row r="589" spans="1:32" ht="12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5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  <c r="AA589" s="174"/>
      <c r="AB589" s="174"/>
      <c r="AC589" s="174"/>
      <c r="AD589" s="174"/>
      <c r="AE589" s="174"/>
      <c r="AF589" s="174"/>
    </row>
    <row r="590" spans="1:32" ht="12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5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  <c r="AA590" s="174"/>
      <c r="AB590" s="174"/>
      <c r="AC590" s="174"/>
      <c r="AD590" s="174"/>
      <c r="AE590" s="174"/>
      <c r="AF590" s="174"/>
    </row>
    <row r="591" spans="1:32" ht="12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5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  <c r="AA591" s="174"/>
      <c r="AB591" s="174"/>
      <c r="AC591" s="174"/>
      <c r="AD591" s="174"/>
      <c r="AE591" s="174"/>
      <c r="AF591" s="174"/>
    </row>
    <row r="592" spans="1:32" ht="12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5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  <c r="AA592" s="174"/>
      <c r="AB592" s="174"/>
      <c r="AC592" s="174"/>
      <c r="AD592" s="174"/>
      <c r="AE592" s="174"/>
      <c r="AF592" s="174"/>
    </row>
    <row r="593" spans="1:32" ht="12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5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  <c r="AA593" s="174"/>
      <c r="AB593" s="174"/>
      <c r="AC593" s="174"/>
      <c r="AD593" s="174"/>
      <c r="AE593" s="174"/>
      <c r="AF593" s="174"/>
    </row>
    <row r="594" spans="1:32" ht="12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5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  <c r="AA594" s="174"/>
      <c r="AB594" s="174"/>
      <c r="AC594" s="174"/>
      <c r="AD594" s="174"/>
      <c r="AE594" s="174"/>
      <c r="AF594" s="174"/>
    </row>
    <row r="595" spans="1:32" ht="12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5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  <c r="AA595" s="174"/>
      <c r="AB595" s="174"/>
      <c r="AC595" s="174"/>
      <c r="AD595" s="174"/>
      <c r="AE595" s="174"/>
      <c r="AF595" s="174"/>
    </row>
    <row r="596" spans="1:32" ht="12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5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  <c r="AA596" s="174"/>
      <c r="AB596" s="174"/>
      <c r="AC596" s="174"/>
      <c r="AD596" s="174"/>
      <c r="AE596" s="174"/>
      <c r="AF596" s="174"/>
    </row>
    <row r="597" spans="1:32" ht="12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5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  <c r="AA597" s="174"/>
      <c r="AB597" s="174"/>
      <c r="AC597" s="174"/>
      <c r="AD597" s="174"/>
      <c r="AE597" s="174"/>
      <c r="AF597" s="174"/>
    </row>
    <row r="598" spans="1:32" ht="12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5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  <c r="AA598" s="174"/>
      <c r="AB598" s="174"/>
      <c r="AC598" s="174"/>
      <c r="AD598" s="174"/>
      <c r="AE598" s="174"/>
      <c r="AF598" s="174"/>
    </row>
    <row r="599" spans="1:32" ht="12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5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  <c r="AA599" s="174"/>
      <c r="AB599" s="174"/>
      <c r="AC599" s="174"/>
      <c r="AD599" s="174"/>
      <c r="AE599" s="174"/>
      <c r="AF599" s="174"/>
    </row>
    <row r="600" spans="1:32" ht="12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5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  <c r="AB600" s="174"/>
      <c r="AC600" s="174"/>
      <c r="AD600" s="174"/>
      <c r="AE600" s="174"/>
      <c r="AF600" s="174"/>
    </row>
    <row r="601" spans="1:32" ht="12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5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  <c r="AA601" s="174"/>
      <c r="AB601" s="174"/>
      <c r="AC601" s="174"/>
      <c r="AD601" s="174"/>
      <c r="AE601" s="174"/>
      <c r="AF601" s="174"/>
    </row>
    <row r="602" spans="1:32" ht="12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5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  <c r="AA602" s="174"/>
      <c r="AB602" s="174"/>
      <c r="AC602" s="174"/>
      <c r="AD602" s="174"/>
      <c r="AE602" s="174"/>
      <c r="AF602" s="174"/>
    </row>
    <row r="603" spans="1:32" ht="12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5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  <c r="AA603" s="174"/>
      <c r="AB603" s="174"/>
      <c r="AC603" s="174"/>
      <c r="AD603" s="174"/>
      <c r="AE603" s="174"/>
      <c r="AF603" s="174"/>
    </row>
    <row r="604" spans="1:32" ht="12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5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  <c r="AA604" s="174"/>
      <c r="AB604" s="174"/>
      <c r="AC604" s="174"/>
      <c r="AD604" s="174"/>
      <c r="AE604" s="174"/>
      <c r="AF604" s="174"/>
    </row>
    <row r="605" spans="1:32" ht="12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5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  <c r="AB605" s="174"/>
      <c r="AC605" s="174"/>
      <c r="AD605" s="174"/>
      <c r="AE605" s="174"/>
      <c r="AF605" s="174"/>
    </row>
    <row r="606" spans="1:32" ht="12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5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  <c r="AA606" s="174"/>
      <c r="AB606" s="174"/>
      <c r="AC606" s="174"/>
      <c r="AD606" s="174"/>
      <c r="AE606" s="174"/>
      <c r="AF606" s="174"/>
    </row>
    <row r="607" spans="1:32" ht="12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5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  <c r="AA607" s="174"/>
      <c r="AB607" s="174"/>
      <c r="AC607" s="174"/>
      <c r="AD607" s="174"/>
      <c r="AE607" s="174"/>
      <c r="AF607" s="174"/>
    </row>
    <row r="608" spans="1:32" ht="12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5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  <c r="AA608" s="174"/>
      <c r="AB608" s="174"/>
      <c r="AC608" s="174"/>
      <c r="AD608" s="174"/>
      <c r="AE608" s="174"/>
      <c r="AF608" s="174"/>
    </row>
    <row r="609" spans="1:32" ht="12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5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  <c r="AA609" s="174"/>
      <c r="AB609" s="174"/>
      <c r="AC609" s="174"/>
      <c r="AD609" s="174"/>
      <c r="AE609" s="174"/>
      <c r="AF609" s="174"/>
    </row>
    <row r="610" spans="1:32" ht="12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5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  <c r="AA610" s="174"/>
      <c r="AB610" s="174"/>
      <c r="AC610" s="174"/>
      <c r="AD610" s="174"/>
      <c r="AE610" s="174"/>
      <c r="AF610" s="174"/>
    </row>
    <row r="611" spans="1:32" ht="12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5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  <c r="AA611" s="174"/>
      <c r="AB611" s="174"/>
      <c r="AC611" s="174"/>
      <c r="AD611" s="174"/>
      <c r="AE611" s="174"/>
      <c r="AF611" s="174"/>
    </row>
    <row r="612" spans="1:32" ht="12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5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  <c r="AA612" s="174"/>
      <c r="AB612" s="174"/>
      <c r="AC612" s="174"/>
      <c r="AD612" s="174"/>
      <c r="AE612" s="174"/>
      <c r="AF612" s="174"/>
    </row>
    <row r="613" spans="1:32" ht="12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5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  <c r="AA613" s="174"/>
      <c r="AB613" s="174"/>
      <c r="AC613" s="174"/>
      <c r="AD613" s="174"/>
      <c r="AE613" s="174"/>
      <c r="AF613" s="174"/>
    </row>
    <row r="614" spans="1:32" ht="12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5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  <c r="AA614" s="174"/>
      <c r="AB614" s="174"/>
      <c r="AC614" s="174"/>
      <c r="AD614" s="174"/>
      <c r="AE614" s="174"/>
      <c r="AF614" s="174"/>
    </row>
    <row r="615" spans="1:32" ht="12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5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  <c r="AA615" s="174"/>
      <c r="AB615" s="174"/>
      <c r="AC615" s="174"/>
      <c r="AD615" s="174"/>
      <c r="AE615" s="174"/>
      <c r="AF615" s="174"/>
    </row>
    <row r="616" spans="1:32" ht="12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5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  <c r="AA616" s="174"/>
      <c r="AB616" s="174"/>
      <c r="AC616" s="174"/>
      <c r="AD616" s="174"/>
      <c r="AE616" s="174"/>
      <c r="AF616" s="174"/>
    </row>
    <row r="617" spans="1:32" ht="12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5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  <c r="AA617" s="174"/>
      <c r="AB617" s="174"/>
      <c r="AC617" s="174"/>
      <c r="AD617" s="174"/>
      <c r="AE617" s="174"/>
      <c r="AF617" s="174"/>
    </row>
    <row r="618" spans="1:32" ht="12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5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  <c r="AA618" s="174"/>
      <c r="AB618" s="174"/>
      <c r="AC618" s="174"/>
      <c r="AD618" s="174"/>
      <c r="AE618" s="174"/>
      <c r="AF618" s="174"/>
    </row>
    <row r="619" spans="1:32" ht="12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5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  <c r="AA619" s="174"/>
      <c r="AB619" s="174"/>
      <c r="AC619" s="174"/>
      <c r="AD619" s="174"/>
      <c r="AE619" s="174"/>
      <c r="AF619" s="174"/>
    </row>
    <row r="620" spans="1:32" ht="12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5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  <c r="AA620" s="174"/>
      <c r="AB620" s="174"/>
      <c r="AC620" s="174"/>
      <c r="AD620" s="174"/>
      <c r="AE620" s="174"/>
      <c r="AF620" s="174"/>
    </row>
    <row r="621" spans="1:32" ht="12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5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  <c r="AA621" s="174"/>
      <c r="AB621" s="174"/>
      <c r="AC621" s="174"/>
      <c r="AD621" s="174"/>
      <c r="AE621" s="174"/>
      <c r="AF621" s="174"/>
    </row>
    <row r="622" spans="1:32" ht="12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5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  <c r="AA622" s="174"/>
      <c r="AB622" s="174"/>
      <c r="AC622" s="174"/>
      <c r="AD622" s="174"/>
      <c r="AE622" s="174"/>
      <c r="AF622" s="174"/>
    </row>
    <row r="623" spans="1:32" ht="12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5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  <c r="AA623" s="174"/>
      <c r="AB623" s="174"/>
      <c r="AC623" s="174"/>
      <c r="AD623" s="174"/>
      <c r="AE623" s="174"/>
      <c r="AF623" s="174"/>
    </row>
    <row r="624" spans="1:32" ht="12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5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  <c r="AA624" s="174"/>
      <c r="AB624" s="174"/>
      <c r="AC624" s="174"/>
      <c r="AD624" s="174"/>
      <c r="AE624" s="174"/>
      <c r="AF624" s="174"/>
    </row>
    <row r="625" spans="1:32" ht="12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5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  <c r="AA625" s="174"/>
      <c r="AB625" s="174"/>
      <c r="AC625" s="174"/>
      <c r="AD625" s="174"/>
      <c r="AE625" s="174"/>
      <c r="AF625" s="174"/>
    </row>
    <row r="626" spans="1:32" ht="12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5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  <c r="AA626" s="174"/>
      <c r="AB626" s="174"/>
      <c r="AC626" s="174"/>
      <c r="AD626" s="174"/>
      <c r="AE626" s="174"/>
      <c r="AF626" s="174"/>
    </row>
    <row r="627" spans="1:32" ht="12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5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  <c r="AA627" s="174"/>
      <c r="AB627" s="174"/>
      <c r="AC627" s="174"/>
      <c r="AD627" s="174"/>
      <c r="AE627" s="174"/>
      <c r="AF627" s="174"/>
    </row>
    <row r="628" spans="1:32" ht="12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5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  <c r="AA628" s="174"/>
      <c r="AB628" s="174"/>
      <c r="AC628" s="174"/>
      <c r="AD628" s="174"/>
      <c r="AE628" s="174"/>
      <c r="AF628" s="174"/>
    </row>
    <row r="629" spans="1:32" ht="12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5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  <c r="AA629" s="174"/>
      <c r="AB629" s="174"/>
      <c r="AC629" s="174"/>
      <c r="AD629" s="174"/>
      <c r="AE629" s="174"/>
      <c r="AF629" s="174"/>
    </row>
    <row r="630" spans="1:32" ht="12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5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  <c r="AA630" s="174"/>
      <c r="AB630" s="174"/>
      <c r="AC630" s="174"/>
      <c r="AD630" s="174"/>
      <c r="AE630" s="174"/>
      <c r="AF630" s="174"/>
    </row>
    <row r="631" spans="1:32" ht="12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5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  <c r="AA631" s="174"/>
      <c r="AB631" s="174"/>
      <c r="AC631" s="174"/>
      <c r="AD631" s="174"/>
      <c r="AE631" s="174"/>
      <c r="AF631" s="174"/>
    </row>
    <row r="632" spans="1:32" ht="12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5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  <c r="AA632" s="174"/>
      <c r="AB632" s="174"/>
      <c r="AC632" s="174"/>
      <c r="AD632" s="174"/>
      <c r="AE632" s="174"/>
      <c r="AF632" s="174"/>
    </row>
    <row r="633" spans="1:32" ht="12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5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  <c r="AB633" s="174"/>
      <c r="AC633" s="174"/>
      <c r="AD633" s="174"/>
      <c r="AE633" s="174"/>
      <c r="AF633" s="174"/>
    </row>
    <row r="634" spans="1:32" ht="12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5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  <c r="AA634" s="174"/>
      <c r="AB634" s="174"/>
      <c r="AC634" s="174"/>
      <c r="AD634" s="174"/>
      <c r="AE634" s="174"/>
      <c r="AF634" s="174"/>
    </row>
    <row r="635" spans="1:32" ht="12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5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  <c r="AA635" s="174"/>
      <c r="AB635" s="174"/>
      <c r="AC635" s="174"/>
      <c r="AD635" s="174"/>
      <c r="AE635" s="174"/>
      <c r="AF635" s="174"/>
    </row>
    <row r="636" spans="1:32" ht="12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5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  <c r="AA636" s="174"/>
      <c r="AB636" s="174"/>
      <c r="AC636" s="174"/>
      <c r="AD636" s="174"/>
      <c r="AE636" s="174"/>
      <c r="AF636" s="174"/>
    </row>
    <row r="637" spans="1:32" ht="12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5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  <c r="AA637" s="174"/>
      <c r="AB637" s="174"/>
      <c r="AC637" s="174"/>
      <c r="AD637" s="174"/>
      <c r="AE637" s="174"/>
      <c r="AF637" s="174"/>
    </row>
    <row r="638" spans="1:32" ht="12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5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  <c r="AA638" s="174"/>
      <c r="AB638" s="174"/>
      <c r="AC638" s="174"/>
      <c r="AD638" s="174"/>
      <c r="AE638" s="174"/>
      <c r="AF638" s="174"/>
    </row>
    <row r="639" spans="1:32" ht="12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5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  <c r="AA639" s="174"/>
      <c r="AB639" s="174"/>
      <c r="AC639" s="174"/>
      <c r="AD639" s="174"/>
      <c r="AE639" s="174"/>
      <c r="AF639" s="174"/>
    </row>
    <row r="640" spans="1:32" ht="12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5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  <c r="AA640" s="174"/>
      <c r="AB640" s="174"/>
      <c r="AC640" s="174"/>
      <c r="AD640" s="174"/>
      <c r="AE640" s="174"/>
      <c r="AF640" s="174"/>
    </row>
    <row r="641" spans="1:32" ht="12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5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  <c r="AA641" s="174"/>
      <c r="AB641" s="174"/>
      <c r="AC641" s="174"/>
      <c r="AD641" s="174"/>
      <c r="AE641" s="174"/>
      <c r="AF641" s="174"/>
    </row>
    <row r="642" spans="1:32" ht="12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5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  <c r="AA642" s="174"/>
      <c r="AB642" s="174"/>
      <c r="AC642" s="174"/>
      <c r="AD642" s="174"/>
      <c r="AE642" s="174"/>
      <c r="AF642" s="174"/>
    </row>
    <row r="643" spans="1:32" ht="12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5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  <c r="AA643" s="174"/>
      <c r="AB643" s="174"/>
      <c r="AC643" s="174"/>
      <c r="AD643" s="174"/>
      <c r="AE643" s="174"/>
      <c r="AF643" s="174"/>
    </row>
    <row r="644" spans="1:32" ht="12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5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  <c r="AA644" s="174"/>
      <c r="AB644" s="174"/>
      <c r="AC644" s="174"/>
      <c r="AD644" s="174"/>
      <c r="AE644" s="174"/>
      <c r="AF644" s="174"/>
    </row>
    <row r="645" spans="1:32" ht="12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5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  <c r="AA645" s="174"/>
      <c r="AB645" s="174"/>
      <c r="AC645" s="174"/>
      <c r="AD645" s="174"/>
      <c r="AE645" s="174"/>
      <c r="AF645" s="174"/>
    </row>
    <row r="646" spans="1:32" ht="12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5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  <c r="AA646" s="174"/>
      <c r="AB646" s="174"/>
      <c r="AC646" s="174"/>
      <c r="AD646" s="174"/>
      <c r="AE646" s="174"/>
      <c r="AF646" s="174"/>
    </row>
    <row r="647" spans="1:32" ht="12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5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  <c r="AA647" s="174"/>
      <c r="AB647" s="174"/>
      <c r="AC647" s="174"/>
      <c r="AD647" s="174"/>
      <c r="AE647" s="174"/>
      <c r="AF647" s="174"/>
    </row>
    <row r="648" spans="1:32" ht="12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5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  <c r="AA648" s="174"/>
      <c r="AB648" s="174"/>
      <c r="AC648" s="174"/>
      <c r="AD648" s="174"/>
      <c r="AE648" s="174"/>
      <c r="AF648" s="174"/>
    </row>
    <row r="649" spans="1:32" ht="12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5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  <c r="AB649" s="174"/>
      <c r="AC649" s="174"/>
      <c r="AD649" s="174"/>
      <c r="AE649" s="174"/>
      <c r="AF649" s="174"/>
    </row>
    <row r="650" spans="1:32" ht="12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5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  <c r="AA650" s="174"/>
      <c r="AB650" s="174"/>
      <c r="AC650" s="174"/>
      <c r="AD650" s="174"/>
      <c r="AE650" s="174"/>
      <c r="AF650" s="174"/>
    </row>
    <row r="651" spans="1:32" ht="12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5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  <c r="AB651" s="174"/>
      <c r="AC651" s="174"/>
      <c r="AD651" s="174"/>
      <c r="AE651" s="174"/>
      <c r="AF651" s="174"/>
    </row>
    <row r="652" spans="1:32" ht="12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5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  <c r="AA652" s="174"/>
      <c r="AB652" s="174"/>
      <c r="AC652" s="174"/>
      <c r="AD652" s="174"/>
      <c r="AE652" s="174"/>
      <c r="AF652" s="174"/>
    </row>
    <row r="653" spans="1:32" ht="12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5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  <c r="AA653" s="174"/>
      <c r="AB653" s="174"/>
      <c r="AC653" s="174"/>
      <c r="AD653" s="174"/>
      <c r="AE653" s="174"/>
      <c r="AF653" s="174"/>
    </row>
    <row r="654" spans="1:32" ht="12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5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  <c r="AA654" s="174"/>
      <c r="AB654" s="174"/>
      <c r="AC654" s="174"/>
      <c r="AD654" s="174"/>
      <c r="AE654" s="174"/>
      <c r="AF654" s="174"/>
    </row>
    <row r="655" spans="1:32" ht="12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5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  <c r="AA655" s="174"/>
      <c r="AB655" s="174"/>
      <c r="AC655" s="174"/>
      <c r="AD655" s="174"/>
      <c r="AE655" s="174"/>
      <c r="AF655" s="174"/>
    </row>
    <row r="656" spans="1:32" ht="12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5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  <c r="AB656" s="174"/>
      <c r="AC656" s="174"/>
      <c r="AD656" s="174"/>
      <c r="AE656" s="174"/>
      <c r="AF656" s="174"/>
    </row>
    <row r="657" spans="1:32" ht="12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5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  <c r="AA657" s="174"/>
      <c r="AB657" s="174"/>
      <c r="AC657" s="174"/>
      <c r="AD657" s="174"/>
      <c r="AE657" s="174"/>
      <c r="AF657" s="174"/>
    </row>
    <row r="658" spans="1:32" ht="12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5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  <c r="AA658" s="174"/>
      <c r="AB658" s="174"/>
      <c r="AC658" s="174"/>
      <c r="AD658" s="174"/>
      <c r="AE658" s="174"/>
      <c r="AF658" s="174"/>
    </row>
    <row r="659" spans="1:32" ht="12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5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  <c r="AA659" s="174"/>
      <c r="AB659" s="174"/>
      <c r="AC659" s="174"/>
      <c r="AD659" s="174"/>
      <c r="AE659" s="174"/>
      <c r="AF659" s="174"/>
    </row>
    <row r="660" spans="1:32" ht="12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5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  <c r="AA660" s="174"/>
      <c r="AB660" s="174"/>
      <c r="AC660" s="174"/>
      <c r="AD660" s="174"/>
      <c r="AE660" s="174"/>
      <c r="AF660" s="174"/>
    </row>
    <row r="661" spans="1:32" ht="12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5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  <c r="AA661" s="174"/>
      <c r="AB661" s="174"/>
      <c r="AC661" s="174"/>
      <c r="AD661" s="174"/>
      <c r="AE661" s="174"/>
      <c r="AF661" s="174"/>
    </row>
    <row r="662" spans="1:32" ht="12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5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  <c r="AA662" s="174"/>
      <c r="AB662" s="174"/>
      <c r="AC662" s="174"/>
      <c r="AD662" s="174"/>
      <c r="AE662" s="174"/>
      <c r="AF662" s="174"/>
    </row>
    <row r="663" spans="1:32" ht="12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5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  <c r="AA663" s="174"/>
      <c r="AB663" s="174"/>
      <c r="AC663" s="174"/>
      <c r="AD663" s="174"/>
      <c r="AE663" s="174"/>
      <c r="AF663" s="174"/>
    </row>
    <row r="664" spans="1:32" ht="12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5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  <c r="AA664" s="174"/>
      <c r="AB664" s="174"/>
      <c r="AC664" s="174"/>
      <c r="AD664" s="174"/>
      <c r="AE664" s="174"/>
      <c r="AF664" s="174"/>
    </row>
    <row r="665" spans="1:32" ht="12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5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  <c r="AA665" s="174"/>
      <c r="AB665" s="174"/>
      <c r="AC665" s="174"/>
      <c r="AD665" s="174"/>
      <c r="AE665" s="174"/>
      <c r="AF665" s="174"/>
    </row>
    <row r="666" spans="1:32" ht="12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5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  <c r="AA666" s="174"/>
      <c r="AB666" s="174"/>
      <c r="AC666" s="174"/>
      <c r="AD666" s="174"/>
      <c r="AE666" s="174"/>
      <c r="AF666" s="174"/>
    </row>
    <row r="667" spans="1:32" ht="12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5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  <c r="AA667" s="174"/>
      <c r="AB667" s="174"/>
      <c r="AC667" s="174"/>
      <c r="AD667" s="174"/>
      <c r="AE667" s="174"/>
      <c r="AF667" s="174"/>
    </row>
    <row r="668" spans="1:32" ht="12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5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  <c r="AA668" s="174"/>
      <c r="AB668" s="174"/>
      <c r="AC668" s="174"/>
      <c r="AD668" s="174"/>
      <c r="AE668" s="174"/>
      <c r="AF668" s="174"/>
    </row>
    <row r="669" spans="1:32" ht="12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5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  <c r="AA669" s="174"/>
      <c r="AB669" s="174"/>
      <c r="AC669" s="174"/>
      <c r="AD669" s="174"/>
      <c r="AE669" s="174"/>
      <c r="AF669" s="174"/>
    </row>
    <row r="670" spans="1:32" ht="12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5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  <c r="AA670" s="174"/>
      <c r="AB670" s="174"/>
      <c r="AC670" s="174"/>
      <c r="AD670" s="174"/>
      <c r="AE670" s="174"/>
      <c r="AF670" s="174"/>
    </row>
    <row r="671" spans="1:32" ht="12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5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  <c r="AA671" s="174"/>
      <c r="AB671" s="174"/>
      <c r="AC671" s="174"/>
      <c r="AD671" s="174"/>
      <c r="AE671" s="174"/>
      <c r="AF671" s="174"/>
    </row>
    <row r="672" spans="1:32" ht="12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5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  <c r="AA672" s="174"/>
      <c r="AB672" s="174"/>
      <c r="AC672" s="174"/>
      <c r="AD672" s="174"/>
      <c r="AE672" s="174"/>
      <c r="AF672" s="174"/>
    </row>
    <row r="673" spans="1:32" ht="12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5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  <c r="AA673" s="174"/>
      <c r="AB673" s="174"/>
      <c r="AC673" s="174"/>
      <c r="AD673" s="174"/>
      <c r="AE673" s="174"/>
      <c r="AF673" s="174"/>
    </row>
    <row r="674" spans="1:32" ht="12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5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  <c r="AA674" s="174"/>
      <c r="AB674" s="174"/>
      <c r="AC674" s="174"/>
      <c r="AD674" s="174"/>
      <c r="AE674" s="174"/>
      <c r="AF674" s="174"/>
    </row>
    <row r="675" spans="1:32" ht="12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5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  <c r="AA675" s="174"/>
      <c r="AB675" s="174"/>
      <c r="AC675" s="174"/>
      <c r="AD675" s="174"/>
      <c r="AE675" s="174"/>
      <c r="AF675" s="174"/>
    </row>
    <row r="676" spans="1:32" ht="12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5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  <c r="AA676" s="174"/>
      <c r="AB676" s="174"/>
      <c r="AC676" s="174"/>
      <c r="AD676" s="174"/>
      <c r="AE676" s="174"/>
      <c r="AF676" s="174"/>
    </row>
    <row r="677" spans="1:32" ht="12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5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  <c r="AA677" s="174"/>
      <c r="AB677" s="174"/>
      <c r="AC677" s="174"/>
      <c r="AD677" s="174"/>
      <c r="AE677" s="174"/>
      <c r="AF677" s="174"/>
    </row>
    <row r="678" spans="1:32" ht="12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5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  <c r="AA678" s="174"/>
      <c r="AB678" s="174"/>
      <c r="AC678" s="174"/>
      <c r="AD678" s="174"/>
      <c r="AE678" s="174"/>
      <c r="AF678" s="174"/>
    </row>
    <row r="679" spans="1:32" ht="12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5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  <c r="AA679" s="174"/>
      <c r="AB679" s="174"/>
      <c r="AC679" s="174"/>
      <c r="AD679" s="174"/>
      <c r="AE679" s="174"/>
      <c r="AF679" s="174"/>
    </row>
    <row r="680" spans="1:32" ht="12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5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  <c r="AA680" s="174"/>
      <c r="AB680" s="174"/>
      <c r="AC680" s="174"/>
      <c r="AD680" s="174"/>
      <c r="AE680" s="174"/>
      <c r="AF680" s="174"/>
    </row>
    <row r="681" spans="1:32" ht="12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5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  <c r="AA681" s="174"/>
      <c r="AB681" s="174"/>
      <c r="AC681" s="174"/>
      <c r="AD681" s="174"/>
      <c r="AE681" s="174"/>
      <c r="AF681" s="174"/>
    </row>
    <row r="682" spans="1:32" ht="12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5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  <c r="AA682" s="174"/>
      <c r="AB682" s="174"/>
      <c r="AC682" s="174"/>
      <c r="AD682" s="174"/>
      <c r="AE682" s="174"/>
      <c r="AF682" s="174"/>
    </row>
    <row r="683" spans="1:32" ht="12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5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  <c r="AA683" s="174"/>
      <c r="AB683" s="174"/>
      <c r="AC683" s="174"/>
      <c r="AD683" s="174"/>
      <c r="AE683" s="174"/>
      <c r="AF683" s="174"/>
    </row>
    <row r="684" spans="1:32" ht="12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5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  <c r="AA684" s="174"/>
      <c r="AB684" s="174"/>
      <c r="AC684" s="174"/>
      <c r="AD684" s="174"/>
      <c r="AE684" s="174"/>
      <c r="AF684" s="174"/>
    </row>
    <row r="685" spans="1:32" ht="12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5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  <c r="AA685" s="174"/>
      <c r="AB685" s="174"/>
      <c r="AC685" s="174"/>
      <c r="AD685" s="174"/>
      <c r="AE685" s="174"/>
      <c r="AF685" s="174"/>
    </row>
    <row r="686" spans="1:32" ht="12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5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  <c r="AA686" s="174"/>
      <c r="AB686" s="174"/>
      <c r="AC686" s="174"/>
      <c r="AD686" s="174"/>
      <c r="AE686" s="174"/>
      <c r="AF686" s="174"/>
    </row>
    <row r="687" spans="1:32" ht="12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5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  <c r="AA687" s="174"/>
      <c r="AB687" s="174"/>
      <c r="AC687" s="174"/>
      <c r="AD687" s="174"/>
      <c r="AE687" s="174"/>
      <c r="AF687" s="174"/>
    </row>
    <row r="688" spans="1:32" ht="12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5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  <c r="AA688" s="174"/>
      <c r="AB688" s="174"/>
      <c r="AC688" s="174"/>
      <c r="AD688" s="174"/>
      <c r="AE688" s="174"/>
      <c r="AF688" s="174"/>
    </row>
    <row r="689" spans="1:32" ht="12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5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  <c r="AA689" s="174"/>
      <c r="AB689" s="174"/>
      <c r="AC689" s="174"/>
      <c r="AD689" s="174"/>
      <c r="AE689" s="174"/>
      <c r="AF689" s="174"/>
    </row>
    <row r="690" spans="1:32" ht="12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5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  <c r="AA690" s="174"/>
      <c r="AB690" s="174"/>
      <c r="AC690" s="174"/>
      <c r="AD690" s="174"/>
      <c r="AE690" s="174"/>
      <c r="AF690" s="174"/>
    </row>
    <row r="691" spans="1:32" ht="12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5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  <c r="AB691" s="174"/>
      <c r="AC691" s="174"/>
      <c r="AD691" s="174"/>
      <c r="AE691" s="174"/>
      <c r="AF691" s="174"/>
    </row>
    <row r="692" spans="1:32" ht="12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5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  <c r="AA692" s="174"/>
      <c r="AB692" s="174"/>
      <c r="AC692" s="174"/>
      <c r="AD692" s="174"/>
      <c r="AE692" s="174"/>
      <c r="AF692" s="174"/>
    </row>
    <row r="693" spans="1:32" ht="12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5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  <c r="AA693" s="174"/>
      <c r="AB693" s="174"/>
      <c r="AC693" s="174"/>
      <c r="AD693" s="174"/>
      <c r="AE693" s="174"/>
      <c r="AF693" s="174"/>
    </row>
    <row r="694" spans="1:32" ht="12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5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  <c r="AA694" s="174"/>
      <c r="AB694" s="174"/>
      <c r="AC694" s="174"/>
      <c r="AD694" s="174"/>
      <c r="AE694" s="174"/>
      <c r="AF694" s="174"/>
    </row>
    <row r="695" spans="1:32" ht="12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5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  <c r="AA695" s="174"/>
      <c r="AB695" s="174"/>
      <c r="AC695" s="174"/>
      <c r="AD695" s="174"/>
      <c r="AE695" s="174"/>
      <c r="AF695" s="174"/>
    </row>
    <row r="696" spans="1:32" ht="12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5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  <c r="AA696" s="174"/>
      <c r="AB696" s="174"/>
      <c r="AC696" s="174"/>
      <c r="AD696" s="174"/>
      <c r="AE696" s="174"/>
      <c r="AF696" s="174"/>
    </row>
    <row r="697" spans="1:32" ht="12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5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  <c r="AB697" s="174"/>
      <c r="AC697" s="174"/>
      <c r="AD697" s="174"/>
      <c r="AE697" s="174"/>
      <c r="AF697" s="174"/>
    </row>
    <row r="698" spans="1:32" ht="12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5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  <c r="AA698" s="174"/>
      <c r="AB698" s="174"/>
      <c r="AC698" s="174"/>
      <c r="AD698" s="174"/>
      <c r="AE698" s="174"/>
      <c r="AF698" s="174"/>
    </row>
    <row r="699" spans="1:32" ht="12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5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  <c r="AA699" s="174"/>
      <c r="AB699" s="174"/>
      <c r="AC699" s="174"/>
      <c r="AD699" s="174"/>
      <c r="AE699" s="174"/>
      <c r="AF699" s="174"/>
    </row>
    <row r="700" spans="1:32" ht="12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5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  <c r="AA700" s="174"/>
      <c r="AB700" s="174"/>
      <c r="AC700" s="174"/>
      <c r="AD700" s="174"/>
      <c r="AE700" s="174"/>
      <c r="AF700" s="174"/>
    </row>
    <row r="701" spans="1:32" ht="12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5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  <c r="AA701" s="174"/>
      <c r="AB701" s="174"/>
      <c r="AC701" s="174"/>
      <c r="AD701" s="174"/>
      <c r="AE701" s="174"/>
      <c r="AF701" s="174"/>
    </row>
    <row r="702" spans="1:32" ht="12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5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  <c r="AA702" s="174"/>
      <c r="AB702" s="174"/>
      <c r="AC702" s="174"/>
      <c r="AD702" s="174"/>
      <c r="AE702" s="174"/>
      <c r="AF702" s="174"/>
    </row>
    <row r="703" spans="1:32" ht="12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5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  <c r="AA703" s="174"/>
      <c r="AB703" s="174"/>
      <c r="AC703" s="174"/>
      <c r="AD703" s="174"/>
      <c r="AE703" s="174"/>
      <c r="AF703" s="174"/>
    </row>
    <row r="704" spans="1:32" ht="12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5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  <c r="AA704" s="174"/>
      <c r="AB704" s="174"/>
      <c r="AC704" s="174"/>
      <c r="AD704" s="174"/>
      <c r="AE704" s="174"/>
      <c r="AF704" s="174"/>
    </row>
    <row r="705" spans="1:32" ht="12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5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  <c r="AA705" s="174"/>
      <c r="AB705" s="174"/>
      <c r="AC705" s="174"/>
      <c r="AD705" s="174"/>
      <c r="AE705" s="174"/>
      <c r="AF705" s="174"/>
    </row>
    <row r="706" spans="1:32" ht="12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5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  <c r="AA706" s="174"/>
      <c r="AB706" s="174"/>
      <c r="AC706" s="174"/>
      <c r="AD706" s="174"/>
      <c r="AE706" s="174"/>
      <c r="AF706" s="174"/>
    </row>
    <row r="707" spans="1:32" ht="12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5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  <c r="AA707" s="174"/>
      <c r="AB707" s="174"/>
      <c r="AC707" s="174"/>
      <c r="AD707" s="174"/>
      <c r="AE707" s="174"/>
      <c r="AF707" s="174"/>
    </row>
    <row r="708" spans="1:32" ht="12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5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  <c r="AA708" s="174"/>
      <c r="AB708" s="174"/>
      <c r="AC708" s="174"/>
      <c r="AD708" s="174"/>
      <c r="AE708" s="174"/>
      <c r="AF708" s="174"/>
    </row>
    <row r="709" spans="1:32" ht="12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5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  <c r="AA709" s="174"/>
      <c r="AB709" s="174"/>
      <c r="AC709" s="174"/>
      <c r="AD709" s="174"/>
      <c r="AE709" s="174"/>
      <c r="AF709" s="174"/>
    </row>
    <row r="710" spans="1:32" ht="12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5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  <c r="AA710" s="174"/>
      <c r="AB710" s="174"/>
      <c r="AC710" s="174"/>
      <c r="AD710" s="174"/>
      <c r="AE710" s="174"/>
      <c r="AF710" s="174"/>
    </row>
    <row r="711" spans="1:32" ht="12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5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  <c r="AA711" s="174"/>
      <c r="AB711" s="174"/>
      <c r="AC711" s="174"/>
      <c r="AD711" s="174"/>
      <c r="AE711" s="174"/>
      <c r="AF711" s="174"/>
    </row>
    <row r="712" spans="1:32" ht="12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5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  <c r="AA712" s="174"/>
      <c r="AB712" s="174"/>
      <c r="AC712" s="174"/>
      <c r="AD712" s="174"/>
      <c r="AE712" s="174"/>
      <c r="AF712" s="174"/>
    </row>
    <row r="713" spans="1:32" ht="12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5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  <c r="AA713" s="174"/>
      <c r="AB713" s="174"/>
      <c r="AC713" s="174"/>
      <c r="AD713" s="174"/>
      <c r="AE713" s="174"/>
      <c r="AF713" s="174"/>
    </row>
    <row r="714" spans="1:32" ht="12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5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  <c r="AA714" s="174"/>
      <c r="AB714" s="174"/>
      <c r="AC714" s="174"/>
      <c r="AD714" s="174"/>
      <c r="AE714" s="174"/>
      <c r="AF714" s="174"/>
    </row>
    <row r="715" spans="1:32" ht="12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5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  <c r="AA715" s="174"/>
      <c r="AB715" s="174"/>
      <c r="AC715" s="174"/>
      <c r="AD715" s="174"/>
      <c r="AE715" s="174"/>
      <c r="AF715" s="174"/>
    </row>
    <row r="716" spans="1:32" ht="12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5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  <c r="AA716" s="174"/>
      <c r="AB716" s="174"/>
      <c r="AC716" s="174"/>
      <c r="AD716" s="174"/>
      <c r="AE716" s="174"/>
      <c r="AF716" s="174"/>
    </row>
    <row r="717" spans="1:32" ht="12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5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  <c r="AA717" s="174"/>
      <c r="AB717" s="174"/>
      <c r="AC717" s="174"/>
      <c r="AD717" s="174"/>
      <c r="AE717" s="174"/>
      <c r="AF717" s="174"/>
    </row>
    <row r="718" spans="1:32" ht="12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5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  <c r="AA718" s="174"/>
      <c r="AB718" s="174"/>
      <c r="AC718" s="174"/>
      <c r="AD718" s="174"/>
      <c r="AE718" s="174"/>
      <c r="AF718" s="174"/>
    </row>
    <row r="719" spans="1:32" ht="12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5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  <c r="AA719" s="174"/>
      <c r="AB719" s="174"/>
      <c r="AC719" s="174"/>
      <c r="AD719" s="174"/>
      <c r="AE719" s="174"/>
      <c r="AF719" s="174"/>
    </row>
    <row r="720" spans="1:32" ht="12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5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  <c r="AA720" s="174"/>
      <c r="AB720" s="174"/>
      <c r="AC720" s="174"/>
      <c r="AD720" s="174"/>
      <c r="AE720" s="174"/>
      <c r="AF720" s="174"/>
    </row>
    <row r="721" spans="1:32" ht="12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5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  <c r="AA721" s="174"/>
      <c r="AB721" s="174"/>
      <c r="AC721" s="174"/>
      <c r="AD721" s="174"/>
      <c r="AE721" s="174"/>
      <c r="AF721" s="174"/>
    </row>
    <row r="722" spans="1:32" ht="12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5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  <c r="AA722" s="174"/>
      <c r="AB722" s="174"/>
      <c r="AC722" s="174"/>
      <c r="AD722" s="174"/>
      <c r="AE722" s="174"/>
      <c r="AF722" s="174"/>
    </row>
    <row r="723" spans="1:32" ht="12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5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  <c r="AA723" s="174"/>
      <c r="AB723" s="174"/>
      <c r="AC723" s="174"/>
      <c r="AD723" s="174"/>
      <c r="AE723" s="174"/>
      <c r="AF723" s="174"/>
    </row>
    <row r="724" spans="1:32" ht="12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5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  <c r="AA724" s="174"/>
      <c r="AB724" s="174"/>
      <c r="AC724" s="174"/>
      <c r="AD724" s="174"/>
      <c r="AE724" s="174"/>
      <c r="AF724" s="174"/>
    </row>
    <row r="725" spans="1:32" ht="12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5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  <c r="AA725" s="174"/>
      <c r="AB725" s="174"/>
      <c r="AC725" s="174"/>
      <c r="AD725" s="174"/>
      <c r="AE725" s="174"/>
      <c r="AF725" s="174"/>
    </row>
    <row r="726" spans="1:32" ht="12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5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  <c r="AA726" s="174"/>
      <c r="AB726" s="174"/>
      <c r="AC726" s="174"/>
      <c r="AD726" s="174"/>
      <c r="AE726" s="174"/>
      <c r="AF726" s="174"/>
    </row>
    <row r="727" spans="1:32" ht="12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5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  <c r="AA727" s="174"/>
      <c r="AB727" s="174"/>
      <c r="AC727" s="174"/>
      <c r="AD727" s="174"/>
      <c r="AE727" s="174"/>
      <c r="AF727" s="174"/>
    </row>
    <row r="728" spans="1:32" ht="12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5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  <c r="AA728" s="174"/>
      <c r="AB728" s="174"/>
      <c r="AC728" s="174"/>
      <c r="AD728" s="174"/>
      <c r="AE728" s="174"/>
      <c r="AF728" s="174"/>
    </row>
    <row r="729" spans="1:32" ht="12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5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  <c r="AA729" s="174"/>
      <c r="AB729" s="174"/>
      <c r="AC729" s="174"/>
      <c r="AD729" s="174"/>
      <c r="AE729" s="174"/>
      <c r="AF729" s="174"/>
    </row>
    <row r="730" spans="1:32" ht="12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5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  <c r="AA730" s="174"/>
      <c r="AB730" s="174"/>
      <c r="AC730" s="174"/>
      <c r="AD730" s="174"/>
      <c r="AE730" s="174"/>
      <c r="AF730" s="174"/>
    </row>
    <row r="731" spans="1:32" ht="12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5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  <c r="AA731" s="174"/>
      <c r="AB731" s="174"/>
      <c r="AC731" s="174"/>
      <c r="AD731" s="174"/>
      <c r="AE731" s="174"/>
      <c r="AF731" s="174"/>
    </row>
    <row r="732" spans="1:32" ht="12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5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  <c r="AA732" s="174"/>
      <c r="AB732" s="174"/>
      <c r="AC732" s="174"/>
      <c r="AD732" s="174"/>
      <c r="AE732" s="174"/>
      <c r="AF732" s="174"/>
    </row>
    <row r="733" spans="1:32" ht="12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5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  <c r="AA733" s="174"/>
      <c r="AB733" s="174"/>
      <c r="AC733" s="174"/>
      <c r="AD733" s="174"/>
      <c r="AE733" s="174"/>
      <c r="AF733" s="174"/>
    </row>
    <row r="734" spans="1:32" ht="12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5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  <c r="AA734" s="174"/>
      <c r="AB734" s="174"/>
      <c r="AC734" s="174"/>
      <c r="AD734" s="174"/>
      <c r="AE734" s="174"/>
      <c r="AF734" s="174"/>
    </row>
    <row r="735" spans="1:32" ht="12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5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  <c r="AA735" s="174"/>
      <c r="AB735" s="174"/>
      <c r="AC735" s="174"/>
      <c r="AD735" s="174"/>
      <c r="AE735" s="174"/>
      <c r="AF735" s="174"/>
    </row>
    <row r="736" spans="1:32" ht="12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5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  <c r="AA736" s="174"/>
      <c r="AB736" s="174"/>
      <c r="AC736" s="174"/>
      <c r="AD736" s="174"/>
      <c r="AE736" s="174"/>
      <c r="AF736" s="174"/>
    </row>
    <row r="737" spans="1:32" ht="12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5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  <c r="AA737" s="174"/>
      <c r="AB737" s="174"/>
      <c r="AC737" s="174"/>
      <c r="AD737" s="174"/>
      <c r="AE737" s="174"/>
      <c r="AF737" s="174"/>
    </row>
    <row r="738" spans="1:32" ht="12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5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  <c r="AA738" s="174"/>
      <c r="AB738" s="174"/>
      <c r="AC738" s="174"/>
      <c r="AD738" s="174"/>
      <c r="AE738" s="174"/>
      <c r="AF738" s="174"/>
    </row>
    <row r="739" spans="1:32" ht="12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5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  <c r="AA739" s="174"/>
      <c r="AB739" s="174"/>
      <c r="AC739" s="174"/>
      <c r="AD739" s="174"/>
      <c r="AE739" s="174"/>
      <c r="AF739" s="174"/>
    </row>
    <row r="740" spans="1:32" ht="12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5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  <c r="AA740" s="174"/>
      <c r="AB740" s="174"/>
      <c r="AC740" s="174"/>
      <c r="AD740" s="174"/>
      <c r="AE740" s="174"/>
      <c r="AF740" s="174"/>
    </row>
    <row r="741" spans="1:32" ht="12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5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  <c r="AA741" s="174"/>
      <c r="AB741" s="174"/>
      <c r="AC741" s="174"/>
      <c r="AD741" s="174"/>
      <c r="AE741" s="174"/>
      <c r="AF741" s="174"/>
    </row>
    <row r="742" spans="1:32" ht="12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5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  <c r="AA742" s="174"/>
      <c r="AB742" s="174"/>
      <c r="AC742" s="174"/>
      <c r="AD742" s="174"/>
      <c r="AE742" s="174"/>
      <c r="AF742" s="174"/>
    </row>
    <row r="743" spans="1:32" ht="12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5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  <c r="AA743" s="174"/>
      <c r="AB743" s="174"/>
      <c r="AC743" s="174"/>
      <c r="AD743" s="174"/>
      <c r="AE743" s="174"/>
      <c r="AF743" s="174"/>
    </row>
    <row r="744" spans="1:32" ht="12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5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  <c r="AA744" s="174"/>
      <c r="AB744" s="174"/>
      <c r="AC744" s="174"/>
      <c r="AD744" s="174"/>
      <c r="AE744" s="174"/>
      <c r="AF744" s="174"/>
    </row>
    <row r="745" spans="1:32" ht="12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5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  <c r="AA745" s="174"/>
      <c r="AB745" s="174"/>
      <c r="AC745" s="174"/>
      <c r="AD745" s="174"/>
      <c r="AE745" s="174"/>
      <c r="AF745" s="174"/>
    </row>
    <row r="746" spans="1:32" ht="12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5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  <c r="AA746" s="174"/>
      <c r="AB746" s="174"/>
      <c r="AC746" s="174"/>
      <c r="AD746" s="174"/>
      <c r="AE746" s="174"/>
      <c r="AF746" s="174"/>
    </row>
    <row r="747" spans="1:32" ht="12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5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  <c r="AA747" s="174"/>
      <c r="AB747" s="174"/>
      <c r="AC747" s="174"/>
      <c r="AD747" s="174"/>
      <c r="AE747" s="174"/>
      <c r="AF747" s="174"/>
    </row>
    <row r="748" spans="1:32" ht="12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5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  <c r="AA748" s="174"/>
      <c r="AB748" s="174"/>
      <c r="AC748" s="174"/>
      <c r="AD748" s="174"/>
      <c r="AE748" s="174"/>
      <c r="AF748" s="174"/>
    </row>
    <row r="749" spans="1:32" ht="12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5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  <c r="AA749" s="174"/>
      <c r="AB749" s="174"/>
      <c r="AC749" s="174"/>
      <c r="AD749" s="174"/>
      <c r="AE749" s="174"/>
      <c r="AF749" s="174"/>
    </row>
    <row r="750" spans="1:32" ht="12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5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  <c r="AA750" s="174"/>
      <c r="AB750" s="174"/>
      <c r="AC750" s="174"/>
      <c r="AD750" s="174"/>
      <c r="AE750" s="174"/>
      <c r="AF750" s="174"/>
    </row>
    <row r="751" spans="1:32" ht="12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5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  <c r="AA751" s="174"/>
      <c r="AB751" s="174"/>
      <c r="AC751" s="174"/>
      <c r="AD751" s="174"/>
      <c r="AE751" s="174"/>
      <c r="AF751" s="174"/>
    </row>
    <row r="752" spans="1:32" ht="12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5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  <c r="AA752" s="174"/>
      <c r="AB752" s="174"/>
      <c r="AC752" s="174"/>
      <c r="AD752" s="174"/>
      <c r="AE752" s="174"/>
      <c r="AF752" s="174"/>
    </row>
    <row r="753" spans="1:32" ht="12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5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  <c r="AA753" s="174"/>
      <c r="AB753" s="174"/>
      <c r="AC753" s="174"/>
      <c r="AD753" s="174"/>
      <c r="AE753" s="174"/>
      <c r="AF753" s="174"/>
    </row>
    <row r="754" spans="1:32" ht="12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5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  <c r="AA754" s="174"/>
      <c r="AB754" s="174"/>
      <c r="AC754" s="174"/>
      <c r="AD754" s="174"/>
      <c r="AE754" s="174"/>
      <c r="AF754" s="174"/>
    </row>
    <row r="755" spans="1:32" ht="12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5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  <c r="AA755" s="174"/>
      <c r="AB755" s="174"/>
      <c r="AC755" s="174"/>
      <c r="AD755" s="174"/>
      <c r="AE755" s="174"/>
      <c r="AF755" s="174"/>
    </row>
    <row r="756" spans="1:32" ht="12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5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  <c r="AA756" s="174"/>
      <c r="AB756" s="174"/>
      <c r="AC756" s="174"/>
      <c r="AD756" s="174"/>
      <c r="AE756" s="174"/>
      <c r="AF756" s="174"/>
    </row>
    <row r="757" spans="1:32" ht="12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5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  <c r="AA757" s="174"/>
      <c r="AB757" s="174"/>
      <c r="AC757" s="174"/>
      <c r="AD757" s="174"/>
      <c r="AE757" s="174"/>
      <c r="AF757" s="174"/>
    </row>
    <row r="758" spans="1:32" ht="12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5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  <c r="AA758" s="174"/>
      <c r="AB758" s="174"/>
      <c r="AC758" s="174"/>
      <c r="AD758" s="174"/>
      <c r="AE758" s="174"/>
      <c r="AF758" s="174"/>
    </row>
    <row r="759" spans="1:32" ht="12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5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  <c r="AA759" s="174"/>
      <c r="AB759" s="174"/>
      <c r="AC759" s="174"/>
      <c r="AD759" s="174"/>
      <c r="AE759" s="174"/>
      <c r="AF759" s="174"/>
    </row>
    <row r="760" spans="1:32" ht="12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5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  <c r="AA760" s="174"/>
      <c r="AB760" s="174"/>
      <c r="AC760" s="174"/>
      <c r="AD760" s="174"/>
      <c r="AE760" s="174"/>
      <c r="AF760" s="174"/>
    </row>
    <row r="761" spans="1:32" ht="12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5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  <c r="AA761" s="174"/>
      <c r="AB761" s="174"/>
      <c r="AC761" s="174"/>
      <c r="AD761" s="174"/>
      <c r="AE761" s="174"/>
      <c r="AF761" s="174"/>
    </row>
    <row r="762" spans="1:32" ht="12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5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  <c r="AA762" s="174"/>
      <c r="AB762" s="174"/>
      <c r="AC762" s="174"/>
      <c r="AD762" s="174"/>
      <c r="AE762" s="174"/>
      <c r="AF762" s="174"/>
    </row>
    <row r="763" spans="1:32" ht="12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5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  <c r="AA763" s="174"/>
      <c r="AB763" s="174"/>
      <c r="AC763" s="174"/>
      <c r="AD763" s="174"/>
      <c r="AE763" s="174"/>
      <c r="AF763" s="174"/>
    </row>
    <row r="764" spans="1:32" ht="12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5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  <c r="AA764" s="174"/>
      <c r="AB764" s="174"/>
      <c r="AC764" s="174"/>
      <c r="AD764" s="174"/>
      <c r="AE764" s="174"/>
      <c r="AF764" s="174"/>
    </row>
    <row r="765" spans="1:32" ht="12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5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  <c r="AA765" s="174"/>
      <c r="AB765" s="174"/>
      <c r="AC765" s="174"/>
      <c r="AD765" s="174"/>
      <c r="AE765" s="174"/>
      <c r="AF765" s="174"/>
    </row>
    <row r="766" spans="1:32" ht="12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5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  <c r="AA766" s="174"/>
      <c r="AB766" s="174"/>
      <c r="AC766" s="174"/>
      <c r="AD766" s="174"/>
      <c r="AE766" s="174"/>
      <c r="AF766" s="174"/>
    </row>
    <row r="767" spans="1:32" ht="12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5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  <c r="AA767" s="174"/>
      <c r="AB767" s="174"/>
      <c r="AC767" s="174"/>
      <c r="AD767" s="174"/>
      <c r="AE767" s="174"/>
      <c r="AF767" s="174"/>
    </row>
    <row r="768" spans="1:32" ht="12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5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  <c r="AA768" s="174"/>
      <c r="AB768" s="174"/>
      <c r="AC768" s="174"/>
      <c r="AD768" s="174"/>
      <c r="AE768" s="174"/>
      <c r="AF768" s="174"/>
    </row>
    <row r="769" spans="1:32" ht="12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5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  <c r="AA769" s="174"/>
      <c r="AB769" s="174"/>
      <c r="AC769" s="174"/>
      <c r="AD769" s="174"/>
      <c r="AE769" s="174"/>
      <c r="AF769" s="174"/>
    </row>
    <row r="770" spans="1:32" ht="12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5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  <c r="AA770" s="174"/>
      <c r="AB770" s="174"/>
      <c r="AC770" s="174"/>
      <c r="AD770" s="174"/>
      <c r="AE770" s="174"/>
      <c r="AF770" s="174"/>
    </row>
    <row r="771" spans="1:32" ht="12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5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  <c r="AA771" s="174"/>
      <c r="AB771" s="174"/>
      <c r="AC771" s="174"/>
      <c r="AD771" s="174"/>
      <c r="AE771" s="174"/>
      <c r="AF771" s="174"/>
    </row>
    <row r="772" spans="1:32" ht="12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5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  <c r="AA772" s="174"/>
      <c r="AB772" s="174"/>
      <c r="AC772" s="174"/>
      <c r="AD772" s="174"/>
      <c r="AE772" s="174"/>
      <c r="AF772" s="174"/>
    </row>
    <row r="773" spans="1:32" ht="12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5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  <c r="AA773" s="174"/>
      <c r="AB773" s="174"/>
      <c r="AC773" s="174"/>
      <c r="AD773" s="174"/>
      <c r="AE773" s="174"/>
      <c r="AF773" s="174"/>
    </row>
    <row r="774" spans="1:32" ht="12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5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  <c r="AA774" s="174"/>
      <c r="AB774" s="174"/>
      <c r="AC774" s="174"/>
      <c r="AD774" s="174"/>
      <c r="AE774" s="174"/>
      <c r="AF774" s="174"/>
    </row>
    <row r="775" spans="1:32" ht="12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5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  <c r="AA775" s="174"/>
      <c r="AB775" s="174"/>
      <c r="AC775" s="174"/>
      <c r="AD775" s="174"/>
      <c r="AE775" s="174"/>
      <c r="AF775" s="174"/>
    </row>
    <row r="776" spans="1:32" ht="12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5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  <c r="AA776" s="174"/>
      <c r="AB776" s="174"/>
      <c r="AC776" s="174"/>
      <c r="AD776" s="174"/>
      <c r="AE776" s="174"/>
      <c r="AF776" s="174"/>
    </row>
    <row r="777" spans="1:32" ht="12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5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  <c r="AA777" s="174"/>
      <c r="AB777" s="174"/>
      <c r="AC777" s="174"/>
      <c r="AD777" s="174"/>
      <c r="AE777" s="174"/>
      <c r="AF777" s="174"/>
    </row>
    <row r="778" spans="1:32" ht="12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5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  <c r="AA778" s="174"/>
      <c r="AB778" s="174"/>
      <c r="AC778" s="174"/>
      <c r="AD778" s="174"/>
      <c r="AE778" s="174"/>
      <c r="AF778" s="174"/>
    </row>
    <row r="779" spans="1:32" ht="12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5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  <c r="AA779" s="174"/>
      <c r="AB779" s="174"/>
      <c r="AC779" s="174"/>
      <c r="AD779" s="174"/>
      <c r="AE779" s="174"/>
      <c r="AF779" s="174"/>
    </row>
    <row r="780" spans="1:32" ht="12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5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  <c r="AA780" s="174"/>
      <c r="AB780" s="174"/>
      <c r="AC780" s="174"/>
      <c r="AD780" s="174"/>
      <c r="AE780" s="174"/>
      <c r="AF780" s="174"/>
    </row>
    <row r="781" spans="1:32" ht="12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5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  <c r="AA781" s="174"/>
      <c r="AB781" s="174"/>
      <c r="AC781" s="174"/>
      <c r="AD781" s="174"/>
      <c r="AE781" s="174"/>
      <c r="AF781" s="174"/>
    </row>
    <row r="782" spans="1:32" ht="12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5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  <c r="AA782" s="174"/>
      <c r="AB782" s="174"/>
      <c r="AC782" s="174"/>
      <c r="AD782" s="174"/>
      <c r="AE782" s="174"/>
      <c r="AF782" s="174"/>
    </row>
    <row r="783" spans="1:32" ht="12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5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  <c r="AA783" s="174"/>
      <c r="AB783" s="174"/>
      <c r="AC783" s="174"/>
      <c r="AD783" s="174"/>
      <c r="AE783" s="174"/>
      <c r="AF783" s="174"/>
    </row>
    <row r="784" spans="1:32" ht="12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5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  <c r="AA784" s="174"/>
      <c r="AB784" s="174"/>
      <c r="AC784" s="174"/>
      <c r="AD784" s="174"/>
      <c r="AE784" s="174"/>
      <c r="AF784" s="174"/>
    </row>
    <row r="785" spans="1:32" ht="12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5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  <c r="AA785" s="174"/>
      <c r="AB785" s="174"/>
      <c r="AC785" s="174"/>
      <c r="AD785" s="174"/>
      <c r="AE785" s="174"/>
      <c r="AF785" s="174"/>
    </row>
    <row r="786" spans="1:32" ht="12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5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  <c r="AA786" s="174"/>
      <c r="AB786" s="174"/>
      <c r="AC786" s="174"/>
      <c r="AD786" s="174"/>
      <c r="AE786" s="174"/>
      <c r="AF786" s="174"/>
    </row>
    <row r="787" spans="1:32" ht="12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5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  <c r="AA787" s="174"/>
      <c r="AB787" s="174"/>
      <c r="AC787" s="174"/>
      <c r="AD787" s="174"/>
      <c r="AE787" s="174"/>
      <c r="AF787" s="174"/>
    </row>
    <row r="788" spans="1:32" ht="12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5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  <c r="AA788" s="174"/>
      <c r="AB788" s="174"/>
      <c r="AC788" s="174"/>
      <c r="AD788" s="174"/>
      <c r="AE788" s="174"/>
      <c r="AF788" s="174"/>
    </row>
    <row r="789" spans="1:32" ht="12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5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  <c r="AA789" s="174"/>
      <c r="AB789" s="174"/>
      <c r="AC789" s="174"/>
      <c r="AD789" s="174"/>
      <c r="AE789" s="174"/>
      <c r="AF789" s="174"/>
    </row>
    <row r="790" spans="1:32" ht="12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5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  <c r="AA790" s="174"/>
      <c r="AB790" s="174"/>
      <c r="AC790" s="174"/>
      <c r="AD790" s="174"/>
      <c r="AE790" s="174"/>
      <c r="AF790" s="174"/>
    </row>
    <row r="791" spans="1:32" ht="12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5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  <c r="AA791" s="174"/>
      <c r="AB791" s="174"/>
      <c r="AC791" s="174"/>
      <c r="AD791" s="174"/>
      <c r="AE791" s="174"/>
      <c r="AF791" s="174"/>
    </row>
    <row r="792" spans="1:32" ht="12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5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  <c r="AA792" s="174"/>
      <c r="AB792" s="174"/>
      <c r="AC792" s="174"/>
      <c r="AD792" s="174"/>
      <c r="AE792" s="174"/>
      <c r="AF792" s="174"/>
    </row>
    <row r="793" spans="1:32" ht="12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5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  <c r="AA793" s="174"/>
      <c r="AB793" s="174"/>
      <c r="AC793" s="174"/>
      <c r="AD793" s="174"/>
      <c r="AE793" s="174"/>
      <c r="AF793" s="174"/>
    </row>
    <row r="794" spans="1:32" ht="12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5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  <c r="AA794" s="174"/>
      <c r="AB794" s="174"/>
      <c r="AC794" s="174"/>
      <c r="AD794" s="174"/>
      <c r="AE794" s="174"/>
      <c r="AF794" s="174"/>
    </row>
    <row r="795" spans="1:32" ht="12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5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  <c r="AA795" s="174"/>
      <c r="AB795" s="174"/>
      <c r="AC795" s="174"/>
      <c r="AD795" s="174"/>
      <c r="AE795" s="174"/>
      <c r="AF795" s="174"/>
    </row>
    <row r="796" spans="1:32" ht="12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5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  <c r="AA796" s="174"/>
      <c r="AB796" s="174"/>
      <c r="AC796" s="174"/>
      <c r="AD796" s="174"/>
      <c r="AE796" s="174"/>
      <c r="AF796" s="174"/>
    </row>
    <row r="797" spans="1:32" ht="12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5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  <c r="AA797" s="174"/>
      <c r="AB797" s="174"/>
      <c r="AC797" s="174"/>
      <c r="AD797" s="174"/>
      <c r="AE797" s="174"/>
      <c r="AF797" s="174"/>
    </row>
    <row r="798" spans="1:32" ht="12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5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  <c r="AA798" s="174"/>
      <c r="AB798" s="174"/>
      <c r="AC798" s="174"/>
      <c r="AD798" s="174"/>
      <c r="AE798" s="174"/>
      <c r="AF798" s="174"/>
    </row>
    <row r="799" spans="1:32" ht="12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5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  <c r="AA799" s="174"/>
      <c r="AB799" s="174"/>
      <c r="AC799" s="174"/>
      <c r="AD799" s="174"/>
      <c r="AE799" s="174"/>
      <c r="AF799" s="174"/>
    </row>
    <row r="800" spans="1:32" ht="12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5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  <c r="AA800" s="174"/>
      <c r="AB800" s="174"/>
      <c r="AC800" s="174"/>
      <c r="AD800" s="174"/>
      <c r="AE800" s="174"/>
      <c r="AF800" s="174"/>
    </row>
    <row r="801" spans="1:32" ht="12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5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  <c r="AA801" s="174"/>
      <c r="AB801" s="174"/>
      <c r="AC801" s="174"/>
      <c r="AD801" s="174"/>
      <c r="AE801" s="174"/>
      <c r="AF801" s="174"/>
    </row>
    <row r="802" spans="1:32" ht="12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5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  <c r="AA802" s="174"/>
      <c r="AB802" s="174"/>
      <c r="AC802" s="174"/>
      <c r="AD802" s="174"/>
      <c r="AE802" s="174"/>
      <c r="AF802" s="174"/>
    </row>
    <row r="803" spans="1:32" ht="12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5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  <c r="AA803" s="174"/>
      <c r="AB803" s="174"/>
      <c r="AC803" s="174"/>
      <c r="AD803" s="174"/>
      <c r="AE803" s="174"/>
      <c r="AF803" s="174"/>
    </row>
    <row r="804" spans="1:32" ht="12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5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  <c r="AA804" s="174"/>
      <c r="AB804" s="174"/>
      <c r="AC804" s="174"/>
      <c r="AD804" s="174"/>
      <c r="AE804" s="174"/>
      <c r="AF804" s="174"/>
    </row>
    <row r="805" spans="1:32" ht="12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5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  <c r="AA805" s="174"/>
      <c r="AB805" s="174"/>
      <c r="AC805" s="174"/>
      <c r="AD805" s="174"/>
      <c r="AE805" s="174"/>
      <c r="AF805" s="174"/>
    </row>
    <row r="806" spans="1:32" ht="12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5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  <c r="AA806" s="174"/>
      <c r="AB806" s="174"/>
      <c r="AC806" s="174"/>
      <c r="AD806" s="174"/>
      <c r="AE806" s="174"/>
      <c r="AF806" s="174"/>
    </row>
    <row r="807" spans="1:32" ht="12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5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  <c r="AA807" s="174"/>
      <c r="AB807" s="174"/>
      <c r="AC807" s="174"/>
      <c r="AD807" s="174"/>
      <c r="AE807" s="174"/>
      <c r="AF807" s="174"/>
    </row>
    <row r="808" spans="1:32" ht="12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5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  <c r="AA808" s="174"/>
      <c r="AB808" s="174"/>
      <c r="AC808" s="174"/>
      <c r="AD808" s="174"/>
      <c r="AE808" s="174"/>
      <c r="AF808" s="174"/>
    </row>
    <row r="809" spans="1:32" ht="12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5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  <c r="AA809" s="174"/>
      <c r="AB809" s="174"/>
      <c r="AC809" s="174"/>
      <c r="AD809" s="174"/>
      <c r="AE809" s="174"/>
      <c r="AF809" s="174"/>
    </row>
    <row r="810" spans="1:32" ht="12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5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  <c r="AA810" s="174"/>
      <c r="AB810" s="174"/>
      <c r="AC810" s="174"/>
      <c r="AD810" s="174"/>
      <c r="AE810" s="174"/>
      <c r="AF810" s="174"/>
    </row>
    <row r="811" spans="1:32" ht="12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5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  <c r="AA811" s="174"/>
      <c r="AB811" s="174"/>
      <c r="AC811" s="174"/>
      <c r="AD811" s="174"/>
      <c r="AE811" s="174"/>
      <c r="AF811" s="174"/>
    </row>
    <row r="812" spans="1:32" ht="12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5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  <c r="AA812" s="174"/>
      <c r="AB812" s="174"/>
      <c r="AC812" s="174"/>
      <c r="AD812" s="174"/>
      <c r="AE812" s="174"/>
      <c r="AF812" s="174"/>
    </row>
    <row r="813" spans="1:32" ht="12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5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  <c r="AA813" s="174"/>
      <c r="AB813" s="174"/>
      <c r="AC813" s="174"/>
      <c r="AD813" s="174"/>
      <c r="AE813" s="174"/>
      <c r="AF813" s="174"/>
    </row>
    <row r="814" spans="1:32" ht="12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5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  <c r="AA814" s="174"/>
      <c r="AB814" s="174"/>
      <c r="AC814" s="174"/>
      <c r="AD814" s="174"/>
      <c r="AE814" s="174"/>
      <c r="AF814" s="174"/>
    </row>
    <row r="815" spans="1:32" ht="12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5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  <c r="AA815" s="174"/>
      <c r="AB815" s="174"/>
      <c r="AC815" s="174"/>
      <c r="AD815" s="174"/>
      <c r="AE815" s="174"/>
      <c r="AF815" s="174"/>
    </row>
    <row r="816" spans="1:32" ht="12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5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  <c r="AA816" s="174"/>
      <c r="AB816" s="174"/>
      <c r="AC816" s="174"/>
      <c r="AD816" s="174"/>
      <c r="AE816" s="174"/>
      <c r="AF816" s="174"/>
    </row>
    <row r="817" spans="1:32" ht="12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5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  <c r="AA817" s="174"/>
      <c r="AB817" s="174"/>
      <c r="AC817" s="174"/>
      <c r="AD817" s="174"/>
      <c r="AE817" s="174"/>
      <c r="AF817" s="174"/>
    </row>
    <row r="818" spans="1:32" ht="12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5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  <c r="AA818" s="174"/>
      <c r="AB818" s="174"/>
      <c r="AC818" s="174"/>
      <c r="AD818" s="174"/>
      <c r="AE818" s="174"/>
      <c r="AF818" s="174"/>
    </row>
    <row r="819" spans="1:32" ht="12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5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  <c r="AA819" s="174"/>
      <c r="AB819" s="174"/>
      <c r="AC819" s="174"/>
      <c r="AD819" s="174"/>
      <c r="AE819" s="174"/>
      <c r="AF819" s="174"/>
    </row>
    <row r="820" spans="1:32" ht="12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5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  <c r="AA820" s="174"/>
      <c r="AB820" s="174"/>
      <c r="AC820" s="174"/>
      <c r="AD820" s="174"/>
      <c r="AE820" s="174"/>
      <c r="AF820" s="174"/>
    </row>
    <row r="821" spans="1:32" ht="12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5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  <c r="AA821" s="174"/>
      <c r="AB821" s="174"/>
      <c r="AC821" s="174"/>
      <c r="AD821" s="174"/>
      <c r="AE821" s="174"/>
      <c r="AF821" s="174"/>
    </row>
    <row r="822" spans="1:32" ht="12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5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  <c r="AA822" s="174"/>
      <c r="AB822" s="174"/>
      <c r="AC822" s="174"/>
      <c r="AD822" s="174"/>
      <c r="AE822" s="174"/>
      <c r="AF822" s="174"/>
    </row>
    <row r="823" spans="1:32" ht="12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5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  <c r="AA823" s="174"/>
      <c r="AB823" s="174"/>
      <c r="AC823" s="174"/>
      <c r="AD823" s="174"/>
      <c r="AE823" s="174"/>
      <c r="AF823" s="174"/>
    </row>
    <row r="824" spans="1:32" ht="12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5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  <c r="AA824" s="174"/>
      <c r="AB824" s="174"/>
      <c r="AC824" s="174"/>
      <c r="AD824" s="174"/>
      <c r="AE824" s="174"/>
      <c r="AF824" s="174"/>
    </row>
    <row r="825" spans="1:32" ht="12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5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  <c r="AA825" s="174"/>
      <c r="AB825" s="174"/>
      <c r="AC825" s="174"/>
      <c r="AD825" s="174"/>
      <c r="AE825" s="174"/>
      <c r="AF825" s="174"/>
    </row>
    <row r="826" spans="1:32" ht="12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5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  <c r="AA826" s="174"/>
      <c r="AB826" s="174"/>
      <c r="AC826" s="174"/>
      <c r="AD826" s="174"/>
      <c r="AE826" s="174"/>
      <c r="AF826" s="174"/>
    </row>
    <row r="827" spans="1:32" ht="12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5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  <c r="AA827" s="174"/>
      <c r="AB827" s="174"/>
      <c r="AC827" s="174"/>
      <c r="AD827" s="174"/>
      <c r="AE827" s="174"/>
      <c r="AF827" s="174"/>
    </row>
    <row r="828" spans="1:32" ht="12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5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  <c r="AA828" s="174"/>
      <c r="AB828" s="174"/>
      <c r="AC828" s="174"/>
      <c r="AD828" s="174"/>
      <c r="AE828" s="174"/>
      <c r="AF828" s="174"/>
    </row>
    <row r="829" spans="1:32" ht="12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5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  <c r="AA829" s="174"/>
      <c r="AB829" s="174"/>
      <c r="AC829" s="174"/>
      <c r="AD829" s="174"/>
      <c r="AE829" s="174"/>
      <c r="AF829" s="174"/>
    </row>
    <row r="830" spans="1:32" ht="12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5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  <c r="AA830" s="174"/>
      <c r="AB830" s="174"/>
      <c r="AC830" s="174"/>
      <c r="AD830" s="174"/>
      <c r="AE830" s="174"/>
      <c r="AF830" s="174"/>
    </row>
    <row r="831" spans="1:32" ht="12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5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  <c r="AA831" s="174"/>
      <c r="AB831" s="174"/>
      <c r="AC831" s="174"/>
      <c r="AD831" s="174"/>
      <c r="AE831" s="174"/>
      <c r="AF831" s="174"/>
    </row>
    <row r="832" spans="1:32" ht="12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5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  <c r="AA832" s="174"/>
      <c r="AB832" s="174"/>
      <c r="AC832" s="174"/>
      <c r="AD832" s="174"/>
      <c r="AE832" s="174"/>
      <c r="AF832" s="174"/>
    </row>
    <row r="833" spans="1:32" ht="12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5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  <c r="AA833" s="174"/>
      <c r="AB833" s="174"/>
      <c r="AC833" s="174"/>
      <c r="AD833" s="174"/>
      <c r="AE833" s="174"/>
      <c r="AF833" s="174"/>
    </row>
    <row r="834" spans="1:32" ht="12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5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  <c r="AA834" s="174"/>
      <c r="AB834" s="174"/>
      <c r="AC834" s="174"/>
      <c r="AD834" s="174"/>
      <c r="AE834" s="174"/>
      <c r="AF834" s="174"/>
    </row>
    <row r="835" spans="1:32" ht="12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5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  <c r="AA835" s="174"/>
      <c r="AB835" s="174"/>
      <c r="AC835" s="174"/>
      <c r="AD835" s="174"/>
      <c r="AE835" s="174"/>
      <c r="AF835" s="174"/>
    </row>
    <row r="836" spans="1:32" ht="12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5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  <c r="AA836" s="174"/>
      <c r="AB836" s="174"/>
      <c r="AC836" s="174"/>
      <c r="AD836" s="174"/>
      <c r="AE836" s="174"/>
      <c r="AF836" s="174"/>
    </row>
    <row r="837" spans="1:32" ht="12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5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  <c r="AA837" s="174"/>
      <c r="AB837" s="174"/>
      <c r="AC837" s="174"/>
      <c r="AD837" s="174"/>
      <c r="AE837" s="174"/>
      <c r="AF837" s="174"/>
    </row>
    <row r="838" spans="1:32" ht="12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5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  <c r="AA838" s="174"/>
      <c r="AB838" s="174"/>
      <c r="AC838" s="174"/>
      <c r="AD838" s="174"/>
      <c r="AE838" s="174"/>
      <c r="AF838" s="174"/>
    </row>
    <row r="839" spans="1:32" ht="12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5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  <c r="AA839" s="174"/>
      <c r="AB839" s="174"/>
      <c r="AC839" s="174"/>
      <c r="AD839" s="174"/>
      <c r="AE839" s="174"/>
      <c r="AF839" s="174"/>
    </row>
    <row r="840" spans="1:32" ht="12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5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  <c r="AA840" s="174"/>
      <c r="AB840" s="174"/>
      <c r="AC840" s="174"/>
      <c r="AD840" s="174"/>
      <c r="AE840" s="174"/>
      <c r="AF840" s="174"/>
    </row>
    <row r="841" spans="1:32" ht="12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5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  <c r="AA841" s="174"/>
      <c r="AB841" s="174"/>
      <c r="AC841" s="174"/>
      <c r="AD841" s="174"/>
      <c r="AE841" s="174"/>
      <c r="AF841" s="174"/>
    </row>
    <row r="842" spans="1:32" ht="12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5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  <c r="AA842" s="174"/>
      <c r="AB842" s="174"/>
      <c r="AC842" s="174"/>
      <c r="AD842" s="174"/>
      <c r="AE842" s="174"/>
      <c r="AF842" s="174"/>
    </row>
    <row r="843" spans="1:32" ht="12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5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  <c r="AA843" s="174"/>
      <c r="AB843" s="174"/>
      <c r="AC843" s="174"/>
      <c r="AD843" s="174"/>
      <c r="AE843" s="174"/>
      <c r="AF843" s="174"/>
    </row>
    <row r="844" spans="1:32" ht="12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5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  <c r="AA844" s="174"/>
      <c r="AB844" s="174"/>
      <c r="AC844" s="174"/>
      <c r="AD844" s="174"/>
      <c r="AE844" s="174"/>
      <c r="AF844" s="174"/>
    </row>
    <row r="845" spans="1:32" ht="12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5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  <c r="AA845" s="174"/>
      <c r="AB845" s="174"/>
      <c r="AC845" s="174"/>
      <c r="AD845" s="174"/>
      <c r="AE845" s="174"/>
      <c r="AF845" s="174"/>
    </row>
    <row r="846" spans="1:32" ht="12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5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  <c r="AA846" s="174"/>
      <c r="AB846" s="174"/>
      <c r="AC846" s="174"/>
      <c r="AD846" s="174"/>
      <c r="AE846" s="174"/>
      <c r="AF846" s="174"/>
    </row>
    <row r="847" spans="1:32" ht="12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5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  <c r="AA847" s="174"/>
      <c r="AB847" s="174"/>
      <c r="AC847" s="174"/>
      <c r="AD847" s="174"/>
      <c r="AE847" s="174"/>
      <c r="AF847" s="174"/>
    </row>
    <row r="848" spans="1:32" ht="12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5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  <c r="AA848" s="174"/>
      <c r="AB848" s="174"/>
      <c r="AC848" s="174"/>
      <c r="AD848" s="174"/>
      <c r="AE848" s="174"/>
      <c r="AF848" s="174"/>
    </row>
    <row r="849" spans="1:32" ht="12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5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  <c r="AA849" s="174"/>
      <c r="AB849" s="174"/>
      <c r="AC849" s="174"/>
      <c r="AD849" s="174"/>
      <c r="AE849" s="174"/>
      <c r="AF849" s="174"/>
    </row>
    <row r="850" spans="1:32" ht="12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5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  <c r="AA850" s="174"/>
      <c r="AB850" s="174"/>
      <c r="AC850" s="174"/>
      <c r="AD850" s="174"/>
      <c r="AE850" s="174"/>
      <c r="AF850" s="174"/>
    </row>
    <row r="851" spans="1:32" ht="12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5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  <c r="AA851" s="174"/>
      <c r="AB851" s="174"/>
      <c r="AC851" s="174"/>
      <c r="AD851" s="174"/>
      <c r="AE851" s="174"/>
      <c r="AF851" s="174"/>
    </row>
    <row r="852" spans="1:32" ht="12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5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  <c r="AA852" s="174"/>
      <c r="AB852" s="174"/>
      <c r="AC852" s="174"/>
      <c r="AD852" s="174"/>
      <c r="AE852" s="174"/>
      <c r="AF852" s="174"/>
    </row>
    <row r="853" spans="1:32" ht="12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5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  <c r="AA853" s="174"/>
      <c r="AB853" s="174"/>
      <c r="AC853" s="174"/>
      <c r="AD853" s="174"/>
      <c r="AE853" s="174"/>
      <c r="AF853" s="174"/>
    </row>
    <row r="854" spans="1:32" ht="12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5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  <c r="AA854" s="174"/>
      <c r="AB854" s="174"/>
      <c r="AC854" s="174"/>
      <c r="AD854" s="174"/>
      <c r="AE854" s="174"/>
      <c r="AF854" s="174"/>
    </row>
    <row r="855" spans="1:32" ht="12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5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  <c r="AA855" s="174"/>
      <c r="AB855" s="174"/>
      <c r="AC855" s="174"/>
      <c r="AD855" s="174"/>
      <c r="AE855" s="174"/>
      <c r="AF855" s="174"/>
    </row>
    <row r="856" spans="1:32" ht="12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5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  <c r="AA856" s="174"/>
      <c r="AB856" s="174"/>
      <c r="AC856" s="174"/>
      <c r="AD856" s="174"/>
      <c r="AE856" s="174"/>
      <c r="AF856" s="174"/>
    </row>
    <row r="857" spans="1:32" ht="12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5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  <c r="AA857" s="174"/>
      <c r="AB857" s="174"/>
      <c r="AC857" s="174"/>
      <c r="AD857" s="174"/>
      <c r="AE857" s="174"/>
      <c r="AF857" s="174"/>
    </row>
    <row r="858" spans="1:32" ht="12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5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  <c r="AA858" s="174"/>
      <c r="AB858" s="174"/>
      <c r="AC858" s="174"/>
      <c r="AD858" s="174"/>
      <c r="AE858" s="174"/>
      <c r="AF858" s="174"/>
    </row>
    <row r="859" spans="1:32" ht="12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5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  <c r="AA859" s="174"/>
      <c r="AB859" s="174"/>
      <c r="AC859" s="174"/>
      <c r="AD859" s="174"/>
      <c r="AE859" s="174"/>
      <c r="AF859" s="174"/>
    </row>
    <row r="860" spans="1:32" ht="12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5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  <c r="AA860" s="174"/>
      <c r="AB860" s="174"/>
      <c r="AC860" s="174"/>
      <c r="AD860" s="174"/>
      <c r="AE860" s="174"/>
      <c r="AF860" s="174"/>
    </row>
    <row r="861" spans="1:32" ht="12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5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  <c r="AA861" s="174"/>
      <c r="AB861" s="174"/>
      <c r="AC861" s="174"/>
      <c r="AD861" s="174"/>
      <c r="AE861" s="174"/>
      <c r="AF861" s="174"/>
    </row>
    <row r="862" spans="1:32" ht="12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5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  <c r="AA862" s="174"/>
      <c r="AB862" s="174"/>
      <c r="AC862" s="174"/>
      <c r="AD862" s="174"/>
      <c r="AE862" s="174"/>
      <c r="AF862" s="174"/>
    </row>
    <row r="863" spans="1:32" ht="12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5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  <c r="AA863" s="174"/>
      <c r="AB863" s="174"/>
      <c r="AC863" s="174"/>
      <c r="AD863" s="174"/>
      <c r="AE863" s="174"/>
      <c r="AF863" s="174"/>
    </row>
    <row r="864" spans="1:32" ht="12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5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  <c r="AA864" s="174"/>
      <c r="AB864" s="174"/>
      <c r="AC864" s="174"/>
      <c r="AD864" s="174"/>
      <c r="AE864" s="174"/>
      <c r="AF864" s="174"/>
    </row>
    <row r="865" spans="1:32" ht="12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5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  <c r="AA865" s="174"/>
      <c r="AB865" s="174"/>
      <c r="AC865" s="174"/>
      <c r="AD865" s="174"/>
      <c r="AE865" s="174"/>
      <c r="AF865" s="174"/>
    </row>
    <row r="866" spans="1:32" ht="12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5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  <c r="AA866" s="174"/>
      <c r="AB866" s="174"/>
      <c r="AC866" s="174"/>
      <c r="AD866" s="174"/>
      <c r="AE866" s="174"/>
      <c r="AF866" s="174"/>
    </row>
    <row r="867" spans="1:32" ht="12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5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  <c r="AA867" s="174"/>
      <c r="AB867" s="174"/>
      <c r="AC867" s="174"/>
      <c r="AD867" s="174"/>
      <c r="AE867" s="174"/>
      <c r="AF867" s="174"/>
    </row>
    <row r="868" spans="1:32" ht="12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5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  <c r="AA868" s="174"/>
      <c r="AB868" s="174"/>
      <c r="AC868" s="174"/>
      <c r="AD868" s="174"/>
      <c r="AE868" s="174"/>
      <c r="AF868" s="174"/>
    </row>
    <row r="869" spans="1:32" ht="12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5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  <c r="AA869" s="174"/>
      <c r="AB869" s="174"/>
      <c r="AC869" s="174"/>
      <c r="AD869" s="174"/>
      <c r="AE869" s="174"/>
      <c r="AF869" s="174"/>
    </row>
    <row r="870" spans="1:32" ht="12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5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  <c r="AA870" s="174"/>
      <c r="AB870" s="174"/>
      <c r="AC870" s="174"/>
      <c r="AD870" s="174"/>
      <c r="AE870" s="174"/>
      <c r="AF870" s="174"/>
    </row>
    <row r="871" spans="1:32" ht="12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5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  <c r="AA871" s="174"/>
      <c r="AB871" s="174"/>
      <c r="AC871" s="174"/>
      <c r="AD871" s="174"/>
      <c r="AE871" s="174"/>
      <c r="AF871" s="174"/>
    </row>
    <row r="872" spans="1:32" ht="12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5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  <c r="AA872" s="174"/>
      <c r="AB872" s="174"/>
      <c r="AC872" s="174"/>
      <c r="AD872" s="174"/>
      <c r="AE872" s="174"/>
      <c r="AF872" s="174"/>
    </row>
    <row r="873" spans="1:32" ht="12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5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  <c r="AA873" s="174"/>
      <c r="AB873" s="174"/>
      <c r="AC873" s="174"/>
      <c r="AD873" s="174"/>
      <c r="AE873" s="174"/>
      <c r="AF873" s="174"/>
    </row>
    <row r="874" spans="1:32" ht="12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5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  <c r="AA874" s="174"/>
      <c r="AB874" s="174"/>
      <c r="AC874" s="174"/>
      <c r="AD874" s="174"/>
      <c r="AE874" s="174"/>
      <c r="AF874" s="174"/>
    </row>
    <row r="875" spans="1:32" ht="12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5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  <c r="AA875" s="174"/>
      <c r="AB875" s="174"/>
      <c r="AC875" s="174"/>
      <c r="AD875" s="174"/>
      <c r="AE875" s="174"/>
      <c r="AF875" s="174"/>
    </row>
    <row r="876" spans="1:32" ht="12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5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  <c r="AA876" s="174"/>
      <c r="AB876" s="174"/>
      <c r="AC876" s="174"/>
      <c r="AD876" s="174"/>
      <c r="AE876" s="174"/>
      <c r="AF876" s="174"/>
    </row>
    <row r="877" spans="1:32" ht="12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5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  <c r="AA877" s="174"/>
      <c r="AB877" s="174"/>
      <c r="AC877" s="174"/>
      <c r="AD877" s="174"/>
      <c r="AE877" s="174"/>
      <c r="AF877" s="174"/>
    </row>
    <row r="878" spans="1:32" ht="12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5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  <c r="AA878" s="174"/>
      <c r="AB878" s="174"/>
      <c r="AC878" s="174"/>
      <c r="AD878" s="174"/>
      <c r="AE878" s="174"/>
      <c r="AF878" s="174"/>
    </row>
    <row r="879" spans="1:32" ht="12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5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  <c r="AA879" s="174"/>
      <c r="AB879" s="174"/>
      <c r="AC879" s="174"/>
      <c r="AD879" s="174"/>
      <c r="AE879" s="174"/>
      <c r="AF879" s="174"/>
    </row>
    <row r="880" spans="1:32" ht="12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5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  <c r="AA880" s="174"/>
      <c r="AB880" s="174"/>
      <c r="AC880" s="174"/>
      <c r="AD880" s="174"/>
      <c r="AE880" s="174"/>
      <c r="AF880" s="174"/>
    </row>
    <row r="881" spans="1:32" ht="12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5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  <c r="AA881" s="174"/>
      <c r="AB881" s="174"/>
      <c r="AC881" s="174"/>
      <c r="AD881" s="174"/>
      <c r="AE881" s="174"/>
      <c r="AF881" s="174"/>
    </row>
    <row r="882" spans="1:32" ht="12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5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  <c r="AA882" s="174"/>
      <c r="AB882" s="174"/>
      <c r="AC882" s="174"/>
      <c r="AD882" s="174"/>
      <c r="AE882" s="174"/>
      <c r="AF882" s="174"/>
    </row>
    <row r="883" spans="1:32" ht="12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5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  <c r="AA883" s="174"/>
      <c r="AB883" s="174"/>
      <c r="AC883" s="174"/>
      <c r="AD883" s="174"/>
      <c r="AE883" s="174"/>
      <c r="AF883" s="174"/>
    </row>
    <row r="884" spans="1:32" ht="12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5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  <c r="AA884" s="174"/>
      <c r="AB884" s="174"/>
      <c r="AC884" s="174"/>
      <c r="AD884" s="174"/>
      <c r="AE884" s="174"/>
      <c r="AF884" s="174"/>
    </row>
    <row r="885" spans="1:32" ht="12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5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  <c r="AA885" s="174"/>
      <c r="AB885" s="174"/>
      <c r="AC885" s="174"/>
      <c r="AD885" s="174"/>
      <c r="AE885" s="174"/>
      <c r="AF885" s="174"/>
    </row>
    <row r="886" spans="1:32" ht="12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5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  <c r="AA886" s="174"/>
      <c r="AB886" s="174"/>
      <c r="AC886" s="174"/>
      <c r="AD886" s="174"/>
      <c r="AE886" s="174"/>
      <c r="AF886" s="174"/>
    </row>
    <row r="887" spans="1:32" ht="12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5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  <c r="AA887" s="174"/>
      <c r="AB887" s="174"/>
      <c r="AC887" s="174"/>
      <c r="AD887" s="174"/>
      <c r="AE887" s="174"/>
      <c r="AF887" s="174"/>
    </row>
    <row r="888" spans="1:32" ht="12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5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  <c r="AA888" s="174"/>
      <c r="AB888" s="174"/>
      <c r="AC888" s="174"/>
      <c r="AD888" s="174"/>
      <c r="AE888" s="174"/>
      <c r="AF888" s="174"/>
    </row>
    <row r="889" spans="1:32" ht="12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5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  <c r="AA889" s="174"/>
      <c r="AB889" s="174"/>
      <c r="AC889" s="174"/>
      <c r="AD889" s="174"/>
      <c r="AE889" s="174"/>
      <c r="AF889" s="174"/>
    </row>
    <row r="890" spans="1:32" ht="12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5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  <c r="AA890" s="174"/>
      <c r="AB890" s="174"/>
      <c r="AC890" s="174"/>
      <c r="AD890" s="174"/>
      <c r="AE890" s="174"/>
      <c r="AF890" s="174"/>
    </row>
    <row r="891" spans="1:32" ht="12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5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  <c r="AA891" s="174"/>
      <c r="AB891" s="174"/>
      <c r="AC891" s="174"/>
      <c r="AD891" s="174"/>
      <c r="AE891" s="174"/>
      <c r="AF891" s="174"/>
    </row>
    <row r="892" spans="1:32" ht="12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5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  <c r="AA892" s="174"/>
      <c r="AB892" s="174"/>
      <c r="AC892" s="174"/>
      <c r="AD892" s="174"/>
      <c r="AE892" s="174"/>
      <c r="AF892" s="174"/>
    </row>
    <row r="893" spans="1:32" ht="12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5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  <c r="AA893" s="174"/>
      <c r="AB893" s="174"/>
      <c r="AC893" s="174"/>
      <c r="AD893" s="174"/>
      <c r="AE893" s="174"/>
      <c r="AF893" s="174"/>
    </row>
    <row r="894" spans="1:32" ht="12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5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  <c r="AA894" s="174"/>
      <c r="AB894" s="174"/>
      <c r="AC894" s="174"/>
      <c r="AD894" s="174"/>
      <c r="AE894" s="174"/>
      <c r="AF894" s="174"/>
    </row>
    <row r="895" spans="1:32" ht="12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5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  <c r="AA895" s="174"/>
      <c r="AB895" s="174"/>
      <c r="AC895" s="174"/>
      <c r="AD895" s="174"/>
      <c r="AE895" s="174"/>
      <c r="AF895" s="174"/>
    </row>
    <row r="896" spans="1:32" ht="12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5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  <c r="AA896" s="174"/>
      <c r="AB896" s="174"/>
      <c r="AC896" s="174"/>
      <c r="AD896" s="174"/>
      <c r="AE896" s="174"/>
      <c r="AF896" s="174"/>
    </row>
    <row r="897" spans="1:32" ht="12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5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  <c r="AA897" s="174"/>
      <c r="AB897" s="174"/>
      <c r="AC897" s="174"/>
      <c r="AD897" s="174"/>
      <c r="AE897" s="174"/>
      <c r="AF897" s="174"/>
    </row>
    <row r="898" spans="1:32" ht="12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5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  <c r="AA898" s="174"/>
      <c r="AB898" s="174"/>
      <c r="AC898" s="174"/>
      <c r="AD898" s="174"/>
      <c r="AE898" s="174"/>
      <c r="AF898" s="174"/>
    </row>
    <row r="899" spans="1:32" ht="12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5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  <c r="AA899" s="174"/>
      <c r="AB899" s="174"/>
      <c r="AC899" s="174"/>
      <c r="AD899" s="174"/>
      <c r="AE899" s="174"/>
      <c r="AF899" s="174"/>
    </row>
    <row r="900" spans="1:32" ht="12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5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  <c r="AA900" s="174"/>
      <c r="AB900" s="174"/>
      <c r="AC900" s="174"/>
      <c r="AD900" s="174"/>
      <c r="AE900" s="174"/>
      <c r="AF900" s="174"/>
    </row>
    <row r="901" spans="1:32" ht="12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5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  <c r="AA901" s="174"/>
      <c r="AB901" s="174"/>
      <c r="AC901" s="174"/>
      <c r="AD901" s="174"/>
      <c r="AE901" s="174"/>
      <c r="AF901" s="174"/>
    </row>
    <row r="902" spans="1:32" ht="12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5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  <c r="AA902" s="174"/>
      <c r="AB902" s="174"/>
      <c r="AC902" s="174"/>
      <c r="AD902" s="174"/>
      <c r="AE902" s="174"/>
      <c r="AF902" s="174"/>
    </row>
    <row r="903" spans="1:32" ht="12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5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  <c r="AA903" s="174"/>
      <c r="AB903" s="174"/>
      <c r="AC903" s="174"/>
      <c r="AD903" s="174"/>
      <c r="AE903" s="174"/>
      <c r="AF903" s="174"/>
    </row>
    <row r="904" spans="1:32" ht="12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5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  <c r="AA904" s="174"/>
      <c r="AB904" s="174"/>
      <c r="AC904" s="174"/>
      <c r="AD904" s="174"/>
      <c r="AE904" s="174"/>
      <c r="AF904" s="174"/>
    </row>
    <row r="905" spans="1:32" ht="12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5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  <c r="AA905" s="174"/>
      <c r="AB905" s="174"/>
      <c r="AC905" s="174"/>
      <c r="AD905" s="174"/>
      <c r="AE905" s="174"/>
      <c r="AF905" s="174"/>
    </row>
    <row r="906" spans="1:32" ht="12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5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  <c r="AA906" s="174"/>
      <c r="AB906" s="174"/>
      <c r="AC906" s="174"/>
      <c r="AD906" s="174"/>
      <c r="AE906" s="174"/>
      <c r="AF906" s="174"/>
    </row>
    <row r="907" spans="1:32" ht="12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5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  <c r="AA907" s="174"/>
      <c r="AB907" s="174"/>
      <c r="AC907" s="174"/>
      <c r="AD907" s="174"/>
      <c r="AE907" s="174"/>
      <c r="AF907" s="174"/>
    </row>
    <row r="908" spans="1:32" ht="12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5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  <c r="AA908" s="174"/>
      <c r="AB908" s="174"/>
      <c r="AC908" s="174"/>
      <c r="AD908" s="174"/>
      <c r="AE908" s="174"/>
      <c r="AF908" s="174"/>
    </row>
    <row r="909" spans="1:32" ht="12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5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  <c r="AA909" s="174"/>
      <c r="AB909" s="174"/>
      <c r="AC909" s="174"/>
      <c r="AD909" s="174"/>
      <c r="AE909" s="174"/>
      <c r="AF909" s="174"/>
    </row>
    <row r="910" spans="1:32" ht="12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5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  <c r="AA910" s="174"/>
      <c r="AB910" s="174"/>
      <c r="AC910" s="174"/>
      <c r="AD910" s="174"/>
      <c r="AE910" s="174"/>
      <c r="AF910" s="174"/>
    </row>
    <row r="911" spans="1:32" ht="12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5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  <c r="AA911" s="174"/>
      <c r="AB911" s="174"/>
      <c r="AC911" s="174"/>
      <c r="AD911" s="174"/>
      <c r="AE911" s="174"/>
      <c r="AF911" s="174"/>
    </row>
    <row r="912" spans="1:32" ht="12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5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  <c r="AA912" s="174"/>
      <c r="AB912" s="174"/>
      <c r="AC912" s="174"/>
      <c r="AD912" s="174"/>
      <c r="AE912" s="174"/>
      <c r="AF912" s="174"/>
    </row>
    <row r="913" spans="1:32" ht="12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5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  <c r="AA913" s="174"/>
      <c r="AB913" s="174"/>
      <c r="AC913" s="174"/>
      <c r="AD913" s="174"/>
      <c r="AE913" s="174"/>
      <c r="AF913" s="174"/>
    </row>
    <row r="914" spans="1:32" ht="12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5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  <c r="AA914" s="174"/>
      <c r="AB914" s="174"/>
      <c r="AC914" s="174"/>
      <c r="AD914" s="174"/>
      <c r="AE914" s="174"/>
      <c r="AF914" s="174"/>
    </row>
    <row r="915" spans="1:32" ht="12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5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  <c r="AA915" s="174"/>
      <c r="AB915" s="174"/>
      <c r="AC915" s="174"/>
      <c r="AD915" s="174"/>
      <c r="AE915" s="174"/>
      <c r="AF915" s="174"/>
    </row>
    <row r="916" spans="1:32" ht="12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5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  <c r="AA916" s="174"/>
      <c r="AB916" s="174"/>
      <c r="AC916" s="174"/>
      <c r="AD916" s="174"/>
      <c r="AE916" s="174"/>
      <c r="AF916" s="174"/>
    </row>
    <row r="917" spans="1:32" ht="12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5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  <c r="AA917" s="174"/>
      <c r="AB917" s="174"/>
      <c r="AC917" s="174"/>
      <c r="AD917" s="174"/>
      <c r="AE917" s="174"/>
      <c r="AF917" s="174"/>
    </row>
    <row r="918" spans="1:32" ht="12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5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  <c r="AA918" s="174"/>
      <c r="AB918" s="174"/>
      <c r="AC918" s="174"/>
      <c r="AD918" s="174"/>
      <c r="AE918" s="174"/>
      <c r="AF918" s="174"/>
    </row>
    <row r="919" spans="1:32" ht="12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5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  <c r="AA919" s="174"/>
      <c r="AB919" s="174"/>
      <c r="AC919" s="174"/>
      <c r="AD919" s="174"/>
      <c r="AE919" s="174"/>
      <c r="AF919" s="174"/>
    </row>
    <row r="920" spans="1:32" ht="12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5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  <c r="AA920" s="174"/>
      <c r="AB920" s="174"/>
      <c r="AC920" s="174"/>
      <c r="AD920" s="174"/>
      <c r="AE920" s="174"/>
      <c r="AF920" s="174"/>
    </row>
    <row r="921" spans="1:32" ht="12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5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  <c r="AA921" s="174"/>
      <c r="AB921" s="174"/>
      <c r="AC921" s="174"/>
      <c r="AD921" s="174"/>
      <c r="AE921" s="174"/>
      <c r="AF921" s="174"/>
    </row>
    <row r="922" spans="1:32" ht="12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5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  <c r="AA922" s="174"/>
      <c r="AB922" s="174"/>
      <c r="AC922" s="174"/>
      <c r="AD922" s="174"/>
      <c r="AE922" s="174"/>
      <c r="AF922" s="174"/>
    </row>
    <row r="923" spans="1:32" ht="12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5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  <c r="AA923" s="174"/>
      <c r="AB923" s="174"/>
      <c r="AC923" s="174"/>
      <c r="AD923" s="174"/>
      <c r="AE923" s="174"/>
      <c r="AF923" s="174"/>
    </row>
    <row r="924" spans="1:32" ht="12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5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  <c r="AA924" s="174"/>
      <c r="AB924" s="174"/>
      <c r="AC924" s="174"/>
      <c r="AD924" s="174"/>
      <c r="AE924" s="174"/>
      <c r="AF924" s="174"/>
    </row>
    <row r="925" spans="1:32" ht="12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5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  <c r="AA925" s="174"/>
      <c r="AB925" s="174"/>
      <c r="AC925" s="174"/>
      <c r="AD925" s="174"/>
      <c r="AE925" s="174"/>
      <c r="AF925" s="174"/>
    </row>
    <row r="926" spans="1:32" ht="12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5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  <c r="AA926" s="174"/>
      <c r="AB926" s="174"/>
      <c r="AC926" s="174"/>
      <c r="AD926" s="174"/>
      <c r="AE926" s="174"/>
      <c r="AF926" s="174"/>
    </row>
    <row r="927" spans="1:32" ht="12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5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  <c r="AA927" s="174"/>
      <c r="AB927" s="174"/>
      <c r="AC927" s="174"/>
      <c r="AD927" s="174"/>
      <c r="AE927" s="174"/>
      <c r="AF927" s="174"/>
    </row>
    <row r="928" spans="1:32" ht="12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5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  <c r="AA928" s="174"/>
      <c r="AB928" s="174"/>
      <c r="AC928" s="174"/>
      <c r="AD928" s="174"/>
      <c r="AE928" s="174"/>
      <c r="AF928" s="174"/>
    </row>
    <row r="929" spans="1:32" ht="12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5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  <c r="AA929" s="174"/>
      <c r="AB929" s="174"/>
      <c r="AC929" s="174"/>
      <c r="AD929" s="174"/>
      <c r="AE929" s="174"/>
      <c r="AF929" s="174"/>
    </row>
    <row r="930" spans="1:32" ht="12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5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  <c r="AA930" s="174"/>
      <c r="AB930" s="174"/>
      <c r="AC930" s="174"/>
      <c r="AD930" s="174"/>
      <c r="AE930" s="174"/>
      <c r="AF930" s="174"/>
    </row>
    <row r="931" spans="1:32" ht="12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5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  <c r="AA931" s="174"/>
      <c r="AB931" s="174"/>
      <c r="AC931" s="174"/>
      <c r="AD931" s="174"/>
      <c r="AE931" s="174"/>
      <c r="AF931" s="174"/>
    </row>
    <row r="932" spans="1:32" ht="12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5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  <c r="AA932" s="174"/>
      <c r="AB932" s="174"/>
      <c r="AC932" s="174"/>
      <c r="AD932" s="174"/>
      <c r="AE932" s="174"/>
      <c r="AF932" s="174"/>
    </row>
    <row r="933" spans="1:32" ht="12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5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  <c r="AA933" s="174"/>
      <c r="AB933" s="174"/>
      <c r="AC933" s="174"/>
      <c r="AD933" s="174"/>
      <c r="AE933" s="174"/>
      <c r="AF933" s="174"/>
    </row>
    <row r="934" spans="1:32" ht="12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5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  <c r="AA934" s="174"/>
      <c r="AB934" s="174"/>
      <c r="AC934" s="174"/>
      <c r="AD934" s="174"/>
      <c r="AE934" s="174"/>
      <c r="AF934" s="174"/>
    </row>
    <row r="935" spans="1:32" ht="12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5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  <c r="AA935" s="174"/>
      <c r="AB935" s="174"/>
      <c r="AC935" s="174"/>
      <c r="AD935" s="174"/>
      <c r="AE935" s="174"/>
      <c r="AF935" s="174"/>
    </row>
    <row r="936" spans="1:32" ht="12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5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  <c r="AA936" s="174"/>
      <c r="AB936" s="174"/>
      <c r="AC936" s="174"/>
      <c r="AD936" s="174"/>
      <c r="AE936" s="174"/>
      <c r="AF936" s="174"/>
    </row>
    <row r="937" spans="1:32" ht="12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5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  <c r="AD937" s="174"/>
      <c r="AE937" s="174"/>
      <c r="AF937" s="174"/>
    </row>
    <row r="938" spans="1:32" ht="12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5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  <c r="AA938" s="174"/>
      <c r="AB938" s="174"/>
      <c r="AC938" s="174"/>
      <c r="AD938" s="174"/>
      <c r="AE938" s="174"/>
      <c r="AF938" s="174"/>
    </row>
    <row r="939" spans="1:32" ht="12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5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  <c r="AA939" s="174"/>
      <c r="AB939" s="174"/>
      <c r="AC939" s="174"/>
      <c r="AD939" s="174"/>
      <c r="AE939" s="174"/>
      <c r="AF939" s="174"/>
    </row>
    <row r="940" spans="1:32" ht="12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5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  <c r="AA940" s="174"/>
      <c r="AB940" s="174"/>
      <c r="AC940" s="174"/>
      <c r="AD940" s="174"/>
      <c r="AE940" s="174"/>
      <c r="AF940" s="174"/>
    </row>
    <row r="941" spans="1:32" ht="12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5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  <c r="AA941" s="174"/>
      <c r="AB941" s="174"/>
      <c r="AC941" s="174"/>
      <c r="AD941" s="174"/>
      <c r="AE941" s="174"/>
      <c r="AF941" s="174"/>
    </row>
    <row r="942" spans="1:32" ht="12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5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  <c r="AA942" s="174"/>
      <c r="AB942" s="174"/>
      <c r="AC942" s="174"/>
      <c r="AD942" s="174"/>
      <c r="AE942" s="174"/>
      <c r="AF942" s="174"/>
    </row>
    <row r="943" spans="1:32" ht="12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5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  <c r="AA943" s="174"/>
      <c r="AB943" s="174"/>
      <c r="AC943" s="174"/>
      <c r="AD943" s="174"/>
      <c r="AE943" s="174"/>
      <c r="AF943" s="174"/>
    </row>
    <row r="944" spans="1:32" ht="12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5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  <c r="AA944" s="174"/>
      <c r="AB944" s="174"/>
      <c r="AC944" s="174"/>
      <c r="AD944" s="174"/>
      <c r="AE944" s="174"/>
      <c r="AF944" s="174"/>
    </row>
    <row r="945" spans="1:32" ht="12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5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  <c r="AA945" s="174"/>
      <c r="AB945" s="174"/>
      <c r="AC945" s="174"/>
      <c r="AD945" s="174"/>
      <c r="AE945" s="174"/>
      <c r="AF945" s="174"/>
    </row>
    <row r="946" spans="1:32" ht="12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5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  <c r="AA946" s="174"/>
      <c r="AB946" s="174"/>
      <c r="AC946" s="174"/>
      <c r="AD946" s="174"/>
      <c r="AE946" s="174"/>
      <c r="AF946" s="174"/>
    </row>
    <row r="947" spans="1:32" ht="12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5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  <c r="AA947" s="174"/>
      <c r="AB947" s="174"/>
      <c r="AC947" s="174"/>
      <c r="AD947" s="174"/>
      <c r="AE947" s="174"/>
      <c r="AF947" s="174"/>
    </row>
    <row r="948" spans="1:32" ht="12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5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  <c r="AA948" s="174"/>
      <c r="AB948" s="174"/>
      <c r="AC948" s="174"/>
      <c r="AD948" s="174"/>
      <c r="AE948" s="174"/>
      <c r="AF948" s="174"/>
    </row>
    <row r="949" spans="1:32" ht="12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5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  <c r="AA949" s="174"/>
      <c r="AB949" s="174"/>
      <c r="AC949" s="174"/>
      <c r="AD949" s="174"/>
      <c r="AE949" s="174"/>
      <c r="AF949" s="174"/>
    </row>
    <row r="950" spans="1:32" ht="12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5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  <c r="AA950" s="174"/>
      <c r="AB950" s="174"/>
      <c r="AC950" s="174"/>
      <c r="AD950" s="174"/>
      <c r="AE950" s="174"/>
      <c r="AF950" s="174"/>
    </row>
    <row r="951" spans="1:32" ht="12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5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  <c r="AA951" s="174"/>
      <c r="AB951" s="174"/>
      <c r="AC951" s="174"/>
      <c r="AD951" s="174"/>
      <c r="AE951" s="174"/>
      <c r="AF951" s="174"/>
    </row>
    <row r="952" spans="1:32" ht="12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5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  <c r="AA952" s="174"/>
      <c r="AB952" s="174"/>
      <c r="AC952" s="174"/>
      <c r="AD952" s="174"/>
      <c r="AE952" s="174"/>
      <c r="AF952" s="174"/>
    </row>
    <row r="953" spans="1:32" ht="12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5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  <c r="AA953" s="174"/>
      <c r="AB953" s="174"/>
      <c r="AC953" s="174"/>
      <c r="AD953" s="174"/>
      <c r="AE953" s="174"/>
      <c r="AF953" s="174"/>
    </row>
    <row r="954" spans="1:32" ht="12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5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  <c r="AA954" s="174"/>
      <c r="AB954" s="174"/>
      <c r="AC954" s="174"/>
      <c r="AD954" s="174"/>
      <c r="AE954" s="174"/>
      <c r="AF954" s="174"/>
    </row>
    <row r="955" spans="1:32" ht="12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5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  <c r="AA955" s="174"/>
      <c r="AB955" s="174"/>
      <c r="AC955" s="174"/>
      <c r="AD955" s="174"/>
      <c r="AE955" s="174"/>
      <c r="AF955" s="174"/>
    </row>
    <row r="956" spans="1:32" ht="12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5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  <c r="AA956" s="174"/>
      <c r="AB956" s="174"/>
      <c r="AC956" s="174"/>
      <c r="AD956" s="174"/>
      <c r="AE956" s="174"/>
      <c r="AF956" s="174"/>
    </row>
    <row r="957" spans="1:32" ht="12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5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  <c r="AA957" s="174"/>
      <c r="AB957" s="174"/>
      <c r="AC957" s="174"/>
      <c r="AD957" s="174"/>
      <c r="AE957" s="174"/>
      <c r="AF957" s="174"/>
    </row>
    <row r="958" spans="1:32" ht="12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5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  <c r="AA958" s="174"/>
      <c r="AB958" s="174"/>
      <c r="AC958" s="174"/>
      <c r="AD958" s="174"/>
      <c r="AE958" s="174"/>
      <c r="AF958" s="174"/>
    </row>
    <row r="959" spans="1:32" ht="12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5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  <c r="AA959" s="174"/>
      <c r="AB959" s="174"/>
      <c r="AC959" s="174"/>
      <c r="AD959" s="174"/>
      <c r="AE959" s="174"/>
      <c r="AF959" s="174"/>
    </row>
    <row r="960" spans="1:32" ht="12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5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  <c r="AA960" s="174"/>
      <c r="AB960" s="174"/>
      <c r="AC960" s="174"/>
      <c r="AD960" s="174"/>
      <c r="AE960" s="174"/>
      <c r="AF960" s="174"/>
    </row>
    <row r="961" spans="1:32" ht="12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5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  <c r="AA961" s="174"/>
      <c r="AB961" s="174"/>
      <c r="AC961" s="174"/>
      <c r="AD961" s="174"/>
      <c r="AE961" s="174"/>
      <c r="AF961" s="174"/>
    </row>
    <row r="962" spans="1:32" ht="12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5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  <c r="AA962" s="174"/>
      <c r="AB962" s="174"/>
      <c r="AC962" s="174"/>
      <c r="AD962" s="174"/>
      <c r="AE962" s="174"/>
      <c r="AF962" s="174"/>
    </row>
    <row r="963" spans="1:32" ht="12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5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  <c r="AA963" s="174"/>
      <c r="AB963" s="174"/>
      <c r="AC963" s="174"/>
      <c r="AD963" s="174"/>
      <c r="AE963" s="174"/>
      <c r="AF963" s="174"/>
    </row>
    <row r="964" spans="1:32" ht="12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5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  <c r="AA964" s="174"/>
      <c r="AB964" s="174"/>
      <c r="AC964" s="174"/>
      <c r="AD964" s="174"/>
      <c r="AE964" s="174"/>
      <c r="AF964" s="174"/>
    </row>
    <row r="965" spans="1:32" ht="12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5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  <c r="AA965" s="174"/>
      <c r="AB965" s="174"/>
      <c r="AC965" s="174"/>
      <c r="AD965" s="174"/>
      <c r="AE965" s="174"/>
      <c r="AF965" s="174"/>
    </row>
    <row r="966" spans="1:32" ht="12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5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  <c r="AA966" s="174"/>
      <c r="AB966" s="174"/>
      <c r="AC966" s="174"/>
      <c r="AD966" s="174"/>
      <c r="AE966" s="174"/>
      <c r="AF966" s="174"/>
    </row>
    <row r="967" spans="1:32" ht="12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5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  <c r="AA967" s="174"/>
      <c r="AB967" s="174"/>
      <c r="AC967" s="174"/>
      <c r="AD967" s="174"/>
      <c r="AE967" s="174"/>
      <c r="AF967" s="174"/>
    </row>
    <row r="968" spans="1:32" ht="12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5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  <c r="AA968" s="174"/>
      <c r="AB968" s="174"/>
      <c r="AC968" s="174"/>
      <c r="AD968" s="174"/>
      <c r="AE968" s="174"/>
      <c r="AF968" s="174"/>
    </row>
    <row r="969" spans="1:32" ht="12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5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  <c r="AA969" s="174"/>
      <c r="AB969" s="174"/>
      <c r="AC969" s="174"/>
      <c r="AD969" s="174"/>
      <c r="AE969" s="174"/>
      <c r="AF969" s="174"/>
    </row>
    <row r="970" spans="1:32" ht="12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5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  <c r="AA970" s="174"/>
      <c r="AB970" s="174"/>
      <c r="AC970" s="174"/>
      <c r="AD970" s="174"/>
      <c r="AE970" s="174"/>
      <c r="AF970" s="174"/>
    </row>
    <row r="971" spans="1:32" ht="12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5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  <c r="AA971" s="174"/>
      <c r="AB971" s="174"/>
      <c r="AC971" s="174"/>
      <c r="AD971" s="174"/>
      <c r="AE971" s="174"/>
      <c r="AF971" s="174"/>
    </row>
    <row r="972" spans="1:32" ht="12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5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  <c r="AA972" s="174"/>
      <c r="AB972" s="174"/>
      <c r="AC972" s="174"/>
      <c r="AD972" s="174"/>
      <c r="AE972" s="174"/>
      <c r="AF972" s="174"/>
    </row>
    <row r="973" spans="1:32" ht="12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5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  <c r="AA973" s="174"/>
      <c r="AB973" s="174"/>
      <c r="AC973" s="174"/>
      <c r="AD973" s="174"/>
      <c r="AE973" s="174"/>
      <c r="AF973" s="174"/>
    </row>
    <row r="974" spans="1:32" ht="12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5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  <c r="AA974" s="174"/>
      <c r="AB974" s="174"/>
      <c r="AC974" s="174"/>
      <c r="AD974" s="174"/>
      <c r="AE974" s="174"/>
      <c r="AF974" s="174"/>
    </row>
    <row r="975" spans="1:32" ht="12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5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  <c r="AA975" s="174"/>
      <c r="AB975" s="174"/>
      <c r="AC975" s="174"/>
      <c r="AD975" s="174"/>
      <c r="AE975" s="174"/>
      <c r="AF975" s="174"/>
    </row>
    <row r="976" spans="1:32" ht="12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5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  <c r="AA976" s="174"/>
      <c r="AB976" s="174"/>
      <c r="AC976" s="174"/>
      <c r="AD976" s="174"/>
      <c r="AE976" s="174"/>
      <c r="AF976" s="174"/>
    </row>
    <row r="977" spans="1:32" ht="12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5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  <c r="AA977" s="174"/>
      <c r="AB977" s="174"/>
      <c r="AC977" s="174"/>
      <c r="AD977" s="174"/>
      <c r="AE977" s="174"/>
      <c r="AF977" s="174"/>
    </row>
    <row r="978" spans="1:32" ht="12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5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  <c r="AA978" s="174"/>
      <c r="AB978" s="174"/>
      <c r="AC978" s="174"/>
      <c r="AD978" s="174"/>
      <c r="AE978" s="174"/>
      <c r="AF978" s="174"/>
    </row>
    <row r="979" spans="1:32" ht="12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5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  <c r="AA979" s="174"/>
      <c r="AB979" s="174"/>
      <c r="AC979" s="174"/>
      <c r="AD979" s="174"/>
      <c r="AE979" s="174"/>
      <c r="AF979" s="174"/>
    </row>
    <row r="980" spans="1:32" ht="12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5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  <c r="AA980" s="174"/>
      <c r="AB980" s="174"/>
      <c r="AC980" s="174"/>
      <c r="AD980" s="174"/>
      <c r="AE980" s="174"/>
      <c r="AF980" s="174"/>
    </row>
    <row r="981" spans="1:32" ht="12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5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  <c r="AA981" s="174"/>
      <c r="AB981" s="174"/>
      <c r="AC981" s="174"/>
      <c r="AD981" s="174"/>
      <c r="AE981" s="174"/>
      <c r="AF981" s="174"/>
    </row>
    <row r="982" spans="1:32" ht="12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5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  <c r="AA982" s="174"/>
      <c r="AB982" s="174"/>
      <c r="AC982" s="174"/>
      <c r="AD982" s="174"/>
      <c r="AE982" s="174"/>
      <c r="AF982" s="174"/>
    </row>
    <row r="983" spans="1:32" ht="12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5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  <c r="AA983" s="174"/>
      <c r="AB983" s="174"/>
      <c r="AC983" s="174"/>
      <c r="AD983" s="174"/>
      <c r="AE983" s="174"/>
      <c r="AF983" s="174"/>
    </row>
    <row r="984" spans="1:32" ht="12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5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  <c r="AA984" s="174"/>
      <c r="AB984" s="174"/>
      <c r="AC984" s="174"/>
      <c r="AD984" s="174"/>
      <c r="AE984" s="174"/>
      <c r="AF984" s="174"/>
    </row>
    <row r="985" spans="1:32" ht="12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5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  <c r="AA985" s="174"/>
      <c r="AB985" s="174"/>
      <c r="AC985" s="174"/>
      <c r="AD985" s="174"/>
      <c r="AE985" s="174"/>
      <c r="AF985" s="174"/>
    </row>
    <row r="986" spans="1:32" ht="12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5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  <c r="AA986" s="174"/>
      <c r="AB986" s="174"/>
      <c r="AC986" s="174"/>
      <c r="AD986" s="174"/>
      <c r="AE986" s="174"/>
      <c r="AF986" s="174"/>
    </row>
    <row r="987" spans="1:32" ht="12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5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  <c r="AA987" s="174"/>
      <c r="AB987" s="174"/>
      <c r="AC987" s="174"/>
      <c r="AD987" s="174"/>
      <c r="AE987" s="174"/>
      <c r="AF987" s="174"/>
    </row>
    <row r="988" spans="1:32" ht="12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5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  <c r="AA988" s="174"/>
      <c r="AB988" s="174"/>
      <c r="AC988" s="174"/>
      <c r="AD988" s="174"/>
      <c r="AE988" s="174"/>
      <c r="AF988" s="174"/>
    </row>
    <row r="989" spans="1:32" ht="12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5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  <c r="AA989" s="174"/>
      <c r="AB989" s="174"/>
      <c r="AC989" s="174"/>
      <c r="AD989" s="174"/>
      <c r="AE989" s="174"/>
      <c r="AF989" s="174"/>
    </row>
    <row r="990" spans="1:32" ht="12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5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  <c r="AA990" s="174"/>
      <c r="AB990" s="174"/>
      <c r="AC990" s="174"/>
      <c r="AD990" s="174"/>
      <c r="AE990" s="174"/>
      <c r="AF990" s="174"/>
    </row>
    <row r="991" spans="1:32" ht="12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5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  <c r="AA991" s="174"/>
      <c r="AB991" s="174"/>
      <c r="AC991" s="174"/>
      <c r="AD991" s="174"/>
      <c r="AE991" s="174"/>
      <c r="AF991" s="174"/>
    </row>
    <row r="992" spans="1:32" ht="12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5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  <c r="AA992" s="174"/>
      <c r="AB992" s="174"/>
      <c r="AC992" s="174"/>
      <c r="AD992" s="174"/>
      <c r="AE992" s="174"/>
      <c r="AF992" s="174"/>
    </row>
    <row r="993" spans="1:32" ht="12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5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  <c r="AA993" s="174"/>
      <c r="AB993" s="174"/>
      <c r="AC993" s="174"/>
      <c r="AD993" s="174"/>
      <c r="AE993" s="174"/>
      <c r="AF993" s="174"/>
    </row>
    <row r="994" spans="1:32" ht="12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5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  <c r="AA994" s="174"/>
      <c r="AB994" s="174"/>
      <c r="AC994" s="174"/>
      <c r="AD994" s="174"/>
      <c r="AE994" s="174"/>
      <c r="AF994" s="174"/>
    </row>
    <row r="995" spans="1:32" ht="12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5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  <c r="AA995" s="174"/>
      <c r="AB995" s="174"/>
      <c r="AC995" s="174"/>
      <c r="AD995" s="174"/>
      <c r="AE995" s="174"/>
      <c r="AF995" s="174"/>
    </row>
    <row r="996" spans="1:32" ht="12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5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  <c r="AA996" s="174"/>
      <c r="AB996" s="174"/>
      <c r="AC996" s="174"/>
      <c r="AD996" s="174"/>
      <c r="AE996" s="174"/>
      <c r="AF996" s="174"/>
    </row>
    <row r="997" spans="1:32" ht="12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5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  <c r="AA997" s="174"/>
      <c r="AB997" s="174"/>
      <c r="AC997" s="174"/>
      <c r="AD997" s="174"/>
      <c r="AE997" s="174"/>
      <c r="AF997" s="174"/>
    </row>
    <row r="998" spans="1:32" ht="12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5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  <c r="AA998" s="174"/>
      <c r="AB998" s="174"/>
      <c r="AC998" s="174"/>
      <c r="AD998" s="174"/>
      <c r="AE998" s="174"/>
      <c r="AF998" s="174"/>
    </row>
    <row r="999" spans="1:32" ht="12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5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  <c r="AA999" s="174"/>
      <c r="AB999" s="174"/>
      <c r="AC999" s="174"/>
      <c r="AD999" s="174"/>
      <c r="AE999" s="174"/>
      <c r="AF999" s="174"/>
    </row>
    <row r="1000" spans="1:32" ht="12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5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  <c r="AA1000" s="174"/>
      <c r="AB1000" s="174"/>
      <c r="AC1000" s="174"/>
      <c r="AD1000" s="174"/>
      <c r="AE1000" s="174"/>
      <c r="AF1000" s="174"/>
    </row>
  </sheetData>
  <mergeCells count="4">
    <mergeCell ref="C9:D10"/>
    <mergeCell ref="E9:G9"/>
    <mergeCell ref="H9:Q9"/>
    <mergeCell ref="C11:D11"/>
  </mergeCells>
  <pageMargins left="0.7" right="0.7" top="0.75" bottom="0.75" header="0" footer="0"/>
  <pageSetup orientation="landscape"/>
  <headerFooter>
    <oddFooter>&amp;RSABAK - STANDARD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C1000"/>
  <sheetViews>
    <sheetView showGridLines="0" topLeftCell="A125" workbookViewId="0">
      <selection activeCell="D20" sqref="D20"/>
    </sheetView>
  </sheetViews>
  <sheetFormatPr defaultColWidth="12.42578125" defaultRowHeight="15" customHeight="1"/>
  <cols>
    <col min="1" max="1" width="11.42578125" customWidth="1"/>
    <col min="2" max="2" width="2.42578125" customWidth="1"/>
    <col min="3" max="3" width="11.42578125" customWidth="1"/>
    <col min="4" max="4" width="22.42578125" customWidth="1"/>
    <col min="5" max="5" width="12.140625" customWidth="1"/>
    <col min="6" max="19" width="15" customWidth="1"/>
    <col min="20" max="21" width="16.42578125" customWidth="1"/>
    <col min="22" max="29" width="15.42578125" customWidth="1"/>
  </cols>
  <sheetData>
    <row r="1" spans="1:29" ht="12" customHeight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</row>
    <row r="2" spans="1:29" ht="12" customHeight="1">
      <c r="A2" s="174"/>
      <c r="B2" s="212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</row>
    <row r="3" spans="1:29" ht="9" customHeight="1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</row>
    <row r="4" spans="1:29" ht="12" customHeight="1">
      <c r="A4" s="174"/>
      <c r="B4" s="178"/>
      <c r="C4" s="174"/>
      <c r="D4" s="174"/>
      <c r="E4" s="174"/>
      <c r="F4" s="174"/>
      <c r="G4" s="174"/>
      <c r="H4" s="174"/>
      <c r="I4" s="174"/>
      <c r="J4" s="174"/>
      <c r="K4" s="174"/>
      <c r="L4" s="213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</row>
    <row r="5" spans="1:29" ht="12" customHeight="1">
      <c r="A5" s="174"/>
      <c r="B5" s="179" t="s">
        <v>686</v>
      </c>
      <c r="C5" s="174"/>
      <c r="D5" s="174"/>
      <c r="E5" s="174"/>
      <c r="F5" s="174"/>
      <c r="G5" s="174"/>
      <c r="H5" s="174"/>
      <c r="I5" s="174"/>
      <c r="J5" s="174"/>
      <c r="K5" s="174"/>
      <c r="L5" s="213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</row>
    <row r="6" spans="1:29" ht="12" customHeight="1">
      <c r="A6" s="174"/>
      <c r="B6" s="178" t="str">
        <f>'Sales-AR Schedule'!B6</f>
        <v>(IDR Million)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</row>
    <row r="7" spans="1:29" ht="12" customHeight="1">
      <c r="A7" s="174"/>
      <c r="B7" s="174"/>
      <c r="C7" s="174"/>
      <c r="D7" s="174"/>
      <c r="E7" s="214" t="s">
        <v>79</v>
      </c>
      <c r="F7" s="214" t="s">
        <v>79</v>
      </c>
      <c r="G7" s="214" t="s">
        <v>79</v>
      </c>
      <c r="H7" s="214" t="s">
        <v>79</v>
      </c>
      <c r="I7" s="214" t="s">
        <v>649</v>
      </c>
      <c r="J7" s="214" t="s">
        <v>649</v>
      </c>
      <c r="K7" s="214" t="s">
        <v>649</v>
      </c>
      <c r="L7" s="214" t="s">
        <v>649</v>
      </c>
      <c r="M7" s="214" t="s">
        <v>649</v>
      </c>
      <c r="N7" s="214" t="s">
        <v>649</v>
      </c>
      <c r="O7" s="214" t="s">
        <v>649</v>
      </c>
      <c r="P7" s="214" t="s">
        <v>649</v>
      </c>
      <c r="Q7" s="214" t="s">
        <v>649</v>
      </c>
      <c r="R7" s="214" t="s">
        <v>649</v>
      </c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</row>
    <row r="8" spans="1:29" ht="12" customHeight="1">
      <c r="A8" s="174"/>
      <c r="B8" s="174"/>
      <c r="C8" s="1577" t="s">
        <v>660</v>
      </c>
      <c r="D8" s="1623"/>
      <c r="E8" s="215">
        <f>+Historical!E103</f>
        <v>44561</v>
      </c>
      <c r="F8" s="215">
        <f>+Historical!G103</f>
        <v>44926</v>
      </c>
      <c r="G8" s="215">
        <f>+Historical!I103</f>
        <v>45291</v>
      </c>
      <c r="H8" s="215">
        <f>+Projection!B7</f>
        <v>45473</v>
      </c>
      <c r="I8" s="215">
        <f>+Assumption!F15</f>
        <v>45657</v>
      </c>
      <c r="J8" s="215">
        <f>+Assumption!F28</f>
        <v>46022</v>
      </c>
      <c r="K8" s="215">
        <f>+Assumption!F38</f>
        <v>46387</v>
      </c>
      <c r="L8" s="215">
        <f>+Assumption!F48</f>
        <v>46752</v>
      </c>
      <c r="M8" s="215">
        <f>+Assumption!F58</f>
        <v>47118</v>
      </c>
      <c r="N8" s="215">
        <f>+Assumption!F68</f>
        <v>47483</v>
      </c>
      <c r="O8" s="215">
        <f>+'Sales-AR Schedule'!N10</f>
        <v>47848</v>
      </c>
      <c r="P8" s="215">
        <f>+'Sales-AR Schedule'!O10</f>
        <v>48213</v>
      </c>
      <c r="Q8" s="215">
        <f>+'Sales-AR Schedule'!P10</f>
        <v>48579</v>
      </c>
      <c r="R8" s="215">
        <f>+'Sales-AR Schedule'!Q10</f>
        <v>48944</v>
      </c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</row>
    <row r="9" spans="1:29" ht="15.75" customHeight="1">
      <c r="A9" s="174"/>
      <c r="B9" s="174"/>
      <c r="C9" s="1579" t="s">
        <v>206</v>
      </c>
      <c r="D9" s="1623"/>
      <c r="E9" s="216">
        <f>+Historical!E105</f>
        <v>100000</v>
      </c>
      <c r="F9" s="216">
        <f>+Historical!G105</f>
        <v>110000</v>
      </c>
      <c r="G9" s="216">
        <f>+Historical!I105</f>
        <v>120000</v>
      </c>
      <c r="H9" s="216">
        <f>+Projection!H74</f>
        <v>130000</v>
      </c>
      <c r="I9" s="216">
        <f>+Assumption!G15</f>
        <v>132000</v>
      </c>
      <c r="J9" s="216">
        <f>+Assumption!G28</f>
        <v>157300</v>
      </c>
      <c r="K9" s="216">
        <f>+Assumption!G38</f>
        <v>173030</v>
      </c>
      <c r="L9" s="216">
        <f>+Assumption!G48</f>
        <v>190333.00000000003</v>
      </c>
      <c r="M9" s="216">
        <f>+Assumption!G58</f>
        <v>209366.30000000002</v>
      </c>
      <c r="N9" s="216">
        <f>+Assumption!G68</f>
        <v>209366.30000000002</v>
      </c>
      <c r="O9" s="216">
        <f>+'Sales-AR Schedule'!N11</f>
        <v>209366.30000000002</v>
      </c>
      <c r="P9" s="216">
        <f>+'Sales-AR Schedule'!O11</f>
        <v>209366.30000000002</v>
      </c>
      <c r="Q9" s="216">
        <f>+'Sales-AR Schedule'!P11</f>
        <v>209366.30000000002</v>
      </c>
      <c r="R9" s="216">
        <f>+'Sales-AR Schedule'!Q11</f>
        <v>209366.30000000002</v>
      </c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</row>
    <row r="10" spans="1:29" ht="12" customHeight="1">
      <c r="A10" s="174"/>
      <c r="B10" s="174"/>
      <c r="C10" s="174"/>
      <c r="D10" s="174"/>
      <c r="E10" s="217"/>
      <c r="F10" s="217"/>
      <c r="G10" s="217"/>
      <c r="H10" s="180"/>
      <c r="I10" s="180"/>
      <c r="J10" s="180"/>
      <c r="K10" s="180"/>
      <c r="L10" s="180"/>
      <c r="M10" s="180"/>
      <c r="N10" s="217"/>
      <c r="O10" s="217"/>
      <c r="P10" s="217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</row>
    <row r="11" spans="1:29" ht="12" customHeight="1">
      <c r="A11" s="174"/>
      <c r="B11" s="174"/>
      <c r="C11" s="174"/>
      <c r="D11" s="174"/>
      <c r="E11" s="174"/>
      <c r="F11" s="174"/>
      <c r="G11" s="181"/>
      <c r="H11" s="174"/>
      <c r="I11" s="174"/>
      <c r="J11" s="174"/>
      <c r="K11" s="185"/>
      <c r="L11" s="174"/>
      <c r="M11" s="174"/>
      <c r="N11" s="174"/>
      <c r="O11" s="174"/>
      <c r="P11" s="185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</row>
    <row r="12" spans="1:29" ht="12" customHeight="1">
      <c r="A12" s="174"/>
      <c r="B12" s="174"/>
      <c r="C12" s="174"/>
      <c r="D12" s="174"/>
      <c r="E12" s="174"/>
      <c r="F12" s="174"/>
      <c r="G12" s="181"/>
      <c r="H12" s="174"/>
      <c r="I12" s="174"/>
      <c r="J12" s="174"/>
      <c r="K12" s="180"/>
      <c r="L12" s="174"/>
      <c r="M12" s="174"/>
      <c r="N12" s="174"/>
      <c r="O12" s="174"/>
      <c r="P12" s="185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</row>
    <row r="13" spans="1:29" ht="12" customHeight="1">
      <c r="A13" s="174"/>
      <c r="B13" s="218" t="s">
        <v>687</v>
      </c>
      <c r="C13" s="219"/>
      <c r="D13" s="187"/>
      <c r="E13" s="187"/>
      <c r="F13" s="187"/>
      <c r="G13" s="187"/>
      <c r="H13" s="187"/>
      <c r="I13" s="196"/>
      <c r="J13" s="220"/>
      <c r="K13" s="187"/>
      <c r="L13" s="187"/>
      <c r="M13" s="187"/>
      <c r="N13" s="187"/>
      <c r="O13" s="187"/>
      <c r="P13" s="187"/>
      <c r="Q13" s="187"/>
      <c r="R13" s="187"/>
      <c r="S13" s="187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</row>
    <row r="14" spans="1:29" ht="12" customHeight="1">
      <c r="A14" s="174"/>
      <c r="B14" s="218"/>
      <c r="C14" s="219"/>
      <c r="D14" s="187"/>
      <c r="E14" s="187"/>
      <c r="F14" s="1585" t="str">
        <f t="shared" ref="F14:F15" si="0">+G7</f>
        <v>HISTORICAL</v>
      </c>
      <c r="G14" s="1637"/>
      <c r="H14" s="1585" t="str">
        <f t="shared" ref="H14:H15" si="1">+H7</f>
        <v>HISTORICAL</v>
      </c>
      <c r="I14" s="1637"/>
      <c r="J14" s="1586" t="str">
        <f t="shared" ref="J14:J15" si="2">+I7</f>
        <v>PROJECTION</v>
      </c>
      <c r="K14" s="1637"/>
      <c r="L14" s="1586" t="str">
        <f t="shared" ref="L14:L15" si="3">+J7</f>
        <v>PROJECTION</v>
      </c>
      <c r="M14" s="1637"/>
      <c r="N14" s="1586" t="str">
        <f t="shared" ref="N14:N15" si="4">+K7</f>
        <v>PROJECTION</v>
      </c>
      <c r="O14" s="1637"/>
      <c r="P14" s="1586" t="str">
        <f t="shared" ref="P14:P15" si="5">+L7</f>
        <v>PROJECTION</v>
      </c>
      <c r="Q14" s="1637"/>
      <c r="R14" s="1586" t="str">
        <f>+N7</f>
        <v>PROJECTION</v>
      </c>
      <c r="S14" s="1637"/>
      <c r="T14" s="1586" t="str">
        <f>+P7</f>
        <v>PROJECTION</v>
      </c>
      <c r="U14" s="1637"/>
      <c r="V14" s="1586" t="str">
        <f>+R7</f>
        <v>PROJECTION</v>
      </c>
      <c r="W14" s="1637"/>
      <c r="X14" s="1586" t="str">
        <f>+V14</f>
        <v>PROJECTION</v>
      </c>
      <c r="Y14" s="1637"/>
      <c r="Z14" s="1586" t="str">
        <f>+X14</f>
        <v>PROJECTION</v>
      </c>
      <c r="AA14" s="1637"/>
      <c r="AB14" s="1586" t="str">
        <f>+Z14</f>
        <v>PROJECTION</v>
      </c>
      <c r="AC14" s="1637"/>
    </row>
    <row r="15" spans="1:29" ht="17.25" customHeight="1">
      <c r="A15" s="178"/>
      <c r="B15" s="221"/>
      <c r="C15" s="222" t="s">
        <v>424</v>
      </c>
      <c r="D15" s="594"/>
      <c r="E15" s="595"/>
      <c r="F15" s="1584">
        <f t="shared" si="0"/>
        <v>45291</v>
      </c>
      <c r="G15" s="1623"/>
      <c r="H15" s="1584">
        <f t="shared" si="1"/>
        <v>45473</v>
      </c>
      <c r="I15" s="1623"/>
      <c r="J15" s="1584">
        <f t="shared" si="2"/>
        <v>45657</v>
      </c>
      <c r="K15" s="1623"/>
      <c r="L15" s="1584">
        <f t="shared" si="3"/>
        <v>46022</v>
      </c>
      <c r="M15" s="1623"/>
      <c r="N15" s="1584">
        <f t="shared" si="4"/>
        <v>46387</v>
      </c>
      <c r="O15" s="1623"/>
      <c r="P15" s="1584">
        <f t="shared" si="5"/>
        <v>46752</v>
      </c>
      <c r="Q15" s="1623"/>
      <c r="R15" s="1584">
        <f>+M8</f>
        <v>47118</v>
      </c>
      <c r="S15" s="1623"/>
      <c r="T15" s="1584">
        <f>+N8</f>
        <v>47483</v>
      </c>
      <c r="U15" s="1623"/>
      <c r="V15" s="1584">
        <f>+O8</f>
        <v>47848</v>
      </c>
      <c r="W15" s="1623"/>
      <c r="X15" s="1584">
        <f>+P8</f>
        <v>48213</v>
      </c>
      <c r="Y15" s="1623"/>
      <c r="Z15" s="1584">
        <f>+Q8</f>
        <v>48579</v>
      </c>
      <c r="AA15" s="1623"/>
      <c r="AB15" s="1584">
        <f>+R8</f>
        <v>48944</v>
      </c>
      <c r="AC15" s="1623"/>
    </row>
    <row r="16" spans="1:29" ht="15.75" customHeight="1">
      <c r="A16" s="174"/>
      <c r="B16" s="187"/>
      <c r="C16" s="596" t="s">
        <v>206</v>
      </c>
      <c r="D16" s="597"/>
      <c r="E16" s="598"/>
      <c r="F16" s="223"/>
      <c r="G16" s="223">
        <f>G9</f>
        <v>120000</v>
      </c>
      <c r="H16" s="223"/>
      <c r="I16" s="223">
        <f>+H9</f>
        <v>130000</v>
      </c>
      <c r="J16" s="223"/>
      <c r="K16" s="223">
        <f>IF(MONTH(H8)=12,I9,I9-I16)</f>
        <v>2000</v>
      </c>
      <c r="L16" s="223"/>
      <c r="M16" s="223">
        <f>+J9</f>
        <v>157300</v>
      </c>
      <c r="N16" s="223"/>
      <c r="O16" s="223">
        <f>+K9</f>
        <v>173030</v>
      </c>
      <c r="P16" s="223"/>
      <c r="Q16" s="223">
        <f>+L9</f>
        <v>190333.00000000003</v>
      </c>
      <c r="R16" s="223"/>
      <c r="S16" s="223">
        <f>+M9</f>
        <v>209366.30000000002</v>
      </c>
      <c r="T16" s="223"/>
      <c r="U16" s="223">
        <f>+N9</f>
        <v>209366.30000000002</v>
      </c>
      <c r="V16" s="223"/>
      <c r="W16" s="223">
        <f>+O9</f>
        <v>209366.30000000002</v>
      </c>
      <c r="X16" s="223"/>
      <c r="Y16" s="223">
        <f>+P9</f>
        <v>209366.30000000002</v>
      </c>
      <c r="Z16" s="223"/>
      <c r="AA16" s="223">
        <f>+Q9</f>
        <v>209366.30000000002</v>
      </c>
      <c r="AB16" s="223"/>
      <c r="AC16" s="223">
        <f>+R9</f>
        <v>209366.30000000002</v>
      </c>
    </row>
    <row r="17" spans="1:29" ht="15.75" customHeight="1">
      <c r="A17" s="174"/>
      <c r="B17" s="187"/>
      <c r="C17" s="596" t="s">
        <v>688</v>
      </c>
      <c r="D17" s="597"/>
      <c r="E17" s="599"/>
      <c r="F17" s="224"/>
      <c r="G17" s="225"/>
      <c r="H17" s="225"/>
      <c r="I17" s="225"/>
      <c r="J17" s="225"/>
      <c r="K17" s="225"/>
      <c r="L17" s="224"/>
      <c r="M17" s="225"/>
      <c r="N17" s="224"/>
      <c r="O17" s="225"/>
      <c r="P17" s="224"/>
      <c r="Q17" s="225"/>
      <c r="R17" s="224"/>
      <c r="S17" s="225"/>
      <c r="T17" s="224"/>
      <c r="U17" s="225"/>
      <c r="V17" s="224"/>
      <c r="W17" s="225"/>
      <c r="X17" s="224"/>
      <c r="Y17" s="225"/>
      <c r="Z17" s="224"/>
      <c r="AA17" s="225"/>
      <c r="AB17" s="224"/>
      <c r="AC17" s="225"/>
    </row>
    <row r="18" spans="1:29" ht="15.75" customHeight="1">
      <c r="A18" s="174"/>
      <c r="B18" s="187"/>
      <c r="C18" s="596"/>
      <c r="D18" s="597" t="s">
        <v>689</v>
      </c>
      <c r="E18" s="600"/>
      <c r="F18" s="226">
        <f>IF(G16=0,0,G18/G16)</f>
        <v>4.1749999999999999E-3</v>
      </c>
      <c r="G18" s="186">
        <f>+Historical!G20</f>
        <v>501</v>
      </c>
      <c r="H18" s="226">
        <f>IF(I16=0,0,I18/I16)</f>
        <v>3.8615384615384614E-3</v>
      </c>
      <c r="I18" s="186">
        <f>+G20</f>
        <v>502</v>
      </c>
      <c r="J18" s="226">
        <f>IF(K16=0,0,K18/K16)</f>
        <v>0.2515</v>
      </c>
      <c r="K18" s="186">
        <f>+IF(MONTH(H15=12),I20,G20)</f>
        <v>503</v>
      </c>
      <c r="L18" s="226">
        <f>IF(M16=0,0,M18/M16)</f>
        <v>0.10069930069930071</v>
      </c>
      <c r="M18" s="186">
        <f>+IF(MONTH(J15=12),K20,I20)</f>
        <v>15840</v>
      </c>
      <c r="N18" s="226">
        <f>IF(O16=0,0,O18/O16)</f>
        <v>0.10909090909090909</v>
      </c>
      <c r="O18" s="186">
        <f>+IF(MONTH(L15=12),M20,K20)</f>
        <v>18876</v>
      </c>
      <c r="P18" s="226">
        <f>IF(Q16=0,0,Q18/Q16)</f>
        <v>0.10909090909090907</v>
      </c>
      <c r="Q18" s="186">
        <f>+IF(MONTH(N15=12),O20,M20)</f>
        <v>20763.599999999999</v>
      </c>
      <c r="R18" s="226">
        <f>IF(S16=0,0,S18/S16)</f>
        <v>0.10909090909090907</v>
      </c>
      <c r="S18" s="186">
        <f>+IF(MONTH(P15=12),Q20,O20)</f>
        <v>22839.96</v>
      </c>
      <c r="T18" s="226">
        <f>IF(U16=0,0,U18/U16)</f>
        <v>0.11999999999999998</v>
      </c>
      <c r="U18" s="186">
        <f>+S20</f>
        <v>25123.955999999998</v>
      </c>
      <c r="V18" s="226">
        <f>IF(W16=0,0,W18/W16)</f>
        <v>1.7639999999999999E-2</v>
      </c>
      <c r="W18" s="186">
        <f>+U20</f>
        <v>3693.2215320000005</v>
      </c>
      <c r="X18" s="226">
        <f>IF(Y16=0,0,Y18/Y16)</f>
        <v>1.7639999999999999E-2</v>
      </c>
      <c r="Y18" s="186">
        <f>+W20</f>
        <v>3693.2215320000005</v>
      </c>
      <c r="Z18" s="226">
        <f>IF(AA16=0,0,AA18/AA16)</f>
        <v>1.7639999999999999E-2</v>
      </c>
      <c r="AA18" s="186">
        <f>+Y20</f>
        <v>3693.2215320000005</v>
      </c>
      <c r="AB18" s="226">
        <f>IF(AC16=0,0,AC18/AC16)</f>
        <v>1.7639999999999999E-2</v>
      </c>
      <c r="AC18" s="186">
        <f>+AA20</f>
        <v>3693.2215320000005</v>
      </c>
    </row>
    <row r="19" spans="1:29" ht="15.75" customHeight="1">
      <c r="A19" s="187"/>
      <c r="B19" s="187"/>
      <c r="C19" s="596"/>
      <c r="D19" s="597" t="s">
        <v>482</v>
      </c>
      <c r="E19" s="598"/>
      <c r="F19" s="226">
        <f>IF(G16=0,0,G19/G16)</f>
        <v>0.68334166666666663</v>
      </c>
      <c r="G19" s="227">
        <f>G24+G20-G18-G22-G23</f>
        <v>82001</v>
      </c>
      <c r="H19" s="226">
        <f>IF(I16=0,0,I19/I16)</f>
        <v>0.69231538461538467</v>
      </c>
      <c r="I19" s="227">
        <f>I24+I20-I18-I22-I23</f>
        <v>90001</v>
      </c>
      <c r="J19" s="226">
        <f>IF(K16=0,0,K19/K16)</f>
        <v>10.188499999999999</v>
      </c>
      <c r="K19" s="227">
        <f>K24+K20-K18-K22-K23</f>
        <v>20377</v>
      </c>
      <c r="L19" s="226">
        <f>IF(M16=0,0,M19/M16)</f>
        <v>0.7393006993006993</v>
      </c>
      <c r="M19" s="227">
        <f>M24+M20-M18-M22-M23</f>
        <v>116292</v>
      </c>
      <c r="N19" s="226">
        <f>IF(O16=0,0,O19/O16)</f>
        <v>0.73090909090909084</v>
      </c>
      <c r="O19" s="227">
        <f>O24+O20-O18-O22-O23</f>
        <v>126469.19999999998</v>
      </c>
      <c r="P19" s="226">
        <f>IF(Q16=0,0,Q19/Q16)</f>
        <v>0.73090909090909073</v>
      </c>
      <c r="Q19" s="227">
        <f>Q24+Q20-Q18-Q22-Q23</f>
        <v>139116.12</v>
      </c>
      <c r="R19" s="226">
        <f>IF(S16=0,0,S19/S16)</f>
        <v>0.73090909090909095</v>
      </c>
      <c r="S19" s="227">
        <f>S24+S20-S18-S22-S23</f>
        <v>153027.73200000002</v>
      </c>
      <c r="T19" s="226">
        <f>IF(U16=0,0,U19/U16)</f>
        <v>0.80484</v>
      </c>
      <c r="U19" s="227">
        <f>U24+U20-U18-U22-U23</f>
        <v>168506.37289200001</v>
      </c>
      <c r="V19" s="226">
        <f>IF(W16=0,0,W19/W16)</f>
        <v>0.90720000000000001</v>
      </c>
      <c r="W19" s="227">
        <f>W24+W20-W18-W22-W23</f>
        <v>189937.10736000002</v>
      </c>
      <c r="X19" s="226">
        <f>IF(Y16=0,0,Y19/Y16)</f>
        <v>0.90720000000000001</v>
      </c>
      <c r="Y19" s="227">
        <f>Y24+Y20-Y18-Y22-Y23</f>
        <v>189937.10736000002</v>
      </c>
      <c r="Z19" s="226">
        <f>IF(AA16=0,0,AA19/AA16)</f>
        <v>0.90720000000000001</v>
      </c>
      <c r="AA19" s="227">
        <f>AA24+AA20-AA18-AA22-AA23</f>
        <v>189937.10736000002</v>
      </c>
      <c r="AB19" s="226">
        <f>IF(AC16=0,0,AC19/AC16)</f>
        <v>0.90720000000000001</v>
      </c>
      <c r="AC19" s="227">
        <f>AC24+AC20-AC18-AC22-AC23</f>
        <v>189937.10736000002</v>
      </c>
    </row>
    <row r="20" spans="1:29" ht="15.75" customHeight="1">
      <c r="A20" s="174"/>
      <c r="B20" s="187"/>
      <c r="C20" s="596"/>
      <c r="D20" s="597" t="s">
        <v>690</v>
      </c>
      <c r="E20" s="600"/>
      <c r="F20" s="226">
        <f>IF(G16=0,0,G20/G16)</f>
        <v>4.1833333333333332E-3</v>
      </c>
      <c r="G20" s="186">
        <f>+Historical!I20</f>
        <v>502</v>
      </c>
      <c r="H20" s="226">
        <f>IF(I16=0,0,I20/I16)</f>
        <v>3.8692307692307693E-3</v>
      </c>
      <c r="I20" s="186">
        <f>+Projection!H13</f>
        <v>503</v>
      </c>
      <c r="J20" s="226">
        <f>IF(K16=0,0,K20/K16)</f>
        <v>7.92</v>
      </c>
      <c r="K20" s="227">
        <f>IF(MONTH(H15)=12,(K26/360)*K24,(K26/360)*(K24+I24))</f>
        <v>15840</v>
      </c>
      <c r="L20" s="226">
        <f>IF(M16=0,0,M20/M16)</f>
        <v>0.12</v>
      </c>
      <c r="M20" s="227">
        <f>(M26/360)*M24</f>
        <v>18876</v>
      </c>
      <c r="N20" s="226">
        <f>IF(O16=0,0,O20/O16)</f>
        <v>0.12</v>
      </c>
      <c r="O20" s="227">
        <f>(O26/360)*O24</f>
        <v>20763.599999999999</v>
      </c>
      <c r="P20" s="226">
        <f>IF(Q16=0,0,Q20/Q16)</f>
        <v>0.11999999999999998</v>
      </c>
      <c r="Q20" s="227">
        <f>(Q26/360)*Q24</f>
        <v>22839.96</v>
      </c>
      <c r="R20" s="226">
        <f>IF(S16=0,0,S20/S16)</f>
        <v>0.11999999999999998</v>
      </c>
      <c r="S20" s="227">
        <f>(S26/360)*S24</f>
        <v>25123.955999999998</v>
      </c>
      <c r="T20" s="226">
        <f>IF(U16=0,0,U20/U16)</f>
        <v>1.7639999999999999E-2</v>
      </c>
      <c r="U20" s="227">
        <f>(U26/360)*U24</f>
        <v>3693.2215320000005</v>
      </c>
      <c r="V20" s="226">
        <f>IF(W16=0,0,W20/W16)</f>
        <v>1.7639999999999999E-2</v>
      </c>
      <c r="W20" s="227">
        <f>(W26/360)*W24</f>
        <v>3693.2215320000005</v>
      </c>
      <c r="X20" s="226">
        <f>IF(Y16=0,0,Y20/Y16)</f>
        <v>1.7639999999999999E-2</v>
      </c>
      <c r="Y20" s="227">
        <f>(Y26/360)*Y24</f>
        <v>3693.2215320000005</v>
      </c>
      <c r="Z20" s="226">
        <f>IF(AA16=0,0,AA20/AA16)</f>
        <v>1.7639999999999999E-2</v>
      </c>
      <c r="AA20" s="227">
        <f>(AA26/360)*AA24</f>
        <v>3693.2215320000005</v>
      </c>
      <c r="AB20" s="226">
        <f>IF(AC16=0,0,AC20/AC16)</f>
        <v>1.7639999999999999E-2</v>
      </c>
      <c r="AC20" s="227">
        <f>(AC26/360)*AC24</f>
        <v>3693.2215320000005</v>
      </c>
    </row>
    <row r="21" spans="1:29" ht="15.75" customHeight="1">
      <c r="A21" s="174"/>
      <c r="B21" s="187"/>
      <c r="C21" s="227" t="s">
        <v>691</v>
      </c>
      <c r="D21" s="596"/>
      <c r="E21" s="600"/>
      <c r="F21" s="226">
        <f>IF(G16=0,0,G21/G16)</f>
        <v>0.68333333333333335</v>
      </c>
      <c r="G21" s="186">
        <f>G18+G19-G20</f>
        <v>82000</v>
      </c>
      <c r="H21" s="226">
        <f>IF(I16=0,0,I21/I16)</f>
        <v>0.69230769230769229</v>
      </c>
      <c r="I21" s="186">
        <f>I18+I19-I20</f>
        <v>90000</v>
      </c>
      <c r="J21" s="226">
        <f>IF(K16=0,0,K21/K16)</f>
        <v>2.52</v>
      </c>
      <c r="K21" s="186">
        <f>K18+K19-K20</f>
        <v>5040</v>
      </c>
      <c r="L21" s="226">
        <f>IF(M16=0,0,M21/M16)</f>
        <v>0.72</v>
      </c>
      <c r="M21" s="186">
        <f>M18+M19-M20</f>
        <v>113256</v>
      </c>
      <c r="N21" s="226">
        <f>IF(O16=0,0,O21/O16)</f>
        <v>0.71999999999999986</v>
      </c>
      <c r="O21" s="186">
        <f>O18+O19-O20</f>
        <v>124581.59999999998</v>
      </c>
      <c r="P21" s="226">
        <f>IF(Q16=0,0,Q21/Q16)</f>
        <v>0.72</v>
      </c>
      <c r="Q21" s="186">
        <f>Q18+Q19-Q20</f>
        <v>137039.76</v>
      </c>
      <c r="R21" s="226">
        <f>IF(S16=0,0,S21/S16)</f>
        <v>0.72</v>
      </c>
      <c r="S21" s="186">
        <f>S18+S19-S20</f>
        <v>150743.736</v>
      </c>
      <c r="T21" s="226">
        <f>IF(U16=0,0,U21/U16)</f>
        <v>0.90720000000000001</v>
      </c>
      <c r="U21" s="186">
        <f>U18+U19-U20</f>
        <v>189937.10736000002</v>
      </c>
      <c r="V21" s="226">
        <f>IF(W16=0,0,W21/W16)</f>
        <v>0.90720000000000001</v>
      </c>
      <c r="W21" s="186">
        <f>W18+W19-W20</f>
        <v>189937.10736000002</v>
      </c>
      <c r="X21" s="226">
        <f>IF(Y16=0,0,Y21/Y16)</f>
        <v>0.90720000000000001</v>
      </c>
      <c r="Y21" s="186">
        <f>Y18+Y19-Y20</f>
        <v>189937.10736000002</v>
      </c>
      <c r="Z21" s="226">
        <f>IF(AA16=0,0,AA21/AA16)</f>
        <v>0.90720000000000001</v>
      </c>
      <c r="AA21" s="186">
        <f>AA18+AA19-AA20</f>
        <v>189937.10736000002</v>
      </c>
      <c r="AB21" s="226">
        <f>IF(AC16=0,0,AC21/AC16)</f>
        <v>0.90720000000000001</v>
      </c>
      <c r="AC21" s="186">
        <f>AC18+AC19-AC20</f>
        <v>189937.10736000002</v>
      </c>
    </row>
    <row r="22" spans="1:29" ht="15.75" customHeight="1">
      <c r="A22" s="174"/>
      <c r="B22" s="187"/>
      <c r="C22" s="227" t="s">
        <v>485</v>
      </c>
      <c r="D22" s="596"/>
      <c r="E22" s="598"/>
      <c r="F22" s="226">
        <f>IF(G16=0,0,G22/G16)</f>
        <v>0</v>
      </c>
      <c r="G22" s="186">
        <f>+Assumption!AN206</f>
        <v>0</v>
      </c>
      <c r="H22" s="226">
        <f>IF(I16=0,0,I22/I16)</f>
        <v>0</v>
      </c>
      <c r="I22" s="186">
        <f>+Assumption!J209</f>
        <v>0</v>
      </c>
      <c r="J22" s="226">
        <f t="shared" ref="J22:J23" si="6">+H22</f>
        <v>0</v>
      </c>
      <c r="K22" s="186">
        <f>+J22*K16</f>
        <v>0</v>
      </c>
      <c r="L22" s="226">
        <f t="shared" ref="L22:L23" si="7">+J22</f>
        <v>0</v>
      </c>
      <c r="M22" s="186">
        <f>+L22*M16</f>
        <v>0</v>
      </c>
      <c r="N22" s="226">
        <f t="shared" ref="N22:N23" si="8">+L22</f>
        <v>0</v>
      </c>
      <c r="O22" s="186">
        <f>+N22*O16</f>
        <v>0</v>
      </c>
      <c r="P22" s="226">
        <f t="shared" ref="P22:P23" si="9">+N22</f>
        <v>0</v>
      </c>
      <c r="Q22" s="186">
        <f>+P22*Q16</f>
        <v>0</v>
      </c>
      <c r="R22" s="226">
        <f t="shared" ref="R22:R23" si="10">+P22</f>
        <v>0</v>
      </c>
      <c r="S22" s="186">
        <f>+R22*S16</f>
        <v>0</v>
      </c>
      <c r="T22" s="226">
        <f t="shared" ref="T22:T23" si="11">+R22</f>
        <v>0</v>
      </c>
      <c r="U22" s="186">
        <f>+T22*U16</f>
        <v>0</v>
      </c>
      <c r="V22" s="226">
        <f t="shared" ref="V22:V23" si="12">+T22</f>
        <v>0</v>
      </c>
      <c r="W22" s="186">
        <f>+V22*W16</f>
        <v>0</v>
      </c>
      <c r="X22" s="226">
        <f t="shared" ref="X22:X23" si="13">+V22</f>
        <v>0</v>
      </c>
      <c r="Y22" s="186">
        <f>+X22*Y16</f>
        <v>0</v>
      </c>
      <c r="Z22" s="226">
        <f t="shared" ref="Z22:Z23" si="14">+X22</f>
        <v>0</v>
      </c>
      <c r="AA22" s="186">
        <f>+Z22*AA16</f>
        <v>0</v>
      </c>
      <c r="AB22" s="226">
        <f t="shared" ref="AB22:AB23" si="15">+Z22</f>
        <v>0</v>
      </c>
      <c r="AC22" s="186">
        <f>+AB22*AC16</f>
        <v>0</v>
      </c>
    </row>
    <row r="23" spans="1:29" ht="15.75" customHeight="1">
      <c r="A23" s="174"/>
      <c r="B23" s="187"/>
      <c r="C23" s="227" t="s">
        <v>486</v>
      </c>
      <c r="D23" s="596"/>
      <c r="E23" s="598"/>
      <c r="F23" s="226">
        <f>IF(G16=0,0,G23/G16)</f>
        <v>0</v>
      </c>
      <c r="G23" s="186">
        <f>+Assumption!AN207</f>
        <v>0</v>
      </c>
      <c r="H23" s="226">
        <f>IF(I16=0,0,I23/I16)</f>
        <v>0</v>
      </c>
      <c r="I23" s="186">
        <f>+Assumption!J210</f>
        <v>0</v>
      </c>
      <c r="J23" s="226">
        <f t="shared" si="6"/>
        <v>0</v>
      </c>
      <c r="K23" s="186">
        <f>+J23*K16</f>
        <v>0</v>
      </c>
      <c r="L23" s="226">
        <f t="shared" si="7"/>
        <v>0</v>
      </c>
      <c r="M23" s="186">
        <f>+L23*M16</f>
        <v>0</v>
      </c>
      <c r="N23" s="226">
        <f t="shared" si="8"/>
        <v>0</v>
      </c>
      <c r="O23" s="186">
        <f>+N23*O16</f>
        <v>0</v>
      </c>
      <c r="P23" s="226">
        <f t="shared" si="9"/>
        <v>0</v>
      </c>
      <c r="Q23" s="186">
        <f>+P23*Q16</f>
        <v>0</v>
      </c>
      <c r="R23" s="226">
        <f t="shared" si="10"/>
        <v>0</v>
      </c>
      <c r="S23" s="186">
        <f>+R23*S16</f>
        <v>0</v>
      </c>
      <c r="T23" s="226">
        <f t="shared" si="11"/>
        <v>0</v>
      </c>
      <c r="U23" s="186">
        <f>+T23*U16</f>
        <v>0</v>
      </c>
      <c r="V23" s="226">
        <f t="shared" si="12"/>
        <v>0</v>
      </c>
      <c r="W23" s="186">
        <f>+V23*W16</f>
        <v>0</v>
      </c>
      <c r="X23" s="226">
        <f t="shared" si="13"/>
        <v>0</v>
      </c>
      <c r="Y23" s="186">
        <f>+X23*Y16</f>
        <v>0</v>
      </c>
      <c r="Z23" s="226">
        <f t="shared" si="14"/>
        <v>0</v>
      </c>
      <c r="AA23" s="186">
        <f>+Z23*AA16</f>
        <v>0</v>
      </c>
      <c r="AB23" s="226">
        <f t="shared" si="15"/>
        <v>0</v>
      </c>
      <c r="AC23" s="186">
        <f>+AB23*AC16</f>
        <v>0</v>
      </c>
    </row>
    <row r="24" spans="1:29" ht="15.75" customHeight="1">
      <c r="A24" s="174"/>
      <c r="B24" s="187"/>
      <c r="C24" s="228" t="s">
        <v>692</v>
      </c>
      <c r="D24" s="596"/>
      <c r="E24" s="598"/>
      <c r="F24" s="226">
        <f>IF(G16=0,0,G24/G16)</f>
        <v>0.68333333333333335</v>
      </c>
      <c r="G24" s="229">
        <f>+Historical!I106</f>
        <v>82000</v>
      </c>
      <c r="H24" s="226">
        <f>IF(I16=0,0,I24/I16)</f>
        <v>0.69230769230769229</v>
      </c>
      <c r="I24" s="229">
        <f>+Projection!H75</f>
        <v>90000</v>
      </c>
      <c r="J24" s="226">
        <f>+Assumption!M127</f>
        <v>0.72</v>
      </c>
      <c r="K24" s="229">
        <f>+IF(MONTH(H15)=12,K16*J24,(K16+I16)*J24-I24)</f>
        <v>5040</v>
      </c>
      <c r="L24" s="226">
        <f>+Assumption!M128</f>
        <v>0.72</v>
      </c>
      <c r="M24" s="229">
        <f>+L24*M16</f>
        <v>113256</v>
      </c>
      <c r="N24" s="226">
        <f>+Assumption!M129</f>
        <v>0.72</v>
      </c>
      <c r="O24" s="229">
        <f>+N24*O16</f>
        <v>124581.59999999999</v>
      </c>
      <c r="P24" s="226">
        <f>+Assumption!M130</f>
        <v>0.72</v>
      </c>
      <c r="Q24" s="229">
        <f>+P24*Q16</f>
        <v>137039.76</v>
      </c>
      <c r="R24" s="226">
        <f>+Assumption!M131</f>
        <v>0.72</v>
      </c>
      <c r="S24" s="229">
        <f>+R24*S16</f>
        <v>150743.736</v>
      </c>
      <c r="T24" s="226">
        <f>+Assumption!M132</f>
        <v>0.90720000000000001</v>
      </c>
      <c r="U24" s="229">
        <f>+T24*U16</f>
        <v>189937.10736000002</v>
      </c>
      <c r="V24" s="226">
        <f>+Assumption!M133</f>
        <v>0.90720000000000001</v>
      </c>
      <c r="W24" s="229">
        <f>+V24*W16</f>
        <v>189937.10736000002</v>
      </c>
      <c r="X24" s="226">
        <f>+Assumption!M134</f>
        <v>0.90720000000000001</v>
      </c>
      <c r="Y24" s="229">
        <f>+X24*Y16</f>
        <v>189937.10736000002</v>
      </c>
      <c r="Z24" s="226">
        <f>+Assumption!M135</f>
        <v>0.90720000000000001</v>
      </c>
      <c r="AA24" s="229">
        <f>+Z24*AA16</f>
        <v>189937.10736000002</v>
      </c>
      <c r="AB24" s="226">
        <f>+Assumption!M136</f>
        <v>0.90720000000000001</v>
      </c>
      <c r="AC24" s="229">
        <f>+AB24*AC16</f>
        <v>189937.10736000002</v>
      </c>
    </row>
    <row r="25" spans="1:29" ht="15.75" customHeight="1">
      <c r="A25" s="174"/>
      <c r="B25" s="187"/>
      <c r="C25" s="230" t="s">
        <v>693</v>
      </c>
      <c r="D25" s="596"/>
      <c r="E25" s="598"/>
      <c r="F25" s="226">
        <f>+Historical!J108/100</f>
        <v>4.3333333333333342E-2</v>
      </c>
      <c r="G25" s="186">
        <f>+Historical!I108</f>
        <v>5200</v>
      </c>
      <c r="H25" s="226">
        <f>Projection!I77/100</f>
        <v>5.3846153846153849E-2</v>
      </c>
      <c r="I25" s="186">
        <f>+Projection!H77</f>
        <v>7000</v>
      </c>
      <c r="J25" s="226">
        <f>+Assumption!M184</f>
        <v>0.05</v>
      </c>
      <c r="K25" s="229">
        <f>+IF(MONTH(H15)=12,K16*J25,(K16+I16)*J25-I25)</f>
        <v>-400</v>
      </c>
      <c r="L25" s="226">
        <f>+Assumption!M185</f>
        <v>0.05</v>
      </c>
      <c r="M25" s="186">
        <f>+L25*M16</f>
        <v>7865</v>
      </c>
      <c r="N25" s="226">
        <f>+Assumption!M186</f>
        <v>0.05</v>
      </c>
      <c r="O25" s="186">
        <f>+N25*O16</f>
        <v>8651.5</v>
      </c>
      <c r="P25" s="226">
        <f>+Assumption!M187</f>
        <v>0.05</v>
      </c>
      <c r="Q25" s="186">
        <f>+P25*Q16</f>
        <v>9516.6500000000015</v>
      </c>
      <c r="R25" s="226">
        <f>+Assumption!M188</f>
        <v>0.05</v>
      </c>
      <c r="S25" s="186">
        <f>+R25*S16</f>
        <v>10468.315000000002</v>
      </c>
      <c r="T25" s="226">
        <f>+Assumption!M189</f>
        <v>1.7438053707885856E-2</v>
      </c>
      <c r="U25" s="186">
        <f>+T25*U16</f>
        <v>3650.940784021343</v>
      </c>
      <c r="V25" s="226">
        <f>+Assumption!M190</f>
        <v>1.7438053707885856E-2</v>
      </c>
      <c r="W25" s="186">
        <f>+V25*W16</f>
        <v>3650.940784021343</v>
      </c>
      <c r="X25" s="226">
        <f>+Assumption!M191</f>
        <v>1.7438053707885856E-2</v>
      </c>
      <c r="Y25" s="186">
        <f>+X25*Y16</f>
        <v>3650.940784021343</v>
      </c>
      <c r="Z25" s="226">
        <f>+Assumption!M192</f>
        <v>1.7438053707885856E-2</v>
      </c>
      <c r="AA25" s="186">
        <f>+Z25*AA16</f>
        <v>3650.940784021343</v>
      </c>
      <c r="AB25" s="226">
        <f>+Assumption!M193</f>
        <v>1.7438053707885856E-2</v>
      </c>
      <c r="AC25" s="186">
        <f>+AB25*AC16</f>
        <v>3650.940784021343</v>
      </c>
    </row>
    <row r="26" spans="1:29" ht="15.75" customHeight="1">
      <c r="A26" s="174"/>
      <c r="B26" s="174"/>
      <c r="C26" s="228" t="s">
        <v>694</v>
      </c>
      <c r="D26" s="596"/>
      <c r="E26" s="598"/>
      <c r="F26" s="596"/>
      <c r="G26" s="601">
        <f>+Historical!I95</f>
        <v>2.2039024390243904</v>
      </c>
      <c r="H26" s="602"/>
      <c r="I26" s="601">
        <f>+Historical!K95</f>
        <v>1.006</v>
      </c>
      <c r="J26" s="603"/>
      <c r="K26" s="601">
        <f>+Assumption!M227</f>
        <v>60</v>
      </c>
      <c r="L26" s="603"/>
      <c r="M26" s="601">
        <f>+Assumption!M228</f>
        <v>60</v>
      </c>
      <c r="N26" s="603"/>
      <c r="O26" s="601">
        <f>+Assumption!M229</f>
        <v>60</v>
      </c>
      <c r="P26" s="603"/>
      <c r="Q26" s="601">
        <f>+Assumption!M230</f>
        <v>60</v>
      </c>
      <c r="R26" s="603"/>
      <c r="S26" s="601">
        <f>+Assumption!M231</f>
        <v>60</v>
      </c>
      <c r="T26" s="603"/>
      <c r="U26" s="601">
        <f>+Assumption!M232</f>
        <v>7</v>
      </c>
      <c r="V26" s="603"/>
      <c r="W26" s="601">
        <f>+Assumption!M233</f>
        <v>7</v>
      </c>
      <c r="X26" s="603"/>
      <c r="Y26" s="601">
        <f>+Assumption!M234</f>
        <v>7</v>
      </c>
      <c r="Z26" s="603"/>
      <c r="AA26" s="601">
        <f>+Assumption!M235</f>
        <v>7</v>
      </c>
      <c r="AB26" s="603"/>
      <c r="AC26" s="601">
        <f>+Assumption!M236</f>
        <v>7</v>
      </c>
    </row>
    <row r="27" spans="1:29" ht="15.75" customHeight="1">
      <c r="A27" s="174"/>
      <c r="B27" s="174"/>
      <c r="C27" s="174"/>
      <c r="D27" s="174"/>
      <c r="E27" s="174"/>
      <c r="F27" s="174"/>
      <c r="G27" s="217"/>
      <c r="H27" s="217"/>
      <c r="I27" s="231"/>
      <c r="J27" s="231"/>
      <c r="K27" s="217"/>
      <c r="L27" s="231"/>
      <c r="M27" s="217"/>
      <c r="N27" s="231"/>
      <c r="O27" s="231"/>
      <c r="P27" s="231"/>
      <c r="Q27" s="231"/>
      <c r="R27" s="231"/>
      <c r="S27" s="231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</row>
    <row r="28" spans="1:29" ht="17.25" customHeight="1">
      <c r="A28" s="174"/>
      <c r="B28" s="178" t="s">
        <v>695</v>
      </c>
      <c r="C28" s="174"/>
      <c r="D28" s="174"/>
      <c r="E28" s="174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</row>
    <row r="29" spans="1:29" ht="17.25" customHeight="1">
      <c r="A29" s="174"/>
      <c r="B29" s="178"/>
      <c r="C29" s="174"/>
      <c r="D29" s="174"/>
      <c r="E29" s="174"/>
      <c r="F29" s="185">
        <v>1</v>
      </c>
      <c r="G29" s="185">
        <v>2</v>
      </c>
      <c r="H29" s="185">
        <v>3</v>
      </c>
      <c r="I29" s="185">
        <v>4</v>
      </c>
      <c r="J29" s="185">
        <v>5</v>
      </c>
      <c r="K29" s="185">
        <v>6</v>
      </c>
      <c r="L29" s="185">
        <v>7</v>
      </c>
      <c r="M29" s="185">
        <v>8</v>
      </c>
      <c r="N29" s="185">
        <v>9</v>
      </c>
      <c r="O29" s="185">
        <v>10</v>
      </c>
      <c r="P29" s="185">
        <v>11</v>
      </c>
      <c r="Q29" s="185">
        <v>12</v>
      </c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</row>
    <row r="30" spans="1:29" ht="17.25" customHeight="1">
      <c r="A30" s="174"/>
      <c r="B30" s="178"/>
      <c r="C30" s="174"/>
      <c r="D30" s="174"/>
      <c r="E30" s="174"/>
      <c r="F30" s="185">
        <f>+'Sales-AR Schedule'!D16</f>
        <v>6</v>
      </c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</row>
    <row r="31" spans="1:29" ht="17.25" customHeight="1">
      <c r="A31" s="174"/>
      <c r="B31" s="178"/>
      <c r="C31" s="174"/>
      <c r="D31" s="174"/>
      <c r="E31" s="174"/>
      <c r="F31" s="185">
        <f t="shared" ref="F31:Q31" si="16">+IF($F$30&lt;12,IF(F29&lt;$F$30+1,0,1),1)</f>
        <v>0</v>
      </c>
      <c r="G31" s="185">
        <f t="shared" si="16"/>
        <v>0</v>
      </c>
      <c r="H31" s="185">
        <f t="shared" si="16"/>
        <v>0</v>
      </c>
      <c r="I31" s="185">
        <f t="shared" si="16"/>
        <v>0</v>
      </c>
      <c r="J31" s="185">
        <f t="shared" si="16"/>
        <v>0</v>
      </c>
      <c r="K31" s="185">
        <f t="shared" si="16"/>
        <v>0</v>
      </c>
      <c r="L31" s="185">
        <f t="shared" si="16"/>
        <v>1</v>
      </c>
      <c r="M31" s="185">
        <f t="shared" si="16"/>
        <v>1</v>
      </c>
      <c r="N31" s="185">
        <f t="shared" si="16"/>
        <v>1</v>
      </c>
      <c r="O31" s="185">
        <f t="shared" si="16"/>
        <v>1</v>
      </c>
      <c r="P31" s="185">
        <f t="shared" si="16"/>
        <v>1</v>
      </c>
      <c r="Q31" s="185">
        <f t="shared" si="16"/>
        <v>1</v>
      </c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</row>
    <row r="32" spans="1:29" ht="17.25" customHeight="1">
      <c r="A32" s="174"/>
      <c r="B32" s="178"/>
      <c r="C32" s="174"/>
      <c r="D32" s="174"/>
      <c r="E32" s="174"/>
      <c r="F32" s="196">
        <f>+Assumption!G111</f>
        <v>0.08</v>
      </c>
      <c r="G32" s="196">
        <f>+Assumption!G112</f>
        <v>0.06</v>
      </c>
      <c r="H32" s="196">
        <f>+Assumption!G113</f>
        <v>0.08</v>
      </c>
      <c r="I32" s="196">
        <f>+Assumption!G114</f>
        <v>0.1</v>
      </c>
      <c r="J32" s="196">
        <f>+Assumption!G115</f>
        <v>0.1</v>
      </c>
      <c r="K32" s="196">
        <f>+Assumption!G116</f>
        <v>0.08</v>
      </c>
      <c r="L32" s="196">
        <f>+Assumption!G117</f>
        <v>0.08</v>
      </c>
      <c r="M32" s="196">
        <f>+Assumption!G118</f>
        <v>0.1</v>
      </c>
      <c r="N32" s="196">
        <f>+Assumption!G119</f>
        <v>0.1</v>
      </c>
      <c r="O32" s="196">
        <f>+Assumption!G120</f>
        <v>0.08</v>
      </c>
      <c r="P32" s="196">
        <f>+Assumption!G121</f>
        <v>0.06</v>
      </c>
      <c r="Q32" s="196">
        <f>+Assumption!G122</f>
        <v>0.08</v>
      </c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</row>
    <row r="33" spans="1:29" ht="17.25" customHeight="1">
      <c r="A33" s="174"/>
      <c r="B33" s="178"/>
      <c r="C33" s="174"/>
      <c r="D33" s="174"/>
      <c r="E33" s="174"/>
      <c r="F33" s="196">
        <f t="shared" ref="F33:Q33" si="17">+F32*F31</f>
        <v>0</v>
      </c>
      <c r="G33" s="196">
        <f t="shared" si="17"/>
        <v>0</v>
      </c>
      <c r="H33" s="196">
        <f t="shared" si="17"/>
        <v>0</v>
      </c>
      <c r="I33" s="196">
        <f t="shared" si="17"/>
        <v>0</v>
      </c>
      <c r="J33" s="196">
        <f t="shared" si="17"/>
        <v>0</v>
      </c>
      <c r="K33" s="196">
        <f t="shared" si="17"/>
        <v>0</v>
      </c>
      <c r="L33" s="196">
        <f t="shared" si="17"/>
        <v>0.08</v>
      </c>
      <c r="M33" s="196">
        <f t="shared" si="17"/>
        <v>0.1</v>
      </c>
      <c r="N33" s="196">
        <f t="shared" si="17"/>
        <v>0.1</v>
      </c>
      <c r="O33" s="196">
        <f t="shared" si="17"/>
        <v>0.08</v>
      </c>
      <c r="P33" s="196">
        <f t="shared" si="17"/>
        <v>0.06</v>
      </c>
      <c r="Q33" s="196">
        <f t="shared" si="17"/>
        <v>0.08</v>
      </c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</row>
    <row r="34" spans="1:29" ht="17.25" customHeight="1">
      <c r="A34" s="174"/>
      <c r="B34" s="178"/>
      <c r="C34" s="174"/>
      <c r="D34" s="174"/>
      <c r="E34" s="174"/>
      <c r="F34" s="196">
        <f t="shared" ref="F34:Q34" si="18">+F33/SUM($F$33:$Q$33)</f>
        <v>0</v>
      </c>
      <c r="G34" s="196">
        <f t="shared" si="18"/>
        <v>0</v>
      </c>
      <c r="H34" s="196">
        <f t="shared" si="18"/>
        <v>0</v>
      </c>
      <c r="I34" s="196">
        <f t="shared" si="18"/>
        <v>0</v>
      </c>
      <c r="J34" s="196">
        <f t="shared" si="18"/>
        <v>0</v>
      </c>
      <c r="K34" s="196">
        <f t="shared" si="18"/>
        <v>0</v>
      </c>
      <c r="L34" s="196">
        <f t="shared" si="18"/>
        <v>0.16</v>
      </c>
      <c r="M34" s="196">
        <f t="shared" si="18"/>
        <v>0.2</v>
      </c>
      <c r="N34" s="196">
        <f t="shared" si="18"/>
        <v>0.2</v>
      </c>
      <c r="O34" s="196">
        <f t="shared" si="18"/>
        <v>0.16</v>
      </c>
      <c r="P34" s="196">
        <f t="shared" si="18"/>
        <v>0.12</v>
      </c>
      <c r="Q34" s="196">
        <f t="shared" si="18"/>
        <v>0.16</v>
      </c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</row>
    <row r="35" spans="1:29" ht="15" customHeight="1">
      <c r="A35" s="174"/>
      <c r="B35" s="174"/>
      <c r="C35" s="1581" t="s">
        <v>664</v>
      </c>
      <c r="D35" s="1624"/>
      <c r="E35" s="1623"/>
      <c r="F35" s="198" t="s">
        <v>665</v>
      </c>
      <c r="G35" s="198" t="s">
        <v>666</v>
      </c>
      <c r="H35" s="198" t="s">
        <v>667</v>
      </c>
      <c r="I35" s="198" t="s">
        <v>668</v>
      </c>
      <c r="J35" s="198" t="s">
        <v>680</v>
      </c>
      <c r="K35" s="198" t="s">
        <v>670</v>
      </c>
      <c r="L35" s="198" t="s">
        <v>671</v>
      </c>
      <c r="M35" s="198" t="s">
        <v>681</v>
      </c>
      <c r="N35" s="198" t="s">
        <v>673</v>
      </c>
      <c r="O35" s="198" t="s">
        <v>682</v>
      </c>
      <c r="P35" s="198" t="s">
        <v>683</v>
      </c>
      <c r="Q35" s="198" t="s">
        <v>684</v>
      </c>
      <c r="R35" s="198" t="s">
        <v>566</v>
      </c>
      <c r="S35" s="174"/>
      <c r="T35" s="185"/>
      <c r="U35" s="174"/>
      <c r="V35" s="174"/>
      <c r="W35" s="174"/>
      <c r="X35" s="174"/>
      <c r="Y35" s="174"/>
      <c r="Z35" s="174"/>
      <c r="AA35" s="174"/>
      <c r="AB35" s="174"/>
      <c r="AC35" s="174"/>
    </row>
    <row r="36" spans="1:29" ht="12" customHeight="1">
      <c r="A36" s="174"/>
      <c r="B36" s="174"/>
      <c r="C36" s="1580">
        <f>+'Sales-AR Schedule'!C22</f>
        <v>45657</v>
      </c>
      <c r="D36" s="1624"/>
      <c r="E36" s="1623"/>
      <c r="F36" s="201">
        <f>+IF(MONTH($H$15)=12,$K$19*F32,$K$19*F34)*'Sales-AR Schedule'!D17</f>
        <v>0</v>
      </c>
      <c r="G36" s="201">
        <f>+IF(MONTH($H$15)=12,$K$19*G32,$K$19*G34)*'Sales-AR Schedule'!E17</f>
        <v>0</v>
      </c>
      <c r="H36" s="201">
        <f>+IF(MONTH($H$15)=12,$K$19*H32,$K$19*H34)*'Sales-AR Schedule'!F17</f>
        <v>0</v>
      </c>
      <c r="I36" s="201">
        <f>+IF(MONTH($H$15)=12,$K$19*I32,$K$19*I34)*'Sales-AR Schedule'!G17</f>
        <v>0</v>
      </c>
      <c r="J36" s="201">
        <f>+IF(MONTH($H$15)=12,$K$19*J32,$K$19*J34)*'Sales-AR Schedule'!H17</f>
        <v>0</v>
      </c>
      <c r="K36" s="201">
        <f>+IF(MONTH($H$15)=12,$K$19*K32,$K$19*K34)*'Sales-AR Schedule'!I17</f>
        <v>0</v>
      </c>
      <c r="L36" s="201">
        <f>+IF(MONTH($H$15)=12,$K$19*L32,$K$19*L34)*'Sales-AR Schedule'!J17</f>
        <v>3260.32</v>
      </c>
      <c r="M36" s="201">
        <f>+IF(MONTH($H$15)=12,$K$19*M32,$K$19*M34)*'Sales-AR Schedule'!K17</f>
        <v>4075.4</v>
      </c>
      <c r="N36" s="201">
        <f>+IF(MONTH($H$15)=12,$K$19*N32,$K$19*N34)*'Sales-AR Schedule'!L17</f>
        <v>4075.4</v>
      </c>
      <c r="O36" s="201">
        <f>+IF(MONTH($H$15)=12,$K$19*O32,$K$19*O34)*'Sales-AR Schedule'!M17</f>
        <v>3260.32</v>
      </c>
      <c r="P36" s="201">
        <f>+IF(MONTH($H$15)=12,$K$19*P32,$K$19*P34)*'Sales-AR Schedule'!N17</f>
        <v>2445.2399999999998</v>
      </c>
      <c r="Q36" s="201">
        <f>+IF(MONTH($H$15)=12,$K$19*Q32,$K$19*Q34)*'Sales-AR Schedule'!O17</f>
        <v>3260.32</v>
      </c>
      <c r="R36" s="201">
        <f>SUM(I36:Q36)+H37</f>
        <v>110378</v>
      </c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</row>
    <row r="37" spans="1:29" ht="12" customHeight="1">
      <c r="A37" s="174"/>
      <c r="B37" s="174"/>
      <c r="C37" s="1579" t="str">
        <f>+'Sales-AR Schedule'!C23</f>
        <v>Akum</v>
      </c>
      <c r="D37" s="1624"/>
      <c r="E37" s="1623"/>
      <c r="F37" s="201">
        <f>IF(MONTH(H15)=12,F36,I19+F36)</f>
        <v>90001</v>
      </c>
      <c r="G37" s="201">
        <f t="shared" ref="G37:Q37" si="19">F37+G36</f>
        <v>90001</v>
      </c>
      <c r="H37" s="201">
        <f t="shared" si="19"/>
        <v>90001</v>
      </c>
      <c r="I37" s="201">
        <f t="shared" si="19"/>
        <v>90001</v>
      </c>
      <c r="J37" s="201">
        <f t="shared" si="19"/>
        <v>90001</v>
      </c>
      <c r="K37" s="201">
        <f t="shared" si="19"/>
        <v>90001</v>
      </c>
      <c r="L37" s="201">
        <f t="shared" si="19"/>
        <v>93261.32</v>
      </c>
      <c r="M37" s="201">
        <f t="shared" si="19"/>
        <v>97336.72</v>
      </c>
      <c r="N37" s="201">
        <f t="shared" si="19"/>
        <v>101412.12</v>
      </c>
      <c r="O37" s="201">
        <f t="shared" si="19"/>
        <v>104672.44</v>
      </c>
      <c r="P37" s="201">
        <f t="shared" si="19"/>
        <v>107117.68000000001</v>
      </c>
      <c r="Q37" s="201">
        <f t="shared" si="19"/>
        <v>110378.00000000001</v>
      </c>
      <c r="R37" s="201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</row>
    <row r="38" spans="1:29" ht="12" customHeight="1">
      <c r="A38" s="174"/>
      <c r="B38" s="174"/>
      <c r="C38" s="1580">
        <f>+'Sales-AR Schedule'!C24</f>
        <v>46022</v>
      </c>
      <c r="D38" s="1624"/>
      <c r="E38" s="1623"/>
      <c r="F38" s="201">
        <f t="shared" ref="F38:Q38" si="20">+$M$19*F32</f>
        <v>9303.36</v>
      </c>
      <c r="G38" s="201">
        <f t="shared" si="20"/>
        <v>6977.5199999999995</v>
      </c>
      <c r="H38" s="201">
        <f t="shared" si="20"/>
        <v>9303.36</v>
      </c>
      <c r="I38" s="201">
        <f t="shared" si="20"/>
        <v>11629.2</v>
      </c>
      <c r="J38" s="201">
        <f t="shared" si="20"/>
        <v>11629.2</v>
      </c>
      <c r="K38" s="201">
        <f t="shared" si="20"/>
        <v>9303.36</v>
      </c>
      <c r="L38" s="201">
        <f t="shared" si="20"/>
        <v>9303.36</v>
      </c>
      <c r="M38" s="201">
        <f t="shared" si="20"/>
        <v>11629.2</v>
      </c>
      <c r="N38" s="201">
        <f t="shared" si="20"/>
        <v>11629.2</v>
      </c>
      <c r="O38" s="201">
        <f t="shared" si="20"/>
        <v>9303.36</v>
      </c>
      <c r="P38" s="201">
        <f t="shared" si="20"/>
        <v>6977.5199999999995</v>
      </c>
      <c r="Q38" s="201">
        <f t="shared" si="20"/>
        <v>9303.36</v>
      </c>
      <c r="R38" s="201">
        <f>+M19</f>
        <v>116292</v>
      </c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</row>
    <row r="39" spans="1:29" ht="12" customHeight="1">
      <c r="A39" s="174"/>
      <c r="B39" s="174"/>
      <c r="C39" s="1580" t="str">
        <f>+'Sales-AR Schedule'!C25</f>
        <v>Akum</v>
      </c>
      <c r="D39" s="1624"/>
      <c r="E39" s="1623"/>
      <c r="F39" s="201">
        <f>F38</f>
        <v>9303.36</v>
      </c>
      <c r="G39" s="201">
        <f t="shared" ref="G39:Q39" si="21">F39+G38</f>
        <v>16280.880000000001</v>
      </c>
      <c r="H39" s="201">
        <f t="shared" si="21"/>
        <v>25584.240000000002</v>
      </c>
      <c r="I39" s="201">
        <f t="shared" si="21"/>
        <v>37213.440000000002</v>
      </c>
      <c r="J39" s="201">
        <f t="shared" si="21"/>
        <v>48842.64</v>
      </c>
      <c r="K39" s="201">
        <f t="shared" si="21"/>
        <v>58146</v>
      </c>
      <c r="L39" s="201">
        <f t="shared" si="21"/>
        <v>67449.36</v>
      </c>
      <c r="M39" s="201">
        <f t="shared" si="21"/>
        <v>79078.559999999998</v>
      </c>
      <c r="N39" s="201">
        <f t="shared" si="21"/>
        <v>90707.76</v>
      </c>
      <c r="O39" s="201">
        <f t="shared" si="21"/>
        <v>100011.12</v>
      </c>
      <c r="P39" s="201">
        <f t="shared" si="21"/>
        <v>106988.64</v>
      </c>
      <c r="Q39" s="201">
        <f t="shared" si="21"/>
        <v>116292</v>
      </c>
      <c r="R39" s="201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</row>
    <row r="40" spans="1:29" ht="12" customHeight="1">
      <c r="A40" s="174"/>
      <c r="B40" s="174"/>
      <c r="C40" s="1580">
        <f>+'Sales-AR Schedule'!C26</f>
        <v>46387</v>
      </c>
      <c r="D40" s="1624"/>
      <c r="E40" s="1623"/>
      <c r="F40" s="201">
        <f t="shared" ref="F40:Q40" si="22">+$O$19*F32</f>
        <v>10117.535999999998</v>
      </c>
      <c r="G40" s="201">
        <f t="shared" si="22"/>
        <v>7588.1519999999982</v>
      </c>
      <c r="H40" s="201">
        <f t="shared" si="22"/>
        <v>10117.535999999998</v>
      </c>
      <c r="I40" s="201">
        <f t="shared" si="22"/>
        <v>12646.919999999998</v>
      </c>
      <c r="J40" s="201">
        <f t="shared" si="22"/>
        <v>12646.919999999998</v>
      </c>
      <c r="K40" s="201">
        <f t="shared" si="22"/>
        <v>10117.535999999998</v>
      </c>
      <c r="L40" s="201">
        <f t="shared" si="22"/>
        <v>10117.535999999998</v>
      </c>
      <c r="M40" s="201">
        <f t="shared" si="22"/>
        <v>12646.919999999998</v>
      </c>
      <c r="N40" s="201">
        <f t="shared" si="22"/>
        <v>12646.919999999998</v>
      </c>
      <c r="O40" s="201">
        <f t="shared" si="22"/>
        <v>10117.535999999998</v>
      </c>
      <c r="P40" s="201">
        <f t="shared" si="22"/>
        <v>7588.1519999999982</v>
      </c>
      <c r="Q40" s="201">
        <f t="shared" si="22"/>
        <v>10117.535999999998</v>
      </c>
      <c r="R40" s="201">
        <f>+O19</f>
        <v>126469.19999999998</v>
      </c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</row>
    <row r="41" spans="1:29" ht="12" customHeight="1">
      <c r="A41" s="174"/>
      <c r="B41" s="174"/>
      <c r="C41" s="1580" t="str">
        <f>+'Sales-AR Schedule'!C27</f>
        <v>Akum</v>
      </c>
      <c r="D41" s="1624"/>
      <c r="E41" s="1623"/>
      <c r="F41" s="201">
        <f>F40</f>
        <v>10117.535999999998</v>
      </c>
      <c r="G41" s="201">
        <f t="shared" ref="G41:Q41" si="23">F41+G40</f>
        <v>17705.687999999995</v>
      </c>
      <c r="H41" s="201">
        <f t="shared" si="23"/>
        <v>27823.223999999995</v>
      </c>
      <c r="I41" s="201">
        <f t="shared" si="23"/>
        <v>40470.143999999993</v>
      </c>
      <c r="J41" s="201">
        <f t="shared" si="23"/>
        <v>53117.063999999991</v>
      </c>
      <c r="K41" s="201">
        <f t="shared" si="23"/>
        <v>63234.599999999991</v>
      </c>
      <c r="L41" s="201">
        <f t="shared" si="23"/>
        <v>73352.135999999984</v>
      </c>
      <c r="M41" s="201">
        <f t="shared" si="23"/>
        <v>85999.055999999982</v>
      </c>
      <c r="N41" s="201">
        <f t="shared" si="23"/>
        <v>98645.975999999981</v>
      </c>
      <c r="O41" s="201">
        <f t="shared" si="23"/>
        <v>108763.51199999997</v>
      </c>
      <c r="P41" s="201">
        <f t="shared" si="23"/>
        <v>116351.66399999998</v>
      </c>
      <c r="Q41" s="201">
        <f t="shared" si="23"/>
        <v>126469.19999999997</v>
      </c>
      <c r="R41" s="201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</row>
    <row r="42" spans="1:29" ht="12" customHeight="1">
      <c r="A42" s="174"/>
      <c r="B42" s="174"/>
      <c r="C42" s="1580">
        <f>+'Sales-AR Schedule'!C28</f>
        <v>46752</v>
      </c>
      <c r="D42" s="1624"/>
      <c r="E42" s="1623"/>
      <c r="F42" s="201">
        <f t="shared" ref="F42:Q42" si="24">+$Q$19*F32</f>
        <v>11129.2896</v>
      </c>
      <c r="G42" s="201">
        <f t="shared" si="24"/>
        <v>8346.9671999999991</v>
      </c>
      <c r="H42" s="201">
        <f t="shared" si="24"/>
        <v>11129.2896</v>
      </c>
      <c r="I42" s="201">
        <f t="shared" si="24"/>
        <v>13911.612000000001</v>
      </c>
      <c r="J42" s="201">
        <f t="shared" si="24"/>
        <v>13911.612000000001</v>
      </c>
      <c r="K42" s="201">
        <f t="shared" si="24"/>
        <v>11129.2896</v>
      </c>
      <c r="L42" s="201">
        <f t="shared" si="24"/>
        <v>11129.2896</v>
      </c>
      <c r="M42" s="201">
        <f t="shared" si="24"/>
        <v>13911.612000000001</v>
      </c>
      <c r="N42" s="201">
        <f t="shared" si="24"/>
        <v>13911.612000000001</v>
      </c>
      <c r="O42" s="201">
        <f t="shared" si="24"/>
        <v>11129.2896</v>
      </c>
      <c r="P42" s="201">
        <f t="shared" si="24"/>
        <v>8346.9671999999991</v>
      </c>
      <c r="Q42" s="201">
        <f t="shared" si="24"/>
        <v>11129.2896</v>
      </c>
      <c r="R42" s="201">
        <f>+Q43</f>
        <v>139116.12</v>
      </c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</row>
    <row r="43" spans="1:29" ht="12" customHeight="1">
      <c r="A43" s="174"/>
      <c r="B43" s="174"/>
      <c r="C43" s="1580" t="str">
        <f>+'Sales-AR Schedule'!C29</f>
        <v>Akum</v>
      </c>
      <c r="D43" s="1624"/>
      <c r="E43" s="1623"/>
      <c r="F43" s="201">
        <f>F42</f>
        <v>11129.2896</v>
      </c>
      <c r="G43" s="201">
        <f t="shared" ref="G43:Q43" si="25">F43+G42</f>
        <v>19476.256799999999</v>
      </c>
      <c r="H43" s="201">
        <f t="shared" si="25"/>
        <v>30605.546399999999</v>
      </c>
      <c r="I43" s="201">
        <f t="shared" si="25"/>
        <v>44517.1584</v>
      </c>
      <c r="J43" s="201">
        <f t="shared" si="25"/>
        <v>58428.770400000001</v>
      </c>
      <c r="K43" s="201">
        <f t="shared" si="25"/>
        <v>69558.06</v>
      </c>
      <c r="L43" s="201">
        <f t="shared" si="25"/>
        <v>80687.349600000001</v>
      </c>
      <c r="M43" s="201">
        <f t="shared" si="25"/>
        <v>94598.96160000001</v>
      </c>
      <c r="N43" s="201">
        <f t="shared" si="25"/>
        <v>108510.5736</v>
      </c>
      <c r="O43" s="201">
        <f t="shared" si="25"/>
        <v>119639.86320000001</v>
      </c>
      <c r="P43" s="201">
        <f t="shared" si="25"/>
        <v>127986.83040000001</v>
      </c>
      <c r="Q43" s="201">
        <f t="shared" si="25"/>
        <v>139116.12</v>
      </c>
      <c r="R43" s="201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</row>
    <row r="44" spans="1:29" ht="12" customHeight="1">
      <c r="A44" s="174"/>
      <c r="B44" s="174"/>
      <c r="C44" s="1580">
        <f>+'Sales-AR Schedule'!C30</f>
        <v>47118</v>
      </c>
      <c r="D44" s="1624"/>
      <c r="E44" s="1623"/>
      <c r="F44" s="201">
        <f t="shared" ref="F44:Q44" si="26">+$S$19*F32</f>
        <v>12242.218560000001</v>
      </c>
      <c r="G44" s="201">
        <f t="shared" si="26"/>
        <v>9181.6639200000009</v>
      </c>
      <c r="H44" s="201">
        <f t="shared" si="26"/>
        <v>12242.218560000001</v>
      </c>
      <c r="I44" s="201">
        <f t="shared" si="26"/>
        <v>15302.773200000003</v>
      </c>
      <c r="J44" s="201">
        <f t="shared" si="26"/>
        <v>15302.773200000003</v>
      </c>
      <c r="K44" s="201">
        <f t="shared" si="26"/>
        <v>12242.218560000001</v>
      </c>
      <c r="L44" s="201">
        <f t="shared" si="26"/>
        <v>12242.218560000001</v>
      </c>
      <c r="M44" s="201">
        <f t="shared" si="26"/>
        <v>15302.773200000003</v>
      </c>
      <c r="N44" s="201">
        <f t="shared" si="26"/>
        <v>15302.773200000003</v>
      </c>
      <c r="O44" s="201">
        <f t="shared" si="26"/>
        <v>12242.218560000001</v>
      </c>
      <c r="P44" s="201">
        <f t="shared" si="26"/>
        <v>9181.6639200000009</v>
      </c>
      <c r="Q44" s="201">
        <f t="shared" si="26"/>
        <v>12242.218560000001</v>
      </c>
      <c r="R44" s="201">
        <f>+Q45</f>
        <v>153027.73200000002</v>
      </c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</row>
    <row r="45" spans="1:29" ht="12" customHeight="1">
      <c r="A45" s="174"/>
      <c r="B45" s="174"/>
      <c r="C45" s="1580" t="str">
        <f>+'Sales-AR Schedule'!C31</f>
        <v>Akum</v>
      </c>
      <c r="D45" s="1624"/>
      <c r="E45" s="1623"/>
      <c r="F45" s="201">
        <f>F44</f>
        <v>12242.218560000001</v>
      </c>
      <c r="G45" s="201">
        <f t="shared" ref="G45:Q45" si="27">F45+G44</f>
        <v>21423.88248</v>
      </c>
      <c r="H45" s="201">
        <f t="shared" si="27"/>
        <v>33666.101040000001</v>
      </c>
      <c r="I45" s="201">
        <f t="shared" si="27"/>
        <v>48968.874240000005</v>
      </c>
      <c r="J45" s="201">
        <f t="shared" si="27"/>
        <v>64271.647440000008</v>
      </c>
      <c r="K45" s="201">
        <f t="shared" si="27"/>
        <v>76513.866000000009</v>
      </c>
      <c r="L45" s="201">
        <f t="shared" si="27"/>
        <v>88756.084560000018</v>
      </c>
      <c r="M45" s="201">
        <f t="shared" si="27"/>
        <v>104058.85776000001</v>
      </c>
      <c r="N45" s="201">
        <f t="shared" si="27"/>
        <v>119361.63096000001</v>
      </c>
      <c r="O45" s="201">
        <f t="shared" si="27"/>
        <v>131603.84952000002</v>
      </c>
      <c r="P45" s="201">
        <f t="shared" si="27"/>
        <v>140785.51344000001</v>
      </c>
      <c r="Q45" s="201">
        <f t="shared" si="27"/>
        <v>153027.73200000002</v>
      </c>
      <c r="R45" s="201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</row>
    <row r="46" spans="1:29" ht="12" customHeight="1">
      <c r="A46" s="174"/>
      <c r="B46" s="174"/>
      <c r="C46" s="1580">
        <f>+'Sales-AR Schedule'!C32</f>
        <v>47483</v>
      </c>
      <c r="D46" s="1624"/>
      <c r="E46" s="1623"/>
      <c r="F46" s="201">
        <f t="shared" ref="F46:Q46" si="28">+$U$19*F32</f>
        <v>13480.509831360001</v>
      </c>
      <c r="G46" s="201">
        <f t="shared" si="28"/>
        <v>10110.38237352</v>
      </c>
      <c r="H46" s="201">
        <f t="shared" si="28"/>
        <v>13480.509831360001</v>
      </c>
      <c r="I46" s="201">
        <f t="shared" si="28"/>
        <v>16850.637289200004</v>
      </c>
      <c r="J46" s="201">
        <f t="shared" si="28"/>
        <v>16850.637289200004</v>
      </c>
      <c r="K46" s="201">
        <f t="shared" si="28"/>
        <v>13480.509831360001</v>
      </c>
      <c r="L46" s="201">
        <f t="shared" si="28"/>
        <v>13480.509831360001</v>
      </c>
      <c r="M46" s="201">
        <f t="shared" si="28"/>
        <v>16850.637289200004</v>
      </c>
      <c r="N46" s="201">
        <f t="shared" si="28"/>
        <v>16850.637289200004</v>
      </c>
      <c r="O46" s="201">
        <f t="shared" si="28"/>
        <v>13480.509831360001</v>
      </c>
      <c r="P46" s="201">
        <f t="shared" si="28"/>
        <v>10110.38237352</v>
      </c>
      <c r="Q46" s="201">
        <f t="shared" si="28"/>
        <v>13480.509831360001</v>
      </c>
      <c r="R46" s="201">
        <f>+Q47</f>
        <v>168506.37289200001</v>
      </c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</row>
    <row r="47" spans="1:29" ht="12" customHeight="1">
      <c r="A47" s="174"/>
      <c r="B47" s="174"/>
      <c r="C47" s="1580" t="str">
        <f>+'Sales-AR Schedule'!C33</f>
        <v>Akum</v>
      </c>
      <c r="D47" s="1624"/>
      <c r="E47" s="1623"/>
      <c r="F47" s="201">
        <f>F46</f>
        <v>13480.509831360001</v>
      </c>
      <c r="G47" s="201">
        <f t="shared" ref="G47:Q47" si="29">F47+G46</f>
        <v>23590.892204880001</v>
      </c>
      <c r="H47" s="201">
        <f t="shared" si="29"/>
        <v>37071.402036240004</v>
      </c>
      <c r="I47" s="201">
        <f t="shared" si="29"/>
        <v>53922.039325440011</v>
      </c>
      <c r="J47" s="201">
        <f t="shared" si="29"/>
        <v>70772.676614640019</v>
      </c>
      <c r="K47" s="201">
        <f t="shared" si="29"/>
        <v>84253.186446000022</v>
      </c>
      <c r="L47" s="201">
        <f t="shared" si="29"/>
        <v>97733.696277360024</v>
      </c>
      <c r="M47" s="201">
        <f t="shared" si="29"/>
        <v>114584.33356656003</v>
      </c>
      <c r="N47" s="201">
        <f t="shared" si="29"/>
        <v>131434.97085576004</v>
      </c>
      <c r="O47" s="201">
        <f t="shared" si="29"/>
        <v>144915.48068712003</v>
      </c>
      <c r="P47" s="201">
        <f t="shared" si="29"/>
        <v>155025.86306064003</v>
      </c>
      <c r="Q47" s="201">
        <f t="shared" si="29"/>
        <v>168506.37289200001</v>
      </c>
      <c r="R47" s="201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</row>
    <row r="48" spans="1:29" ht="12" customHeight="1">
      <c r="A48" s="174"/>
      <c r="B48" s="174"/>
      <c r="C48" s="1580">
        <f>+'Sales-AR Schedule'!C34</f>
        <v>47848</v>
      </c>
      <c r="D48" s="1624"/>
      <c r="E48" s="1623"/>
      <c r="F48" s="201">
        <f t="shared" ref="F48:Q48" si="30">+$W$19*F32</f>
        <v>15194.968588800002</v>
      </c>
      <c r="G48" s="201">
        <f t="shared" si="30"/>
        <v>11396.226441600002</v>
      </c>
      <c r="H48" s="201">
        <f t="shared" si="30"/>
        <v>15194.968588800002</v>
      </c>
      <c r="I48" s="201">
        <f t="shared" si="30"/>
        <v>18993.710736000005</v>
      </c>
      <c r="J48" s="201">
        <f t="shared" si="30"/>
        <v>18993.710736000005</v>
      </c>
      <c r="K48" s="201">
        <f t="shared" si="30"/>
        <v>15194.968588800002</v>
      </c>
      <c r="L48" s="201">
        <f t="shared" si="30"/>
        <v>15194.968588800002</v>
      </c>
      <c r="M48" s="201">
        <f t="shared" si="30"/>
        <v>18993.710736000005</v>
      </c>
      <c r="N48" s="201">
        <f t="shared" si="30"/>
        <v>18993.710736000005</v>
      </c>
      <c r="O48" s="201">
        <f t="shared" si="30"/>
        <v>15194.968588800002</v>
      </c>
      <c r="P48" s="201">
        <f t="shared" si="30"/>
        <v>11396.226441600002</v>
      </c>
      <c r="Q48" s="201">
        <f t="shared" si="30"/>
        <v>15194.968588800002</v>
      </c>
      <c r="R48" s="201">
        <f>+Q49</f>
        <v>189937.10736000002</v>
      </c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</row>
    <row r="49" spans="1:29" ht="12" customHeight="1">
      <c r="A49" s="174"/>
      <c r="B49" s="174"/>
      <c r="C49" s="1580" t="str">
        <f>+'Sales-AR Schedule'!C35</f>
        <v>Akum</v>
      </c>
      <c r="D49" s="1624"/>
      <c r="E49" s="1623"/>
      <c r="F49" s="201">
        <f>+F48</f>
        <v>15194.968588800002</v>
      </c>
      <c r="G49" s="201">
        <f t="shared" ref="G49:Q49" si="31">+F49+G48</f>
        <v>26591.195030400006</v>
      </c>
      <c r="H49" s="201">
        <f t="shared" si="31"/>
        <v>41786.163619200008</v>
      </c>
      <c r="I49" s="201">
        <f t="shared" si="31"/>
        <v>60779.874355200009</v>
      </c>
      <c r="J49" s="201">
        <f t="shared" si="31"/>
        <v>79773.585091200017</v>
      </c>
      <c r="K49" s="201">
        <f t="shared" si="31"/>
        <v>94968.553680000012</v>
      </c>
      <c r="L49" s="201">
        <f t="shared" si="31"/>
        <v>110163.52226880001</v>
      </c>
      <c r="M49" s="201">
        <f t="shared" si="31"/>
        <v>129157.23300480001</v>
      </c>
      <c r="N49" s="201">
        <f t="shared" si="31"/>
        <v>148150.94374080002</v>
      </c>
      <c r="O49" s="201">
        <f t="shared" si="31"/>
        <v>163345.91232960002</v>
      </c>
      <c r="P49" s="201">
        <f t="shared" si="31"/>
        <v>174742.13877120003</v>
      </c>
      <c r="Q49" s="201">
        <f t="shared" si="31"/>
        <v>189937.10736000002</v>
      </c>
      <c r="R49" s="201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</row>
    <row r="50" spans="1:29" ht="12" customHeight="1">
      <c r="A50" s="174"/>
      <c r="B50" s="174"/>
      <c r="C50" s="1580">
        <f>+'Sales-AR Schedule'!C36</f>
        <v>48213</v>
      </c>
      <c r="D50" s="1624"/>
      <c r="E50" s="1623"/>
      <c r="F50" s="201">
        <f t="shared" ref="F50:Q50" si="32">+$Y$19*F32</f>
        <v>15194.968588800002</v>
      </c>
      <c r="G50" s="201">
        <f t="shared" si="32"/>
        <v>11396.226441600002</v>
      </c>
      <c r="H50" s="201">
        <f t="shared" si="32"/>
        <v>15194.968588800002</v>
      </c>
      <c r="I50" s="201">
        <f t="shared" si="32"/>
        <v>18993.710736000005</v>
      </c>
      <c r="J50" s="201">
        <f t="shared" si="32"/>
        <v>18993.710736000005</v>
      </c>
      <c r="K50" s="201">
        <f t="shared" si="32"/>
        <v>15194.968588800002</v>
      </c>
      <c r="L50" s="201">
        <f t="shared" si="32"/>
        <v>15194.968588800002</v>
      </c>
      <c r="M50" s="201">
        <f t="shared" si="32"/>
        <v>18993.710736000005</v>
      </c>
      <c r="N50" s="201">
        <f t="shared" si="32"/>
        <v>18993.710736000005</v>
      </c>
      <c r="O50" s="201">
        <f t="shared" si="32"/>
        <v>15194.968588800002</v>
      </c>
      <c r="P50" s="201">
        <f t="shared" si="32"/>
        <v>11396.226441600002</v>
      </c>
      <c r="Q50" s="201">
        <f t="shared" si="32"/>
        <v>15194.968588800002</v>
      </c>
      <c r="R50" s="201">
        <f>+Q51</f>
        <v>189937.10736000002</v>
      </c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</row>
    <row r="51" spans="1:29" ht="12" customHeight="1">
      <c r="A51" s="174"/>
      <c r="B51" s="174"/>
      <c r="C51" s="1580" t="str">
        <f>+'Sales-AR Schedule'!C37</f>
        <v>Akum</v>
      </c>
      <c r="D51" s="1624"/>
      <c r="E51" s="1623"/>
      <c r="F51" s="201">
        <f>+F50</f>
        <v>15194.968588800002</v>
      </c>
      <c r="G51" s="201">
        <f t="shared" ref="G51:Q51" si="33">+F51+G50</f>
        <v>26591.195030400006</v>
      </c>
      <c r="H51" s="201">
        <f t="shared" si="33"/>
        <v>41786.163619200008</v>
      </c>
      <c r="I51" s="201">
        <f t="shared" si="33"/>
        <v>60779.874355200009</v>
      </c>
      <c r="J51" s="201">
        <f t="shared" si="33"/>
        <v>79773.585091200017</v>
      </c>
      <c r="K51" s="201">
        <f t="shared" si="33"/>
        <v>94968.553680000012</v>
      </c>
      <c r="L51" s="201">
        <f t="shared" si="33"/>
        <v>110163.52226880001</v>
      </c>
      <c r="M51" s="201">
        <f t="shared" si="33"/>
        <v>129157.23300480001</v>
      </c>
      <c r="N51" s="201">
        <f t="shared" si="33"/>
        <v>148150.94374080002</v>
      </c>
      <c r="O51" s="201">
        <f t="shared" si="33"/>
        <v>163345.91232960002</v>
      </c>
      <c r="P51" s="201">
        <f t="shared" si="33"/>
        <v>174742.13877120003</v>
      </c>
      <c r="Q51" s="201">
        <f t="shared" si="33"/>
        <v>189937.10736000002</v>
      </c>
      <c r="R51" s="201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</row>
    <row r="52" spans="1:29" ht="12" customHeight="1">
      <c r="A52" s="174"/>
      <c r="B52" s="174"/>
      <c r="C52" s="1580">
        <f>+'Sales-AR Schedule'!C38</f>
        <v>48579</v>
      </c>
      <c r="D52" s="1624"/>
      <c r="E52" s="1623"/>
      <c r="F52" s="201">
        <f t="shared" ref="F52:Q52" si="34">+$AA$19*F32</f>
        <v>15194.968588800002</v>
      </c>
      <c r="G52" s="201">
        <f t="shared" si="34"/>
        <v>11396.226441600002</v>
      </c>
      <c r="H52" s="201">
        <f t="shared" si="34"/>
        <v>15194.968588800002</v>
      </c>
      <c r="I52" s="201">
        <f t="shared" si="34"/>
        <v>18993.710736000005</v>
      </c>
      <c r="J52" s="201">
        <f t="shared" si="34"/>
        <v>18993.710736000005</v>
      </c>
      <c r="K52" s="201">
        <f t="shared" si="34"/>
        <v>15194.968588800002</v>
      </c>
      <c r="L52" s="201">
        <f t="shared" si="34"/>
        <v>15194.968588800002</v>
      </c>
      <c r="M52" s="201">
        <f t="shared" si="34"/>
        <v>18993.710736000005</v>
      </c>
      <c r="N52" s="201">
        <f t="shared" si="34"/>
        <v>18993.710736000005</v>
      </c>
      <c r="O52" s="201">
        <f t="shared" si="34"/>
        <v>15194.968588800002</v>
      </c>
      <c r="P52" s="201">
        <f t="shared" si="34"/>
        <v>11396.226441600002</v>
      </c>
      <c r="Q52" s="201">
        <f t="shared" si="34"/>
        <v>15194.968588800002</v>
      </c>
      <c r="R52" s="201">
        <f>+Q53</f>
        <v>189937.10736000002</v>
      </c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</row>
    <row r="53" spans="1:29" ht="12" customHeight="1">
      <c r="A53" s="174"/>
      <c r="B53" s="174"/>
      <c r="C53" s="1580" t="str">
        <f>+'Sales-AR Schedule'!C39</f>
        <v>Akum</v>
      </c>
      <c r="D53" s="1624"/>
      <c r="E53" s="1623"/>
      <c r="F53" s="201">
        <f>+F52</f>
        <v>15194.968588800002</v>
      </c>
      <c r="G53" s="201">
        <f t="shared" ref="G53:Q53" si="35">+F53+G52</f>
        <v>26591.195030400006</v>
      </c>
      <c r="H53" s="201">
        <f t="shared" si="35"/>
        <v>41786.163619200008</v>
      </c>
      <c r="I53" s="201">
        <f t="shared" si="35"/>
        <v>60779.874355200009</v>
      </c>
      <c r="J53" s="201">
        <f t="shared" si="35"/>
        <v>79773.585091200017</v>
      </c>
      <c r="K53" s="201">
        <f t="shared" si="35"/>
        <v>94968.553680000012</v>
      </c>
      <c r="L53" s="201">
        <f t="shared" si="35"/>
        <v>110163.52226880001</v>
      </c>
      <c r="M53" s="201">
        <f t="shared" si="35"/>
        <v>129157.23300480001</v>
      </c>
      <c r="N53" s="201">
        <f t="shared" si="35"/>
        <v>148150.94374080002</v>
      </c>
      <c r="O53" s="201">
        <f t="shared" si="35"/>
        <v>163345.91232960002</v>
      </c>
      <c r="P53" s="201">
        <f t="shared" si="35"/>
        <v>174742.13877120003</v>
      </c>
      <c r="Q53" s="201">
        <f t="shared" si="35"/>
        <v>189937.10736000002</v>
      </c>
      <c r="R53" s="201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</row>
    <row r="54" spans="1:29" ht="12" customHeight="1">
      <c r="A54" s="174"/>
      <c r="B54" s="174"/>
      <c r="C54" s="1580">
        <f>+'Sales-AR Schedule'!C40</f>
        <v>48944</v>
      </c>
      <c r="D54" s="1624"/>
      <c r="E54" s="1623"/>
      <c r="F54" s="201">
        <f t="shared" ref="F54:Q54" si="36">+$AC$19*F32</f>
        <v>15194.968588800002</v>
      </c>
      <c r="G54" s="201">
        <f t="shared" si="36"/>
        <v>11396.226441600002</v>
      </c>
      <c r="H54" s="201">
        <f t="shared" si="36"/>
        <v>15194.968588800002</v>
      </c>
      <c r="I54" s="201">
        <f t="shared" si="36"/>
        <v>18993.710736000005</v>
      </c>
      <c r="J54" s="201">
        <f t="shared" si="36"/>
        <v>18993.710736000005</v>
      </c>
      <c r="K54" s="201">
        <f t="shared" si="36"/>
        <v>15194.968588800002</v>
      </c>
      <c r="L54" s="201">
        <f t="shared" si="36"/>
        <v>15194.968588800002</v>
      </c>
      <c r="M54" s="201">
        <f t="shared" si="36"/>
        <v>18993.710736000005</v>
      </c>
      <c r="N54" s="201">
        <f t="shared" si="36"/>
        <v>18993.710736000005</v>
      </c>
      <c r="O54" s="201">
        <f t="shared" si="36"/>
        <v>15194.968588800002</v>
      </c>
      <c r="P54" s="201">
        <f t="shared" si="36"/>
        <v>11396.226441600002</v>
      </c>
      <c r="Q54" s="201">
        <f t="shared" si="36"/>
        <v>15194.968588800002</v>
      </c>
      <c r="R54" s="201">
        <f>+Q55</f>
        <v>189937.10736000002</v>
      </c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</row>
    <row r="55" spans="1:29" ht="12" customHeight="1">
      <c r="A55" s="174"/>
      <c r="B55" s="174"/>
      <c r="C55" s="1580" t="str">
        <f>+'Sales-AR Schedule'!C41</f>
        <v>Akum</v>
      </c>
      <c r="D55" s="1624"/>
      <c r="E55" s="1623"/>
      <c r="F55" s="201">
        <f>+F54</f>
        <v>15194.968588800002</v>
      </c>
      <c r="G55" s="201">
        <f t="shared" ref="G55:Q55" si="37">+F55+G54</f>
        <v>26591.195030400006</v>
      </c>
      <c r="H55" s="201">
        <f t="shared" si="37"/>
        <v>41786.163619200008</v>
      </c>
      <c r="I55" s="201">
        <f t="shared" si="37"/>
        <v>60779.874355200009</v>
      </c>
      <c r="J55" s="201">
        <f t="shared" si="37"/>
        <v>79773.585091200017</v>
      </c>
      <c r="K55" s="201">
        <f t="shared" si="37"/>
        <v>94968.553680000012</v>
      </c>
      <c r="L55" s="201">
        <f t="shared" si="37"/>
        <v>110163.52226880001</v>
      </c>
      <c r="M55" s="201">
        <f t="shared" si="37"/>
        <v>129157.23300480001</v>
      </c>
      <c r="N55" s="201">
        <f t="shared" si="37"/>
        <v>148150.94374080002</v>
      </c>
      <c r="O55" s="201">
        <f t="shared" si="37"/>
        <v>163345.91232960002</v>
      </c>
      <c r="P55" s="201">
        <f t="shared" si="37"/>
        <v>174742.13877120003</v>
      </c>
      <c r="Q55" s="201">
        <f t="shared" si="37"/>
        <v>189937.10736000002</v>
      </c>
      <c r="R55" s="201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</row>
    <row r="56" spans="1:29" ht="12" customHeight="1">
      <c r="A56" s="174"/>
      <c r="B56" s="178"/>
      <c r="C56" s="232"/>
      <c r="D56" s="174"/>
      <c r="E56" s="174"/>
      <c r="F56" s="174"/>
      <c r="G56" s="174"/>
      <c r="H56" s="174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</row>
    <row r="57" spans="1:29" ht="12" customHeight="1">
      <c r="A57" s="174"/>
      <c r="B57" s="178" t="s">
        <v>696</v>
      </c>
      <c r="C57" s="174"/>
      <c r="D57" s="174"/>
      <c r="E57" s="174"/>
      <c r="F57" s="174"/>
      <c r="G57" s="181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</row>
    <row r="58" spans="1:29" ht="12" hidden="1" customHeight="1">
      <c r="A58" s="174"/>
      <c r="B58" s="174"/>
      <c r="C58" s="604" t="s">
        <v>697</v>
      </c>
      <c r="D58" s="605"/>
      <c r="E58" s="606"/>
      <c r="F58" s="607"/>
      <c r="G58" s="607">
        <f>C71</f>
        <v>45657</v>
      </c>
      <c r="H58" s="607">
        <f t="shared" ref="H58:M58" si="38">G58+1</f>
        <v>45658</v>
      </c>
      <c r="I58" s="233">
        <f t="shared" si="38"/>
        <v>45659</v>
      </c>
      <c r="J58" s="233">
        <f t="shared" si="38"/>
        <v>45660</v>
      </c>
      <c r="K58" s="233">
        <f t="shared" si="38"/>
        <v>45661</v>
      </c>
      <c r="L58" s="233">
        <f t="shared" si="38"/>
        <v>45662</v>
      </c>
      <c r="M58" s="607">
        <f t="shared" si="38"/>
        <v>45663</v>
      </c>
      <c r="N58" s="608">
        <v>2010</v>
      </c>
      <c r="O58" s="608">
        <v>2011</v>
      </c>
      <c r="P58" s="608">
        <v>2012</v>
      </c>
      <c r="Q58" s="609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</row>
    <row r="59" spans="1:29" ht="12" customHeight="1">
      <c r="A59" s="174"/>
      <c r="B59" s="174"/>
      <c r="C59" s="1582" t="s">
        <v>698</v>
      </c>
      <c r="D59" s="1624"/>
      <c r="E59" s="1623"/>
      <c r="F59" s="202">
        <f>+Assumption!M239</f>
        <v>5</v>
      </c>
      <c r="G59" s="203">
        <f>+Assumption!K239</f>
        <v>2024</v>
      </c>
      <c r="H59" s="234"/>
      <c r="I59" s="235"/>
      <c r="J59" s="235"/>
      <c r="K59" s="235"/>
      <c r="L59" s="235"/>
      <c r="M59" s="214"/>
      <c r="N59" s="214"/>
      <c r="O59" s="214"/>
      <c r="P59" s="21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</row>
    <row r="60" spans="1:29" ht="12" customHeight="1">
      <c r="A60" s="174"/>
      <c r="B60" s="174"/>
      <c r="C60" s="610"/>
      <c r="D60" s="611"/>
      <c r="E60" s="612"/>
      <c r="F60" s="202">
        <f>+Assumption!M240</f>
        <v>5</v>
      </c>
      <c r="G60" s="203">
        <f>+Assumption!K240</f>
        <v>2025</v>
      </c>
      <c r="H60" s="234"/>
      <c r="I60" s="235"/>
      <c r="J60" s="235"/>
      <c r="K60" s="235"/>
      <c r="L60" s="235"/>
      <c r="M60" s="214"/>
      <c r="N60" s="214"/>
      <c r="O60" s="214"/>
      <c r="P60" s="21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</row>
    <row r="61" spans="1:29" ht="12" customHeight="1">
      <c r="A61" s="174"/>
      <c r="B61" s="174"/>
      <c r="C61" s="610"/>
      <c r="D61" s="611"/>
      <c r="E61" s="612"/>
      <c r="F61" s="202">
        <f>+Assumption!M241</f>
        <v>5</v>
      </c>
      <c r="G61" s="203">
        <f>+Assumption!K241</f>
        <v>2026</v>
      </c>
      <c r="H61" s="234"/>
      <c r="I61" s="235"/>
      <c r="J61" s="235"/>
      <c r="K61" s="235"/>
      <c r="L61" s="235"/>
      <c r="M61" s="214"/>
      <c r="N61" s="214"/>
      <c r="O61" s="214"/>
      <c r="P61" s="21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</row>
    <row r="62" spans="1:29" ht="12" customHeight="1">
      <c r="A62" s="174"/>
      <c r="B62" s="174"/>
      <c r="C62" s="610"/>
      <c r="D62" s="611"/>
      <c r="E62" s="612"/>
      <c r="F62" s="202">
        <f>+Assumption!M242</f>
        <v>5</v>
      </c>
      <c r="G62" s="236">
        <f>+Assumption!K242</f>
        <v>2027</v>
      </c>
      <c r="H62" s="234"/>
      <c r="I62" s="235"/>
      <c r="J62" s="235"/>
      <c r="K62" s="235"/>
      <c r="L62" s="235"/>
      <c r="M62" s="214"/>
      <c r="N62" s="214"/>
      <c r="O62" s="214"/>
      <c r="P62" s="21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</row>
    <row r="63" spans="1:29" ht="12" customHeight="1">
      <c r="A63" s="174"/>
      <c r="B63" s="174"/>
      <c r="C63" s="610"/>
      <c r="D63" s="611"/>
      <c r="E63" s="612"/>
      <c r="F63" s="202">
        <f>+Assumption!M243</f>
        <v>5</v>
      </c>
      <c r="G63" s="236">
        <f>+Assumption!K243</f>
        <v>2028</v>
      </c>
      <c r="H63" s="234"/>
      <c r="I63" s="235"/>
      <c r="J63" s="235"/>
      <c r="K63" s="235"/>
      <c r="L63" s="235"/>
      <c r="M63" s="214"/>
      <c r="N63" s="214"/>
      <c r="O63" s="214"/>
      <c r="P63" s="21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</row>
    <row r="64" spans="1:29" ht="12" customHeight="1">
      <c r="A64" s="174"/>
      <c r="B64" s="174"/>
      <c r="C64" s="610"/>
      <c r="D64" s="611"/>
      <c r="E64" s="612"/>
      <c r="F64" s="202">
        <f>+Assumption!M244</f>
        <v>70</v>
      </c>
      <c r="G64" s="236">
        <f>+Assumption!K244</f>
        <v>2029</v>
      </c>
      <c r="H64" s="234"/>
      <c r="I64" s="235"/>
      <c r="J64" s="235"/>
      <c r="K64" s="235"/>
      <c r="L64" s="235"/>
      <c r="M64" s="214"/>
      <c r="N64" s="214"/>
      <c r="O64" s="214"/>
      <c r="P64" s="21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</row>
    <row r="65" spans="1:29" ht="12" customHeight="1">
      <c r="A65" s="174"/>
      <c r="B65" s="174"/>
      <c r="C65" s="610"/>
      <c r="D65" s="611"/>
      <c r="E65" s="612"/>
      <c r="F65" s="202">
        <f>+Assumption!M245</f>
        <v>70</v>
      </c>
      <c r="G65" s="236">
        <f>+Assumption!K245</f>
        <v>2030</v>
      </c>
      <c r="H65" s="234"/>
      <c r="I65" s="235"/>
      <c r="J65" s="235"/>
      <c r="K65" s="235"/>
      <c r="L65" s="235"/>
      <c r="M65" s="214"/>
      <c r="N65" s="214"/>
      <c r="O65" s="214"/>
      <c r="P65" s="21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  <c r="AB65" s="174"/>
      <c r="AC65" s="174"/>
    </row>
    <row r="66" spans="1:29" ht="12" customHeight="1">
      <c r="A66" s="174"/>
      <c r="B66" s="174"/>
      <c r="C66" s="610"/>
      <c r="D66" s="611"/>
      <c r="E66" s="612"/>
      <c r="F66" s="202">
        <f>+Assumption!M246</f>
        <v>70</v>
      </c>
      <c r="G66" s="236">
        <f>+Assumption!K246</f>
        <v>2031</v>
      </c>
      <c r="H66" s="234"/>
      <c r="I66" s="235"/>
      <c r="J66" s="235"/>
      <c r="K66" s="235"/>
      <c r="L66" s="235"/>
      <c r="M66" s="214"/>
      <c r="N66" s="214"/>
      <c r="O66" s="214"/>
      <c r="P66" s="21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</row>
    <row r="67" spans="1:29" ht="12" customHeight="1">
      <c r="A67" s="174"/>
      <c r="B67" s="174"/>
      <c r="C67" s="610"/>
      <c r="D67" s="611"/>
      <c r="E67" s="612"/>
      <c r="F67" s="202">
        <f>+Assumption!M247</f>
        <v>70</v>
      </c>
      <c r="G67" s="236">
        <f>+Assumption!K247</f>
        <v>2032</v>
      </c>
      <c r="H67" s="234"/>
      <c r="I67" s="235"/>
      <c r="J67" s="235"/>
      <c r="K67" s="235"/>
      <c r="L67" s="235"/>
      <c r="M67" s="214"/>
      <c r="N67" s="214"/>
      <c r="O67" s="214"/>
      <c r="P67" s="21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</row>
    <row r="68" spans="1:29" ht="12" customHeight="1">
      <c r="A68" s="174"/>
      <c r="B68" s="174"/>
      <c r="C68" s="610"/>
      <c r="D68" s="611"/>
      <c r="E68" s="612"/>
      <c r="F68" s="202">
        <f>+Assumption!M248</f>
        <v>70</v>
      </c>
      <c r="G68" s="236">
        <f>+Assumption!K248</f>
        <v>2033</v>
      </c>
      <c r="H68" s="613"/>
      <c r="I68" s="593"/>
      <c r="J68" s="593"/>
      <c r="K68" s="593"/>
      <c r="L68" s="593"/>
      <c r="M68" s="614"/>
      <c r="N68" s="614"/>
      <c r="O68" s="614"/>
      <c r="P68" s="614"/>
      <c r="Q68" s="615"/>
      <c r="R68" s="174"/>
      <c r="S68" s="174"/>
      <c r="T68" s="174"/>
      <c r="U68" s="174"/>
      <c r="V68" s="174"/>
      <c r="W68" s="174"/>
      <c r="X68" s="174"/>
      <c r="Y68" s="174"/>
      <c r="Z68" s="174"/>
      <c r="AA68" s="174"/>
      <c r="AB68" s="174"/>
      <c r="AC68" s="174"/>
    </row>
    <row r="69" spans="1:29" ht="12" customHeight="1">
      <c r="A69" s="174"/>
      <c r="B69" s="174"/>
      <c r="C69" s="1583" t="s">
        <v>664</v>
      </c>
      <c r="D69" s="1624"/>
      <c r="E69" s="1623"/>
      <c r="F69" s="616" t="s">
        <v>665</v>
      </c>
      <c r="G69" s="208" t="s">
        <v>666</v>
      </c>
      <c r="H69" s="208" t="s">
        <v>667</v>
      </c>
      <c r="I69" s="208" t="s">
        <v>668</v>
      </c>
      <c r="J69" s="208" t="s">
        <v>680</v>
      </c>
      <c r="K69" s="208" t="s">
        <v>670</v>
      </c>
      <c r="L69" s="208" t="s">
        <v>671</v>
      </c>
      <c r="M69" s="208" t="s">
        <v>681</v>
      </c>
      <c r="N69" s="208" t="s">
        <v>673</v>
      </c>
      <c r="O69" s="208" t="s">
        <v>682</v>
      </c>
      <c r="P69" s="208" t="s">
        <v>683</v>
      </c>
      <c r="Q69" s="208" t="s">
        <v>684</v>
      </c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</row>
    <row r="70" spans="1:29" ht="13.5" customHeight="1">
      <c r="A70" s="174"/>
      <c r="B70" s="174"/>
      <c r="C70" s="1582" t="s">
        <v>685</v>
      </c>
      <c r="D70" s="1624"/>
      <c r="E70" s="1623"/>
      <c r="F70" s="200">
        <v>30</v>
      </c>
      <c r="G70" s="200">
        <f t="shared" ref="G70:Q70" si="39">F70+30</f>
        <v>60</v>
      </c>
      <c r="H70" s="200">
        <f t="shared" si="39"/>
        <v>90</v>
      </c>
      <c r="I70" s="200">
        <f t="shared" si="39"/>
        <v>120</v>
      </c>
      <c r="J70" s="200">
        <f t="shared" si="39"/>
        <v>150</v>
      </c>
      <c r="K70" s="200">
        <f t="shared" si="39"/>
        <v>180</v>
      </c>
      <c r="L70" s="200">
        <f t="shared" si="39"/>
        <v>210</v>
      </c>
      <c r="M70" s="200">
        <f t="shared" si="39"/>
        <v>240</v>
      </c>
      <c r="N70" s="200">
        <f t="shared" si="39"/>
        <v>270</v>
      </c>
      <c r="O70" s="200">
        <f t="shared" si="39"/>
        <v>300</v>
      </c>
      <c r="P70" s="200">
        <f t="shared" si="39"/>
        <v>330</v>
      </c>
      <c r="Q70" s="200">
        <f t="shared" si="39"/>
        <v>360</v>
      </c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</row>
    <row r="71" spans="1:29" ht="13.5" customHeight="1">
      <c r="A71" s="174"/>
      <c r="B71" s="174"/>
      <c r="C71" s="1580">
        <f>+C36</f>
        <v>45657</v>
      </c>
      <c r="D71" s="1624"/>
      <c r="E71" s="1623"/>
      <c r="F71" s="201">
        <f>($F$59/F70)*F37*'Sales-AR Schedule'!D17</f>
        <v>0</v>
      </c>
      <c r="G71" s="201">
        <f>($F$59/G70)*G37*'Sales-AR Schedule'!E17</f>
        <v>0</v>
      </c>
      <c r="H71" s="201">
        <f>($F$59/H70)*H37*'Sales-AR Schedule'!F17</f>
        <v>0</v>
      </c>
      <c r="I71" s="201">
        <f>($F$59/I70)*I37*'Sales-AR Schedule'!G17</f>
        <v>0</v>
      </c>
      <c r="J71" s="201">
        <f>($F$59/J70)*J37*'Sales-AR Schedule'!H17</f>
        <v>0</v>
      </c>
      <c r="K71" s="201">
        <f>($F$59/K70)*K37*'Sales-AR Schedule'!I17</f>
        <v>0</v>
      </c>
      <c r="L71" s="201">
        <f>($F$59/L70)*L37*'Sales-AR Schedule'!J17</f>
        <v>2220.5076190476193</v>
      </c>
      <c r="M71" s="201">
        <f>($F$59/M70)*M37*'Sales-AR Schedule'!K17</f>
        <v>2027.8483333333334</v>
      </c>
      <c r="N71" s="201">
        <f>($F$59/N70)*N37*'Sales-AR Schedule'!L17</f>
        <v>1878.0022222222221</v>
      </c>
      <c r="O71" s="201">
        <f>($F$59/O70)*O37*'Sales-AR Schedule'!M17</f>
        <v>1744.5406666666668</v>
      </c>
      <c r="P71" s="201">
        <f>($F$59/P70)*P37*'Sales-AR Schedule'!N17</f>
        <v>1622.9951515151517</v>
      </c>
      <c r="Q71" s="201">
        <f>($F$59/Q70)*Q37*'Sales-AR Schedule'!O17</f>
        <v>1533.0277777777778</v>
      </c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</row>
    <row r="72" spans="1:29" ht="13.5" customHeight="1">
      <c r="A72" s="174"/>
      <c r="B72" s="174"/>
      <c r="C72" s="1580">
        <f>+C38</f>
        <v>46022</v>
      </c>
      <c r="D72" s="1624"/>
      <c r="E72" s="1623"/>
      <c r="F72" s="201">
        <f t="shared" ref="F72:Q72" si="40">($F$60/F70)*F39</f>
        <v>1550.56</v>
      </c>
      <c r="G72" s="201">
        <f t="shared" si="40"/>
        <v>1356.74</v>
      </c>
      <c r="H72" s="201">
        <f t="shared" si="40"/>
        <v>1421.3466666666666</v>
      </c>
      <c r="I72" s="201">
        <f t="shared" si="40"/>
        <v>1550.56</v>
      </c>
      <c r="J72" s="201">
        <f t="shared" si="40"/>
        <v>1628.088</v>
      </c>
      <c r="K72" s="201">
        <f t="shared" si="40"/>
        <v>1615.1666666666665</v>
      </c>
      <c r="L72" s="201">
        <f t="shared" si="40"/>
        <v>1605.9371428571428</v>
      </c>
      <c r="M72" s="201">
        <f t="shared" si="40"/>
        <v>1647.4699999999998</v>
      </c>
      <c r="N72" s="201">
        <f t="shared" si="40"/>
        <v>1679.7733333333331</v>
      </c>
      <c r="O72" s="201">
        <f t="shared" si="40"/>
        <v>1666.8519999999999</v>
      </c>
      <c r="P72" s="201">
        <f t="shared" si="40"/>
        <v>1621.04</v>
      </c>
      <c r="Q72" s="201">
        <f t="shared" si="40"/>
        <v>1615.1666666666665</v>
      </c>
      <c r="R72" s="211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</row>
    <row r="73" spans="1:29" ht="13.5" customHeight="1">
      <c r="A73" s="174"/>
      <c r="B73" s="174"/>
      <c r="C73" s="1580">
        <f>+C40</f>
        <v>46387</v>
      </c>
      <c r="D73" s="1624"/>
      <c r="E73" s="1623"/>
      <c r="F73" s="201">
        <f t="shared" ref="F73:Q73" si="41">($F$61/F70)*F41</f>
        <v>1686.2559999999996</v>
      </c>
      <c r="G73" s="201">
        <f t="shared" si="41"/>
        <v>1475.4739999999995</v>
      </c>
      <c r="H73" s="201">
        <f t="shared" si="41"/>
        <v>1545.7346666666663</v>
      </c>
      <c r="I73" s="201">
        <f t="shared" si="41"/>
        <v>1686.2559999999996</v>
      </c>
      <c r="J73" s="201">
        <f t="shared" si="41"/>
        <v>1770.5687999999998</v>
      </c>
      <c r="K73" s="201">
        <f t="shared" si="41"/>
        <v>1756.5166666666664</v>
      </c>
      <c r="L73" s="201">
        <f t="shared" si="41"/>
        <v>1746.4794285714281</v>
      </c>
      <c r="M73" s="201">
        <f t="shared" si="41"/>
        <v>1791.6469999999995</v>
      </c>
      <c r="N73" s="201">
        <f t="shared" si="41"/>
        <v>1826.7773333333328</v>
      </c>
      <c r="O73" s="201">
        <f t="shared" si="41"/>
        <v>1812.7251999999996</v>
      </c>
      <c r="P73" s="201">
        <f t="shared" si="41"/>
        <v>1762.9039999999998</v>
      </c>
      <c r="Q73" s="201">
        <f t="shared" si="41"/>
        <v>1756.5166666666662</v>
      </c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</row>
    <row r="74" spans="1:29" ht="13.5" customHeight="1">
      <c r="A74" s="174"/>
      <c r="B74" s="174"/>
      <c r="C74" s="1580">
        <f>+C42</f>
        <v>46752</v>
      </c>
      <c r="D74" s="1624"/>
      <c r="E74" s="1623"/>
      <c r="F74" s="201">
        <f t="shared" ref="F74:Q74" si="42">($F$62/F70)*F43</f>
        <v>1854.8815999999999</v>
      </c>
      <c r="G74" s="201">
        <f t="shared" si="42"/>
        <v>1623.0213999999999</v>
      </c>
      <c r="H74" s="201">
        <f t="shared" si="42"/>
        <v>1700.3081333333332</v>
      </c>
      <c r="I74" s="201">
        <f t="shared" si="42"/>
        <v>1854.8815999999999</v>
      </c>
      <c r="J74" s="201">
        <f t="shared" si="42"/>
        <v>1947.6256800000001</v>
      </c>
      <c r="K74" s="201">
        <f t="shared" si="42"/>
        <v>1932.1683333333331</v>
      </c>
      <c r="L74" s="201">
        <f t="shared" si="42"/>
        <v>1921.1273714285715</v>
      </c>
      <c r="M74" s="201">
        <f t="shared" si="42"/>
        <v>1970.8117000000002</v>
      </c>
      <c r="N74" s="201">
        <f t="shared" si="42"/>
        <v>2009.4550666666667</v>
      </c>
      <c r="O74" s="201">
        <f t="shared" si="42"/>
        <v>1993.9977200000001</v>
      </c>
      <c r="P74" s="201">
        <f t="shared" si="42"/>
        <v>1939.1944000000001</v>
      </c>
      <c r="Q74" s="201">
        <f t="shared" si="42"/>
        <v>1932.1683333333331</v>
      </c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</row>
    <row r="75" spans="1:29" ht="13.5" customHeight="1">
      <c r="A75" s="174"/>
      <c r="B75" s="174"/>
      <c r="C75" s="1580">
        <f>+C44</f>
        <v>47118</v>
      </c>
      <c r="D75" s="1624"/>
      <c r="E75" s="1623"/>
      <c r="F75" s="201">
        <f t="shared" ref="F75:Q75" si="43">($F$63/F70)*F45</f>
        <v>2040.36976</v>
      </c>
      <c r="G75" s="201">
        <f t="shared" si="43"/>
        <v>1785.3235399999999</v>
      </c>
      <c r="H75" s="201">
        <f t="shared" si="43"/>
        <v>1870.3389466666667</v>
      </c>
      <c r="I75" s="201">
        <f t="shared" si="43"/>
        <v>2040.36976</v>
      </c>
      <c r="J75" s="201">
        <f t="shared" si="43"/>
        <v>2142.3882480000002</v>
      </c>
      <c r="K75" s="201">
        <f t="shared" si="43"/>
        <v>2125.3851666666669</v>
      </c>
      <c r="L75" s="201">
        <f t="shared" si="43"/>
        <v>2113.2401085714287</v>
      </c>
      <c r="M75" s="201">
        <f t="shared" si="43"/>
        <v>2167.8928700000001</v>
      </c>
      <c r="N75" s="201">
        <f t="shared" si="43"/>
        <v>2210.4005733333333</v>
      </c>
      <c r="O75" s="201">
        <f t="shared" si="43"/>
        <v>2193.3974920000001</v>
      </c>
      <c r="P75" s="201">
        <f t="shared" si="43"/>
        <v>2133.11384</v>
      </c>
      <c r="Q75" s="201">
        <f t="shared" si="43"/>
        <v>2125.3851666666669</v>
      </c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</row>
    <row r="76" spans="1:29" ht="13.5" customHeight="1">
      <c r="A76" s="174"/>
      <c r="B76" s="174"/>
      <c r="C76" s="1580">
        <f>+C46</f>
        <v>47483</v>
      </c>
      <c r="D76" s="1624"/>
      <c r="E76" s="1623"/>
      <c r="F76" s="201">
        <f t="shared" ref="F76:Q76" si="44">($F$64/F70)*F47</f>
        <v>31454.522939840004</v>
      </c>
      <c r="G76" s="201">
        <f t="shared" si="44"/>
        <v>27522.707572360003</v>
      </c>
      <c r="H76" s="201">
        <f t="shared" si="44"/>
        <v>28833.312694853335</v>
      </c>
      <c r="I76" s="201">
        <f t="shared" si="44"/>
        <v>31454.522939840008</v>
      </c>
      <c r="J76" s="201">
        <f t="shared" si="44"/>
        <v>33027.249086832009</v>
      </c>
      <c r="K76" s="201">
        <f t="shared" si="44"/>
        <v>32765.12806233334</v>
      </c>
      <c r="L76" s="201">
        <f t="shared" si="44"/>
        <v>32577.898759120006</v>
      </c>
      <c r="M76" s="201">
        <f t="shared" si="44"/>
        <v>33420.43062358001</v>
      </c>
      <c r="N76" s="201">
        <f t="shared" si="44"/>
        <v>34075.733184826677</v>
      </c>
      <c r="O76" s="201">
        <f t="shared" si="44"/>
        <v>33813.612160328004</v>
      </c>
      <c r="P76" s="201">
        <f t="shared" si="44"/>
        <v>32884.273982560007</v>
      </c>
      <c r="Q76" s="201">
        <f t="shared" si="44"/>
        <v>32765.128062333337</v>
      </c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</row>
    <row r="77" spans="1:29" ht="13.5" customHeight="1">
      <c r="A77" s="174"/>
      <c r="B77" s="174"/>
      <c r="C77" s="1580">
        <f>+C48</f>
        <v>47848</v>
      </c>
      <c r="D77" s="1624"/>
      <c r="E77" s="1623"/>
      <c r="F77" s="201">
        <f t="shared" ref="F77:Q77" si="45">($F$65/F70)*F49</f>
        <v>35454.926707200008</v>
      </c>
      <c r="G77" s="201">
        <f t="shared" si="45"/>
        <v>31023.06086880001</v>
      </c>
      <c r="H77" s="201">
        <f t="shared" si="45"/>
        <v>32500.349481600006</v>
      </c>
      <c r="I77" s="201">
        <f t="shared" si="45"/>
        <v>35454.926707200008</v>
      </c>
      <c r="J77" s="201">
        <f t="shared" si="45"/>
        <v>37227.673042560011</v>
      </c>
      <c r="K77" s="201">
        <f t="shared" si="45"/>
        <v>36932.215320000003</v>
      </c>
      <c r="L77" s="201">
        <f t="shared" si="45"/>
        <v>36721.174089599997</v>
      </c>
      <c r="M77" s="201">
        <f t="shared" si="45"/>
        <v>37670.859626400008</v>
      </c>
      <c r="N77" s="201">
        <f t="shared" si="45"/>
        <v>38409.503932800006</v>
      </c>
      <c r="O77" s="201">
        <f t="shared" si="45"/>
        <v>38114.046210240005</v>
      </c>
      <c r="P77" s="201">
        <f t="shared" si="45"/>
        <v>37066.514284800011</v>
      </c>
      <c r="Q77" s="201">
        <f t="shared" si="45"/>
        <v>36932.215320000003</v>
      </c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</row>
    <row r="78" spans="1:29" ht="13.5" customHeight="1">
      <c r="A78" s="174"/>
      <c r="B78" s="174"/>
      <c r="C78" s="1580">
        <f>+C50</f>
        <v>48213</v>
      </c>
      <c r="D78" s="1624"/>
      <c r="E78" s="1623"/>
      <c r="F78" s="201">
        <f t="shared" ref="F78:Q78" si="46">($F$66/F70)*F51</f>
        <v>35454.926707200008</v>
      </c>
      <c r="G78" s="201">
        <f t="shared" si="46"/>
        <v>31023.06086880001</v>
      </c>
      <c r="H78" s="201">
        <f t="shared" si="46"/>
        <v>32500.349481600006</v>
      </c>
      <c r="I78" s="201">
        <f t="shared" si="46"/>
        <v>35454.926707200008</v>
      </c>
      <c r="J78" s="201">
        <f t="shared" si="46"/>
        <v>37227.673042560011</v>
      </c>
      <c r="K78" s="201">
        <f t="shared" si="46"/>
        <v>36932.215320000003</v>
      </c>
      <c r="L78" s="201">
        <f t="shared" si="46"/>
        <v>36721.174089599997</v>
      </c>
      <c r="M78" s="201">
        <f t="shared" si="46"/>
        <v>37670.859626400008</v>
      </c>
      <c r="N78" s="201">
        <f t="shared" si="46"/>
        <v>38409.503932800006</v>
      </c>
      <c r="O78" s="201">
        <f t="shared" si="46"/>
        <v>38114.046210240005</v>
      </c>
      <c r="P78" s="201">
        <f t="shared" si="46"/>
        <v>37066.514284800011</v>
      </c>
      <c r="Q78" s="201">
        <f t="shared" si="46"/>
        <v>36932.215320000003</v>
      </c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</row>
    <row r="79" spans="1:29" ht="13.5" customHeight="1">
      <c r="A79" s="174"/>
      <c r="B79" s="174"/>
      <c r="C79" s="1580">
        <f>+C52</f>
        <v>48579</v>
      </c>
      <c r="D79" s="1624"/>
      <c r="E79" s="1623"/>
      <c r="F79" s="201">
        <f t="shared" ref="F79:Q79" si="47">($F$67/F70)*F53</f>
        <v>35454.926707200008</v>
      </c>
      <c r="G79" s="201">
        <f t="shared" si="47"/>
        <v>31023.06086880001</v>
      </c>
      <c r="H79" s="201">
        <f t="shared" si="47"/>
        <v>32500.349481600006</v>
      </c>
      <c r="I79" s="201">
        <f t="shared" si="47"/>
        <v>35454.926707200008</v>
      </c>
      <c r="J79" s="201">
        <f t="shared" si="47"/>
        <v>37227.673042560011</v>
      </c>
      <c r="K79" s="201">
        <f t="shared" si="47"/>
        <v>36932.215320000003</v>
      </c>
      <c r="L79" s="201">
        <f t="shared" si="47"/>
        <v>36721.174089599997</v>
      </c>
      <c r="M79" s="201">
        <f t="shared" si="47"/>
        <v>37670.859626400008</v>
      </c>
      <c r="N79" s="201">
        <f t="shared" si="47"/>
        <v>38409.503932800006</v>
      </c>
      <c r="O79" s="201">
        <f t="shared" si="47"/>
        <v>38114.046210240005</v>
      </c>
      <c r="P79" s="201">
        <f t="shared" si="47"/>
        <v>37066.514284800011</v>
      </c>
      <c r="Q79" s="201">
        <f t="shared" si="47"/>
        <v>36932.215320000003</v>
      </c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</row>
    <row r="80" spans="1:29" ht="13.5" customHeight="1">
      <c r="A80" s="174"/>
      <c r="B80" s="174"/>
      <c r="C80" s="1580">
        <f>+C54</f>
        <v>48944</v>
      </c>
      <c r="D80" s="1624"/>
      <c r="E80" s="1623"/>
      <c r="F80" s="201">
        <f t="shared" ref="F80:Q80" si="48">($F$68/F70)*F55</f>
        <v>35454.926707200008</v>
      </c>
      <c r="G80" s="201">
        <f t="shared" si="48"/>
        <v>31023.06086880001</v>
      </c>
      <c r="H80" s="201">
        <f t="shared" si="48"/>
        <v>32500.349481600006</v>
      </c>
      <c r="I80" s="201">
        <f t="shared" si="48"/>
        <v>35454.926707200008</v>
      </c>
      <c r="J80" s="201">
        <f t="shared" si="48"/>
        <v>37227.673042560011</v>
      </c>
      <c r="K80" s="201">
        <f t="shared" si="48"/>
        <v>36932.215320000003</v>
      </c>
      <c r="L80" s="201">
        <f t="shared" si="48"/>
        <v>36721.174089599997</v>
      </c>
      <c r="M80" s="201">
        <f t="shared" si="48"/>
        <v>37670.859626400008</v>
      </c>
      <c r="N80" s="201">
        <f t="shared" si="48"/>
        <v>38409.503932800006</v>
      </c>
      <c r="O80" s="201">
        <f t="shared" si="48"/>
        <v>38114.046210240005</v>
      </c>
      <c r="P80" s="201">
        <f t="shared" si="48"/>
        <v>37066.514284800011</v>
      </c>
      <c r="Q80" s="201">
        <f t="shared" si="48"/>
        <v>36932.215320000003</v>
      </c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</row>
    <row r="81" spans="1:29" ht="12" customHeight="1">
      <c r="A81" s="174"/>
      <c r="B81" s="178"/>
      <c r="C81" s="174"/>
      <c r="D81" s="237"/>
      <c r="E81" s="174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</row>
    <row r="82" spans="1:29" ht="15.75" customHeight="1">
      <c r="A82" s="174"/>
      <c r="B82" s="178" t="s">
        <v>699</v>
      </c>
      <c r="C82" s="174"/>
      <c r="D82" s="174"/>
      <c r="E82" s="174"/>
      <c r="F82" s="174"/>
      <c r="G82" s="174"/>
      <c r="H82" s="174"/>
      <c r="I82" s="174"/>
      <c r="J82" s="174"/>
      <c r="K82" s="174"/>
      <c r="L82" s="239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</row>
    <row r="83" spans="1:29" ht="12" customHeight="1">
      <c r="A83" s="174"/>
      <c r="B83" s="174"/>
      <c r="C83" s="1581" t="s">
        <v>664</v>
      </c>
      <c r="D83" s="1624"/>
      <c r="E83" s="1623"/>
      <c r="F83" s="198" t="s">
        <v>665</v>
      </c>
      <c r="G83" s="198" t="s">
        <v>666</v>
      </c>
      <c r="H83" s="198" t="s">
        <v>667</v>
      </c>
      <c r="I83" s="198" t="s">
        <v>668</v>
      </c>
      <c r="J83" s="198" t="s">
        <v>680</v>
      </c>
      <c r="K83" s="198" t="s">
        <v>670</v>
      </c>
      <c r="L83" s="198" t="s">
        <v>671</v>
      </c>
      <c r="M83" s="198" t="s">
        <v>681</v>
      </c>
      <c r="N83" s="198" t="s">
        <v>673</v>
      </c>
      <c r="O83" s="198" t="s">
        <v>682</v>
      </c>
      <c r="P83" s="198" t="s">
        <v>683</v>
      </c>
      <c r="Q83" s="198" t="s">
        <v>684</v>
      </c>
      <c r="R83" s="198" t="s">
        <v>566</v>
      </c>
      <c r="S83" s="174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</row>
    <row r="84" spans="1:29" ht="12" customHeight="1">
      <c r="A84" s="174"/>
      <c r="B84" s="174"/>
      <c r="C84" s="1580">
        <f t="shared" ref="C84:C103" si="49">+C36</f>
        <v>45657</v>
      </c>
      <c r="D84" s="1624"/>
      <c r="E84" s="1623"/>
      <c r="F84" s="186">
        <f>+IF(MONTH($H$15)=12,$K$22/12,($K$22)/(MONTH($J$15)-MONTH($H$15)))*'Sales-AR Schedule'!D17</f>
        <v>0</v>
      </c>
      <c r="G84" s="186">
        <f>+IF(MONTH($H$15)=12,$K$22/12,($K$22)/(MONTH($J$15)-MONTH($H$15)))*'Sales-AR Schedule'!E17</f>
        <v>0</v>
      </c>
      <c r="H84" s="186">
        <f>+IF(MONTH($H$15)=12,$K$22/12,($K$22)/(MONTH($J$15)-MONTH($H$15)))*'Sales-AR Schedule'!F17</f>
        <v>0</v>
      </c>
      <c r="I84" s="186">
        <f>+IF(MONTH($H$15)=12,$K$22/12,($K$22)/(MONTH($J$15)-MONTH($H$15)))*'Sales-AR Schedule'!G17</f>
        <v>0</v>
      </c>
      <c r="J84" s="186">
        <f>+IF(MONTH($H$15)=12,$K$22/12,($K$22)/(MONTH($J$15)-MONTH($H$15)))*'Sales-AR Schedule'!H17</f>
        <v>0</v>
      </c>
      <c r="K84" s="186">
        <f>+IF(MONTH($H$15)=12,$K$22/12,($K$22)/(MONTH($J$15)-MONTH($H$15)))*'Sales-AR Schedule'!I17</f>
        <v>0</v>
      </c>
      <c r="L84" s="186">
        <f>+IF(MONTH($H$15)=12,$K$22/12,($K$22)/(MONTH($J$15)-MONTH($H$15)))*'Sales-AR Schedule'!J17</f>
        <v>0</v>
      </c>
      <c r="M84" s="186">
        <f>+IF(MONTH($H$15)=12,$K$22/12,($K$22)/(MONTH($J$15)-MONTH($H$15)))*'Sales-AR Schedule'!K17</f>
        <v>0</v>
      </c>
      <c r="N84" s="186">
        <f>+IF(MONTH($H$15)=12,$K$22/12,($K$22)/(MONTH($J$15)-MONTH($H$15)))*'Sales-AR Schedule'!L17</f>
        <v>0</v>
      </c>
      <c r="O84" s="186">
        <f>+IF(MONTH($H$15)=12,$K$22/12,($K$22)/(MONTH($J$15)-MONTH($H$15)))*'Sales-AR Schedule'!M17</f>
        <v>0</v>
      </c>
      <c r="P84" s="186">
        <f>+IF(MONTH($H$15)=12,$K$22/12,($K$22)/(MONTH($J$15)-MONTH($H$15)))*'Sales-AR Schedule'!N17</f>
        <v>0</v>
      </c>
      <c r="Q84" s="186">
        <f>+IF(MONTH($H$15)=12,$K$22/12,($K$22)/(MONTH($J$15)-MONTH($H$15)))*'Sales-AR Schedule'!O17</f>
        <v>0</v>
      </c>
      <c r="R84" s="186">
        <f>SUM(I84:Q84)+H85</f>
        <v>0</v>
      </c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</row>
    <row r="85" spans="1:29" ht="12" customHeight="1">
      <c r="A85" s="174"/>
      <c r="B85" s="174"/>
      <c r="C85" s="1580" t="str">
        <f t="shared" si="49"/>
        <v>Akum</v>
      </c>
      <c r="D85" s="1624"/>
      <c r="E85" s="1623"/>
      <c r="F85" s="186">
        <f>IF(MONTH(H15)=12,F84,I22+F84)</f>
        <v>0</v>
      </c>
      <c r="G85" s="186">
        <f t="shared" ref="G85:Q85" si="50">F85+G84</f>
        <v>0</v>
      </c>
      <c r="H85" s="186">
        <f t="shared" si="50"/>
        <v>0</v>
      </c>
      <c r="I85" s="186">
        <f t="shared" si="50"/>
        <v>0</v>
      </c>
      <c r="J85" s="186">
        <f t="shared" si="50"/>
        <v>0</v>
      </c>
      <c r="K85" s="186">
        <f t="shared" si="50"/>
        <v>0</v>
      </c>
      <c r="L85" s="186">
        <f t="shared" si="50"/>
        <v>0</v>
      </c>
      <c r="M85" s="186">
        <f t="shared" si="50"/>
        <v>0</v>
      </c>
      <c r="N85" s="186">
        <f t="shared" si="50"/>
        <v>0</v>
      </c>
      <c r="O85" s="186">
        <f t="shared" si="50"/>
        <v>0</v>
      </c>
      <c r="P85" s="186">
        <f t="shared" si="50"/>
        <v>0</v>
      </c>
      <c r="Q85" s="186">
        <f t="shared" si="50"/>
        <v>0</v>
      </c>
      <c r="R85" s="240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</row>
    <row r="86" spans="1:29" ht="12" customHeight="1">
      <c r="A86" s="174"/>
      <c r="B86" s="174"/>
      <c r="C86" s="1580">
        <f t="shared" si="49"/>
        <v>46022</v>
      </c>
      <c r="D86" s="1624"/>
      <c r="E86" s="1623"/>
      <c r="F86" s="186">
        <f t="shared" ref="F86:Q86" si="51">+$M$22/12</f>
        <v>0</v>
      </c>
      <c r="G86" s="186">
        <f t="shared" si="51"/>
        <v>0</v>
      </c>
      <c r="H86" s="186">
        <f t="shared" si="51"/>
        <v>0</v>
      </c>
      <c r="I86" s="186">
        <f t="shared" si="51"/>
        <v>0</v>
      </c>
      <c r="J86" s="186">
        <f t="shared" si="51"/>
        <v>0</v>
      </c>
      <c r="K86" s="186">
        <f t="shared" si="51"/>
        <v>0</v>
      </c>
      <c r="L86" s="186">
        <f t="shared" si="51"/>
        <v>0</v>
      </c>
      <c r="M86" s="186">
        <f t="shared" si="51"/>
        <v>0</v>
      </c>
      <c r="N86" s="186">
        <f t="shared" si="51"/>
        <v>0</v>
      </c>
      <c r="O86" s="186">
        <f t="shared" si="51"/>
        <v>0</v>
      </c>
      <c r="P86" s="186">
        <f t="shared" si="51"/>
        <v>0</v>
      </c>
      <c r="Q86" s="186">
        <f t="shared" si="51"/>
        <v>0</v>
      </c>
      <c r="R86" s="186">
        <f>SUM(I86:Q86)+H87</f>
        <v>0</v>
      </c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</row>
    <row r="87" spans="1:29" ht="12" customHeight="1">
      <c r="A87" s="174"/>
      <c r="B87" s="174"/>
      <c r="C87" s="1580" t="str">
        <f t="shared" si="49"/>
        <v>Akum</v>
      </c>
      <c r="D87" s="1624"/>
      <c r="E87" s="1623"/>
      <c r="F87" s="186">
        <f>F86</f>
        <v>0</v>
      </c>
      <c r="G87" s="186">
        <f t="shared" ref="G87:Q87" si="52">F87+G86</f>
        <v>0</v>
      </c>
      <c r="H87" s="186">
        <f t="shared" si="52"/>
        <v>0</v>
      </c>
      <c r="I87" s="186">
        <f t="shared" si="52"/>
        <v>0</v>
      </c>
      <c r="J87" s="186">
        <f t="shared" si="52"/>
        <v>0</v>
      </c>
      <c r="K87" s="186">
        <f t="shared" si="52"/>
        <v>0</v>
      </c>
      <c r="L87" s="186">
        <f t="shared" si="52"/>
        <v>0</v>
      </c>
      <c r="M87" s="186">
        <f t="shared" si="52"/>
        <v>0</v>
      </c>
      <c r="N87" s="186">
        <f t="shared" si="52"/>
        <v>0</v>
      </c>
      <c r="O87" s="186">
        <f t="shared" si="52"/>
        <v>0</v>
      </c>
      <c r="P87" s="186">
        <f t="shared" si="52"/>
        <v>0</v>
      </c>
      <c r="Q87" s="186">
        <f t="shared" si="52"/>
        <v>0</v>
      </c>
      <c r="R87" s="240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</row>
    <row r="88" spans="1:29" ht="12" customHeight="1">
      <c r="A88" s="174"/>
      <c r="B88" s="174"/>
      <c r="C88" s="1580">
        <f t="shared" si="49"/>
        <v>46387</v>
      </c>
      <c r="D88" s="1624"/>
      <c r="E88" s="1623"/>
      <c r="F88" s="186">
        <f t="shared" ref="F88:Q88" si="53">+$O$22/12</f>
        <v>0</v>
      </c>
      <c r="G88" s="186">
        <f t="shared" si="53"/>
        <v>0</v>
      </c>
      <c r="H88" s="186">
        <f t="shared" si="53"/>
        <v>0</v>
      </c>
      <c r="I88" s="186">
        <f t="shared" si="53"/>
        <v>0</v>
      </c>
      <c r="J88" s="186">
        <f t="shared" si="53"/>
        <v>0</v>
      </c>
      <c r="K88" s="186">
        <f t="shared" si="53"/>
        <v>0</v>
      </c>
      <c r="L88" s="186">
        <f t="shared" si="53"/>
        <v>0</v>
      </c>
      <c r="M88" s="186">
        <f t="shared" si="53"/>
        <v>0</v>
      </c>
      <c r="N88" s="186">
        <f t="shared" si="53"/>
        <v>0</v>
      </c>
      <c r="O88" s="186">
        <f t="shared" si="53"/>
        <v>0</v>
      </c>
      <c r="P88" s="186">
        <f t="shared" si="53"/>
        <v>0</v>
      </c>
      <c r="Q88" s="186">
        <f t="shared" si="53"/>
        <v>0</v>
      </c>
      <c r="R88" s="186">
        <f>SUM(I88:Q88)+H89</f>
        <v>0</v>
      </c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</row>
    <row r="89" spans="1:29" ht="12" customHeight="1">
      <c r="A89" s="174"/>
      <c r="B89" s="174"/>
      <c r="C89" s="1580" t="str">
        <f t="shared" si="49"/>
        <v>Akum</v>
      </c>
      <c r="D89" s="1624"/>
      <c r="E89" s="1623"/>
      <c r="F89" s="186">
        <f>F88</f>
        <v>0</v>
      </c>
      <c r="G89" s="186">
        <f t="shared" ref="G89:Q89" si="54">F89+G88</f>
        <v>0</v>
      </c>
      <c r="H89" s="186">
        <f t="shared" si="54"/>
        <v>0</v>
      </c>
      <c r="I89" s="186">
        <f t="shared" si="54"/>
        <v>0</v>
      </c>
      <c r="J89" s="186">
        <f t="shared" si="54"/>
        <v>0</v>
      </c>
      <c r="K89" s="186">
        <f t="shared" si="54"/>
        <v>0</v>
      </c>
      <c r="L89" s="186">
        <f t="shared" si="54"/>
        <v>0</v>
      </c>
      <c r="M89" s="186">
        <f t="shared" si="54"/>
        <v>0</v>
      </c>
      <c r="N89" s="186">
        <f t="shared" si="54"/>
        <v>0</v>
      </c>
      <c r="O89" s="186">
        <f t="shared" si="54"/>
        <v>0</v>
      </c>
      <c r="P89" s="186">
        <f t="shared" si="54"/>
        <v>0</v>
      </c>
      <c r="Q89" s="186">
        <f t="shared" si="54"/>
        <v>0</v>
      </c>
      <c r="R89" s="216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</row>
    <row r="90" spans="1:29" ht="12" customHeight="1">
      <c r="A90" s="174"/>
      <c r="B90" s="174"/>
      <c r="C90" s="1580">
        <f t="shared" si="49"/>
        <v>46752</v>
      </c>
      <c r="D90" s="1624"/>
      <c r="E90" s="1623"/>
      <c r="F90" s="186">
        <f t="shared" ref="F90:Q90" si="55">+$Q$22/12</f>
        <v>0</v>
      </c>
      <c r="G90" s="186">
        <f t="shared" si="55"/>
        <v>0</v>
      </c>
      <c r="H90" s="186">
        <f t="shared" si="55"/>
        <v>0</v>
      </c>
      <c r="I90" s="186">
        <f t="shared" si="55"/>
        <v>0</v>
      </c>
      <c r="J90" s="186">
        <f t="shared" si="55"/>
        <v>0</v>
      </c>
      <c r="K90" s="186">
        <f t="shared" si="55"/>
        <v>0</v>
      </c>
      <c r="L90" s="186">
        <f t="shared" si="55"/>
        <v>0</v>
      </c>
      <c r="M90" s="186">
        <f t="shared" si="55"/>
        <v>0</v>
      </c>
      <c r="N90" s="186">
        <f t="shared" si="55"/>
        <v>0</v>
      </c>
      <c r="O90" s="186">
        <f t="shared" si="55"/>
        <v>0</v>
      </c>
      <c r="P90" s="186">
        <f t="shared" si="55"/>
        <v>0</v>
      </c>
      <c r="Q90" s="186">
        <f t="shared" si="55"/>
        <v>0</v>
      </c>
      <c r="R90" s="216">
        <f>+Q91</f>
        <v>0</v>
      </c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</row>
    <row r="91" spans="1:29" ht="12" customHeight="1">
      <c r="A91" s="174"/>
      <c r="B91" s="174"/>
      <c r="C91" s="1580" t="str">
        <f t="shared" si="49"/>
        <v>Akum</v>
      </c>
      <c r="D91" s="1624"/>
      <c r="E91" s="1623"/>
      <c r="F91" s="186">
        <f>F90</f>
        <v>0</v>
      </c>
      <c r="G91" s="186">
        <f t="shared" ref="G91:Q91" si="56">F91+G90</f>
        <v>0</v>
      </c>
      <c r="H91" s="186">
        <f t="shared" si="56"/>
        <v>0</v>
      </c>
      <c r="I91" s="186">
        <f t="shared" si="56"/>
        <v>0</v>
      </c>
      <c r="J91" s="186">
        <f t="shared" si="56"/>
        <v>0</v>
      </c>
      <c r="K91" s="186">
        <f t="shared" si="56"/>
        <v>0</v>
      </c>
      <c r="L91" s="186">
        <f t="shared" si="56"/>
        <v>0</v>
      </c>
      <c r="M91" s="186">
        <f t="shared" si="56"/>
        <v>0</v>
      </c>
      <c r="N91" s="186">
        <f t="shared" si="56"/>
        <v>0</v>
      </c>
      <c r="O91" s="186">
        <f t="shared" si="56"/>
        <v>0</v>
      </c>
      <c r="P91" s="186">
        <f t="shared" si="56"/>
        <v>0</v>
      </c>
      <c r="Q91" s="186">
        <f t="shared" si="56"/>
        <v>0</v>
      </c>
      <c r="R91" s="240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</row>
    <row r="92" spans="1:29" ht="12" customHeight="1">
      <c r="A92" s="174"/>
      <c r="B92" s="174"/>
      <c r="C92" s="1580">
        <f t="shared" si="49"/>
        <v>47118</v>
      </c>
      <c r="D92" s="1624"/>
      <c r="E92" s="1623"/>
      <c r="F92" s="186">
        <f t="shared" ref="F92:Q92" si="57">+$S$22/12</f>
        <v>0</v>
      </c>
      <c r="G92" s="186">
        <f t="shared" si="57"/>
        <v>0</v>
      </c>
      <c r="H92" s="186">
        <f t="shared" si="57"/>
        <v>0</v>
      </c>
      <c r="I92" s="186">
        <f t="shared" si="57"/>
        <v>0</v>
      </c>
      <c r="J92" s="186">
        <f t="shared" si="57"/>
        <v>0</v>
      </c>
      <c r="K92" s="186">
        <f t="shared" si="57"/>
        <v>0</v>
      </c>
      <c r="L92" s="186">
        <f t="shared" si="57"/>
        <v>0</v>
      </c>
      <c r="M92" s="186">
        <f t="shared" si="57"/>
        <v>0</v>
      </c>
      <c r="N92" s="186">
        <f t="shared" si="57"/>
        <v>0</v>
      </c>
      <c r="O92" s="186">
        <f t="shared" si="57"/>
        <v>0</v>
      </c>
      <c r="P92" s="186">
        <f t="shared" si="57"/>
        <v>0</v>
      </c>
      <c r="Q92" s="186">
        <f t="shared" si="57"/>
        <v>0</v>
      </c>
      <c r="R92" s="216">
        <f>+Q93</f>
        <v>0</v>
      </c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</row>
    <row r="93" spans="1:29" ht="12" customHeight="1">
      <c r="A93" s="174"/>
      <c r="B93" s="174"/>
      <c r="C93" s="1580" t="str">
        <f t="shared" si="49"/>
        <v>Akum</v>
      </c>
      <c r="D93" s="1624"/>
      <c r="E93" s="1623"/>
      <c r="F93" s="186">
        <f>F92</f>
        <v>0</v>
      </c>
      <c r="G93" s="186">
        <f t="shared" ref="G93:Q93" si="58">F93+G92</f>
        <v>0</v>
      </c>
      <c r="H93" s="186">
        <f t="shared" si="58"/>
        <v>0</v>
      </c>
      <c r="I93" s="186">
        <f t="shared" si="58"/>
        <v>0</v>
      </c>
      <c r="J93" s="186">
        <f t="shared" si="58"/>
        <v>0</v>
      </c>
      <c r="K93" s="186">
        <f t="shared" si="58"/>
        <v>0</v>
      </c>
      <c r="L93" s="186">
        <f t="shared" si="58"/>
        <v>0</v>
      </c>
      <c r="M93" s="186">
        <f t="shared" si="58"/>
        <v>0</v>
      </c>
      <c r="N93" s="186">
        <f t="shared" si="58"/>
        <v>0</v>
      </c>
      <c r="O93" s="186">
        <f t="shared" si="58"/>
        <v>0</v>
      </c>
      <c r="P93" s="186">
        <f t="shared" si="58"/>
        <v>0</v>
      </c>
      <c r="Q93" s="186">
        <f t="shared" si="58"/>
        <v>0</v>
      </c>
      <c r="R93" s="240"/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</row>
    <row r="94" spans="1:29" ht="12" customHeight="1">
      <c r="A94" s="174"/>
      <c r="B94" s="174"/>
      <c r="C94" s="1580">
        <f t="shared" si="49"/>
        <v>47483</v>
      </c>
      <c r="D94" s="1624"/>
      <c r="E94" s="1623"/>
      <c r="F94" s="186">
        <f t="shared" ref="F94:Q94" si="59">+$U$22/12</f>
        <v>0</v>
      </c>
      <c r="G94" s="186">
        <f t="shared" si="59"/>
        <v>0</v>
      </c>
      <c r="H94" s="186">
        <f t="shared" si="59"/>
        <v>0</v>
      </c>
      <c r="I94" s="186">
        <f t="shared" si="59"/>
        <v>0</v>
      </c>
      <c r="J94" s="186">
        <f t="shared" si="59"/>
        <v>0</v>
      </c>
      <c r="K94" s="186">
        <f t="shared" si="59"/>
        <v>0</v>
      </c>
      <c r="L94" s="186">
        <f t="shared" si="59"/>
        <v>0</v>
      </c>
      <c r="M94" s="186">
        <f t="shared" si="59"/>
        <v>0</v>
      </c>
      <c r="N94" s="186">
        <f t="shared" si="59"/>
        <v>0</v>
      </c>
      <c r="O94" s="186">
        <f t="shared" si="59"/>
        <v>0</v>
      </c>
      <c r="P94" s="186">
        <f t="shared" si="59"/>
        <v>0</v>
      </c>
      <c r="Q94" s="186">
        <f t="shared" si="59"/>
        <v>0</v>
      </c>
      <c r="R94" s="216">
        <f>+Q95</f>
        <v>0</v>
      </c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</row>
    <row r="95" spans="1:29" ht="12" customHeight="1">
      <c r="A95" s="174"/>
      <c r="B95" s="174"/>
      <c r="C95" s="1580" t="str">
        <f t="shared" si="49"/>
        <v>Akum</v>
      </c>
      <c r="D95" s="1624"/>
      <c r="E95" s="1623"/>
      <c r="F95" s="186">
        <f>F94</f>
        <v>0</v>
      </c>
      <c r="G95" s="186">
        <f t="shared" ref="G95:Q95" si="60">F95+G94</f>
        <v>0</v>
      </c>
      <c r="H95" s="186">
        <f t="shared" si="60"/>
        <v>0</v>
      </c>
      <c r="I95" s="186">
        <f t="shared" si="60"/>
        <v>0</v>
      </c>
      <c r="J95" s="186">
        <f t="shared" si="60"/>
        <v>0</v>
      </c>
      <c r="K95" s="186">
        <f t="shared" si="60"/>
        <v>0</v>
      </c>
      <c r="L95" s="186">
        <f t="shared" si="60"/>
        <v>0</v>
      </c>
      <c r="M95" s="186">
        <f t="shared" si="60"/>
        <v>0</v>
      </c>
      <c r="N95" s="186">
        <f t="shared" si="60"/>
        <v>0</v>
      </c>
      <c r="O95" s="186">
        <f t="shared" si="60"/>
        <v>0</v>
      </c>
      <c r="P95" s="186">
        <f t="shared" si="60"/>
        <v>0</v>
      </c>
      <c r="Q95" s="186">
        <f t="shared" si="60"/>
        <v>0</v>
      </c>
      <c r="R95" s="240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</row>
    <row r="96" spans="1:29" ht="12" customHeight="1">
      <c r="A96" s="174"/>
      <c r="B96" s="174"/>
      <c r="C96" s="1580">
        <f t="shared" si="49"/>
        <v>47848</v>
      </c>
      <c r="D96" s="1624"/>
      <c r="E96" s="1623"/>
      <c r="F96" s="201">
        <f t="shared" ref="F96:Q96" si="61">+$W$22/12</f>
        <v>0</v>
      </c>
      <c r="G96" s="201">
        <f t="shared" si="61"/>
        <v>0</v>
      </c>
      <c r="H96" s="201">
        <f t="shared" si="61"/>
        <v>0</v>
      </c>
      <c r="I96" s="201">
        <f t="shared" si="61"/>
        <v>0</v>
      </c>
      <c r="J96" s="201">
        <f t="shared" si="61"/>
        <v>0</v>
      </c>
      <c r="K96" s="201">
        <f t="shared" si="61"/>
        <v>0</v>
      </c>
      <c r="L96" s="201">
        <f t="shared" si="61"/>
        <v>0</v>
      </c>
      <c r="M96" s="201">
        <f t="shared" si="61"/>
        <v>0</v>
      </c>
      <c r="N96" s="201">
        <f t="shared" si="61"/>
        <v>0</v>
      </c>
      <c r="O96" s="201">
        <f t="shared" si="61"/>
        <v>0</v>
      </c>
      <c r="P96" s="201">
        <f t="shared" si="61"/>
        <v>0</v>
      </c>
      <c r="Q96" s="201">
        <f t="shared" si="61"/>
        <v>0</v>
      </c>
      <c r="R96" s="216">
        <f>+Q97</f>
        <v>0</v>
      </c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</row>
    <row r="97" spans="1:29" ht="12" customHeight="1">
      <c r="A97" s="174"/>
      <c r="B97" s="174"/>
      <c r="C97" s="1580" t="str">
        <f t="shared" si="49"/>
        <v>Akum</v>
      </c>
      <c r="D97" s="1624"/>
      <c r="E97" s="1623"/>
      <c r="F97" s="201">
        <f>+F96</f>
        <v>0</v>
      </c>
      <c r="G97" s="186">
        <f t="shared" ref="G97:Q97" si="62">+F97+G96</f>
        <v>0</v>
      </c>
      <c r="H97" s="186">
        <f t="shared" si="62"/>
        <v>0</v>
      </c>
      <c r="I97" s="186">
        <f t="shared" si="62"/>
        <v>0</v>
      </c>
      <c r="J97" s="186">
        <f t="shared" si="62"/>
        <v>0</v>
      </c>
      <c r="K97" s="186">
        <f t="shared" si="62"/>
        <v>0</v>
      </c>
      <c r="L97" s="186">
        <f t="shared" si="62"/>
        <v>0</v>
      </c>
      <c r="M97" s="186">
        <f t="shared" si="62"/>
        <v>0</v>
      </c>
      <c r="N97" s="186">
        <f t="shared" si="62"/>
        <v>0</v>
      </c>
      <c r="O97" s="186">
        <f t="shared" si="62"/>
        <v>0</v>
      </c>
      <c r="P97" s="186">
        <f t="shared" si="62"/>
        <v>0</v>
      </c>
      <c r="Q97" s="186">
        <f t="shared" si="62"/>
        <v>0</v>
      </c>
      <c r="R97" s="240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</row>
    <row r="98" spans="1:29" ht="12" customHeight="1">
      <c r="A98" s="174"/>
      <c r="B98" s="174"/>
      <c r="C98" s="1580">
        <f t="shared" si="49"/>
        <v>48213</v>
      </c>
      <c r="D98" s="1624"/>
      <c r="E98" s="1623"/>
      <c r="F98" s="201">
        <f t="shared" ref="F98:Q98" si="63">+$Y$22/12</f>
        <v>0</v>
      </c>
      <c r="G98" s="201">
        <f t="shared" si="63"/>
        <v>0</v>
      </c>
      <c r="H98" s="201">
        <f t="shared" si="63"/>
        <v>0</v>
      </c>
      <c r="I98" s="201">
        <f t="shared" si="63"/>
        <v>0</v>
      </c>
      <c r="J98" s="201">
        <f t="shared" si="63"/>
        <v>0</v>
      </c>
      <c r="K98" s="201">
        <f t="shared" si="63"/>
        <v>0</v>
      </c>
      <c r="L98" s="201">
        <f t="shared" si="63"/>
        <v>0</v>
      </c>
      <c r="M98" s="201">
        <f t="shared" si="63"/>
        <v>0</v>
      </c>
      <c r="N98" s="201">
        <f t="shared" si="63"/>
        <v>0</v>
      </c>
      <c r="O98" s="201">
        <f t="shared" si="63"/>
        <v>0</v>
      </c>
      <c r="P98" s="201">
        <f t="shared" si="63"/>
        <v>0</v>
      </c>
      <c r="Q98" s="201">
        <f t="shared" si="63"/>
        <v>0</v>
      </c>
      <c r="R98" s="216">
        <f>+Q99</f>
        <v>0</v>
      </c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</row>
    <row r="99" spans="1:29" ht="12" customHeight="1">
      <c r="A99" s="174"/>
      <c r="B99" s="174"/>
      <c r="C99" s="1580" t="str">
        <f t="shared" si="49"/>
        <v>Akum</v>
      </c>
      <c r="D99" s="1624"/>
      <c r="E99" s="1623"/>
      <c r="F99" s="201">
        <f>+F98</f>
        <v>0</v>
      </c>
      <c r="G99" s="186">
        <f t="shared" ref="G99:Q99" si="64">+F99+G98</f>
        <v>0</v>
      </c>
      <c r="H99" s="186">
        <f t="shared" si="64"/>
        <v>0</v>
      </c>
      <c r="I99" s="186">
        <f t="shared" si="64"/>
        <v>0</v>
      </c>
      <c r="J99" s="186">
        <f t="shared" si="64"/>
        <v>0</v>
      </c>
      <c r="K99" s="186">
        <f t="shared" si="64"/>
        <v>0</v>
      </c>
      <c r="L99" s="186">
        <f t="shared" si="64"/>
        <v>0</v>
      </c>
      <c r="M99" s="186">
        <f t="shared" si="64"/>
        <v>0</v>
      </c>
      <c r="N99" s="186">
        <f t="shared" si="64"/>
        <v>0</v>
      </c>
      <c r="O99" s="186">
        <f t="shared" si="64"/>
        <v>0</v>
      </c>
      <c r="P99" s="186">
        <f t="shared" si="64"/>
        <v>0</v>
      </c>
      <c r="Q99" s="186">
        <f t="shared" si="64"/>
        <v>0</v>
      </c>
      <c r="R99" s="240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</row>
    <row r="100" spans="1:29" ht="12" customHeight="1">
      <c r="A100" s="174"/>
      <c r="B100" s="174"/>
      <c r="C100" s="1580">
        <f t="shared" si="49"/>
        <v>48579</v>
      </c>
      <c r="D100" s="1624"/>
      <c r="E100" s="1623"/>
      <c r="F100" s="201">
        <f t="shared" ref="F100:Q100" si="65">+$AA$22/12</f>
        <v>0</v>
      </c>
      <c r="G100" s="201">
        <f t="shared" si="65"/>
        <v>0</v>
      </c>
      <c r="H100" s="201">
        <f t="shared" si="65"/>
        <v>0</v>
      </c>
      <c r="I100" s="201">
        <f t="shared" si="65"/>
        <v>0</v>
      </c>
      <c r="J100" s="201">
        <f t="shared" si="65"/>
        <v>0</v>
      </c>
      <c r="K100" s="201">
        <f t="shared" si="65"/>
        <v>0</v>
      </c>
      <c r="L100" s="201">
        <f t="shared" si="65"/>
        <v>0</v>
      </c>
      <c r="M100" s="201">
        <f t="shared" si="65"/>
        <v>0</v>
      </c>
      <c r="N100" s="201">
        <f t="shared" si="65"/>
        <v>0</v>
      </c>
      <c r="O100" s="201">
        <f t="shared" si="65"/>
        <v>0</v>
      </c>
      <c r="P100" s="201">
        <f t="shared" si="65"/>
        <v>0</v>
      </c>
      <c r="Q100" s="201">
        <f t="shared" si="65"/>
        <v>0</v>
      </c>
      <c r="R100" s="216">
        <f>+Q101</f>
        <v>0</v>
      </c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</row>
    <row r="101" spans="1:29" ht="12" customHeight="1">
      <c r="A101" s="174"/>
      <c r="B101" s="174"/>
      <c r="C101" s="1580" t="str">
        <f t="shared" si="49"/>
        <v>Akum</v>
      </c>
      <c r="D101" s="1624"/>
      <c r="E101" s="1623"/>
      <c r="F101" s="201">
        <f>+F100</f>
        <v>0</v>
      </c>
      <c r="G101" s="186">
        <f t="shared" ref="G101:Q101" si="66">+F101+G100</f>
        <v>0</v>
      </c>
      <c r="H101" s="186">
        <f t="shared" si="66"/>
        <v>0</v>
      </c>
      <c r="I101" s="186">
        <f t="shared" si="66"/>
        <v>0</v>
      </c>
      <c r="J101" s="186">
        <f t="shared" si="66"/>
        <v>0</v>
      </c>
      <c r="K101" s="186">
        <f t="shared" si="66"/>
        <v>0</v>
      </c>
      <c r="L101" s="186">
        <f t="shared" si="66"/>
        <v>0</v>
      </c>
      <c r="M101" s="186">
        <f t="shared" si="66"/>
        <v>0</v>
      </c>
      <c r="N101" s="186">
        <f t="shared" si="66"/>
        <v>0</v>
      </c>
      <c r="O101" s="186">
        <f t="shared" si="66"/>
        <v>0</v>
      </c>
      <c r="P101" s="186">
        <f t="shared" si="66"/>
        <v>0</v>
      </c>
      <c r="Q101" s="186">
        <f t="shared" si="66"/>
        <v>0</v>
      </c>
      <c r="R101" s="240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</row>
    <row r="102" spans="1:29" ht="12" customHeight="1">
      <c r="A102" s="174"/>
      <c r="B102" s="174"/>
      <c r="C102" s="1580">
        <f t="shared" si="49"/>
        <v>48944</v>
      </c>
      <c r="D102" s="1624"/>
      <c r="E102" s="1623"/>
      <c r="F102" s="201">
        <f t="shared" ref="F102:Q102" si="67">+$AC$22/12</f>
        <v>0</v>
      </c>
      <c r="G102" s="201">
        <f t="shared" si="67"/>
        <v>0</v>
      </c>
      <c r="H102" s="201">
        <f t="shared" si="67"/>
        <v>0</v>
      </c>
      <c r="I102" s="201">
        <f t="shared" si="67"/>
        <v>0</v>
      </c>
      <c r="J102" s="201">
        <f t="shared" si="67"/>
        <v>0</v>
      </c>
      <c r="K102" s="201">
        <f t="shared" si="67"/>
        <v>0</v>
      </c>
      <c r="L102" s="201">
        <f t="shared" si="67"/>
        <v>0</v>
      </c>
      <c r="M102" s="201">
        <f t="shared" si="67"/>
        <v>0</v>
      </c>
      <c r="N102" s="201">
        <f t="shared" si="67"/>
        <v>0</v>
      </c>
      <c r="O102" s="201">
        <f t="shared" si="67"/>
        <v>0</v>
      </c>
      <c r="P102" s="201">
        <f t="shared" si="67"/>
        <v>0</v>
      </c>
      <c r="Q102" s="201">
        <f t="shared" si="67"/>
        <v>0</v>
      </c>
      <c r="R102" s="216">
        <f>+Q103</f>
        <v>0</v>
      </c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</row>
    <row r="103" spans="1:29" ht="12" customHeight="1">
      <c r="A103" s="174"/>
      <c r="B103" s="174"/>
      <c r="C103" s="1580" t="str">
        <f t="shared" si="49"/>
        <v>Akum</v>
      </c>
      <c r="D103" s="1624"/>
      <c r="E103" s="1623"/>
      <c r="F103" s="201">
        <f>+F102</f>
        <v>0</v>
      </c>
      <c r="G103" s="186">
        <f t="shared" ref="G103:Q103" si="68">+F103+G102</f>
        <v>0</v>
      </c>
      <c r="H103" s="186">
        <f t="shared" si="68"/>
        <v>0</v>
      </c>
      <c r="I103" s="186">
        <f t="shared" si="68"/>
        <v>0</v>
      </c>
      <c r="J103" s="186">
        <f t="shared" si="68"/>
        <v>0</v>
      </c>
      <c r="K103" s="186">
        <f t="shared" si="68"/>
        <v>0</v>
      </c>
      <c r="L103" s="186">
        <f t="shared" si="68"/>
        <v>0</v>
      </c>
      <c r="M103" s="186">
        <f t="shared" si="68"/>
        <v>0</v>
      </c>
      <c r="N103" s="186">
        <f t="shared" si="68"/>
        <v>0</v>
      </c>
      <c r="O103" s="186">
        <f t="shared" si="68"/>
        <v>0</v>
      </c>
      <c r="P103" s="186">
        <f t="shared" si="68"/>
        <v>0</v>
      </c>
      <c r="Q103" s="186">
        <f t="shared" si="68"/>
        <v>0</v>
      </c>
      <c r="R103" s="240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</row>
    <row r="104" spans="1:29" ht="12" customHeight="1">
      <c r="A104" s="174"/>
      <c r="B104" s="174"/>
      <c r="C104" s="241"/>
      <c r="D104" s="174"/>
      <c r="E104" s="196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</row>
    <row r="105" spans="1:29" ht="15.75" customHeight="1">
      <c r="A105" s="174"/>
      <c r="B105" s="178" t="s">
        <v>700</v>
      </c>
      <c r="C105" s="174"/>
      <c r="D105" s="174"/>
      <c r="E105" s="174"/>
      <c r="F105" s="174"/>
      <c r="G105" s="174"/>
      <c r="H105" s="174"/>
      <c r="I105" s="174"/>
      <c r="J105" s="174"/>
      <c r="K105" s="174"/>
      <c r="L105" s="181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</row>
    <row r="106" spans="1:29" ht="12" customHeight="1">
      <c r="A106" s="174"/>
      <c r="B106" s="174"/>
      <c r="C106" s="1581" t="s">
        <v>664</v>
      </c>
      <c r="D106" s="1624"/>
      <c r="E106" s="1623"/>
      <c r="F106" s="198" t="s">
        <v>665</v>
      </c>
      <c r="G106" s="198" t="s">
        <v>666</v>
      </c>
      <c r="H106" s="198" t="s">
        <v>667</v>
      </c>
      <c r="I106" s="198" t="s">
        <v>668</v>
      </c>
      <c r="J106" s="198" t="s">
        <v>680</v>
      </c>
      <c r="K106" s="198" t="s">
        <v>670</v>
      </c>
      <c r="L106" s="198" t="s">
        <v>671</v>
      </c>
      <c r="M106" s="198" t="s">
        <v>681</v>
      </c>
      <c r="N106" s="198" t="s">
        <v>673</v>
      </c>
      <c r="O106" s="198" t="s">
        <v>682</v>
      </c>
      <c r="P106" s="198" t="s">
        <v>683</v>
      </c>
      <c r="Q106" s="198" t="s">
        <v>684</v>
      </c>
      <c r="R106" s="198" t="s">
        <v>566</v>
      </c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</row>
    <row r="107" spans="1:29" ht="12" customHeight="1">
      <c r="A107" s="174"/>
      <c r="B107" s="174"/>
      <c r="C107" s="1580">
        <f t="shared" ref="C107:C126" si="69">+C84</f>
        <v>45657</v>
      </c>
      <c r="D107" s="1624"/>
      <c r="E107" s="1623"/>
      <c r="F107" s="186">
        <f>+IF(MONTH($H$15)=12,$K$23/12,($K$23)/(MONTH($J$15)-MONTH($H$15)))*'Sales-AR Schedule'!D17</f>
        <v>0</v>
      </c>
      <c r="G107" s="186">
        <f>+IF(MONTH($H$15)=12,$K$23/12,($K$23)/(MONTH($J$15)-MONTH($H$15)))*'Sales-AR Schedule'!E17</f>
        <v>0</v>
      </c>
      <c r="H107" s="186">
        <f>+IF(MONTH($H$15)=12,$K$23/12,($K$23)/(MONTH($J$15)-MONTH($H$15)))*'Sales-AR Schedule'!F17</f>
        <v>0</v>
      </c>
      <c r="I107" s="186">
        <f>+IF(MONTH($H$15)=12,$K$23/12,($K$23)/(MONTH($J$15)-MONTH($H$15)))*'Sales-AR Schedule'!G17</f>
        <v>0</v>
      </c>
      <c r="J107" s="186">
        <f>+IF(MONTH($H$15)=12,$K$23/12,($K$23)/(MONTH($J$15)-MONTH($H$15)))*'Sales-AR Schedule'!H17</f>
        <v>0</v>
      </c>
      <c r="K107" s="186">
        <f>+IF(MONTH($H$15)=12,$K$23/12,($K$23)/(MONTH($J$15)-MONTH($H$15)))*'Sales-AR Schedule'!I17</f>
        <v>0</v>
      </c>
      <c r="L107" s="186">
        <f>+IF(MONTH($H$15)=12,$K$23/12,($K$23)/(MONTH($J$15)-MONTH($H$15)))*'Sales-AR Schedule'!J17</f>
        <v>0</v>
      </c>
      <c r="M107" s="186">
        <f>+IF(MONTH($H$15)=12,$K$23/12,($K$23)/(MONTH($J$15)-MONTH($H$15)))*'Sales-AR Schedule'!K17</f>
        <v>0</v>
      </c>
      <c r="N107" s="186">
        <f>+IF(MONTH($H$15)=12,$K$23/12,($K$23)/(MONTH($J$15)-MONTH($H$15)))*'Sales-AR Schedule'!L17</f>
        <v>0</v>
      </c>
      <c r="O107" s="186">
        <f>+IF(MONTH($H$15)=12,$K$23/12,($K$23)/(MONTH($J$15)-MONTH($H$15)))*'Sales-AR Schedule'!M17</f>
        <v>0</v>
      </c>
      <c r="P107" s="186">
        <f>+IF(MONTH($H$15)=12,$K$23/12,($K$23)/(MONTH($J$15)-MONTH($H$15)))*'Sales-AR Schedule'!N17</f>
        <v>0</v>
      </c>
      <c r="Q107" s="186">
        <f>+IF(MONTH($H$15)=12,$K$23/12,($K$23)/(MONTH($J$15)-MONTH($H$15)))*'Sales-AR Schedule'!O17</f>
        <v>0</v>
      </c>
      <c r="R107" s="186">
        <f>SUM(I107:Q107)+H108</f>
        <v>0</v>
      </c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</row>
    <row r="108" spans="1:29" ht="12" customHeight="1">
      <c r="A108" s="174"/>
      <c r="B108" s="174"/>
      <c r="C108" s="1580" t="str">
        <f t="shared" si="69"/>
        <v>Akum</v>
      </c>
      <c r="D108" s="1624"/>
      <c r="E108" s="1623"/>
      <c r="F108" s="186">
        <f>IF(MONTH(H15)=12,F107,I23+F107)</f>
        <v>0</v>
      </c>
      <c r="G108" s="186">
        <f t="shared" ref="G108:Q108" si="70">F108+G107</f>
        <v>0</v>
      </c>
      <c r="H108" s="186">
        <f t="shared" si="70"/>
        <v>0</v>
      </c>
      <c r="I108" s="186">
        <f t="shared" si="70"/>
        <v>0</v>
      </c>
      <c r="J108" s="186">
        <f t="shared" si="70"/>
        <v>0</v>
      </c>
      <c r="K108" s="186">
        <f t="shared" si="70"/>
        <v>0</v>
      </c>
      <c r="L108" s="186">
        <f t="shared" si="70"/>
        <v>0</v>
      </c>
      <c r="M108" s="186">
        <f t="shared" si="70"/>
        <v>0</v>
      </c>
      <c r="N108" s="186">
        <f t="shared" si="70"/>
        <v>0</v>
      </c>
      <c r="O108" s="186">
        <f t="shared" si="70"/>
        <v>0</v>
      </c>
      <c r="P108" s="186">
        <f t="shared" si="70"/>
        <v>0</v>
      </c>
      <c r="Q108" s="186">
        <f t="shared" si="70"/>
        <v>0</v>
      </c>
      <c r="R108" s="240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</row>
    <row r="109" spans="1:29" ht="12" customHeight="1">
      <c r="A109" s="174"/>
      <c r="B109" s="174"/>
      <c r="C109" s="1580">
        <f t="shared" si="69"/>
        <v>46022</v>
      </c>
      <c r="D109" s="1624"/>
      <c r="E109" s="1623"/>
      <c r="F109" s="186">
        <f t="shared" ref="F109:Q109" si="71">+$M$23/12</f>
        <v>0</v>
      </c>
      <c r="G109" s="186">
        <f t="shared" si="71"/>
        <v>0</v>
      </c>
      <c r="H109" s="186">
        <f t="shared" si="71"/>
        <v>0</v>
      </c>
      <c r="I109" s="186">
        <f t="shared" si="71"/>
        <v>0</v>
      </c>
      <c r="J109" s="186">
        <f t="shared" si="71"/>
        <v>0</v>
      </c>
      <c r="K109" s="186">
        <f t="shared" si="71"/>
        <v>0</v>
      </c>
      <c r="L109" s="186">
        <f t="shared" si="71"/>
        <v>0</v>
      </c>
      <c r="M109" s="186">
        <f t="shared" si="71"/>
        <v>0</v>
      </c>
      <c r="N109" s="186">
        <f t="shared" si="71"/>
        <v>0</v>
      </c>
      <c r="O109" s="186">
        <f t="shared" si="71"/>
        <v>0</v>
      </c>
      <c r="P109" s="186">
        <f t="shared" si="71"/>
        <v>0</v>
      </c>
      <c r="Q109" s="186">
        <f t="shared" si="71"/>
        <v>0</v>
      </c>
      <c r="R109" s="186">
        <f>SUM(I109:Q109)+H110</f>
        <v>0</v>
      </c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</row>
    <row r="110" spans="1:29" ht="12" customHeight="1">
      <c r="A110" s="174"/>
      <c r="B110" s="174"/>
      <c r="C110" s="1580" t="str">
        <f t="shared" si="69"/>
        <v>Akum</v>
      </c>
      <c r="D110" s="1624"/>
      <c r="E110" s="1623"/>
      <c r="F110" s="186">
        <f>F109</f>
        <v>0</v>
      </c>
      <c r="G110" s="186">
        <f t="shared" ref="G110:Q110" si="72">F110+G109</f>
        <v>0</v>
      </c>
      <c r="H110" s="186">
        <f t="shared" si="72"/>
        <v>0</v>
      </c>
      <c r="I110" s="186">
        <f t="shared" si="72"/>
        <v>0</v>
      </c>
      <c r="J110" s="186">
        <f t="shared" si="72"/>
        <v>0</v>
      </c>
      <c r="K110" s="186">
        <f t="shared" si="72"/>
        <v>0</v>
      </c>
      <c r="L110" s="186">
        <f t="shared" si="72"/>
        <v>0</v>
      </c>
      <c r="M110" s="186">
        <f t="shared" si="72"/>
        <v>0</v>
      </c>
      <c r="N110" s="186">
        <f t="shared" si="72"/>
        <v>0</v>
      </c>
      <c r="O110" s="186">
        <f t="shared" si="72"/>
        <v>0</v>
      </c>
      <c r="P110" s="186">
        <f t="shared" si="72"/>
        <v>0</v>
      </c>
      <c r="Q110" s="186">
        <f t="shared" si="72"/>
        <v>0</v>
      </c>
      <c r="R110" s="240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</row>
    <row r="111" spans="1:29" ht="12" customHeight="1">
      <c r="A111" s="174"/>
      <c r="B111" s="174"/>
      <c r="C111" s="1580">
        <f t="shared" si="69"/>
        <v>46387</v>
      </c>
      <c r="D111" s="1624"/>
      <c r="E111" s="1623"/>
      <c r="F111" s="186">
        <f t="shared" ref="F111:Q111" si="73">+$O$23/12</f>
        <v>0</v>
      </c>
      <c r="G111" s="186">
        <f t="shared" si="73"/>
        <v>0</v>
      </c>
      <c r="H111" s="186">
        <f t="shared" si="73"/>
        <v>0</v>
      </c>
      <c r="I111" s="186">
        <f t="shared" si="73"/>
        <v>0</v>
      </c>
      <c r="J111" s="186">
        <f t="shared" si="73"/>
        <v>0</v>
      </c>
      <c r="K111" s="186">
        <f t="shared" si="73"/>
        <v>0</v>
      </c>
      <c r="L111" s="186">
        <f t="shared" si="73"/>
        <v>0</v>
      </c>
      <c r="M111" s="186">
        <f t="shared" si="73"/>
        <v>0</v>
      </c>
      <c r="N111" s="186">
        <f t="shared" si="73"/>
        <v>0</v>
      </c>
      <c r="O111" s="186">
        <f t="shared" si="73"/>
        <v>0</v>
      </c>
      <c r="P111" s="186">
        <f t="shared" si="73"/>
        <v>0</v>
      </c>
      <c r="Q111" s="186">
        <f t="shared" si="73"/>
        <v>0</v>
      </c>
      <c r="R111" s="186">
        <f>SUM(I111:Q111)+H112</f>
        <v>0</v>
      </c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</row>
    <row r="112" spans="1:29" ht="12" customHeight="1">
      <c r="A112" s="174"/>
      <c r="B112" s="174"/>
      <c r="C112" s="1580" t="str">
        <f t="shared" si="69"/>
        <v>Akum</v>
      </c>
      <c r="D112" s="1624"/>
      <c r="E112" s="1623"/>
      <c r="F112" s="186">
        <f>F111</f>
        <v>0</v>
      </c>
      <c r="G112" s="186">
        <f t="shared" ref="G112:Q112" si="74">F112+G111</f>
        <v>0</v>
      </c>
      <c r="H112" s="186">
        <f t="shared" si="74"/>
        <v>0</v>
      </c>
      <c r="I112" s="186">
        <f t="shared" si="74"/>
        <v>0</v>
      </c>
      <c r="J112" s="186">
        <f t="shared" si="74"/>
        <v>0</v>
      </c>
      <c r="K112" s="186">
        <f t="shared" si="74"/>
        <v>0</v>
      </c>
      <c r="L112" s="186">
        <f t="shared" si="74"/>
        <v>0</v>
      </c>
      <c r="M112" s="186">
        <f t="shared" si="74"/>
        <v>0</v>
      </c>
      <c r="N112" s="186">
        <f t="shared" si="74"/>
        <v>0</v>
      </c>
      <c r="O112" s="186">
        <f t="shared" si="74"/>
        <v>0</v>
      </c>
      <c r="P112" s="186">
        <f t="shared" si="74"/>
        <v>0</v>
      </c>
      <c r="Q112" s="186">
        <f t="shared" si="74"/>
        <v>0</v>
      </c>
      <c r="R112" s="216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</row>
    <row r="113" spans="1:29" ht="12" customHeight="1">
      <c r="A113" s="174"/>
      <c r="B113" s="174"/>
      <c r="C113" s="1580">
        <f t="shared" si="69"/>
        <v>46752</v>
      </c>
      <c r="D113" s="1624"/>
      <c r="E113" s="1623"/>
      <c r="F113" s="186">
        <f t="shared" ref="F113:Q113" si="75">+$Q$23/12</f>
        <v>0</v>
      </c>
      <c r="G113" s="186">
        <f t="shared" si="75"/>
        <v>0</v>
      </c>
      <c r="H113" s="186">
        <f t="shared" si="75"/>
        <v>0</v>
      </c>
      <c r="I113" s="186">
        <f t="shared" si="75"/>
        <v>0</v>
      </c>
      <c r="J113" s="186">
        <f t="shared" si="75"/>
        <v>0</v>
      </c>
      <c r="K113" s="186">
        <f t="shared" si="75"/>
        <v>0</v>
      </c>
      <c r="L113" s="186">
        <f t="shared" si="75"/>
        <v>0</v>
      </c>
      <c r="M113" s="186">
        <f t="shared" si="75"/>
        <v>0</v>
      </c>
      <c r="N113" s="186">
        <f t="shared" si="75"/>
        <v>0</v>
      </c>
      <c r="O113" s="186">
        <f t="shared" si="75"/>
        <v>0</v>
      </c>
      <c r="P113" s="186">
        <f t="shared" si="75"/>
        <v>0</v>
      </c>
      <c r="Q113" s="186">
        <f t="shared" si="75"/>
        <v>0</v>
      </c>
      <c r="R113" s="216">
        <f>+Q114</f>
        <v>0</v>
      </c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</row>
    <row r="114" spans="1:29" ht="12" customHeight="1">
      <c r="A114" s="174"/>
      <c r="B114" s="174"/>
      <c r="C114" s="1580" t="str">
        <f t="shared" si="69"/>
        <v>Akum</v>
      </c>
      <c r="D114" s="1624"/>
      <c r="E114" s="1623"/>
      <c r="F114" s="186">
        <f>F113</f>
        <v>0</v>
      </c>
      <c r="G114" s="186">
        <f t="shared" ref="G114:Q114" si="76">F114+G113</f>
        <v>0</v>
      </c>
      <c r="H114" s="186">
        <f t="shared" si="76"/>
        <v>0</v>
      </c>
      <c r="I114" s="186">
        <f t="shared" si="76"/>
        <v>0</v>
      </c>
      <c r="J114" s="186">
        <f t="shared" si="76"/>
        <v>0</v>
      </c>
      <c r="K114" s="186">
        <f t="shared" si="76"/>
        <v>0</v>
      </c>
      <c r="L114" s="186">
        <f t="shared" si="76"/>
        <v>0</v>
      </c>
      <c r="M114" s="186">
        <f t="shared" si="76"/>
        <v>0</v>
      </c>
      <c r="N114" s="186">
        <f t="shared" si="76"/>
        <v>0</v>
      </c>
      <c r="O114" s="186">
        <f t="shared" si="76"/>
        <v>0</v>
      </c>
      <c r="P114" s="186">
        <f t="shared" si="76"/>
        <v>0</v>
      </c>
      <c r="Q114" s="186">
        <f t="shared" si="76"/>
        <v>0</v>
      </c>
      <c r="R114" s="240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</row>
    <row r="115" spans="1:29" ht="12" customHeight="1">
      <c r="A115" s="174"/>
      <c r="B115" s="174"/>
      <c r="C115" s="1580">
        <f t="shared" si="69"/>
        <v>47118</v>
      </c>
      <c r="D115" s="1624"/>
      <c r="E115" s="1623"/>
      <c r="F115" s="186">
        <f t="shared" ref="F115:Q115" si="77">+$S$23/12</f>
        <v>0</v>
      </c>
      <c r="G115" s="186">
        <f t="shared" si="77"/>
        <v>0</v>
      </c>
      <c r="H115" s="186">
        <f t="shared" si="77"/>
        <v>0</v>
      </c>
      <c r="I115" s="186">
        <f t="shared" si="77"/>
        <v>0</v>
      </c>
      <c r="J115" s="186">
        <f t="shared" si="77"/>
        <v>0</v>
      </c>
      <c r="K115" s="186">
        <f t="shared" si="77"/>
        <v>0</v>
      </c>
      <c r="L115" s="186">
        <f t="shared" si="77"/>
        <v>0</v>
      </c>
      <c r="M115" s="186">
        <f t="shared" si="77"/>
        <v>0</v>
      </c>
      <c r="N115" s="186">
        <f t="shared" si="77"/>
        <v>0</v>
      </c>
      <c r="O115" s="186">
        <f t="shared" si="77"/>
        <v>0</v>
      </c>
      <c r="P115" s="186">
        <f t="shared" si="77"/>
        <v>0</v>
      </c>
      <c r="Q115" s="186">
        <f t="shared" si="77"/>
        <v>0</v>
      </c>
      <c r="R115" s="216">
        <f>+Q116</f>
        <v>0</v>
      </c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</row>
    <row r="116" spans="1:29" ht="12" customHeight="1">
      <c r="A116" s="174"/>
      <c r="B116" s="174"/>
      <c r="C116" s="1580" t="str">
        <f t="shared" si="69"/>
        <v>Akum</v>
      </c>
      <c r="D116" s="1624"/>
      <c r="E116" s="1623"/>
      <c r="F116" s="186">
        <f>F115</f>
        <v>0</v>
      </c>
      <c r="G116" s="186">
        <f t="shared" ref="G116:Q116" si="78">F116+G115</f>
        <v>0</v>
      </c>
      <c r="H116" s="186">
        <f t="shared" si="78"/>
        <v>0</v>
      </c>
      <c r="I116" s="186">
        <f t="shared" si="78"/>
        <v>0</v>
      </c>
      <c r="J116" s="186">
        <f t="shared" si="78"/>
        <v>0</v>
      </c>
      <c r="K116" s="186">
        <f t="shared" si="78"/>
        <v>0</v>
      </c>
      <c r="L116" s="186">
        <f t="shared" si="78"/>
        <v>0</v>
      </c>
      <c r="M116" s="186">
        <f t="shared" si="78"/>
        <v>0</v>
      </c>
      <c r="N116" s="186">
        <f t="shared" si="78"/>
        <v>0</v>
      </c>
      <c r="O116" s="186">
        <f t="shared" si="78"/>
        <v>0</v>
      </c>
      <c r="P116" s="186">
        <f t="shared" si="78"/>
        <v>0</v>
      </c>
      <c r="Q116" s="186">
        <f t="shared" si="78"/>
        <v>0</v>
      </c>
      <c r="R116" s="240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</row>
    <row r="117" spans="1:29" ht="12" customHeight="1">
      <c r="A117" s="174"/>
      <c r="B117" s="174"/>
      <c r="C117" s="1580">
        <f t="shared" si="69"/>
        <v>47483</v>
      </c>
      <c r="D117" s="1624"/>
      <c r="E117" s="1623"/>
      <c r="F117" s="186">
        <f t="shared" ref="F117:Q117" si="79">+$U$23/12</f>
        <v>0</v>
      </c>
      <c r="G117" s="186">
        <f t="shared" si="79"/>
        <v>0</v>
      </c>
      <c r="H117" s="186">
        <f t="shared" si="79"/>
        <v>0</v>
      </c>
      <c r="I117" s="186">
        <f t="shared" si="79"/>
        <v>0</v>
      </c>
      <c r="J117" s="186">
        <f t="shared" si="79"/>
        <v>0</v>
      </c>
      <c r="K117" s="186">
        <f t="shared" si="79"/>
        <v>0</v>
      </c>
      <c r="L117" s="186">
        <f t="shared" si="79"/>
        <v>0</v>
      </c>
      <c r="M117" s="186">
        <f t="shared" si="79"/>
        <v>0</v>
      </c>
      <c r="N117" s="186">
        <f t="shared" si="79"/>
        <v>0</v>
      </c>
      <c r="O117" s="186">
        <f t="shared" si="79"/>
        <v>0</v>
      </c>
      <c r="P117" s="186">
        <f t="shared" si="79"/>
        <v>0</v>
      </c>
      <c r="Q117" s="186">
        <f t="shared" si="79"/>
        <v>0</v>
      </c>
      <c r="R117" s="216">
        <f>+Q118</f>
        <v>0</v>
      </c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</row>
    <row r="118" spans="1:29" ht="12" customHeight="1">
      <c r="A118" s="174"/>
      <c r="B118" s="174"/>
      <c r="C118" s="1580" t="str">
        <f t="shared" si="69"/>
        <v>Akum</v>
      </c>
      <c r="D118" s="1624"/>
      <c r="E118" s="1623"/>
      <c r="F118" s="186">
        <f>F117</f>
        <v>0</v>
      </c>
      <c r="G118" s="186">
        <f t="shared" ref="G118:Q118" si="80">F118+G117</f>
        <v>0</v>
      </c>
      <c r="H118" s="186">
        <f t="shared" si="80"/>
        <v>0</v>
      </c>
      <c r="I118" s="186">
        <f t="shared" si="80"/>
        <v>0</v>
      </c>
      <c r="J118" s="186">
        <f t="shared" si="80"/>
        <v>0</v>
      </c>
      <c r="K118" s="186">
        <f t="shared" si="80"/>
        <v>0</v>
      </c>
      <c r="L118" s="186">
        <f t="shared" si="80"/>
        <v>0</v>
      </c>
      <c r="M118" s="186">
        <f t="shared" si="80"/>
        <v>0</v>
      </c>
      <c r="N118" s="186">
        <f t="shared" si="80"/>
        <v>0</v>
      </c>
      <c r="O118" s="186">
        <f t="shared" si="80"/>
        <v>0</v>
      </c>
      <c r="P118" s="186">
        <f t="shared" si="80"/>
        <v>0</v>
      </c>
      <c r="Q118" s="186">
        <f t="shared" si="80"/>
        <v>0</v>
      </c>
      <c r="R118" s="240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</row>
    <row r="119" spans="1:29" ht="12" customHeight="1">
      <c r="A119" s="174"/>
      <c r="B119" s="174"/>
      <c r="C119" s="1580">
        <f t="shared" si="69"/>
        <v>47848</v>
      </c>
      <c r="D119" s="1624"/>
      <c r="E119" s="1623"/>
      <c r="F119" s="186">
        <f t="shared" ref="F119:Q119" si="81">+$W$23/12</f>
        <v>0</v>
      </c>
      <c r="G119" s="186">
        <f t="shared" si="81"/>
        <v>0</v>
      </c>
      <c r="H119" s="186">
        <f t="shared" si="81"/>
        <v>0</v>
      </c>
      <c r="I119" s="186">
        <f t="shared" si="81"/>
        <v>0</v>
      </c>
      <c r="J119" s="186">
        <f t="shared" si="81"/>
        <v>0</v>
      </c>
      <c r="K119" s="186">
        <f t="shared" si="81"/>
        <v>0</v>
      </c>
      <c r="L119" s="186">
        <f t="shared" si="81"/>
        <v>0</v>
      </c>
      <c r="M119" s="186">
        <f t="shared" si="81"/>
        <v>0</v>
      </c>
      <c r="N119" s="186">
        <f t="shared" si="81"/>
        <v>0</v>
      </c>
      <c r="O119" s="186">
        <f t="shared" si="81"/>
        <v>0</v>
      </c>
      <c r="P119" s="186">
        <f t="shared" si="81"/>
        <v>0</v>
      </c>
      <c r="Q119" s="186">
        <f t="shared" si="81"/>
        <v>0</v>
      </c>
      <c r="R119" s="216">
        <f>+Q120</f>
        <v>0</v>
      </c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</row>
    <row r="120" spans="1:29" ht="12" customHeight="1">
      <c r="A120" s="174"/>
      <c r="B120" s="174"/>
      <c r="C120" s="1580" t="str">
        <f t="shared" si="69"/>
        <v>Akum</v>
      </c>
      <c r="D120" s="1624"/>
      <c r="E120" s="1623"/>
      <c r="F120" s="186">
        <f>+F119</f>
        <v>0</v>
      </c>
      <c r="G120" s="186">
        <f t="shared" ref="G120:Q120" si="82">+F120+G119</f>
        <v>0</v>
      </c>
      <c r="H120" s="186">
        <f t="shared" si="82"/>
        <v>0</v>
      </c>
      <c r="I120" s="186">
        <f t="shared" si="82"/>
        <v>0</v>
      </c>
      <c r="J120" s="186">
        <f t="shared" si="82"/>
        <v>0</v>
      </c>
      <c r="K120" s="186">
        <f t="shared" si="82"/>
        <v>0</v>
      </c>
      <c r="L120" s="186">
        <f t="shared" si="82"/>
        <v>0</v>
      </c>
      <c r="M120" s="186">
        <f t="shared" si="82"/>
        <v>0</v>
      </c>
      <c r="N120" s="186">
        <f t="shared" si="82"/>
        <v>0</v>
      </c>
      <c r="O120" s="186">
        <f t="shared" si="82"/>
        <v>0</v>
      </c>
      <c r="P120" s="186">
        <f t="shared" si="82"/>
        <v>0</v>
      </c>
      <c r="Q120" s="186">
        <f t="shared" si="82"/>
        <v>0</v>
      </c>
      <c r="R120" s="240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</row>
    <row r="121" spans="1:29" ht="12" customHeight="1">
      <c r="A121" s="174"/>
      <c r="B121" s="174"/>
      <c r="C121" s="1580">
        <f t="shared" si="69"/>
        <v>48213</v>
      </c>
      <c r="D121" s="1624"/>
      <c r="E121" s="1623"/>
      <c r="F121" s="186">
        <f t="shared" ref="F121:Q121" si="83">+$Y$23/12</f>
        <v>0</v>
      </c>
      <c r="G121" s="186">
        <f t="shared" si="83"/>
        <v>0</v>
      </c>
      <c r="H121" s="186">
        <f t="shared" si="83"/>
        <v>0</v>
      </c>
      <c r="I121" s="186">
        <f t="shared" si="83"/>
        <v>0</v>
      </c>
      <c r="J121" s="186">
        <f t="shared" si="83"/>
        <v>0</v>
      </c>
      <c r="K121" s="186">
        <f t="shared" si="83"/>
        <v>0</v>
      </c>
      <c r="L121" s="186">
        <f t="shared" si="83"/>
        <v>0</v>
      </c>
      <c r="M121" s="186">
        <f t="shared" si="83"/>
        <v>0</v>
      </c>
      <c r="N121" s="186">
        <f t="shared" si="83"/>
        <v>0</v>
      </c>
      <c r="O121" s="186">
        <f t="shared" si="83"/>
        <v>0</v>
      </c>
      <c r="P121" s="186">
        <f t="shared" si="83"/>
        <v>0</v>
      </c>
      <c r="Q121" s="186">
        <f t="shared" si="83"/>
        <v>0</v>
      </c>
      <c r="R121" s="216">
        <f>+Q122</f>
        <v>0</v>
      </c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</row>
    <row r="122" spans="1:29" ht="12" customHeight="1">
      <c r="A122" s="174"/>
      <c r="B122" s="174"/>
      <c r="C122" s="1580" t="str">
        <f t="shared" si="69"/>
        <v>Akum</v>
      </c>
      <c r="D122" s="1624"/>
      <c r="E122" s="1623"/>
      <c r="F122" s="186">
        <f>+F121</f>
        <v>0</v>
      </c>
      <c r="G122" s="186">
        <f t="shared" ref="G122:Q122" si="84">+F122+G121</f>
        <v>0</v>
      </c>
      <c r="H122" s="186">
        <f t="shared" si="84"/>
        <v>0</v>
      </c>
      <c r="I122" s="186">
        <f t="shared" si="84"/>
        <v>0</v>
      </c>
      <c r="J122" s="186">
        <f t="shared" si="84"/>
        <v>0</v>
      </c>
      <c r="K122" s="186">
        <f t="shared" si="84"/>
        <v>0</v>
      </c>
      <c r="L122" s="186">
        <f t="shared" si="84"/>
        <v>0</v>
      </c>
      <c r="M122" s="186">
        <f t="shared" si="84"/>
        <v>0</v>
      </c>
      <c r="N122" s="186">
        <f t="shared" si="84"/>
        <v>0</v>
      </c>
      <c r="O122" s="186">
        <f t="shared" si="84"/>
        <v>0</v>
      </c>
      <c r="P122" s="186">
        <f t="shared" si="84"/>
        <v>0</v>
      </c>
      <c r="Q122" s="186">
        <f t="shared" si="84"/>
        <v>0</v>
      </c>
      <c r="R122" s="240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</row>
    <row r="123" spans="1:29" ht="12" customHeight="1">
      <c r="A123" s="174"/>
      <c r="B123" s="174"/>
      <c r="C123" s="1580">
        <f t="shared" si="69"/>
        <v>48579</v>
      </c>
      <c r="D123" s="1624"/>
      <c r="E123" s="1623"/>
      <c r="F123" s="186">
        <f t="shared" ref="F123:Q123" si="85">+$AA$23/12</f>
        <v>0</v>
      </c>
      <c r="G123" s="186">
        <f t="shared" si="85"/>
        <v>0</v>
      </c>
      <c r="H123" s="186">
        <f t="shared" si="85"/>
        <v>0</v>
      </c>
      <c r="I123" s="186">
        <f t="shared" si="85"/>
        <v>0</v>
      </c>
      <c r="J123" s="186">
        <f t="shared" si="85"/>
        <v>0</v>
      </c>
      <c r="K123" s="186">
        <f t="shared" si="85"/>
        <v>0</v>
      </c>
      <c r="L123" s="186">
        <f t="shared" si="85"/>
        <v>0</v>
      </c>
      <c r="M123" s="186">
        <f t="shared" si="85"/>
        <v>0</v>
      </c>
      <c r="N123" s="186">
        <f t="shared" si="85"/>
        <v>0</v>
      </c>
      <c r="O123" s="186">
        <f t="shared" si="85"/>
        <v>0</v>
      </c>
      <c r="P123" s="186">
        <f t="shared" si="85"/>
        <v>0</v>
      </c>
      <c r="Q123" s="186">
        <f t="shared" si="85"/>
        <v>0</v>
      </c>
      <c r="R123" s="216">
        <f>+Q124</f>
        <v>0</v>
      </c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</row>
    <row r="124" spans="1:29" ht="12" customHeight="1">
      <c r="A124" s="174"/>
      <c r="B124" s="174"/>
      <c r="C124" s="1580" t="str">
        <f t="shared" si="69"/>
        <v>Akum</v>
      </c>
      <c r="D124" s="1624"/>
      <c r="E124" s="1623"/>
      <c r="F124" s="186">
        <f>+F123</f>
        <v>0</v>
      </c>
      <c r="G124" s="186">
        <f t="shared" ref="G124:Q124" si="86">+F124+G123</f>
        <v>0</v>
      </c>
      <c r="H124" s="186">
        <f t="shared" si="86"/>
        <v>0</v>
      </c>
      <c r="I124" s="186">
        <f t="shared" si="86"/>
        <v>0</v>
      </c>
      <c r="J124" s="186">
        <f t="shared" si="86"/>
        <v>0</v>
      </c>
      <c r="K124" s="186">
        <f t="shared" si="86"/>
        <v>0</v>
      </c>
      <c r="L124" s="186">
        <f t="shared" si="86"/>
        <v>0</v>
      </c>
      <c r="M124" s="186">
        <f t="shared" si="86"/>
        <v>0</v>
      </c>
      <c r="N124" s="186">
        <f t="shared" si="86"/>
        <v>0</v>
      </c>
      <c r="O124" s="186">
        <f t="shared" si="86"/>
        <v>0</v>
      </c>
      <c r="P124" s="186">
        <f t="shared" si="86"/>
        <v>0</v>
      </c>
      <c r="Q124" s="186">
        <f t="shared" si="86"/>
        <v>0</v>
      </c>
      <c r="R124" s="240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</row>
    <row r="125" spans="1:29" ht="12" customHeight="1">
      <c r="A125" s="174"/>
      <c r="B125" s="174"/>
      <c r="C125" s="1580">
        <f t="shared" si="69"/>
        <v>48944</v>
      </c>
      <c r="D125" s="1624"/>
      <c r="E125" s="1623"/>
      <c r="F125" s="186">
        <f t="shared" ref="F125:Q125" si="87">+$AC$23/12</f>
        <v>0</v>
      </c>
      <c r="G125" s="186">
        <f t="shared" si="87"/>
        <v>0</v>
      </c>
      <c r="H125" s="186">
        <f t="shared" si="87"/>
        <v>0</v>
      </c>
      <c r="I125" s="186">
        <f t="shared" si="87"/>
        <v>0</v>
      </c>
      <c r="J125" s="186">
        <f t="shared" si="87"/>
        <v>0</v>
      </c>
      <c r="K125" s="186">
        <f t="shared" si="87"/>
        <v>0</v>
      </c>
      <c r="L125" s="186">
        <f t="shared" si="87"/>
        <v>0</v>
      </c>
      <c r="M125" s="186">
        <f t="shared" si="87"/>
        <v>0</v>
      </c>
      <c r="N125" s="186">
        <f t="shared" si="87"/>
        <v>0</v>
      </c>
      <c r="O125" s="186">
        <f t="shared" si="87"/>
        <v>0</v>
      </c>
      <c r="P125" s="186">
        <f t="shared" si="87"/>
        <v>0</v>
      </c>
      <c r="Q125" s="186">
        <f t="shared" si="87"/>
        <v>0</v>
      </c>
      <c r="R125" s="216">
        <f>+Q126</f>
        <v>0</v>
      </c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</row>
    <row r="126" spans="1:29" ht="12" customHeight="1">
      <c r="A126" s="174"/>
      <c r="B126" s="174"/>
      <c r="C126" s="1580" t="str">
        <f t="shared" si="69"/>
        <v>Akum</v>
      </c>
      <c r="D126" s="1624"/>
      <c r="E126" s="1623"/>
      <c r="F126" s="186">
        <f>+F125</f>
        <v>0</v>
      </c>
      <c r="G126" s="186">
        <f t="shared" ref="G126:Q126" si="88">+F126+G125</f>
        <v>0</v>
      </c>
      <c r="H126" s="186">
        <f t="shared" si="88"/>
        <v>0</v>
      </c>
      <c r="I126" s="186">
        <f t="shared" si="88"/>
        <v>0</v>
      </c>
      <c r="J126" s="186">
        <f t="shared" si="88"/>
        <v>0</v>
      </c>
      <c r="K126" s="186">
        <f t="shared" si="88"/>
        <v>0</v>
      </c>
      <c r="L126" s="186">
        <f t="shared" si="88"/>
        <v>0</v>
      </c>
      <c r="M126" s="186">
        <f t="shared" si="88"/>
        <v>0</v>
      </c>
      <c r="N126" s="186">
        <f t="shared" si="88"/>
        <v>0</v>
      </c>
      <c r="O126" s="186">
        <f t="shared" si="88"/>
        <v>0</v>
      </c>
      <c r="P126" s="186">
        <f t="shared" si="88"/>
        <v>0</v>
      </c>
      <c r="Q126" s="186">
        <f t="shared" si="88"/>
        <v>0</v>
      </c>
      <c r="R126" s="240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</row>
    <row r="127" spans="1:29" ht="12" customHeight="1">
      <c r="A127" s="174"/>
      <c r="B127" s="174"/>
      <c r="C127" s="242"/>
      <c r="D127" s="242"/>
      <c r="E127" s="242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</row>
    <row r="128" spans="1:29" ht="15.75" customHeight="1">
      <c r="A128" s="174"/>
      <c r="B128" s="178" t="s">
        <v>701</v>
      </c>
      <c r="C128" s="174"/>
      <c r="D128" s="174"/>
      <c r="E128" s="174"/>
      <c r="F128" s="174"/>
      <c r="G128" s="174"/>
      <c r="H128" s="174"/>
      <c r="I128" s="174"/>
      <c r="J128" s="174"/>
      <c r="K128" s="174"/>
      <c r="L128" s="181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</row>
    <row r="129" spans="1:29" ht="12" customHeight="1">
      <c r="A129" s="174"/>
      <c r="B129" s="174"/>
      <c r="C129" s="1581" t="s">
        <v>664</v>
      </c>
      <c r="D129" s="1624"/>
      <c r="E129" s="1623"/>
      <c r="F129" s="198" t="s">
        <v>665</v>
      </c>
      <c r="G129" s="198" t="s">
        <v>666</v>
      </c>
      <c r="H129" s="198" t="s">
        <v>667</v>
      </c>
      <c r="I129" s="198" t="s">
        <v>668</v>
      </c>
      <c r="J129" s="198" t="s">
        <v>680</v>
      </c>
      <c r="K129" s="198" t="s">
        <v>670</v>
      </c>
      <c r="L129" s="198" t="s">
        <v>671</v>
      </c>
      <c r="M129" s="198" t="s">
        <v>681</v>
      </c>
      <c r="N129" s="198" t="s">
        <v>673</v>
      </c>
      <c r="O129" s="198" t="s">
        <v>682</v>
      </c>
      <c r="P129" s="198" t="s">
        <v>683</v>
      </c>
      <c r="Q129" s="198" t="s">
        <v>684</v>
      </c>
      <c r="R129" s="198" t="s">
        <v>566</v>
      </c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</row>
    <row r="130" spans="1:29" ht="12" customHeight="1">
      <c r="A130" s="174"/>
      <c r="B130" s="174"/>
      <c r="C130" s="1580">
        <f t="shared" ref="C130:C149" si="89">+C107</f>
        <v>45657</v>
      </c>
      <c r="D130" s="1624"/>
      <c r="E130" s="1623"/>
      <c r="F130" s="186">
        <f>+IF(MONTH($H$15)=12,$K$25/12,($K$25)/(MONTH($J$15)-MONTH($H$15))*'Sales-AR Schedule'!D17)</f>
        <v>0</v>
      </c>
      <c r="G130" s="186">
        <f>+IF(MONTH($H$15)=12,$K$25/12,($K$25)/(MONTH($J$15)-MONTH($H$15))*'Sales-AR Schedule'!E17)</f>
        <v>0</v>
      </c>
      <c r="H130" s="186">
        <f>+IF(MONTH($H$15)=12,$K$25/12,($K$25)/(MONTH($J$15)-MONTH($H$15))*'Sales-AR Schedule'!F17)</f>
        <v>0</v>
      </c>
      <c r="I130" s="186">
        <f>+IF(MONTH($H$15)=12,$K$25/12,($K$25)/(MONTH($J$15)-MONTH($H$15))*'Sales-AR Schedule'!G17)</f>
        <v>0</v>
      </c>
      <c r="J130" s="186">
        <f>+IF(MONTH($H$15)=12,$K$25/12,($K$25)/(MONTH($J$15)-MONTH($H$15))*'Sales-AR Schedule'!H17)</f>
        <v>0</v>
      </c>
      <c r="K130" s="186">
        <f>+IF(MONTH($H$15)=12,$K$25/12,($K$25)/(MONTH($J$15)-MONTH($H$15))*'Sales-AR Schedule'!I17)</f>
        <v>0</v>
      </c>
      <c r="L130" s="186">
        <f>+IF(MONTH($H$15)=12,$K$25/12,($K$25)/(MONTH($J$15)-MONTH($H$15))*'Sales-AR Schedule'!J17)</f>
        <v>-66.666666666666671</v>
      </c>
      <c r="M130" s="186">
        <f>+IF(MONTH($H$15)=12,$K$25/12,($K$25)/(MONTH($J$15)-MONTH($H$15))*'Sales-AR Schedule'!K17)</f>
        <v>-66.666666666666671</v>
      </c>
      <c r="N130" s="186">
        <f>+IF(MONTH($H$15)=12,$K$25/12,($K$25)/(MONTH($J$15)-MONTH($H$15))*'Sales-AR Schedule'!L17)</f>
        <v>-66.666666666666671</v>
      </c>
      <c r="O130" s="186">
        <f>+IF(MONTH($H$15)=12,$K$25/12,($K$25)/(MONTH($J$15)-MONTH($H$15))*'Sales-AR Schedule'!M17)</f>
        <v>-66.666666666666671</v>
      </c>
      <c r="P130" s="186">
        <f>+IF(MONTH($H$15)=12,$K$25/12,($K$25)/(MONTH($J$15)-MONTH($H$15))*'Sales-AR Schedule'!N17)</f>
        <v>-66.666666666666671</v>
      </c>
      <c r="Q130" s="186">
        <f>+IF(MONTH($H$15)=12,$K$25/12,($K$25)/(MONTH($J$15)-MONTH($H$15))*'Sales-AR Schedule'!O17)</f>
        <v>-66.666666666666671</v>
      </c>
      <c r="R130" s="186">
        <f>SUM(I130:Q130)+H131</f>
        <v>6600</v>
      </c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</row>
    <row r="131" spans="1:29" ht="12" customHeight="1">
      <c r="A131" s="174"/>
      <c r="B131" s="174"/>
      <c r="C131" s="1580" t="str">
        <f t="shared" si="89"/>
        <v>Akum</v>
      </c>
      <c r="D131" s="1624"/>
      <c r="E131" s="1623"/>
      <c r="F131" s="186">
        <f>IF(MONTH(H15)=12,F130,I25+F130)</f>
        <v>7000</v>
      </c>
      <c r="G131" s="186">
        <f t="shared" ref="G131:Q131" si="90">+F131+G130</f>
        <v>7000</v>
      </c>
      <c r="H131" s="186">
        <f t="shared" si="90"/>
        <v>7000</v>
      </c>
      <c r="I131" s="186">
        <f t="shared" si="90"/>
        <v>7000</v>
      </c>
      <c r="J131" s="186">
        <f t="shared" si="90"/>
        <v>7000</v>
      </c>
      <c r="K131" s="186">
        <f t="shared" si="90"/>
        <v>7000</v>
      </c>
      <c r="L131" s="186">
        <f t="shared" si="90"/>
        <v>6933.333333333333</v>
      </c>
      <c r="M131" s="186">
        <f t="shared" si="90"/>
        <v>6866.6666666666661</v>
      </c>
      <c r="N131" s="186">
        <f t="shared" si="90"/>
        <v>6799.9999999999991</v>
      </c>
      <c r="O131" s="186">
        <f t="shared" si="90"/>
        <v>6733.3333333333321</v>
      </c>
      <c r="P131" s="186">
        <f t="shared" si="90"/>
        <v>6666.6666666666652</v>
      </c>
      <c r="Q131" s="186">
        <f t="shared" si="90"/>
        <v>6599.9999999999982</v>
      </c>
      <c r="R131" s="240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</row>
    <row r="132" spans="1:29" ht="12" customHeight="1">
      <c r="A132" s="174"/>
      <c r="B132" s="174"/>
      <c r="C132" s="1580">
        <f t="shared" si="89"/>
        <v>46022</v>
      </c>
      <c r="D132" s="1624"/>
      <c r="E132" s="1623"/>
      <c r="F132" s="186">
        <f t="shared" ref="F132:Q132" si="91">+$M$25/12</f>
        <v>655.41666666666663</v>
      </c>
      <c r="G132" s="186">
        <f t="shared" si="91"/>
        <v>655.41666666666663</v>
      </c>
      <c r="H132" s="186">
        <f t="shared" si="91"/>
        <v>655.41666666666663</v>
      </c>
      <c r="I132" s="186">
        <f t="shared" si="91"/>
        <v>655.41666666666663</v>
      </c>
      <c r="J132" s="186">
        <f t="shared" si="91"/>
        <v>655.41666666666663</v>
      </c>
      <c r="K132" s="186">
        <f t="shared" si="91"/>
        <v>655.41666666666663</v>
      </c>
      <c r="L132" s="186">
        <f t="shared" si="91"/>
        <v>655.41666666666663</v>
      </c>
      <c r="M132" s="186">
        <f t="shared" si="91"/>
        <v>655.41666666666663</v>
      </c>
      <c r="N132" s="186">
        <f t="shared" si="91"/>
        <v>655.41666666666663</v>
      </c>
      <c r="O132" s="186">
        <f t="shared" si="91"/>
        <v>655.41666666666663</v>
      </c>
      <c r="P132" s="186">
        <f t="shared" si="91"/>
        <v>655.41666666666663</v>
      </c>
      <c r="Q132" s="186">
        <f t="shared" si="91"/>
        <v>655.41666666666663</v>
      </c>
      <c r="R132" s="186">
        <f>SUM(I132:Q132)+H133</f>
        <v>7865</v>
      </c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</row>
    <row r="133" spans="1:29" ht="12" customHeight="1">
      <c r="A133" s="174"/>
      <c r="B133" s="174"/>
      <c r="C133" s="1580" t="str">
        <f t="shared" si="89"/>
        <v>Akum</v>
      </c>
      <c r="D133" s="1624"/>
      <c r="E133" s="1623"/>
      <c r="F133" s="186">
        <f>F132</f>
        <v>655.41666666666663</v>
      </c>
      <c r="G133" s="186">
        <f t="shared" ref="G133:Q133" si="92">F133+G132</f>
        <v>1310.8333333333333</v>
      </c>
      <c r="H133" s="186">
        <f t="shared" si="92"/>
        <v>1966.25</v>
      </c>
      <c r="I133" s="186">
        <f t="shared" si="92"/>
        <v>2621.6666666666665</v>
      </c>
      <c r="J133" s="186">
        <f t="shared" si="92"/>
        <v>3277.083333333333</v>
      </c>
      <c r="K133" s="186">
        <f t="shared" si="92"/>
        <v>3932.4999999999995</v>
      </c>
      <c r="L133" s="186">
        <f t="shared" si="92"/>
        <v>4587.9166666666661</v>
      </c>
      <c r="M133" s="186">
        <f t="shared" si="92"/>
        <v>5243.333333333333</v>
      </c>
      <c r="N133" s="186">
        <f t="shared" si="92"/>
        <v>5898.75</v>
      </c>
      <c r="O133" s="186">
        <f t="shared" si="92"/>
        <v>6554.166666666667</v>
      </c>
      <c r="P133" s="186">
        <f t="shared" si="92"/>
        <v>7209.5833333333339</v>
      </c>
      <c r="Q133" s="186">
        <f t="shared" si="92"/>
        <v>7865.0000000000009</v>
      </c>
      <c r="R133" s="240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</row>
    <row r="134" spans="1:29" ht="12" customHeight="1">
      <c r="A134" s="174"/>
      <c r="B134" s="174"/>
      <c r="C134" s="1580">
        <f t="shared" si="89"/>
        <v>46387</v>
      </c>
      <c r="D134" s="1624"/>
      <c r="E134" s="1623"/>
      <c r="F134" s="186">
        <f t="shared" ref="F134:Q134" si="93">+$O$25/12</f>
        <v>720.95833333333337</v>
      </c>
      <c r="G134" s="186">
        <f t="shared" si="93"/>
        <v>720.95833333333337</v>
      </c>
      <c r="H134" s="186">
        <f t="shared" si="93"/>
        <v>720.95833333333337</v>
      </c>
      <c r="I134" s="186">
        <f t="shared" si="93"/>
        <v>720.95833333333337</v>
      </c>
      <c r="J134" s="186">
        <f t="shared" si="93"/>
        <v>720.95833333333337</v>
      </c>
      <c r="K134" s="186">
        <f t="shared" si="93"/>
        <v>720.95833333333337</v>
      </c>
      <c r="L134" s="186">
        <f t="shared" si="93"/>
        <v>720.95833333333337</v>
      </c>
      <c r="M134" s="186">
        <f t="shared" si="93"/>
        <v>720.95833333333337</v>
      </c>
      <c r="N134" s="186">
        <f t="shared" si="93"/>
        <v>720.95833333333337</v>
      </c>
      <c r="O134" s="186">
        <f t="shared" si="93"/>
        <v>720.95833333333337</v>
      </c>
      <c r="P134" s="186">
        <f t="shared" si="93"/>
        <v>720.95833333333337</v>
      </c>
      <c r="Q134" s="186">
        <f t="shared" si="93"/>
        <v>720.95833333333337</v>
      </c>
      <c r="R134" s="186">
        <f>SUM(I134:Q134)+H135</f>
        <v>8651.5</v>
      </c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</row>
    <row r="135" spans="1:29" ht="12" customHeight="1">
      <c r="A135" s="174"/>
      <c r="B135" s="174"/>
      <c r="C135" s="1580" t="str">
        <f t="shared" si="89"/>
        <v>Akum</v>
      </c>
      <c r="D135" s="1624"/>
      <c r="E135" s="1623"/>
      <c r="F135" s="186">
        <f>F134</f>
        <v>720.95833333333337</v>
      </c>
      <c r="G135" s="186">
        <f t="shared" ref="G135:Q135" si="94">F135+G134</f>
        <v>1441.9166666666667</v>
      </c>
      <c r="H135" s="186">
        <f t="shared" si="94"/>
        <v>2162.875</v>
      </c>
      <c r="I135" s="186">
        <f t="shared" si="94"/>
        <v>2883.8333333333335</v>
      </c>
      <c r="J135" s="186">
        <f t="shared" si="94"/>
        <v>3604.791666666667</v>
      </c>
      <c r="K135" s="186">
        <f t="shared" si="94"/>
        <v>4325.75</v>
      </c>
      <c r="L135" s="186">
        <f t="shared" si="94"/>
        <v>5046.708333333333</v>
      </c>
      <c r="M135" s="186">
        <f t="shared" si="94"/>
        <v>5767.6666666666661</v>
      </c>
      <c r="N135" s="186">
        <f t="shared" si="94"/>
        <v>6488.6249999999991</v>
      </c>
      <c r="O135" s="186">
        <f t="shared" si="94"/>
        <v>7209.5833333333321</v>
      </c>
      <c r="P135" s="186">
        <f t="shared" si="94"/>
        <v>7930.5416666666652</v>
      </c>
      <c r="Q135" s="186">
        <f t="shared" si="94"/>
        <v>8651.4999999999982</v>
      </c>
      <c r="R135" s="216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</row>
    <row r="136" spans="1:29" ht="12" customHeight="1">
      <c r="A136" s="174"/>
      <c r="B136" s="174"/>
      <c r="C136" s="1580">
        <f t="shared" si="89"/>
        <v>46752</v>
      </c>
      <c r="D136" s="1624"/>
      <c r="E136" s="1623"/>
      <c r="F136" s="186">
        <f t="shared" ref="F136:Q136" si="95">+$Q$25/12</f>
        <v>793.05416666666679</v>
      </c>
      <c r="G136" s="186">
        <f t="shared" si="95"/>
        <v>793.05416666666679</v>
      </c>
      <c r="H136" s="186">
        <f t="shared" si="95"/>
        <v>793.05416666666679</v>
      </c>
      <c r="I136" s="186">
        <f t="shared" si="95"/>
        <v>793.05416666666679</v>
      </c>
      <c r="J136" s="186">
        <f t="shared" si="95"/>
        <v>793.05416666666679</v>
      </c>
      <c r="K136" s="186">
        <f t="shared" si="95"/>
        <v>793.05416666666679</v>
      </c>
      <c r="L136" s="186">
        <f t="shared" si="95"/>
        <v>793.05416666666679</v>
      </c>
      <c r="M136" s="186">
        <f t="shared" si="95"/>
        <v>793.05416666666679</v>
      </c>
      <c r="N136" s="186">
        <f t="shared" si="95"/>
        <v>793.05416666666679</v>
      </c>
      <c r="O136" s="186">
        <f t="shared" si="95"/>
        <v>793.05416666666679</v>
      </c>
      <c r="P136" s="186">
        <f t="shared" si="95"/>
        <v>793.05416666666679</v>
      </c>
      <c r="Q136" s="186">
        <f t="shared" si="95"/>
        <v>793.05416666666679</v>
      </c>
      <c r="R136" s="216">
        <f>+Q137</f>
        <v>9516.6500000000015</v>
      </c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</row>
    <row r="137" spans="1:29" ht="12" customHeight="1">
      <c r="A137" s="174"/>
      <c r="B137" s="174"/>
      <c r="C137" s="1580" t="str">
        <f t="shared" si="89"/>
        <v>Akum</v>
      </c>
      <c r="D137" s="1624"/>
      <c r="E137" s="1623"/>
      <c r="F137" s="186">
        <f>F136</f>
        <v>793.05416666666679</v>
      </c>
      <c r="G137" s="186">
        <f t="shared" ref="G137:Q137" si="96">F137+G136</f>
        <v>1586.1083333333336</v>
      </c>
      <c r="H137" s="186">
        <f t="shared" si="96"/>
        <v>2379.1625000000004</v>
      </c>
      <c r="I137" s="186">
        <f t="shared" si="96"/>
        <v>3172.2166666666672</v>
      </c>
      <c r="J137" s="186">
        <f t="shared" si="96"/>
        <v>3965.2708333333339</v>
      </c>
      <c r="K137" s="186">
        <f t="shared" si="96"/>
        <v>4758.3250000000007</v>
      </c>
      <c r="L137" s="186">
        <f t="shared" si="96"/>
        <v>5551.3791666666675</v>
      </c>
      <c r="M137" s="186">
        <f t="shared" si="96"/>
        <v>6344.4333333333343</v>
      </c>
      <c r="N137" s="186">
        <f t="shared" si="96"/>
        <v>7137.4875000000011</v>
      </c>
      <c r="O137" s="186">
        <f t="shared" si="96"/>
        <v>7930.5416666666679</v>
      </c>
      <c r="P137" s="186">
        <f t="shared" si="96"/>
        <v>8723.5958333333347</v>
      </c>
      <c r="Q137" s="186">
        <f t="shared" si="96"/>
        <v>9516.6500000000015</v>
      </c>
      <c r="R137" s="240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</row>
    <row r="138" spans="1:29" ht="12" customHeight="1">
      <c r="A138" s="174"/>
      <c r="B138" s="174"/>
      <c r="C138" s="1580">
        <f t="shared" si="89"/>
        <v>47118</v>
      </c>
      <c r="D138" s="1624"/>
      <c r="E138" s="1623"/>
      <c r="F138" s="186">
        <f t="shared" ref="F138:Q138" si="97">+$S$25/12</f>
        <v>872.35958333333349</v>
      </c>
      <c r="G138" s="186">
        <f t="shared" si="97"/>
        <v>872.35958333333349</v>
      </c>
      <c r="H138" s="186">
        <f t="shared" si="97"/>
        <v>872.35958333333349</v>
      </c>
      <c r="I138" s="186">
        <f t="shared" si="97"/>
        <v>872.35958333333349</v>
      </c>
      <c r="J138" s="186">
        <f t="shared" si="97"/>
        <v>872.35958333333349</v>
      </c>
      <c r="K138" s="186">
        <f t="shared" si="97"/>
        <v>872.35958333333349</v>
      </c>
      <c r="L138" s="186">
        <f t="shared" si="97"/>
        <v>872.35958333333349</v>
      </c>
      <c r="M138" s="186">
        <f t="shared" si="97"/>
        <v>872.35958333333349</v>
      </c>
      <c r="N138" s="186">
        <f t="shared" si="97"/>
        <v>872.35958333333349</v>
      </c>
      <c r="O138" s="186">
        <f t="shared" si="97"/>
        <v>872.35958333333349</v>
      </c>
      <c r="P138" s="186">
        <f t="shared" si="97"/>
        <v>872.35958333333349</v>
      </c>
      <c r="Q138" s="186">
        <f t="shared" si="97"/>
        <v>872.35958333333349</v>
      </c>
      <c r="R138" s="216">
        <f>+Q139</f>
        <v>10468.315000000002</v>
      </c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</row>
    <row r="139" spans="1:29" ht="12" customHeight="1">
      <c r="A139" s="174"/>
      <c r="B139" s="174"/>
      <c r="C139" s="1580" t="str">
        <f t="shared" si="89"/>
        <v>Akum</v>
      </c>
      <c r="D139" s="1624"/>
      <c r="E139" s="1623"/>
      <c r="F139" s="186">
        <f>F138</f>
        <v>872.35958333333349</v>
      </c>
      <c r="G139" s="186">
        <f t="shared" ref="G139:Q139" si="98">F139+G138</f>
        <v>1744.719166666667</v>
      </c>
      <c r="H139" s="186">
        <f t="shared" si="98"/>
        <v>2617.0787500000006</v>
      </c>
      <c r="I139" s="186">
        <f t="shared" si="98"/>
        <v>3489.438333333334</v>
      </c>
      <c r="J139" s="186">
        <f t="shared" si="98"/>
        <v>4361.7979166666673</v>
      </c>
      <c r="K139" s="186">
        <f t="shared" si="98"/>
        <v>5234.1575000000012</v>
      </c>
      <c r="L139" s="186">
        <f t="shared" si="98"/>
        <v>6106.517083333335</v>
      </c>
      <c r="M139" s="186">
        <f t="shared" si="98"/>
        <v>6978.8766666666688</v>
      </c>
      <c r="N139" s="186">
        <f t="shared" si="98"/>
        <v>7851.2362500000027</v>
      </c>
      <c r="O139" s="186">
        <f t="shared" si="98"/>
        <v>8723.5958333333365</v>
      </c>
      <c r="P139" s="186">
        <f t="shared" si="98"/>
        <v>9595.9554166666694</v>
      </c>
      <c r="Q139" s="186">
        <f t="shared" si="98"/>
        <v>10468.315000000002</v>
      </c>
      <c r="R139" s="240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</row>
    <row r="140" spans="1:29" ht="12" customHeight="1">
      <c r="A140" s="174"/>
      <c r="B140" s="174"/>
      <c r="C140" s="1580">
        <f t="shared" si="89"/>
        <v>47483</v>
      </c>
      <c r="D140" s="1624"/>
      <c r="E140" s="1623"/>
      <c r="F140" s="186">
        <f t="shared" ref="F140:Q140" si="99">+$U$25/12</f>
        <v>304.24506533511192</v>
      </c>
      <c r="G140" s="186">
        <f t="shared" si="99"/>
        <v>304.24506533511192</v>
      </c>
      <c r="H140" s="186">
        <f t="shared" si="99"/>
        <v>304.24506533511192</v>
      </c>
      <c r="I140" s="186">
        <f t="shared" si="99"/>
        <v>304.24506533511192</v>
      </c>
      <c r="J140" s="186">
        <f t="shared" si="99"/>
        <v>304.24506533511192</v>
      </c>
      <c r="K140" s="186">
        <f t="shared" si="99"/>
        <v>304.24506533511192</v>
      </c>
      <c r="L140" s="186">
        <f t="shared" si="99"/>
        <v>304.24506533511192</v>
      </c>
      <c r="M140" s="186">
        <f t="shared" si="99"/>
        <v>304.24506533511192</v>
      </c>
      <c r="N140" s="186">
        <f t="shared" si="99"/>
        <v>304.24506533511192</v>
      </c>
      <c r="O140" s="186">
        <f t="shared" si="99"/>
        <v>304.24506533511192</v>
      </c>
      <c r="P140" s="186">
        <f t="shared" si="99"/>
        <v>304.24506533511192</v>
      </c>
      <c r="Q140" s="186">
        <f t="shared" si="99"/>
        <v>304.24506533511192</v>
      </c>
      <c r="R140" s="216">
        <f>+Q141</f>
        <v>3650.9407840213439</v>
      </c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</row>
    <row r="141" spans="1:29" ht="12" customHeight="1">
      <c r="A141" s="174"/>
      <c r="B141" s="174"/>
      <c r="C141" s="1580" t="str">
        <f t="shared" si="89"/>
        <v>Akum</v>
      </c>
      <c r="D141" s="1624"/>
      <c r="E141" s="1623"/>
      <c r="F141" s="186">
        <f>F140</f>
        <v>304.24506533511192</v>
      </c>
      <c r="G141" s="186">
        <f t="shared" ref="G141:Q141" si="100">F141+G140</f>
        <v>608.49013067022383</v>
      </c>
      <c r="H141" s="186">
        <f t="shared" si="100"/>
        <v>912.73519600533575</v>
      </c>
      <c r="I141" s="186">
        <f t="shared" si="100"/>
        <v>1216.9802613404477</v>
      </c>
      <c r="J141" s="186">
        <f t="shared" si="100"/>
        <v>1521.2253266755597</v>
      </c>
      <c r="K141" s="186">
        <f t="shared" si="100"/>
        <v>1825.4703920106717</v>
      </c>
      <c r="L141" s="186">
        <f t="shared" si="100"/>
        <v>2129.7154573457838</v>
      </c>
      <c r="M141" s="186">
        <f t="shared" si="100"/>
        <v>2433.9605226808958</v>
      </c>
      <c r="N141" s="186">
        <f t="shared" si="100"/>
        <v>2738.2055880160078</v>
      </c>
      <c r="O141" s="186">
        <f t="shared" si="100"/>
        <v>3042.4506533511199</v>
      </c>
      <c r="P141" s="186">
        <f t="shared" si="100"/>
        <v>3346.6957186862319</v>
      </c>
      <c r="Q141" s="186">
        <f t="shared" si="100"/>
        <v>3650.9407840213439</v>
      </c>
      <c r="R141" s="240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</row>
    <row r="142" spans="1:29" ht="12" customHeight="1">
      <c r="A142" s="174"/>
      <c r="B142" s="174"/>
      <c r="C142" s="1580">
        <f t="shared" si="89"/>
        <v>47848</v>
      </c>
      <c r="D142" s="1624"/>
      <c r="E142" s="1623"/>
      <c r="F142" s="186">
        <f t="shared" ref="F142:Q142" si="101">+$W$25/12</f>
        <v>304.24506533511192</v>
      </c>
      <c r="G142" s="186">
        <f t="shared" si="101"/>
        <v>304.24506533511192</v>
      </c>
      <c r="H142" s="186">
        <f t="shared" si="101"/>
        <v>304.24506533511192</v>
      </c>
      <c r="I142" s="186">
        <f t="shared" si="101"/>
        <v>304.24506533511192</v>
      </c>
      <c r="J142" s="186">
        <f t="shared" si="101"/>
        <v>304.24506533511192</v>
      </c>
      <c r="K142" s="186">
        <f t="shared" si="101"/>
        <v>304.24506533511192</v>
      </c>
      <c r="L142" s="186">
        <f t="shared" si="101"/>
        <v>304.24506533511192</v>
      </c>
      <c r="M142" s="186">
        <f t="shared" si="101"/>
        <v>304.24506533511192</v>
      </c>
      <c r="N142" s="186">
        <f t="shared" si="101"/>
        <v>304.24506533511192</v>
      </c>
      <c r="O142" s="186">
        <f t="shared" si="101"/>
        <v>304.24506533511192</v>
      </c>
      <c r="P142" s="186">
        <f t="shared" si="101"/>
        <v>304.24506533511192</v>
      </c>
      <c r="Q142" s="186">
        <f t="shared" si="101"/>
        <v>304.24506533511192</v>
      </c>
      <c r="R142" s="216">
        <f>+Q143</f>
        <v>3650.9407840213439</v>
      </c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</row>
    <row r="143" spans="1:29" ht="12" customHeight="1">
      <c r="A143" s="174"/>
      <c r="B143" s="174"/>
      <c r="C143" s="1580" t="str">
        <f t="shared" si="89"/>
        <v>Akum</v>
      </c>
      <c r="D143" s="1624"/>
      <c r="E143" s="1623"/>
      <c r="F143" s="186">
        <f>+F142</f>
        <v>304.24506533511192</v>
      </c>
      <c r="G143" s="186">
        <f t="shared" ref="G143:Q143" si="102">+F143+G142</f>
        <v>608.49013067022383</v>
      </c>
      <c r="H143" s="186">
        <f t="shared" si="102"/>
        <v>912.73519600533575</v>
      </c>
      <c r="I143" s="186">
        <f t="shared" si="102"/>
        <v>1216.9802613404477</v>
      </c>
      <c r="J143" s="186">
        <f t="shared" si="102"/>
        <v>1521.2253266755597</v>
      </c>
      <c r="K143" s="186">
        <f t="shared" si="102"/>
        <v>1825.4703920106717</v>
      </c>
      <c r="L143" s="186">
        <f t="shared" si="102"/>
        <v>2129.7154573457838</v>
      </c>
      <c r="M143" s="186">
        <f t="shared" si="102"/>
        <v>2433.9605226808958</v>
      </c>
      <c r="N143" s="186">
        <f t="shared" si="102"/>
        <v>2738.2055880160078</v>
      </c>
      <c r="O143" s="186">
        <f t="shared" si="102"/>
        <v>3042.4506533511199</v>
      </c>
      <c r="P143" s="186">
        <f t="shared" si="102"/>
        <v>3346.6957186862319</v>
      </c>
      <c r="Q143" s="186">
        <f t="shared" si="102"/>
        <v>3650.9407840213439</v>
      </c>
      <c r="R143" s="240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</row>
    <row r="144" spans="1:29" ht="12" customHeight="1">
      <c r="A144" s="174"/>
      <c r="B144" s="174"/>
      <c r="C144" s="1580">
        <f t="shared" si="89"/>
        <v>48213</v>
      </c>
      <c r="D144" s="1624"/>
      <c r="E144" s="1623"/>
      <c r="F144" s="186">
        <f t="shared" ref="F144:Q144" si="103">+$Y$25/12</f>
        <v>304.24506533511192</v>
      </c>
      <c r="G144" s="186">
        <f t="shared" si="103"/>
        <v>304.24506533511192</v>
      </c>
      <c r="H144" s="186">
        <f t="shared" si="103"/>
        <v>304.24506533511192</v>
      </c>
      <c r="I144" s="186">
        <f t="shared" si="103"/>
        <v>304.24506533511192</v>
      </c>
      <c r="J144" s="186">
        <f t="shared" si="103"/>
        <v>304.24506533511192</v>
      </c>
      <c r="K144" s="186">
        <f t="shared" si="103"/>
        <v>304.24506533511192</v>
      </c>
      <c r="L144" s="186">
        <f t="shared" si="103"/>
        <v>304.24506533511192</v>
      </c>
      <c r="M144" s="186">
        <f t="shared" si="103"/>
        <v>304.24506533511192</v>
      </c>
      <c r="N144" s="186">
        <f t="shared" si="103"/>
        <v>304.24506533511192</v>
      </c>
      <c r="O144" s="186">
        <f t="shared" si="103"/>
        <v>304.24506533511192</v>
      </c>
      <c r="P144" s="186">
        <f t="shared" si="103"/>
        <v>304.24506533511192</v>
      </c>
      <c r="Q144" s="186">
        <f t="shared" si="103"/>
        <v>304.24506533511192</v>
      </c>
      <c r="R144" s="216">
        <f>+Q145</f>
        <v>3650.9407840213439</v>
      </c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</row>
    <row r="145" spans="1:29" ht="12" customHeight="1">
      <c r="A145" s="174"/>
      <c r="B145" s="174"/>
      <c r="C145" s="1580" t="str">
        <f t="shared" si="89"/>
        <v>Akum</v>
      </c>
      <c r="D145" s="1624"/>
      <c r="E145" s="1623"/>
      <c r="F145" s="186">
        <f>+F144</f>
        <v>304.24506533511192</v>
      </c>
      <c r="G145" s="186">
        <f t="shared" ref="G145:Q145" si="104">+F145+G144</f>
        <v>608.49013067022383</v>
      </c>
      <c r="H145" s="186">
        <f t="shared" si="104"/>
        <v>912.73519600533575</v>
      </c>
      <c r="I145" s="186">
        <f t="shared" si="104"/>
        <v>1216.9802613404477</v>
      </c>
      <c r="J145" s="186">
        <f t="shared" si="104"/>
        <v>1521.2253266755597</v>
      </c>
      <c r="K145" s="186">
        <f t="shared" si="104"/>
        <v>1825.4703920106717</v>
      </c>
      <c r="L145" s="186">
        <f t="shared" si="104"/>
        <v>2129.7154573457838</v>
      </c>
      <c r="M145" s="186">
        <f t="shared" si="104"/>
        <v>2433.9605226808958</v>
      </c>
      <c r="N145" s="186">
        <f t="shared" si="104"/>
        <v>2738.2055880160078</v>
      </c>
      <c r="O145" s="186">
        <f t="shared" si="104"/>
        <v>3042.4506533511199</v>
      </c>
      <c r="P145" s="186">
        <f t="shared" si="104"/>
        <v>3346.6957186862319</v>
      </c>
      <c r="Q145" s="186">
        <f t="shared" si="104"/>
        <v>3650.9407840213439</v>
      </c>
      <c r="R145" s="240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</row>
    <row r="146" spans="1:29" ht="12" customHeight="1">
      <c r="A146" s="174"/>
      <c r="B146" s="174"/>
      <c r="C146" s="1580">
        <f t="shared" si="89"/>
        <v>48579</v>
      </c>
      <c r="D146" s="1624"/>
      <c r="E146" s="1623"/>
      <c r="F146" s="186">
        <f t="shared" ref="F146:Q146" si="105">+$AA$25/12</f>
        <v>304.24506533511192</v>
      </c>
      <c r="G146" s="186">
        <f t="shared" si="105"/>
        <v>304.24506533511192</v>
      </c>
      <c r="H146" s="186">
        <f t="shared" si="105"/>
        <v>304.24506533511192</v>
      </c>
      <c r="I146" s="186">
        <f t="shared" si="105"/>
        <v>304.24506533511192</v>
      </c>
      <c r="J146" s="186">
        <f t="shared" si="105"/>
        <v>304.24506533511192</v>
      </c>
      <c r="K146" s="186">
        <f t="shared" si="105"/>
        <v>304.24506533511192</v>
      </c>
      <c r="L146" s="186">
        <f t="shared" si="105"/>
        <v>304.24506533511192</v>
      </c>
      <c r="M146" s="186">
        <f t="shared" si="105"/>
        <v>304.24506533511192</v>
      </c>
      <c r="N146" s="186">
        <f t="shared" si="105"/>
        <v>304.24506533511192</v>
      </c>
      <c r="O146" s="186">
        <f t="shared" si="105"/>
        <v>304.24506533511192</v>
      </c>
      <c r="P146" s="186">
        <f t="shared" si="105"/>
        <v>304.24506533511192</v>
      </c>
      <c r="Q146" s="186">
        <f t="shared" si="105"/>
        <v>304.24506533511192</v>
      </c>
      <c r="R146" s="216">
        <f>+Q147</f>
        <v>3650.9407840213439</v>
      </c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</row>
    <row r="147" spans="1:29" ht="12" customHeight="1">
      <c r="A147" s="174"/>
      <c r="B147" s="174"/>
      <c r="C147" s="1580" t="str">
        <f t="shared" si="89"/>
        <v>Akum</v>
      </c>
      <c r="D147" s="1624"/>
      <c r="E147" s="1623"/>
      <c r="F147" s="186">
        <f>+F146</f>
        <v>304.24506533511192</v>
      </c>
      <c r="G147" s="186">
        <f t="shared" ref="G147:Q147" si="106">+F147+G146</f>
        <v>608.49013067022383</v>
      </c>
      <c r="H147" s="186">
        <f t="shared" si="106"/>
        <v>912.73519600533575</v>
      </c>
      <c r="I147" s="186">
        <f t="shared" si="106"/>
        <v>1216.9802613404477</v>
      </c>
      <c r="J147" s="186">
        <f t="shared" si="106"/>
        <v>1521.2253266755597</v>
      </c>
      <c r="K147" s="186">
        <f t="shared" si="106"/>
        <v>1825.4703920106717</v>
      </c>
      <c r="L147" s="186">
        <f t="shared" si="106"/>
        <v>2129.7154573457838</v>
      </c>
      <c r="M147" s="186">
        <f t="shared" si="106"/>
        <v>2433.9605226808958</v>
      </c>
      <c r="N147" s="186">
        <f t="shared" si="106"/>
        <v>2738.2055880160078</v>
      </c>
      <c r="O147" s="186">
        <f t="shared" si="106"/>
        <v>3042.4506533511199</v>
      </c>
      <c r="P147" s="186">
        <f t="shared" si="106"/>
        <v>3346.6957186862319</v>
      </c>
      <c r="Q147" s="186">
        <f t="shared" si="106"/>
        <v>3650.9407840213439</v>
      </c>
      <c r="R147" s="240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</row>
    <row r="148" spans="1:29" ht="12" customHeight="1">
      <c r="A148" s="174"/>
      <c r="B148" s="174"/>
      <c r="C148" s="1580">
        <f t="shared" si="89"/>
        <v>48944</v>
      </c>
      <c r="D148" s="1624"/>
      <c r="E148" s="1623"/>
      <c r="F148" s="186">
        <f t="shared" ref="F148:Q148" si="107">+$AC$25/12</f>
        <v>304.24506533511192</v>
      </c>
      <c r="G148" s="186">
        <f t="shared" si="107"/>
        <v>304.24506533511192</v>
      </c>
      <c r="H148" s="186">
        <f t="shared" si="107"/>
        <v>304.24506533511192</v>
      </c>
      <c r="I148" s="186">
        <f t="shared" si="107"/>
        <v>304.24506533511192</v>
      </c>
      <c r="J148" s="186">
        <f t="shared" si="107"/>
        <v>304.24506533511192</v>
      </c>
      <c r="K148" s="186">
        <f t="shared" si="107"/>
        <v>304.24506533511192</v>
      </c>
      <c r="L148" s="186">
        <f t="shared" si="107"/>
        <v>304.24506533511192</v>
      </c>
      <c r="M148" s="186">
        <f t="shared" si="107"/>
        <v>304.24506533511192</v>
      </c>
      <c r="N148" s="186">
        <f t="shared" si="107"/>
        <v>304.24506533511192</v>
      </c>
      <c r="O148" s="186">
        <f t="shared" si="107"/>
        <v>304.24506533511192</v>
      </c>
      <c r="P148" s="186">
        <f t="shared" si="107"/>
        <v>304.24506533511192</v>
      </c>
      <c r="Q148" s="186">
        <f t="shared" si="107"/>
        <v>304.24506533511192</v>
      </c>
      <c r="R148" s="216">
        <f>+Q149</f>
        <v>3650.9407840213439</v>
      </c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</row>
    <row r="149" spans="1:29" ht="12" customHeight="1">
      <c r="A149" s="174"/>
      <c r="B149" s="174"/>
      <c r="C149" s="1580" t="str">
        <f t="shared" si="89"/>
        <v>Akum</v>
      </c>
      <c r="D149" s="1624"/>
      <c r="E149" s="1623"/>
      <c r="F149" s="186">
        <f>+F148</f>
        <v>304.24506533511192</v>
      </c>
      <c r="G149" s="186">
        <f t="shared" ref="G149:Q149" si="108">+F149+G148</f>
        <v>608.49013067022383</v>
      </c>
      <c r="H149" s="186">
        <f t="shared" si="108"/>
        <v>912.73519600533575</v>
      </c>
      <c r="I149" s="186">
        <f t="shared" si="108"/>
        <v>1216.9802613404477</v>
      </c>
      <c r="J149" s="186">
        <f t="shared" si="108"/>
        <v>1521.2253266755597</v>
      </c>
      <c r="K149" s="186">
        <f t="shared" si="108"/>
        <v>1825.4703920106717</v>
      </c>
      <c r="L149" s="186">
        <f t="shared" si="108"/>
        <v>2129.7154573457838</v>
      </c>
      <c r="M149" s="186">
        <f t="shared" si="108"/>
        <v>2433.9605226808958</v>
      </c>
      <c r="N149" s="186">
        <f t="shared" si="108"/>
        <v>2738.2055880160078</v>
      </c>
      <c r="O149" s="186">
        <f t="shared" si="108"/>
        <v>3042.4506533511199</v>
      </c>
      <c r="P149" s="186">
        <f t="shared" si="108"/>
        <v>3346.6957186862319</v>
      </c>
      <c r="Q149" s="186">
        <f t="shared" si="108"/>
        <v>3650.9407840213439</v>
      </c>
      <c r="R149" s="240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</row>
    <row r="150" spans="1:29" ht="12" customHeight="1">
      <c r="A150" s="174"/>
      <c r="B150" s="221"/>
      <c r="C150" s="174"/>
      <c r="D150" s="174"/>
      <c r="E150" s="174"/>
      <c r="F150" s="217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</row>
    <row r="151" spans="1:29" ht="12" customHeight="1">
      <c r="A151" s="174"/>
      <c r="B151" s="221"/>
      <c r="C151" s="187"/>
      <c r="D151" s="187"/>
      <c r="E151" s="187"/>
      <c r="F151" s="187"/>
      <c r="G151" s="217"/>
      <c r="H151" s="187"/>
      <c r="I151" s="187"/>
      <c r="J151" s="187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</row>
    <row r="152" spans="1:29" ht="12" customHeight="1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81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</row>
    <row r="153" spans="1:29" ht="12" customHeight="1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</row>
    <row r="154" spans="1:29" ht="12" customHeight="1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</row>
    <row r="155" spans="1:29" ht="12" customHeight="1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</row>
    <row r="156" spans="1:29" ht="12" customHeight="1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</row>
    <row r="157" spans="1:29" ht="12" customHeight="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</row>
    <row r="158" spans="1:29" ht="12" customHeight="1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</row>
    <row r="159" spans="1:29" ht="12" customHeight="1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</row>
    <row r="160" spans="1:29" ht="12" customHeight="1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</row>
    <row r="161" spans="1:29" ht="12" customHeight="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</row>
    <row r="162" spans="1:29" ht="12" customHeight="1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</row>
    <row r="163" spans="1:29" ht="12" customHeight="1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</row>
    <row r="164" spans="1:29" ht="12" customHeight="1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</row>
    <row r="165" spans="1:29" ht="12" customHeight="1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</row>
    <row r="166" spans="1:29" ht="12" customHeight="1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</row>
    <row r="167" spans="1:29" ht="12" customHeight="1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</row>
    <row r="168" spans="1:29" ht="12" customHeight="1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</row>
    <row r="169" spans="1:29" ht="12" customHeight="1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</row>
    <row r="170" spans="1:29" ht="12" customHeight="1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</row>
    <row r="171" spans="1:29" ht="12" customHeight="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</row>
    <row r="172" spans="1:29" ht="12" customHeight="1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</row>
    <row r="173" spans="1:29" ht="12" customHeight="1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</row>
    <row r="174" spans="1:29" ht="12" customHeight="1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</row>
    <row r="175" spans="1:29" ht="12" customHeight="1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</row>
    <row r="176" spans="1:29" ht="12" customHeight="1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</row>
    <row r="177" spans="1:29" ht="12" customHeight="1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</row>
    <row r="178" spans="1:29" ht="12" customHeight="1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</row>
    <row r="179" spans="1:29" ht="12" customHeight="1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</row>
    <row r="180" spans="1:29" ht="12" customHeight="1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</row>
    <row r="181" spans="1:29" ht="12" customHeight="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</row>
    <row r="182" spans="1:29" ht="12" customHeight="1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</row>
    <row r="183" spans="1:29" ht="12" customHeight="1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</row>
    <row r="184" spans="1:29" ht="12" customHeight="1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</row>
    <row r="185" spans="1:29" ht="12" customHeight="1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</row>
    <row r="186" spans="1:29" ht="12" customHeight="1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</row>
    <row r="187" spans="1:29" ht="12" customHeight="1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</row>
    <row r="188" spans="1:29" ht="12" customHeight="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</row>
    <row r="189" spans="1:29" ht="12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</row>
    <row r="190" spans="1:29" ht="12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</row>
    <row r="191" spans="1:29" ht="12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</row>
    <row r="192" spans="1:29" ht="12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</row>
    <row r="193" spans="1:29" ht="12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</row>
    <row r="194" spans="1:29" ht="12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</row>
    <row r="195" spans="1:29" ht="12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</row>
    <row r="196" spans="1:29" ht="12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</row>
    <row r="197" spans="1:29" ht="12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</row>
    <row r="198" spans="1:29" ht="12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</row>
    <row r="199" spans="1:29" ht="12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</row>
    <row r="200" spans="1:29" ht="12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</row>
    <row r="201" spans="1:29" ht="12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</row>
    <row r="202" spans="1:29" ht="12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</row>
    <row r="203" spans="1:29" ht="12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</row>
    <row r="204" spans="1:29" ht="12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</row>
    <row r="205" spans="1:29" ht="12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</row>
    <row r="206" spans="1:29" ht="12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</row>
    <row r="207" spans="1:29" ht="12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</row>
    <row r="208" spans="1:29" ht="12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</row>
    <row r="209" spans="1:29" ht="12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</row>
    <row r="210" spans="1:29" ht="12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</row>
    <row r="211" spans="1:29" ht="12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</row>
    <row r="212" spans="1:29" ht="12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</row>
    <row r="213" spans="1:29" ht="12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</row>
    <row r="214" spans="1:29" ht="12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</row>
    <row r="215" spans="1:29" ht="12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</row>
    <row r="216" spans="1:29" ht="12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</row>
    <row r="217" spans="1:29" ht="12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</row>
    <row r="218" spans="1:29" ht="12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</row>
    <row r="219" spans="1:29" ht="12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</row>
    <row r="220" spans="1:29" ht="12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</row>
    <row r="221" spans="1:29" ht="12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</row>
    <row r="222" spans="1:29" ht="12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</row>
    <row r="223" spans="1:29" ht="12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</row>
    <row r="224" spans="1:29" ht="12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</row>
    <row r="225" spans="1:29" ht="12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</row>
    <row r="226" spans="1:29" ht="12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</row>
    <row r="227" spans="1:29" ht="12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</row>
    <row r="228" spans="1:29" ht="12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</row>
    <row r="229" spans="1:29" ht="12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</row>
    <row r="230" spans="1:29" ht="12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</row>
    <row r="231" spans="1:29" ht="12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</row>
    <row r="232" spans="1:29" ht="12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</row>
    <row r="233" spans="1:29" ht="12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</row>
    <row r="234" spans="1:29" ht="12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</row>
    <row r="235" spans="1:29" ht="12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</row>
    <row r="236" spans="1:29" ht="12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</row>
    <row r="237" spans="1:29" ht="12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</row>
    <row r="238" spans="1:29" ht="12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</row>
    <row r="239" spans="1:29" ht="12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</row>
    <row r="240" spans="1:29" ht="12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</row>
    <row r="241" spans="1:29" ht="12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</row>
    <row r="242" spans="1:29" ht="12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</row>
    <row r="243" spans="1:29" ht="12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</row>
    <row r="244" spans="1:29" ht="12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</row>
    <row r="245" spans="1:29" ht="12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</row>
    <row r="246" spans="1:29" ht="12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</row>
    <row r="247" spans="1:29" ht="12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</row>
    <row r="248" spans="1:29" ht="12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</row>
    <row r="249" spans="1:29" ht="12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</row>
    <row r="250" spans="1:29" ht="12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</row>
    <row r="251" spans="1:29" ht="12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</row>
    <row r="252" spans="1:29" ht="12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</row>
    <row r="253" spans="1:29" ht="12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</row>
    <row r="254" spans="1:29" ht="12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</row>
    <row r="255" spans="1:29" ht="12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</row>
    <row r="256" spans="1:29" ht="12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</row>
    <row r="257" spans="1:29" ht="12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</row>
    <row r="258" spans="1:29" ht="12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</row>
    <row r="259" spans="1:29" ht="12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</row>
    <row r="260" spans="1:29" ht="12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</row>
    <row r="261" spans="1:29" ht="12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</row>
    <row r="262" spans="1:29" ht="12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</row>
    <row r="263" spans="1:29" ht="12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</row>
    <row r="264" spans="1:29" ht="12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</row>
    <row r="265" spans="1:29" ht="12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</row>
    <row r="266" spans="1:29" ht="12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</row>
    <row r="267" spans="1:29" ht="12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</row>
    <row r="268" spans="1:29" ht="12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</row>
    <row r="269" spans="1:29" ht="12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</row>
    <row r="270" spans="1:29" ht="12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</row>
    <row r="271" spans="1:29" ht="12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  <c r="AB271" s="174"/>
      <c r="AC271" s="174"/>
    </row>
    <row r="272" spans="1:29" ht="12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  <c r="AB272" s="174"/>
      <c r="AC272" s="174"/>
    </row>
    <row r="273" spans="1:29" ht="12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  <c r="AB273" s="174"/>
      <c r="AC273" s="174"/>
    </row>
    <row r="274" spans="1:29" ht="12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  <c r="AB274" s="174"/>
      <c r="AC274" s="174"/>
    </row>
    <row r="275" spans="1:29" ht="12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  <c r="AB275" s="174"/>
      <c r="AC275" s="174"/>
    </row>
    <row r="276" spans="1:29" ht="12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  <c r="AB276" s="174"/>
      <c r="AC276" s="174"/>
    </row>
    <row r="277" spans="1:29" ht="12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  <c r="AB277" s="174"/>
      <c r="AC277" s="174"/>
    </row>
    <row r="278" spans="1:29" ht="12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  <c r="AB278" s="174"/>
      <c r="AC278" s="174"/>
    </row>
    <row r="279" spans="1:29" ht="12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  <c r="AB279" s="174"/>
      <c r="AC279" s="174"/>
    </row>
    <row r="280" spans="1:29" ht="12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  <c r="AB280" s="174"/>
      <c r="AC280" s="174"/>
    </row>
    <row r="281" spans="1:29" ht="12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</row>
    <row r="282" spans="1:29" ht="12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</row>
    <row r="283" spans="1:29" ht="12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</row>
    <row r="284" spans="1:29" ht="12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 s="174"/>
      <c r="AC284" s="174"/>
    </row>
    <row r="285" spans="1:29" ht="12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  <c r="AB285" s="174"/>
      <c r="AC285" s="174"/>
    </row>
    <row r="286" spans="1:29" ht="12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 s="174"/>
      <c r="AC286" s="174"/>
    </row>
    <row r="287" spans="1:29" ht="12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 s="174"/>
      <c r="AC287" s="174"/>
    </row>
    <row r="288" spans="1:29" ht="12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 s="174"/>
      <c r="AC288" s="174"/>
    </row>
    <row r="289" spans="1:29" ht="12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</row>
    <row r="290" spans="1:29" ht="12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 s="174"/>
      <c r="AC290" s="174"/>
    </row>
    <row r="291" spans="1:29" ht="12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  <c r="AB291" s="174"/>
      <c r="AC291" s="174"/>
    </row>
    <row r="292" spans="1:29" ht="12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  <c r="AB292" s="174"/>
      <c r="AC292" s="174"/>
    </row>
    <row r="293" spans="1:29" ht="12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  <c r="AB293" s="174"/>
      <c r="AC293" s="174"/>
    </row>
    <row r="294" spans="1:29" ht="12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  <c r="AB294" s="174"/>
      <c r="AC294" s="174"/>
    </row>
    <row r="295" spans="1:29" ht="12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  <c r="AB295" s="174"/>
      <c r="AC295" s="174"/>
    </row>
    <row r="296" spans="1:29" ht="12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</row>
    <row r="297" spans="1:29" ht="12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  <c r="AB297" s="174"/>
      <c r="AC297" s="174"/>
    </row>
    <row r="298" spans="1:29" ht="12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  <c r="AB298" s="174"/>
      <c r="AC298" s="174"/>
    </row>
    <row r="299" spans="1:29" ht="12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  <c r="AB299" s="174"/>
      <c r="AC299" s="174"/>
    </row>
    <row r="300" spans="1:29" ht="12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</row>
    <row r="301" spans="1:29" ht="12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  <c r="AB301" s="174"/>
      <c r="AC301" s="174"/>
    </row>
    <row r="302" spans="1:29" ht="12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</row>
    <row r="303" spans="1:29" ht="12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  <c r="AB303" s="174"/>
      <c r="AC303" s="174"/>
    </row>
    <row r="304" spans="1:29" ht="12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  <c r="AB304" s="174"/>
      <c r="AC304" s="174"/>
    </row>
    <row r="305" spans="1:29" ht="12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</row>
    <row r="306" spans="1:29" ht="12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</row>
    <row r="307" spans="1:29" ht="12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  <c r="AB307" s="174"/>
      <c r="AC307" s="174"/>
    </row>
    <row r="308" spans="1:29" ht="12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  <c r="AB308" s="174"/>
      <c r="AC308" s="174"/>
    </row>
    <row r="309" spans="1:29" ht="12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  <c r="AB309" s="174"/>
      <c r="AC309" s="174"/>
    </row>
    <row r="310" spans="1:29" ht="12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</row>
    <row r="311" spans="1:29" ht="12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  <c r="AB311" s="174"/>
      <c r="AC311" s="174"/>
    </row>
    <row r="312" spans="1:29" ht="12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</row>
    <row r="313" spans="1:29" ht="12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  <c r="AB313" s="174"/>
      <c r="AC313" s="174"/>
    </row>
    <row r="314" spans="1:29" ht="12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  <c r="AB314" s="174"/>
      <c r="AC314" s="174"/>
    </row>
    <row r="315" spans="1:29" ht="12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</row>
    <row r="316" spans="1:29" ht="12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  <c r="AA316" s="174"/>
      <c r="AB316" s="174"/>
      <c r="AC316" s="174"/>
    </row>
    <row r="317" spans="1:29" ht="12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  <c r="AA317" s="174"/>
      <c r="AB317" s="174"/>
      <c r="AC317" s="174"/>
    </row>
    <row r="318" spans="1:29" ht="12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</row>
    <row r="319" spans="1:29" ht="12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  <c r="AB319" s="174"/>
      <c r="AC319" s="174"/>
    </row>
    <row r="320" spans="1:29" ht="12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  <c r="AB320" s="174"/>
      <c r="AC320" s="174"/>
    </row>
    <row r="321" spans="1:29" ht="12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  <c r="AB321" s="174"/>
      <c r="AC321" s="174"/>
    </row>
    <row r="322" spans="1:29" ht="12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  <c r="AB322" s="174"/>
      <c r="AC322" s="174"/>
    </row>
    <row r="323" spans="1:29" ht="12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  <c r="AB323" s="174"/>
      <c r="AC323" s="174"/>
    </row>
    <row r="324" spans="1:29" ht="12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  <c r="AC324" s="174"/>
    </row>
    <row r="325" spans="1:29" ht="12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  <c r="AB325" s="174"/>
      <c r="AC325" s="174"/>
    </row>
    <row r="326" spans="1:29" ht="12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  <c r="AB326" s="174"/>
      <c r="AC326" s="174"/>
    </row>
    <row r="327" spans="1:29" ht="12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  <c r="AB327" s="174"/>
      <c r="AC327" s="174"/>
    </row>
    <row r="328" spans="1:29" ht="12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</row>
    <row r="329" spans="1:29" ht="12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  <c r="AB329" s="174"/>
      <c r="AC329" s="174"/>
    </row>
    <row r="330" spans="1:29" ht="12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  <c r="AB330" s="174"/>
      <c r="AC330" s="174"/>
    </row>
    <row r="331" spans="1:29" ht="12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  <c r="AB331" s="174"/>
      <c r="AC331" s="174"/>
    </row>
    <row r="332" spans="1:29" ht="12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  <c r="AB332" s="174"/>
      <c r="AC332" s="174"/>
    </row>
    <row r="333" spans="1:29" ht="12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  <c r="AB333" s="174"/>
      <c r="AC333" s="174"/>
    </row>
    <row r="334" spans="1:29" ht="12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  <c r="AB334" s="174"/>
      <c r="AC334" s="174"/>
    </row>
    <row r="335" spans="1:29" ht="12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  <c r="AB335" s="174"/>
      <c r="AC335" s="174"/>
    </row>
    <row r="336" spans="1:29" ht="12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  <c r="AB336" s="174"/>
      <c r="AC336" s="174"/>
    </row>
    <row r="337" spans="1:29" ht="12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  <c r="AB337" s="174"/>
      <c r="AC337" s="174"/>
    </row>
    <row r="338" spans="1:29" ht="12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  <c r="AB338" s="174"/>
      <c r="AC338" s="174"/>
    </row>
    <row r="339" spans="1:29" ht="12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  <c r="AB339" s="174"/>
      <c r="AC339" s="174"/>
    </row>
    <row r="340" spans="1:29" ht="12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  <c r="AB340" s="174"/>
      <c r="AC340" s="174"/>
    </row>
    <row r="341" spans="1:29" ht="12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  <c r="AB341" s="174"/>
      <c r="AC341" s="174"/>
    </row>
    <row r="342" spans="1:29" ht="12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  <c r="AB342" s="174"/>
      <c r="AC342" s="174"/>
    </row>
    <row r="343" spans="1:29" ht="12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  <c r="AB343" s="174"/>
      <c r="AC343" s="174"/>
    </row>
    <row r="344" spans="1:29" ht="12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  <c r="AB344" s="174"/>
      <c r="AC344" s="174"/>
    </row>
    <row r="345" spans="1:29" ht="12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  <c r="AB345" s="174"/>
      <c r="AC345" s="174"/>
    </row>
    <row r="346" spans="1:29" ht="12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  <c r="AA346" s="174"/>
      <c r="AB346" s="174"/>
      <c r="AC346" s="174"/>
    </row>
    <row r="347" spans="1:29" ht="12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  <c r="AB347" s="174"/>
      <c r="AC347" s="174"/>
    </row>
    <row r="348" spans="1:29" ht="12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  <c r="AA348" s="174"/>
      <c r="AB348" s="174"/>
      <c r="AC348" s="174"/>
    </row>
    <row r="349" spans="1:29" ht="12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  <c r="AA349" s="174"/>
      <c r="AB349" s="174"/>
      <c r="AC349" s="174"/>
    </row>
    <row r="350" spans="1:29" ht="12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  <c r="AB350" s="174"/>
      <c r="AC350" s="174"/>
    </row>
    <row r="351" spans="1:29" ht="12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  <c r="AB351" s="174"/>
      <c r="AC351" s="174"/>
    </row>
    <row r="352" spans="1:29" ht="12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  <c r="AA352" s="174"/>
      <c r="AB352" s="174"/>
      <c r="AC352" s="174"/>
    </row>
    <row r="353" spans="1:29" ht="12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  <c r="AB353" s="174"/>
      <c r="AC353" s="174"/>
    </row>
    <row r="354" spans="1:29" ht="12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  <c r="AA354" s="174"/>
      <c r="AB354" s="174"/>
      <c r="AC354" s="174"/>
    </row>
    <row r="355" spans="1:29" ht="12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  <c r="AB355" s="174"/>
      <c r="AC355" s="174"/>
    </row>
    <row r="356" spans="1:29" ht="12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  <c r="AB356" s="174"/>
      <c r="AC356" s="174"/>
    </row>
    <row r="357" spans="1:29" ht="12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  <c r="AB357" s="174"/>
      <c r="AC357" s="174"/>
    </row>
    <row r="358" spans="1:29" ht="12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  <c r="AB358" s="174"/>
      <c r="AC358" s="174"/>
    </row>
    <row r="359" spans="1:29" ht="12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  <c r="AB359" s="174"/>
      <c r="AC359" s="174"/>
    </row>
    <row r="360" spans="1:29" ht="12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  <c r="AB360" s="174"/>
      <c r="AC360" s="174"/>
    </row>
    <row r="361" spans="1:29" ht="12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  <c r="AB361" s="174"/>
      <c r="AC361" s="174"/>
    </row>
    <row r="362" spans="1:29" ht="12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  <c r="AA362" s="174"/>
      <c r="AB362" s="174"/>
      <c r="AC362" s="174"/>
    </row>
    <row r="363" spans="1:29" ht="12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  <c r="AA363" s="174"/>
      <c r="AB363" s="174"/>
      <c r="AC363" s="174"/>
    </row>
    <row r="364" spans="1:29" ht="12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  <c r="AB364" s="174"/>
      <c r="AC364" s="174"/>
    </row>
    <row r="365" spans="1:29" ht="12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  <c r="AB365" s="174"/>
      <c r="AC365" s="174"/>
    </row>
    <row r="366" spans="1:29" ht="12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  <c r="AB366" s="174"/>
      <c r="AC366" s="174"/>
    </row>
    <row r="367" spans="1:29" ht="12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  <c r="AB367" s="174"/>
      <c r="AC367" s="174"/>
    </row>
    <row r="368" spans="1:29" ht="12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  <c r="AB368" s="174"/>
      <c r="AC368" s="174"/>
    </row>
    <row r="369" spans="1:29" ht="12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  <c r="AB369" s="174"/>
      <c r="AC369" s="174"/>
    </row>
    <row r="370" spans="1:29" ht="12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  <c r="AA370" s="174"/>
      <c r="AB370" s="174"/>
      <c r="AC370" s="174"/>
    </row>
    <row r="371" spans="1:29" ht="12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  <c r="AB371" s="174"/>
      <c r="AC371" s="174"/>
    </row>
    <row r="372" spans="1:29" ht="12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  <c r="AB372" s="174"/>
      <c r="AC372" s="174"/>
    </row>
    <row r="373" spans="1:29" ht="12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  <c r="AB373" s="174"/>
      <c r="AC373" s="174"/>
    </row>
    <row r="374" spans="1:29" ht="12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  <c r="AA374" s="174"/>
      <c r="AB374" s="174"/>
      <c r="AC374" s="174"/>
    </row>
    <row r="375" spans="1:29" ht="12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  <c r="AB375" s="174"/>
      <c r="AC375" s="174"/>
    </row>
    <row r="376" spans="1:29" ht="12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  <c r="AB376" s="174"/>
      <c r="AC376" s="174"/>
    </row>
    <row r="377" spans="1:29" ht="12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  <c r="AA377" s="174"/>
      <c r="AB377" s="174"/>
      <c r="AC377" s="174"/>
    </row>
    <row r="378" spans="1:29" ht="12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  <c r="AB378" s="174"/>
      <c r="AC378" s="174"/>
    </row>
    <row r="379" spans="1:29" ht="12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  <c r="AB379" s="174"/>
      <c r="AC379" s="174"/>
    </row>
    <row r="380" spans="1:29" ht="12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  <c r="AB380" s="174"/>
      <c r="AC380" s="174"/>
    </row>
    <row r="381" spans="1:29" ht="12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  <c r="AA381" s="174"/>
      <c r="AB381" s="174"/>
      <c r="AC381" s="174"/>
    </row>
    <row r="382" spans="1:29" ht="12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  <c r="AB382" s="174"/>
      <c r="AC382" s="174"/>
    </row>
    <row r="383" spans="1:29" ht="12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  <c r="AA383" s="174"/>
      <c r="AB383" s="174"/>
      <c r="AC383" s="174"/>
    </row>
    <row r="384" spans="1:29" ht="12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  <c r="AB384" s="174"/>
      <c r="AC384" s="174"/>
    </row>
    <row r="385" spans="1:29" ht="12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  <c r="AB385" s="174"/>
      <c r="AC385" s="174"/>
    </row>
    <row r="386" spans="1:29" ht="12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  <c r="AB386" s="174"/>
      <c r="AC386" s="174"/>
    </row>
    <row r="387" spans="1:29" ht="12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  <c r="AB387" s="174"/>
      <c r="AC387" s="174"/>
    </row>
    <row r="388" spans="1:29" ht="12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  <c r="AB388" s="174"/>
      <c r="AC388" s="174"/>
    </row>
    <row r="389" spans="1:29" ht="12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  <c r="AB389" s="174"/>
      <c r="AC389" s="174"/>
    </row>
    <row r="390" spans="1:29" ht="12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  <c r="AA390" s="174"/>
      <c r="AB390" s="174"/>
      <c r="AC390" s="174"/>
    </row>
    <row r="391" spans="1:29" ht="12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  <c r="AB391" s="174"/>
      <c r="AC391" s="174"/>
    </row>
    <row r="392" spans="1:29" ht="12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174"/>
      <c r="AB392" s="174"/>
      <c r="AC392" s="174"/>
    </row>
    <row r="393" spans="1:29" ht="12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  <c r="AB393" s="174"/>
      <c r="AC393" s="174"/>
    </row>
    <row r="394" spans="1:29" ht="12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  <c r="AB394" s="174"/>
      <c r="AC394" s="174"/>
    </row>
    <row r="395" spans="1:29" ht="12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  <c r="AB395" s="174"/>
      <c r="AC395" s="174"/>
    </row>
    <row r="396" spans="1:29" ht="12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  <c r="AB396" s="174"/>
      <c r="AC396" s="174"/>
    </row>
    <row r="397" spans="1:29" ht="12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174"/>
      <c r="AB397" s="174"/>
      <c r="AC397" s="174"/>
    </row>
    <row r="398" spans="1:29" ht="12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  <c r="AB398" s="174"/>
      <c r="AC398" s="174"/>
    </row>
    <row r="399" spans="1:29" ht="12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  <c r="AA399" s="174"/>
      <c r="AB399" s="174"/>
      <c r="AC399" s="174"/>
    </row>
    <row r="400" spans="1:29" ht="12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  <c r="AA400" s="174"/>
      <c r="AB400" s="174"/>
      <c r="AC400" s="174"/>
    </row>
    <row r="401" spans="1:29" ht="12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  <c r="AA401" s="174"/>
      <c r="AB401" s="174"/>
      <c r="AC401" s="174"/>
    </row>
    <row r="402" spans="1:29" ht="12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  <c r="AA402" s="174"/>
      <c r="AB402" s="174"/>
      <c r="AC402" s="174"/>
    </row>
    <row r="403" spans="1:29" ht="12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  <c r="AA403" s="174"/>
      <c r="AB403" s="174"/>
      <c r="AC403" s="174"/>
    </row>
    <row r="404" spans="1:29" ht="12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  <c r="AA404" s="174"/>
      <c r="AB404" s="174"/>
      <c r="AC404" s="174"/>
    </row>
    <row r="405" spans="1:29" ht="12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  <c r="AB405" s="174"/>
      <c r="AC405" s="174"/>
    </row>
    <row r="406" spans="1:29" ht="12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  <c r="AA406" s="174"/>
      <c r="AB406" s="174"/>
      <c r="AC406" s="174"/>
    </row>
    <row r="407" spans="1:29" ht="12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  <c r="AA407" s="174"/>
      <c r="AB407" s="174"/>
      <c r="AC407" s="174"/>
    </row>
    <row r="408" spans="1:29" ht="12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  <c r="AA408" s="174"/>
      <c r="AB408" s="174"/>
      <c r="AC408" s="174"/>
    </row>
    <row r="409" spans="1:29" ht="12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  <c r="AA409" s="174"/>
      <c r="AB409" s="174"/>
      <c r="AC409" s="174"/>
    </row>
    <row r="410" spans="1:29" ht="12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  <c r="AA410" s="174"/>
      <c r="AB410" s="174"/>
      <c r="AC410" s="174"/>
    </row>
    <row r="411" spans="1:29" ht="12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  <c r="AA411" s="174"/>
      <c r="AB411" s="174"/>
      <c r="AC411" s="174"/>
    </row>
    <row r="412" spans="1:29" ht="12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  <c r="AA412" s="174"/>
      <c r="AB412" s="174"/>
      <c r="AC412" s="174"/>
    </row>
    <row r="413" spans="1:29" ht="12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  <c r="AA413" s="174"/>
      <c r="AB413" s="174"/>
      <c r="AC413" s="174"/>
    </row>
    <row r="414" spans="1:29" ht="12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  <c r="AB414" s="174"/>
      <c r="AC414" s="174"/>
    </row>
    <row r="415" spans="1:29" ht="12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  <c r="AA415" s="174"/>
      <c r="AB415" s="174"/>
      <c r="AC415" s="174"/>
    </row>
    <row r="416" spans="1:29" ht="12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  <c r="AA416" s="174"/>
      <c r="AB416" s="174"/>
      <c r="AC416" s="174"/>
    </row>
    <row r="417" spans="1:29" ht="12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  <c r="AA417" s="174"/>
      <c r="AB417" s="174"/>
      <c r="AC417" s="174"/>
    </row>
    <row r="418" spans="1:29" ht="12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  <c r="AA418" s="174"/>
      <c r="AB418" s="174"/>
      <c r="AC418" s="174"/>
    </row>
    <row r="419" spans="1:29" ht="12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  <c r="AB419" s="174"/>
      <c r="AC419" s="174"/>
    </row>
    <row r="420" spans="1:29" ht="12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  <c r="AA420" s="174"/>
      <c r="AB420" s="174"/>
      <c r="AC420" s="174"/>
    </row>
    <row r="421" spans="1:29" ht="12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  <c r="AA421" s="174"/>
      <c r="AB421" s="174"/>
      <c r="AC421" s="174"/>
    </row>
    <row r="422" spans="1:29" ht="12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  <c r="AA422" s="174"/>
      <c r="AB422" s="174"/>
      <c r="AC422" s="174"/>
    </row>
    <row r="423" spans="1:29" ht="12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  <c r="AA423" s="174"/>
      <c r="AB423" s="174"/>
      <c r="AC423" s="174"/>
    </row>
    <row r="424" spans="1:29" ht="12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  <c r="AA424" s="174"/>
      <c r="AB424" s="174"/>
      <c r="AC424" s="174"/>
    </row>
    <row r="425" spans="1:29" ht="12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  <c r="AA425" s="174"/>
      <c r="AB425" s="174"/>
      <c r="AC425" s="174"/>
    </row>
    <row r="426" spans="1:29" ht="12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  <c r="AA426" s="174"/>
      <c r="AB426" s="174"/>
      <c r="AC426" s="174"/>
    </row>
    <row r="427" spans="1:29" ht="12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  <c r="AA427" s="174"/>
      <c r="AB427" s="174"/>
      <c r="AC427" s="174"/>
    </row>
    <row r="428" spans="1:29" ht="12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  <c r="AA428" s="174"/>
      <c r="AB428" s="174"/>
      <c r="AC428" s="174"/>
    </row>
    <row r="429" spans="1:29" ht="12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  <c r="AB429" s="174"/>
      <c r="AC429" s="174"/>
    </row>
    <row r="430" spans="1:29" ht="12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  <c r="AA430" s="174"/>
      <c r="AB430" s="174"/>
      <c r="AC430" s="174"/>
    </row>
    <row r="431" spans="1:29" ht="12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  <c r="AA431" s="174"/>
      <c r="AB431" s="174"/>
      <c r="AC431" s="174"/>
    </row>
    <row r="432" spans="1:29" ht="12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  <c r="AA432" s="174"/>
      <c r="AB432" s="174"/>
      <c r="AC432" s="174"/>
    </row>
    <row r="433" spans="1:29" ht="12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  <c r="AA433" s="174"/>
      <c r="AB433" s="174"/>
      <c r="AC433" s="174"/>
    </row>
    <row r="434" spans="1:29" ht="12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  <c r="AA434" s="174"/>
      <c r="AB434" s="174"/>
      <c r="AC434" s="174"/>
    </row>
    <row r="435" spans="1:29" ht="12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  <c r="AB435" s="174"/>
      <c r="AC435" s="174"/>
    </row>
    <row r="436" spans="1:29" ht="12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  <c r="AA436" s="174"/>
      <c r="AB436" s="174"/>
      <c r="AC436" s="174"/>
    </row>
    <row r="437" spans="1:29" ht="12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  <c r="AA437" s="174"/>
      <c r="AB437" s="174"/>
      <c r="AC437" s="174"/>
    </row>
    <row r="438" spans="1:29" ht="12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  <c r="AA438" s="174"/>
      <c r="AB438" s="174"/>
      <c r="AC438" s="174"/>
    </row>
    <row r="439" spans="1:29" ht="12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  <c r="AA439" s="174"/>
      <c r="AB439" s="174"/>
      <c r="AC439" s="174"/>
    </row>
    <row r="440" spans="1:29" ht="12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  <c r="AA440" s="174"/>
      <c r="AB440" s="174"/>
      <c r="AC440" s="174"/>
    </row>
    <row r="441" spans="1:29" ht="12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  <c r="AB441" s="174"/>
      <c r="AC441" s="174"/>
    </row>
    <row r="442" spans="1:29" ht="12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  <c r="AA442" s="174"/>
      <c r="AB442" s="174"/>
      <c r="AC442" s="174"/>
    </row>
    <row r="443" spans="1:29" ht="12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  <c r="AA443" s="174"/>
      <c r="AB443" s="174"/>
      <c r="AC443" s="174"/>
    </row>
    <row r="444" spans="1:29" ht="12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  <c r="AA444" s="174"/>
      <c r="AB444" s="174"/>
      <c r="AC444" s="174"/>
    </row>
    <row r="445" spans="1:29" ht="12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  <c r="AB445" s="174"/>
      <c r="AC445" s="174"/>
    </row>
    <row r="446" spans="1:29" ht="12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  <c r="AA446" s="174"/>
      <c r="AB446" s="174"/>
      <c r="AC446" s="174"/>
    </row>
    <row r="447" spans="1:29" ht="12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  <c r="AA447" s="174"/>
      <c r="AB447" s="174"/>
      <c r="AC447" s="174"/>
    </row>
    <row r="448" spans="1:29" ht="12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  <c r="AA448" s="174"/>
      <c r="AB448" s="174"/>
      <c r="AC448" s="174"/>
    </row>
    <row r="449" spans="1:29" ht="12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  <c r="AA449" s="174"/>
      <c r="AB449" s="174"/>
      <c r="AC449" s="174"/>
    </row>
    <row r="450" spans="1:29" ht="12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  <c r="AA450" s="174"/>
      <c r="AB450" s="174"/>
      <c r="AC450" s="174"/>
    </row>
    <row r="451" spans="1:29" ht="12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  <c r="AA451" s="174"/>
      <c r="AB451" s="174"/>
      <c r="AC451" s="174"/>
    </row>
    <row r="452" spans="1:29" ht="12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  <c r="AA452" s="174"/>
      <c r="AB452" s="174"/>
      <c r="AC452" s="174"/>
    </row>
    <row r="453" spans="1:29" ht="12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  <c r="AA453" s="174"/>
      <c r="AB453" s="174"/>
      <c r="AC453" s="174"/>
    </row>
    <row r="454" spans="1:29" ht="12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  <c r="AA454" s="174"/>
      <c r="AB454" s="174"/>
      <c r="AC454" s="174"/>
    </row>
    <row r="455" spans="1:29" ht="12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  <c r="AB455" s="174"/>
      <c r="AC455" s="174"/>
    </row>
    <row r="456" spans="1:29" ht="12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  <c r="AA456" s="174"/>
      <c r="AB456" s="174"/>
      <c r="AC456" s="174"/>
    </row>
    <row r="457" spans="1:29" ht="12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  <c r="AA457" s="174"/>
      <c r="AB457" s="174"/>
      <c r="AC457" s="174"/>
    </row>
    <row r="458" spans="1:29" ht="12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  <c r="AA458" s="174"/>
      <c r="AB458" s="174"/>
      <c r="AC458" s="174"/>
    </row>
    <row r="459" spans="1:29" ht="12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  <c r="AA459" s="174"/>
      <c r="AB459" s="174"/>
      <c r="AC459" s="174"/>
    </row>
    <row r="460" spans="1:29" ht="12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  <c r="AA460" s="174"/>
      <c r="AB460" s="174"/>
      <c r="AC460" s="174"/>
    </row>
    <row r="461" spans="1:29" ht="12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  <c r="AA461" s="174"/>
      <c r="AB461" s="174"/>
      <c r="AC461" s="174"/>
    </row>
    <row r="462" spans="1:29" ht="12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  <c r="AA462" s="174"/>
      <c r="AB462" s="174"/>
      <c r="AC462" s="174"/>
    </row>
    <row r="463" spans="1:29" ht="12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  <c r="AA463" s="174"/>
      <c r="AB463" s="174"/>
      <c r="AC463" s="174"/>
    </row>
    <row r="464" spans="1:29" ht="12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  <c r="AA464" s="174"/>
      <c r="AB464" s="174"/>
      <c r="AC464" s="174"/>
    </row>
    <row r="465" spans="1:29" ht="12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  <c r="AA465" s="174"/>
      <c r="AB465" s="174"/>
      <c r="AC465" s="174"/>
    </row>
    <row r="466" spans="1:29" ht="12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  <c r="AA466" s="174"/>
      <c r="AB466" s="174"/>
      <c r="AC466" s="174"/>
    </row>
    <row r="467" spans="1:29" ht="12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  <c r="AA467" s="174"/>
      <c r="AB467" s="174"/>
      <c r="AC467" s="174"/>
    </row>
    <row r="468" spans="1:29" ht="12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  <c r="AA468" s="174"/>
      <c r="AB468" s="174"/>
      <c r="AC468" s="174"/>
    </row>
    <row r="469" spans="1:29" ht="12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  <c r="AA469" s="174"/>
      <c r="AB469" s="174"/>
      <c r="AC469" s="174"/>
    </row>
    <row r="470" spans="1:29" ht="12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  <c r="AA470" s="174"/>
      <c r="AB470" s="174"/>
      <c r="AC470" s="174"/>
    </row>
    <row r="471" spans="1:29" ht="12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  <c r="AA471" s="174"/>
      <c r="AB471" s="174"/>
      <c r="AC471" s="174"/>
    </row>
    <row r="472" spans="1:29" ht="12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  <c r="AA472" s="174"/>
      <c r="AB472" s="174"/>
      <c r="AC472" s="174"/>
    </row>
    <row r="473" spans="1:29" ht="12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  <c r="AA473" s="174"/>
      <c r="AB473" s="174"/>
      <c r="AC473" s="174"/>
    </row>
    <row r="474" spans="1:29" ht="12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  <c r="AA474" s="174"/>
      <c r="AB474" s="174"/>
      <c r="AC474" s="174"/>
    </row>
    <row r="475" spans="1:29" ht="12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  <c r="AA475" s="174"/>
      <c r="AB475" s="174"/>
      <c r="AC475" s="174"/>
    </row>
    <row r="476" spans="1:29" ht="12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  <c r="AA476" s="174"/>
      <c r="AB476" s="174"/>
      <c r="AC476" s="174"/>
    </row>
    <row r="477" spans="1:29" ht="12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  <c r="AA477" s="174"/>
      <c r="AB477" s="174"/>
      <c r="AC477" s="174"/>
    </row>
    <row r="478" spans="1:29" ht="12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  <c r="AA478" s="174"/>
      <c r="AB478" s="174"/>
      <c r="AC478" s="174"/>
    </row>
    <row r="479" spans="1:29" ht="12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  <c r="AA479" s="174"/>
      <c r="AB479" s="174"/>
      <c r="AC479" s="174"/>
    </row>
    <row r="480" spans="1:29" ht="12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  <c r="AA480" s="174"/>
      <c r="AB480" s="174"/>
      <c r="AC480" s="174"/>
    </row>
    <row r="481" spans="1:29" ht="12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  <c r="AA481" s="174"/>
      <c r="AB481" s="174"/>
      <c r="AC481" s="174"/>
    </row>
    <row r="482" spans="1:29" ht="12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  <c r="AA482" s="174"/>
      <c r="AB482" s="174"/>
      <c r="AC482" s="174"/>
    </row>
    <row r="483" spans="1:29" ht="12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  <c r="AA483" s="174"/>
      <c r="AB483" s="174"/>
      <c r="AC483" s="174"/>
    </row>
    <row r="484" spans="1:29" ht="12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  <c r="AB484" s="174"/>
      <c r="AC484" s="174"/>
    </row>
    <row r="485" spans="1:29" ht="12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  <c r="AA485" s="174"/>
      <c r="AB485" s="174"/>
      <c r="AC485" s="174"/>
    </row>
    <row r="486" spans="1:29" ht="12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  <c r="AA486" s="174"/>
      <c r="AB486" s="174"/>
      <c r="AC486" s="174"/>
    </row>
    <row r="487" spans="1:29" ht="12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  <c r="AA487" s="174"/>
      <c r="AB487" s="174"/>
      <c r="AC487" s="174"/>
    </row>
    <row r="488" spans="1:29" ht="12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  <c r="AA488" s="174"/>
      <c r="AB488" s="174"/>
      <c r="AC488" s="174"/>
    </row>
    <row r="489" spans="1:29" ht="12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  <c r="AA489" s="174"/>
      <c r="AB489" s="174"/>
      <c r="AC489" s="174"/>
    </row>
    <row r="490" spans="1:29" ht="12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  <c r="AA490" s="174"/>
      <c r="AB490" s="174"/>
      <c r="AC490" s="174"/>
    </row>
    <row r="491" spans="1:29" ht="12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  <c r="AA491" s="174"/>
      <c r="AB491" s="174"/>
      <c r="AC491" s="174"/>
    </row>
    <row r="492" spans="1:29" ht="12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  <c r="AA492" s="174"/>
      <c r="AB492" s="174"/>
      <c r="AC492" s="174"/>
    </row>
    <row r="493" spans="1:29" ht="12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  <c r="AA493" s="174"/>
      <c r="AB493" s="174"/>
      <c r="AC493" s="174"/>
    </row>
    <row r="494" spans="1:29" ht="12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  <c r="AA494" s="174"/>
      <c r="AB494" s="174"/>
      <c r="AC494" s="174"/>
    </row>
    <row r="495" spans="1:29" ht="12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  <c r="AA495" s="174"/>
      <c r="AB495" s="174"/>
      <c r="AC495" s="174"/>
    </row>
    <row r="496" spans="1:29" ht="12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  <c r="AA496" s="174"/>
      <c r="AB496" s="174"/>
      <c r="AC496" s="174"/>
    </row>
    <row r="497" spans="1:29" ht="12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  <c r="AA497" s="174"/>
      <c r="AB497" s="174"/>
      <c r="AC497" s="174"/>
    </row>
    <row r="498" spans="1:29" ht="12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  <c r="AB498" s="174"/>
      <c r="AC498" s="174"/>
    </row>
    <row r="499" spans="1:29" ht="12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  <c r="AA499" s="174"/>
      <c r="AB499" s="174"/>
      <c r="AC499" s="174"/>
    </row>
    <row r="500" spans="1:29" ht="12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  <c r="AA500" s="174"/>
      <c r="AB500" s="174"/>
      <c r="AC500" s="174"/>
    </row>
    <row r="501" spans="1:29" ht="12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  <c r="AA501" s="174"/>
      <c r="AB501" s="174"/>
      <c r="AC501" s="174"/>
    </row>
    <row r="502" spans="1:29" ht="12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  <c r="AA502" s="174"/>
      <c r="AB502" s="174"/>
      <c r="AC502" s="174"/>
    </row>
    <row r="503" spans="1:29" ht="12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  <c r="AA503" s="174"/>
      <c r="AB503" s="174"/>
      <c r="AC503" s="174"/>
    </row>
    <row r="504" spans="1:29" ht="12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  <c r="AA504" s="174"/>
      <c r="AB504" s="174"/>
      <c r="AC504" s="174"/>
    </row>
    <row r="505" spans="1:29" ht="12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  <c r="AB505" s="174"/>
      <c r="AC505" s="174"/>
    </row>
    <row r="506" spans="1:29" ht="12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  <c r="AA506" s="174"/>
      <c r="AB506" s="174"/>
      <c r="AC506" s="174"/>
    </row>
    <row r="507" spans="1:29" ht="12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  <c r="AA507" s="174"/>
      <c r="AB507" s="174"/>
      <c r="AC507" s="174"/>
    </row>
    <row r="508" spans="1:29" ht="12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  <c r="AA508" s="174"/>
      <c r="AB508" s="174"/>
      <c r="AC508" s="174"/>
    </row>
    <row r="509" spans="1:29" ht="12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  <c r="AA509" s="174"/>
      <c r="AB509" s="174"/>
      <c r="AC509" s="174"/>
    </row>
    <row r="510" spans="1:29" ht="12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  <c r="AA510" s="174"/>
      <c r="AB510" s="174"/>
      <c r="AC510" s="174"/>
    </row>
    <row r="511" spans="1:29" ht="12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  <c r="AA511" s="174"/>
      <c r="AB511" s="174"/>
      <c r="AC511" s="174"/>
    </row>
    <row r="512" spans="1:29" ht="12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  <c r="AA512" s="174"/>
      <c r="AB512" s="174"/>
      <c r="AC512" s="174"/>
    </row>
    <row r="513" spans="1:29" ht="12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  <c r="AA513" s="174"/>
      <c r="AB513" s="174"/>
      <c r="AC513" s="174"/>
    </row>
    <row r="514" spans="1:29" ht="12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  <c r="AA514" s="174"/>
      <c r="AB514" s="174"/>
      <c r="AC514" s="174"/>
    </row>
    <row r="515" spans="1:29" ht="12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  <c r="AB515" s="174"/>
      <c r="AC515" s="174"/>
    </row>
    <row r="516" spans="1:29" ht="12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  <c r="AB516" s="174"/>
      <c r="AC516" s="174"/>
    </row>
    <row r="517" spans="1:29" ht="12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  <c r="AB517" s="174"/>
      <c r="AC517" s="174"/>
    </row>
    <row r="518" spans="1:29" ht="12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  <c r="AA518" s="174"/>
      <c r="AB518" s="174"/>
      <c r="AC518" s="174"/>
    </row>
    <row r="519" spans="1:29" ht="12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  <c r="AB519" s="174"/>
      <c r="AC519" s="174"/>
    </row>
    <row r="520" spans="1:29" ht="12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  <c r="AB520" s="174"/>
      <c r="AC520" s="174"/>
    </row>
    <row r="521" spans="1:29" ht="12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  <c r="AA521" s="174"/>
      <c r="AB521" s="174"/>
      <c r="AC521" s="174"/>
    </row>
    <row r="522" spans="1:29" ht="12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  <c r="AB522" s="174"/>
      <c r="AC522" s="174"/>
    </row>
    <row r="523" spans="1:29" ht="12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  <c r="AB523" s="174"/>
      <c r="AC523" s="174"/>
    </row>
    <row r="524" spans="1:29" ht="12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  <c r="AA524" s="174"/>
      <c r="AB524" s="174"/>
      <c r="AC524" s="174"/>
    </row>
    <row r="525" spans="1:29" ht="12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  <c r="AA525" s="174"/>
      <c r="AB525" s="174"/>
      <c r="AC525" s="174"/>
    </row>
    <row r="526" spans="1:29" ht="12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</row>
    <row r="527" spans="1:29" ht="12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</row>
    <row r="528" spans="1:29" ht="12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</row>
    <row r="529" spans="1:29" ht="12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  <c r="AB529" s="174"/>
      <c r="AC529" s="174"/>
    </row>
    <row r="530" spans="1:29" ht="12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  <c r="AA530" s="174"/>
      <c r="AB530" s="174"/>
      <c r="AC530" s="174"/>
    </row>
    <row r="531" spans="1:29" ht="12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  <c r="AA531" s="174"/>
      <c r="AB531" s="174"/>
      <c r="AC531" s="174"/>
    </row>
    <row r="532" spans="1:29" ht="12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  <c r="AA532" s="174"/>
      <c r="AB532" s="174"/>
      <c r="AC532" s="174"/>
    </row>
    <row r="533" spans="1:29" ht="12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  <c r="AA533" s="174"/>
      <c r="AB533" s="174"/>
      <c r="AC533" s="174"/>
    </row>
    <row r="534" spans="1:29" ht="12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  <c r="AB534" s="174"/>
      <c r="AC534" s="174"/>
    </row>
    <row r="535" spans="1:29" ht="12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  <c r="AB535" s="174"/>
      <c r="AC535" s="174"/>
    </row>
    <row r="536" spans="1:29" ht="12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  <c r="AB536" s="174"/>
      <c r="AC536" s="174"/>
    </row>
    <row r="537" spans="1:29" ht="12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/>
      <c r="AB537" s="174"/>
      <c r="AC537" s="174"/>
    </row>
    <row r="538" spans="1:29" ht="12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  <c r="AA538" s="174"/>
      <c r="AB538" s="174"/>
      <c r="AC538" s="174"/>
    </row>
    <row r="539" spans="1:29" ht="12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  <c r="AB539" s="174"/>
      <c r="AC539" s="174"/>
    </row>
    <row r="540" spans="1:29" ht="12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  <c r="AB540" s="174"/>
      <c r="AC540" s="174"/>
    </row>
    <row r="541" spans="1:29" ht="12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  <c r="AB541" s="174"/>
      <c r="AC541" s="174"/>
    </row>
    <row r="542" spans="1:29" ht="12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  <c r="AA542" s="174"/>
      <c r="AB542" s="174"/>
      <c r="AC542" s="174"/>
    </row>
    <row r="543" spans="1:29" ht="12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  <c r="AA543" s="174"/>
      <c r="AB543" s="174"/>
      <c r="AC543" s="174"/>
    </row>
    <row r="544" spans="1:29" ht="12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  <c r="AA544" s="174"/>
      <c r="AB544" s="174"/>
      <c r="AC544" s="174"/>
    </row>
    <row r="545" spans="1:29" ht="12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  <c r="AA545" s="174"/>
      <c r="AB545" s="174"/>
      <c r="AC545" s="174"/>
    </row>
    <row r="546" spans="1:29" ht="12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  <c r="AA546" s="174"/>
      <c r="AB546" s="174"/>
      <c r="AC546" s="174"/>
    </row>
    <row r="547" spans="1:29" ht="12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  <c r="AA547" s="174"/>
      <c r="AB547" s="174"/>
      <c r="AC547" s="174"/>
    </row>
    <row r="548" spans="1:29" ht="12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  <c r="AA548" s="174"/>
      <c r="AB548" s="174"/>
      <c r="AC548" s="174"/>
    </row>
    <row r="549" spans="1:29" ht="12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  <c r="AA549" s="174"/>
      <c r="AB549" s="174"/>
      <c r="AC549" s="174"/>
    </row>
    <row r="550" spans="1:29" ht="12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  <c r="AB550" s="174"/>
      <c r="AC550" s="174"/>
    </row>
    <row r="551" spans="1:29" ht="12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  <c r="AA551" s="174"/>
      <c r="AB551" s="174"/>
      <c r="AC551" s="174"/>
    </row>
    <row r="552" spans="1:29" ht="12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  <c r="AA552" s="174"/>
      <c r="AB552" s="174"/>
      <c r="AC552" s="174"/>
    </row>
    <row r="553" spans="1:29" ht="12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  <c r="AA553" s="174"/>
      <c r="AB553" s="174"/>
      <c r="AC553" s="174"/>
    </row>
    <row r="554" spans="1:29" ht="12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  <c r="AA554" s="174"/>
      <c r="AB554" s="174"/>
      <c r="AC554" s="174"/>
    </row>
    <row r="555" spans="1:29" ht="12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  <c r="AB555" s="174"/>
      <c r="AC555" s="174"/>
    </row>
    <row r="556" spans="1:29" ht="12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  <c r="AA556" s="174"/>
      <c r="AB556" s="174"/>
      <c r="AC556" s="174"/>
    </row>
    <row r="557" spans="1:29" ht="12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  <c r="AA557" s="174"/>
      <c r="AB557" s="174"/>
      <c r="AC557" s="174"/>
    </row>
    <row r="558" spans="1:29" ht="12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  <c r="AA558" s="174"/>
      <c r="AB558" s="174"/>
      <c r="AC558" s="174"/>
    </row>
    <row r="559" spans="1:29" ht="12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  <c r="AA559" s="174"/>
      <c r="AB559" s="174"/>
      <c r="AC559" s="174"/>
    </row>
    <row r="560" spans="1:29" ht="12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  <c r="AA560" s="174"/>
      <c r="AB560" s="174"/>
      <c r="AC560" s="174"/>
    </row>
    <row r="561" spans="1:29" ht="12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  <c r="AA561" s="174"/>
      <c r="AB561" s="174"/>
      <c r="AC561" s="174"/>
    </row>
    <row r="562" spans="1:29" ht="12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  <c r="AA562" s="174"/>
      <c r="AB562" s="174"/>
      <c r="AC562" s="174"/>
    </row>
    <row r="563" spans="1:29" ht="12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  <c r="AA563" s="174"/>
      <c r="AB563" s="174"/>
      <c r="AC563" s="174"/>
    </row>
    <row r="564" spans="1:29" ht="12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  <c r="AA564" s="174"/>
      <c r="AB564" s="174"/>
      <c r="AC564" s="174"/>
    </row>
    <row r="565" spans="1:29" ht="12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  <c r="AA565" s="174"/>
      <c r="AB565" s="174"/>
      <c r="AC565" s="174"/>
    </row>
    <row r="566" spans="1:29" ht="12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  <c r="AA566" s="174"/>
      <c r="AB566" s="174"/>
      <c r="AC566" s="174"/>
    </row>
    <row r="567" spans="1:29" ht="12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  <c r="AA567" s="174"/>
      <c r="AB567" s="174"/>
      <c r="AC567" s="174"/>
    </row>
    <row r="568" spans="1:29" ht="12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  <c r="AA568" s="174"/>
      <c r="AB568" s="174"/>
      <c r="AC568" s="174"/>
    </row>
    <row r="569" spans="1:29" ht="12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  <c r="AA569" s="174"/>
      <c r="AB569" s="174"/>
      <c r="AC569" s="174"/>
    </row>
    <row r="570" spans="1:29" ht="12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  <c r="AA570" s="174"/>
      <c r="AB570" s="174"/>
      <c r="AC570" s="174"/>
    </row>
    <row r="571" spans="1:29" ht="12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  <c r="AA571" s="174"/>
      <c r="AB571" s="174"/>
      <c r="AC571" s="174"/>
    </row>
    <row r="572" spans="1:29" ht="12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  <c r="AA572" s="174"/>
      <c r="AB572" s="174"/>
      <c r="AC572" s="174"/>
    </row>
    <row r="573" spans="1:29" ht="12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  <c r="AA573" s="174"/>
      <c r="AB573" s="174"/>
      <c r="AC573" s="174"/>
    </row>
    <row r="574" spans="1:29" ht="12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  <c r="AA574" s="174"/>
      <c r="AB574" s="174"/>
      <c r="AC574" s="174"/>
    </row>
    <row r="575" spans="1:29" ht="12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  <c r="AA575" s="174"/>
      <c r="AB575" s="174"/>
      <c r="AC575" s="174"/>
    </row>
    <row r="576" spans="1:29" ht="12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  <c r="AA576" s="174"/>
      <c r="AB576" s="174"/>
      <c r="AC576" s="174"/>
    </row>
    <row r="577" spans="1:29" ht="12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  <c r="AB577" s="174"/>
      <c r="AC577" s="174"/>
    </row>
    <row r="578" spans="1:29" ht="12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  <c r="AB578" s="174"/>
      <c r="AC578" s="174"/>
    </row>
    <row r="579" spans="1:29" ht="12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  <c r="AA579" s="174"/>
      <c r="AB579" s="174"/>
      <c r="AC579" s="174"/>
    </row>
    <row r="580" spans="1:29" ht="12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  <c r="AA580" s="174"/>
      <c r="AB580" s="174"/>
      <c r="AC580" s="174"/>
    </row>
    <row r="581" spans="1:29" ht="12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  <c r="AA581" s="174"/>
      <c r="AB581" s="174"/>
      <c r="AC581" s="174"/>
    </row>
    <row r="582" spans="1:29" ht="12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  <c r="AA582" s="174"/>
      <c r="AB582" s="174"/>
      <c r="AC582" s="174"/>
    </row>
    <row r="583" spans="1:29" ht="12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  <c r="AA583" s="174"/>
      <c r="AB583" s="174"/>
      <c r="AC583" s="174"/>
    </row>
    <row r="584" spans="1:29" ht="12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  <c r="AA584" s="174"/>
      <c r="AB584" s="174"/>
      <c r="AC584" s="174"/>
    </row>
    <row r="585" spans="1:29" ht="12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  <c r="AA585" s="174"/>
      <c r="AB585" s="174"/>
      <c r="AC585" s="174"/>
    </row>
    <row r="586" spans="1:29" ht="12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  <c r="AA586" s="174"/>
      <c r="AB586" s="174"/>
      <c r="AC586" s="174"/>
    </row>
    <row r="587" spans="1:29" ht="12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  <c r="AA587" s="174"/>
      <c r="AB587" s="174"/>
      <c r="AC587" s="174"/>
    </row>
    <row r="588" spans="1:29" ht="12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  <c r="AB588" s="174"/>
      <c r="AC588" s="174"/>
    </row>
    <row r="589" spans="1:29" ht="12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  <c r="AA589" s="174"/>
      <c r="AB589" s="174"/>
      <c r="AC589" s="174"/>
    </row>
    <row r="590" spans="1:29" ht="12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  <c r="AA590" s="174"/>
      <c r="AB590" s="174"/>
      <c r="AC590" s="174"/>
    </row>
    <row r="591" spans="1:29" ht="12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  <c r="AA591" s="174"/>
      <c r="AB591" s="174"/>
      <c r="AC591" s="174"/>
    </row>
    <row r="592" spans="1:29" ht="12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  <c r="AA592" s="174"/>
      <c r="AB592" s="174"/>
      <c r="AC592" s="174"/>
    </row>
    <row r="593" spans="1:29" ht="12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  <c r="AA593" s="174"/>
      <c r="AB593" s="174"/>
      <c r="AC593" s="174"/>
    </row>
    <row r="594" spans="1:29" ht="12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  <c r="AA594" s="174"/>
      <c r="AB594" s="174"/>
      <c r="AC594" s="174"/>
    </row>
    <row r="595" spans="1:29" ht="12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  <c r="AA595" s="174"/>
      <c r="AB595" s="174"/>
      <c r="AC595" s="174"/>
    </row>
    <row r="596" spans="1:29" ht="12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  <c r="AA596" s="174"/>
      <c r="AB596" s="174"/>
      <c r="AC596" s="174"/>
    </row>
    <row r="597" spans="1:29" ht="12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  <c r="AA597" s="174"/>
      <c r="AB597" s="174"/>
      <c r="AC597" s="174"/>
    </row>
    <row r="598" spans="1:29" ht="12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  <c r="AA598" s="174"/>
      <c r="AB598" s="174"/>
      <c r="AC598" s="174"/>
    </row>
    <row r="599" spans="1:29" ht="12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  <c r="AA599" s="174"/>
      <c r="AB599" s="174"/>
      <c r="AC599" s="174"/>
    </row>
    <row r="600" spans="1:29" ht="12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  <c r="AB600" s="174"/>
      <c r="AC600" s="174"/>
    </row>
    <row r="601" spans="1:29" ht="12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  <c r="AA601" s="174"/>
      <c r="AB601" s="174"/>
      <c r="AC601" s="174"/>
    </row>
    <row r="602" spans="1:29" ht="12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  <c r="AA602" s="174"/>
      <c r="AB602" s="174"/>
      <c r="AC602" s="174"/>
    </row>
    <row r="603" spans="1:29" ht="12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  <c r="AA603" s="174"/>
      <c r="AB603" s="174"/>
      <c r="AC603" s="174"/>
    </row>
    <row r="604" spans="1:29" ht="12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  <c r="AA604" s="174"/>
      <c r="AB604" s="174"/>
      <c r="AC604" s="174"/>
    </row>
    <row r="605" spans="1:29" ht="12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  <c r="AB605" s="174"/>
      <c r="AC605" s="174"/>
    </row>
    <row r="606" spans="1:29" ht="12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  <c r="AA606" s="174"/>
      <c r="AB606" s="174"/>
      <c r="AC606" s="174"/>
    </row>
    <row r="607" spans="1:29" ht="12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  <c r="AA607" s="174"/>
      <c r="AB607" s="174"/>
      <c r="AC607" s="174"/>
    </row>
    <row r="608" spans="1:29" ht="12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  <c r="AA608" s="174"/>
      <c r="AB608" s="174"/>
      <c r="AC608" s="174"/>
    </row>
    <row r="609" spans="1:29" ht="12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  <c r="AA609" s="174"/>
      <c r="AB609" s="174"/>
      <c r="AC609" s="174"/>
    </row>
    <row r="610" spans="1:29" ht="12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  <c r="AA610" s="174"/>
      <c r="AB610" s="174"/>
      <c r="AC610" s="174"/>
    </row>
    <row r="611" spans="1:29" ht="12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  <c r="AA611" s="174"/>
      <c r="AB611" s="174"/>
      <c r="AC611" s="174"/>
    </row>
    <row r="612" spans="1:29" ht="12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  <c r="AA612" s="174"/>
      <c r="AB612" s="174"/>
      <c r="AC612" s="174"/>
    </row>
    <row r="613" spans="1:29" ht="12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  <c r="AA613" s="174"/>
      <c r="AB613" s="174"/>
      <c r="AC613" s="174"/>
    </row>
    <row r="614" spans="1:29" ht="12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  <c r="AA614" s="174"/>
      <c r="AB614" s="174"/>
      <c r="AC614" s="174"/>
    </row>
    <row r="615" spans="1:29" ht="12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  <c r="AA615" s="174"/>
      <c r="AB615" s="174"/>
      <c r="AC615" s="174"/>
    </row>
    <row r="616" spans="1:29" ht="12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  <c r="AA616" s="174"/>
      <c r="AB616" s="174"/>
      <c r="AC616" s="174"/>
    </row>
    <row r="617" spans="1:29" ht="12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  <c r="AA617" s="174"/>
      <c r="AB617" s="174"/>
      <c r="AC617" s="174"/>
    </row>
    <row r="618" spans="1:29" ht="12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  <c r="AA618" s="174"/>
      <c r="AB618" s="174"/>
      <c r="AC618" s="174"/>
    </row>
    <row r="619" spans="1:29" ht="12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  <c r="AA619" s="174"/>
      <c r="AB619" s="174"/>
      <c r="AC619" s="174"/>
    </row>
    <row r="620" spans="1:29" ht="12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  <c r="AA620" s="174"/>
      <c r="AB620" s="174"/>
      <c r="AC620" s="174"/>
    </row>
    <row r="621" spans="1:29" ht="12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  <c r="AA621" s="174"/>
      <c r="AB621" s="174"/>
      <c r="AC621" s="174"/>
    </row>
    <row r="622" spans="1:29" ht="12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  <c r="AA622" s="174"/>
      <c r="AB622" s="174"/>
      <c r="AC622" s="174"/>
    </row>
    <row r="623" spans="1:29" ht="12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  <c r="AA623" s="174"/>
      <c r="AB623" s="174"/>
      <c r="AC623" s="174"/>
    </row>
    <row r="624" spans="1:29" ht="12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  <c r="AA624" s="174"/>
      <c r="AB624" s="174"/>
      <c r="AC624" s="174"/>
    </row>
    <row r="625" spans="1:29" ht="12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  <c r="AA625" s="174"/>
      <c r="AB625" s="174"/>
      <c r="AC625" s="174"/>
    </row>
    <row r="626" spans="1:29" ht="12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  <c r="AA626" s="174"/>
      <c r="AB626" s="174"/>
      <c r="AC626" s="174"/>
    </row>
    <row r="627" spans="1:29" ht="12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  <c r="AA627" s="174"/>
      <c r="AB627" s="174"/>
      <c r="AC627" s="174"/>
    </row>
    <row r="628" spans="1:29" ht="12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  <c r="AA628" s="174"/>
      <c r="AB628" s="174"/>
      <c r="AC628" s="174"/>
    </row>
    <row r="629" spans="1:29" ht="12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  <c r="AA629" s="174"/>
      <c r="AB629" s="174"/>
      <c r="AC629" s="174"/>
    </row>
    <row r="630" spans="1:29" ht="12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  <c r="AA630" s="174"/>
      <c r="AB630" s="174"/>
      <c r="AC630" s="174"/>
    </row>
    <row r="631" spans="1:29" ht="12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  <c r="AA631" s="174"/>
      <c r="AB631" s="174"/>
      <c r="AC631" s="174"/>
    </row>
    <row r="632" spans="1:29" ht="12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  <c r="AA632" s="174"/>
      <c r="AB632" s="174"/>
      <c r="AC632" s="174"/>
    </row>
    <row r="633" spans="1:29" ht="12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  <c r="AB633" s="174"/>
      <c r="AC633" s="174"/>
    </row>
    <row r="634" spans="1:29" ht="12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  <c r="AA634" s="174"/>
      <c r="AB634" s="174"/>
      <c r="AC634" s="174"/>
    </row>
    <row r="635" spans="1:29" ht="12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  <c r="AA635" s="174"/>
      <c r="AB635" s="174"/>
      <c r="AC635" s="174"/>
    </row>
    <row r="636" spans="1:29" ht="12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  <c r="AA636" s="174"/>
      <c r="AB636" s="174"/>
      <c r="AC636" s="174"/>
    </row>
    <row r="637" spans="1:29" ht="12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  <c r="AA637" s="174"/>
      <c r="AB637" s="174"/>
      <c r="AC637" s="174"/>
    </row>
    <row r="638" spans="1:29" ht="12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  <c r="AA638" s="174"/>
      <c r="AB638" s="174"/>
      <c r="AC638" s="174"/>
    </row>
    <row r="639" spans="1:29" ht="12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  <c r="AA639" s="174"/>
      <c r="AB639" s="174"/>
      <c r="AC639" s="174"/>
    </row>
    <row r="640" spans="1:29" ht="12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  <c r="AA640" s="174"/>
      <c r="AB640" s="174"/>
      <c r="AC640" s="174"/>
    </row>
    <row r="641" spans="1:29" ht="12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  <c r="AA641" s="174"/>
      <c r="AB641" s="174"/>
      <c r="AC641" s="174"/>
    </row>
    <row r="642" spans="1:29" ht="12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  <c r="AA642" s="174"/>
      <c r="AB642" s="174"/>
      <c r="AC642" s="174"/>
    </row>
    <row r="643" spans="1:29" ht="12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  <c r="AA643" s="174"/>
      <c r="AB643" s="174"/>
      <c r="AC643" s="174"/>
    </row>
    <row r="644" spans="1:29" ht="12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  <c r="AA644" s="174"/>
      <c r="AB644" s="174"/>
      <c r="AC644" s="174"/>
    </row>
    <row r="645" spans="1:29" ht="12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  <c r="AA645" s="174"/>
      <c r="AB645" s="174"/>
      <c r="AC645" s="174"/>
    </row>
    <row r="646" spans="1:29" ht="12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  <c r="AA646" s="174"/>
      <c r="AB646" s="174"/>
      <c r="AC646" s="174"/>
    </row>
    <row r="647" spans="1:29" ht="12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  <c r="AA647" s="174"/>
      <c r="AB647" s="174"/>
      <c r="AC647" s="174"/>
    </row>
    <row r="648" spans="1:29" ht="12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  <c r="AA648" s="174"/>
      <c r="AB648" s="174"/>
      <c r="AC648" s="174"/>
    </row>
    <row r="649" spans="1:29" ht="12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  <c r="AB649" s="174"/>
      <c r="AC649" s="174"/>
    </row>
    <row r="650" spans="1:29" ht="12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  <c r="AA650" s="174"/>
      <c r="AB650" s="174"/>
      <c r="AC650" s="174"/>
    </row>
    <row r="651" spans="1:29" ht="12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  <c r="AB651" s="174"/>
      <c r="AC651" s="174"/>
    </row>
    <row r="652" spans="1:29" ht="12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  <c r="AA652" s="174"/>
      <c r="AB652" s="174"/>
      <c r="AC652" s="174"/>
    </row>
    <row r="653" spans="1:29" ht="12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  <c r="AA653" s="174"/>
      <c r="AB653" s="174"/>
      <c r="AC653" s="174"/>
    </row>
    <row r="654" spans="1:29" ht="12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  <c r="AA654" s="174"/>
      <c r="AB654" s="174"/>
      <c r="AC654" s="174"/>
    </row>
    <row r="655" spans="1:29" ht="12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  <c r="AA655" s="174"/>
      <c r="AB655" s="174"/>
      <c r="AC655" s="174"/>
    </row>
    <row r="656" spans="1:29" ht="12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  <c r="AB656" s="174"/>
      <c r="AC656" s="174"/>
    </row>
    <row r="657" spans="1:29" ht="12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  <c r="AA657" s="174"/>
      <c r="AB657" s="174"/>
      <c r="AC657" s="174"/>
    </row>
    <row r="658" spans="1:29" ht="12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  <c r="AA658" s="174"/>
      <c r="AB658" s="174"/>
      <c r="AC658" s="174"/>
    </row>
    <row r="659" spans="1:29" ht="12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  <c r="AA659" s="174"/>
      <c r="AB659" s="174"/>
      <c r="AC659" s="174"/>
    </row>
    <row r="660" spans="1:29" ht="12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  <c r="AA660" s="174"/>
      <c r="AB660" s="174"/>
      <c r="AC660" s="174"/>
    </row>
    <row r="661" spans="1:29" ht="12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  <c r="AA661" s="174"/>
      <c r="AB661" s="174"/>
      <c r="AC661" s="174"/>
    </row>
    <row r="662" spans="1:29" ht="12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  <c r="AA662" s="174"/>
      <c r="AB662" s="174"/>
      <c r="AC662" s="174"/>
    </row>
    <row r="663" spans="1:29" ht="12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  <c r="AA663" s="174"/>
      <c r="AB663" s="174"/>
      <c r="AC663" s="174"/>
    </row>
    <row r="664" spans="1:29" ht="12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  <c r="AA664" s="174"/>
      <c r="AB664" s="174"/>
      <c r="AC664" s="174"/>
    </row>
    <row r="665" spans="1:29" ht="12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  <c r="AA665" s="174"/>
      <c r="AB665" s="174"/>
      <c r="AC665" s="174"/>
    </row>
    <row r="666" spans="1:29" ht="12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  <c r="AA666" s="174"/>
      <c r="AB666" s="174"/>
      <c r="AC666" s="174"/>
    </row>
    <row r="667" spans="1:29" ht="12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  <c r="AA667" s="174"/>
      <c r="AB667" s="174"/>
      <c r="AC667" s="174"/>
    </row>
    <row r="668" spans="1:29" ht="12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  <c r="AA668" s="174"/>
      <c r="AB668" s="174"/>
      <c r="AC668" s="174"/>
    </row>
    <row r="669" spans="1:29" ht="12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  <c r="AA669" s="174"/>
      <c r="AB669" s="174"/>
      <c r="AC669" s="174"/>
    </row>
    <row r="670" spans="1:29" ht="12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  <c r="AA670" s="174"/>
      <c r="AB670" s="174"/>
      <c r="AC670" s="174"/>
    </row>
    <row r="671" spans="1:29" ht="12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  <c r="AA671" s="174"/>
      <c r="AB671" s="174"/>
      <c r="AC671" s="174"/>
    </row>
    <row r="672" spans="1:29" ht="12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  <c r="AA672" s="174"/>
      <c r="AB672" s="174"/>
      <c r="AC672" s="174"/>
    </row>
    <row r="673" spans="1:29" ht="12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  <c r="AA673" s="174"/>
      <c r="AB673" s="174"/>
      <c r="AC673" s="174"/>
    </row>
    <row r="674" spans="1:29" ht="12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  <c r="AA674" s="174"/>
      <c r="AB674" s="174"/>
      <c r="AC674" s="174"/>
    </row>
    <row r="675" spans="1:29" ht="12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  <c r="AA675" s="174"/>
      <c r="AB675" s="174"/>
      <c r="AC675" s="174"/>
    </row>
    <row r="676" spans="1:29" ht="12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  <c r="AA676" s="174"/>
      <c r="AB676" s="174"/>
      <c r="AC676" s="174"/>
    </row>
    <row r="677" spans="1:29" ht="12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  <c r="AA677" s="174"/>
      <c r="AB677" s="174"/>
      <c r="AC677" s="174"/>
    </row>
    <row r="678" spans="1:29" ht="12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  <c r="AA678" s="174"/>
      <c r="AB678" s="174"/>
      <c r="AC678" s="174"/>
    </row>
    <row r="679" spans="1:29" ht="12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  <c r="AA679" s="174"/>
      <c r="AB679" s="174"/>
      <c r="AC679" s="174"/>
    </row>
    <row r="680" spans="1:29" ht="12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  <c r="AA680" s="174"/>
      <c r="AB680" s="174"/>
      <c r="AC680" s="174"/>
    </row>
    <row r="681" spans="1:29" ht="12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  <c r="AA681" s="174"/>
      <c r="AB681" s="174"/>
      <c r="AC681" s="174"/>
    </row>
    <row r="682" spans="1:29" ht="12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  <c r="AA682" s="174"/>
      <c r="AB682" s="174"/>
      <c r="AC682" s="174"/>
    </row>
    <row r="683" spans="1:29" ht="12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  <c r="AA683" s="174"/>
      <c r="AB683" s="174"/>
      <c r="AC683" s="174"/>
    </row>
    <row r="684" spans="1:29" ht="12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  <c r="AA684" s="174"/>
      <c r="AB684" s="174"/>
      <c r="AC684" s="174"/>
    </row>
    <row r="685" spans="1:29" ht="12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  <c r="AA685" s="174"/>
      <c r="AB685" s="174"/>
      <c r="AC685" s="174"/>
    </row>
    <row r="686" spans="1:29" ht="12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  <c r="AA686" s="174"/>
      <c r="AB686" s="174"/>
      <c r="AC686" s="174"/>
    </row>
    <row r="687" spans="1:29" ht="12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  <c r="AA687" s="174"/>
      <c r="AB687" s="174"/>
      <c r="AC687" s="174"/>
    </row>
    <row r="688" spans="1:29" ht="12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  <c r="AA688" s="174"/>
      <c r="AB688" s="174"/>
      <c r="AC688" s="174"/>
    </row>
    <row r="689" spans="1:29" ht="12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  <c r="AA689" s="174"/>
      <c r="AB689" s="174"/>
      <c r="AC689" s="174"/>
    </row>
    <row r="690" spans="1:29" ht="12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  <c r="AA690" s="174"/>
      <c r="AB690" s="174"/>
      <c r="AC690" s="174"/>
    </row>
    <row r="691" spans="1:29" ht="12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  <c r="AB691" s="174"/>
      <c r="AC691" s="174"/>
    </row>
    <row r="692" spans="1:29" ht="12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  <c r="AA692" s="174"/>
      <c r="AB692" s="174"/>
      <c r="AC692" s="174"/>
    </row>
    <row r="693" spans="1:29" ht="12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  <c r="AA693" s="174"/>
      <c r="AB693" s="174"/>
      <c r="AC693" s="174"/>
    </row>
    <row r="694" spans="1:29" ht="12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  <c r="AA694" s="174"/>
      <c r="AB694" s="174"/>
      <c r="AC694" s="174"/>
    </row>
    <row r="695" spans="1:29" ht="12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  <c r="AA695" s="174"/>
      <c r="AB695" s="174"/>
      <c r="AC695" s="174"/>
    </row>
    <row r="696" spans="1:29" ht="12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  <c r="AA696" s="174"/>
      <c r="AB696" s="174"/>
      <c r="AC696" s="174"/>
    </row>
    <row r="697" spans="1:29" ht="12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  <c r="AB697" s="174"/>
      <c r="AC697" s="174"/>
    </row>
    <row r="698" spans="1:29" ht="12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  <c r="AA698" s="174"/>
      <c r="AB698" s="174"/>
      <c r="AC698" s="174"/>
    </row>
    <row r="699" spans="1:29" ht="12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  <c r="AA699" s="174"/>
      <c r="AB699" s="174"/>
      <c r="AC699" s="174"/>
    </row>
    <row r="700" spans="1:29" ht="12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  <c r="AA700" s="174"/>
      <c r="AB700" s="174"/>
      <c r="AC700" s="174"/>
    </row>
    <row r="701" spans="1:29" ht="12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  <c r="AA701" s="174"/>
      <c r="AB701" s="174"/>
      <c r="AC701" s="174"/>
    </row>
    <row r="702" spans="1:29" ht="12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  <c r="AA702" s="174"/>
      <c r="AB702" s="174"/>
      <c r="AC702" s="174"/>
    </row>
    <row r="703" spans="1:29" ht="12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  <c r="AA703" s="174"/>
      <c r="AB703" s="174"/>
      <c r="AC703" s="174"/>
    </row>
    <row r="704" spans="1:29" ht="12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  <c r="AA704" s="174"/>
      <c r="AB704" s="174"/>
      <c r="AC704" s="174"/>
    </row>
    <row r="705" spans="1:29" ht="12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  <c r="AA705" s="174"/>
      <c r="AB705" s="174"/>
      <c r="AC705" s="174"/>
    </row>
    <row r="706" spans="1:29" ht="12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  <c r="AA706" s="174"/>
      <c r="AB706" s="174"/>
      <c r="AC706" s="174"/>
    </row>
    <row r="707" spans="1:29" ht="12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  <c r="AA707" s="174"/>
      <c r="AB707" s="174"/>
      <c r="AC707" s="174"/>
    </row>
    <row r="708" spans="1:29" ht="12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  <c r="AA708" s="174"/>
      <c r="AB708" s="174"/>
      <c r="AC708" s="174"/>
    </row>
    <row r="709" spans="1:29" ht="12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  <c r="AA709" s="174"/>
      <c r="AB709" s="174"/>
      <c r="AC709" s="174"/>
    </row>
    <row r="710" spans="1:29" ht="12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  <c r="AA710" s="174"/>
      <c r="AB710" s="174"/>
      <c r="AC710" s="174"/>
    </row>
    <row r="711" spans="1:29" ht="12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  <c r="AA711" s="174"/>
      <c r="AB711" s="174"/>
      <c r="AC711" s="174"/>
    </row>
    <row r="712" spans="1:29" ht="12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  <c r="AA712" s="174"/>
      <c r="AB712" s="174"/>
      <c r="AC712" s="174"/>
    </row>
    <row r="713" spans="1:29" ht="12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  <c r="AA713" s="174"/>
      <c r="AB713" s="174"/>
      <c r="AC713" s="174"/>
    </row>
    <row r="714" spans="1:29" ht="12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  <c r="AA714" s="174"/>
      <c r="AB714" s="174"/>
      <c r="AC714" s="174"/>
    </row>
    <row r="715" spans="1:29" ht="12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  <c r="AA715" s="174"/>
      <c r="AB715" s="174"/>
      <c r="AC715" s="174"/>
    </row>
    <row r="716" spans="1:29" ht="12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  <c r="AA716" s="174"/>
      <c r="AB716" s="174"/>
      <c r="AC716" s="174"/>
    </row>
    <row r="717" spans="1:29" ht="12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  <c r="AA717" s="174"/>
      <c r="AB717" s="174"/>
      <c r="AC717" s="174"/>
    </row>
    <row r="718" spans="1:29" ht="12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  <c r="AA718" s="174"/>
      <c r="AB718" s="174"/>
      <c r="AC718" s="174"/>
    </row>
    <row r="719" spans="1:29" ht="12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  <c r="AA719" s="174"/>
      <c r="AB719" s="174"/>
      <c r="AC719" s="174"/>
    </row>
    <row r="720" spans="1:29" ht="12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  <c r="AA720" s="174"/>
      <c r="AB720" s="174"/>
      <c r="AC720" s="174"/>
    </row>
    <row r="721" spans="1:29" ht="12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  <c r="AA721" s="174"/>
      <c r="AB721" s="174"/>
      <c r="AC721" s="174"/>
    </row>
    <row r="722" spans="1:29" ht="12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  <c r="AA722" s="174"/>
      <c r="AB722" s="174"/>
      <c r="AC722" s="174"/>
    </row>
    <row r="723" spans="1:29" ht="12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  <c r="AA723" s="174"/>
      <c r="AB723" s="174"/>
      <c r="AC723" s="174"/>
    </row>
    <row r="724" spans="1:29" ht="12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  <c r="AA724" s="174"/>
      <c r="AB724" s="174"/>
      <c r="AC724" s="174"/>
    </row>
    <row r="725" spans="1:29" ht="12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  <c r="AA725" s="174"/>
      <c r="AB725" s="174"/>
      <c r="AC725" s="174"/>
    </row>
    <row r="726" spans="1:29" ht="12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  <c r="AA726" s="174"/>
      <c r="AB726" s="174"/>
      <c r="AC726" s="174"/>
    </row>
    <row r="727" spans="1:29" ht="12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  <c r="AA727" s="174"/>
      <c r="AB727" s="174"/>
      <c r="AC727" s="174"/>
    </row>
    <row r="728" spans="1:29" ht="12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  <c r="AA728" s="174"/>
      <c r="AB728" s="174"/>
      <c r="AC728" s="174"/>
    </row>
    <row r="729" spans="1:29" ht="12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  <c r="AA729" s="174"/>
      <c r="AB729" s="174"/>
      <c r="AC729" s="174"/>
    </row>
    <row r="730" spans="1:29" ht="12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  <c r="AA730" s="174"/>
      <c r="AB730" s="174"/>
      <c r="AC730" s="174"/>
    </row>
    <row r="731" spans="1:29" ht="12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  <c r="AA731" s="174"/>
      <c r="AB731" s="174"/>
      <c r="AC731" s="174"/>
    </row>
    <row r="732" spans="1:29" ht="12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  <c r="AA732" s="174"/>
      <c r="AB732" s="174"/>
      <c r="AC732" s="174"/>
    </row>
    <row r="733" spans="1:29" ht="12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  <c r="AA733" s="174"/>
      <c r="AB733" s="174"/>
      <c r="AC733" s="174"/>
    </row>
    <row r="734" spans="1:29" ht="12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  <c r="AA734" s="174"/>
      <c r="AB734" s="174"/>
      <c r="AC734" s="174"/>
    </row>
    <row r="735" spans="1:29" ht="12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  <c r="AA735" s="174"/>
      <c r="AB735" s="174"/>
      <c r="AC735" s="174"/>
    </row>
    <row r="736" spans="1:29" ht="12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  <c r="AA736" s="174"/>
      <c r="AB736" s="174"/>
      <c r="AC736" s="174"/>
    </row>
    <row r="737" spans="1:29" ht="12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  <c r="AA737" s="174"/>
      <c r="AB737" s="174"/>
      <c r="AC737" s="174"/>
    </row>
    <row r="738" spans="1:29" ht="12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  <c r="AA738" s="174"/>
      <c r="AB738" s="174"/>
      <c r="AC738" s="174"/>
    </row>
    <row r="739" spans="1:29" ht="12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  <c r="AA739" s="174"/>
      <c r="AB739" s="174"/>
      <c r="AC739" s="174"/>
    </row>
    <row r="740" spans="1:29" ht="12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  <c r="AA740" s="174"/>
      <c r="AB740" s="174"/>
      <c r="AC740" s="174"/>
    </row>
    <row r="741" spans="1:29" ht="12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  <c r="AA741" s="174"/>
      <c r="AB741" s="174"/>
      <c r="AC741" s="174"/>
    </row>
    <row r="742" spans="1:29" ht="12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  <c r="AA742" s="174"/>
      <c r="AB742" s="174"/>
      <c r="AC742" s="174"/>
    </row>
    <row r="743" spans="1:29" ht="12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  <c r="AA743" s="174"/>
      <c r="AB743" s="174"/>
      <c r="AC743" s="174"/>
    </row>
    <row r="744" spans="1:29" ht="12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  <c r="AA744" s="174"/>
      <c r="AB744" s="174"/>
      <c r="AC744" s="174"/>
    </row>
    <row r="745" spans="1:29" ht="12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  <c r="AA745" s="174"/>
      <c r="AB745" s="174"/>
      <c r="AC745" s="174"/>
    </row>
    <row r="746" spans="1:29" ht="12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  <c r="AA746" s="174"/>
      <c r="AB746" s="174"/>
      <c r="AC746" s="174"/>
    </row>
    <row r="747" spans="1:29" ht="12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  <c r="AA747" s="174"/>
      <c r="AB747" s="174"/>
      <c r="AC747" s="174"/>
    </row>
    <row r="748" spans="1:29" ht="12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  <c r="AA748" s="174"/>
      <c r="AB748" s="174"/>
      <c r="AC748" s="174"/>
    </row>
    <row r="749" spans="1:29" ht="12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  <c r="AA749" s="174"/>
      <c r="AB749" s="174"/>
      <c r="AC749" s="174"/>
    </row>
    <row r="750" spans="1:29" ht="12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  <c r="AA750" s="174"/>
      <c r="AB750" s="174"/>
      <c r="AC750" s="174"/>
    </row>
    <row r="751" spans="1:29" ht="12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  <c r="AA751" s="174"/>
      <c r="AB751" s="174"/>
      <c r="AC751" s="174"/>
    </row>
    <row r="752" spans="1:29" ht="12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  <c r="AA752" s="174"/>
      <c r="AB752" s="174"/>
      <c r="AC752" s="174"/>
    </row>
    <row r="753" spans="1:29" ht="12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  <c r="AA753" s="174"/>
      <c r="AB753" s="174"/>
      <c r="AC753" s="174"/>
    </row>
    <row r="754" spans="1:29" ht="12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  <c r="AA754" s="174"/>
      <c r="AB754" s="174"/>
      <c r="AC754" s="174"/>
    </row>
    <row r="755" spans="1:29" ht="12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  <c r="AA755" s="174"/>
      <c r="AB755" s="174"/>
      <c r="AC755" s="174"/>
    </row>
    <row r="756" spans="1:29" ht="12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  <c r="AA756" s="174"/>
      <c r="AB756" s="174"/>
      <c r="AC756" s="174"/>
    </row>
    <row r="757" spans="1:29" ht="12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  <c r="AA757" s="174"/>
      <c r="AB757" s="174"/>
      <c r="AC757" s="174"/>
    </row>
    <row r="758" spans="1:29" ht="12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  <c r="AA758" s="174"/>
      <c r="AB758" s="174"/>
      <c r="AC758" s="174"/>
    </row>
    <row r="759" spans="1:29" ht="12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  <c r="AA759" s="174"/>
      <c r="AB759" s="174"/>
      <c r="AC759" s="174"/>
    </row>
    <row r="760" spans="1:29" ht="12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  <c r="AA760" s="174"/>
      <c r="AB760" s="174"/>
      <c r="AC760" s="174"/>
    </row>
    <row r="761" spans="1:29" ht="12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  <c r="AA761" s="174"/>
      <c r="AB761" s="174"/>
      <c r="AC761" s="174"/>
    </row>
    <row r="762" spans="1:29" ht="12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  <c r="AA762" s="174"/>
      <c r="AB762" s="174"/>
      <c r="AC762" s="174"/>
    </row>
    <row r="763" spans="1:29" ht="12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  <c r="AA763" s="174"/>
      <c r="AB763" s="174"/>
      <c r="AC763" s="174"/>
    </row>
    <row r="764" spans="1:29" ht="12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  <c r="AA764" s="174"/>
      <c r="AB764" s="174"/>
      <c r="AC764" s="174"/>
    </row>
    <row r="765" spans="1:29" ht="12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  <c r="AA765" s="174"/>
      <c r="AB765" s="174"/>
      <c r="AC765" s="174"/>
    </row>
    <row r="766" spans="1:29" ht="12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  <c r="AA766" s="174"/>
      <c r="AB766" s="174"/>
      <c r="AC766" s="174"/>
    </row>
    <row r="767" spans="1:29" ht="12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  <c r="AA767" s="174"/>
      <c r="AB767" s="174"/>
      <c r="AC767" s="174"/>
    </row>
    <row r="768" spans="1:29" ht="12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  <c r="AA768" s="174"/>
      <c r="AB768" s="174"/>
      <c r="AC768" s="174"/>
    </row>
    <row r="769" spans="1:29" ht="12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  <c r="AA769" s="174"/>
      <c r="AB769" s="174"/>
      <c r="AC769" s="174"/>
    </row>
    <row r="770" spans="1:29" ht="12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  <c r="AA770" s="174"/>
      <c r="AB770" s="174"/>
      <c r="AC770" s="174"/>
    </row>
    <row r="771" spans="1:29" ht="12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  <c r="AA771" s="174"/>
      <c r="AB771" s="174"/>
      <c r="AC771" s="174"/>
    </row>
    <row r="772" spans="1:29" ht="12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  <c r="AA772" s="174"/>
      <c r="AB772" s="174"/>
      <c r="AC772" s="174"/>
    </row>
    <row r="773" spans="1:29" ht="12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  <c r="AA773" s="174"/>
      <c r="AB773" s="174"/>
      <c r="AC773" s="174"/>
    </row>
    <row r="774" spans="1:29" ht="12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  <c r="AA774" s="174"/>
      <c r="AB774" s="174"/>
      <c r="AC774" s="174"/>
    </row>
    <row r="775" spans="1:29" ht="12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  <c r="AA775" s="174"/>
      <c r="AB775" s="174"/>
      <c r="AC775" s="174"/>
    </row>
    <row r="776" spans="1:29" ht="12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  <c r="AA776" s="174"/>
      <c r="AB776" s="174"/>
      <c r="AC776" s="174"/>
    </row>
    <row r="777" spans="1:29" ht="12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  <c r="AA777" s="174"/>
      <c r="AB777" s="174"/>
      <c r="AC777" s="174"/>
    </row>
    <row r="778" spans="1:29" ht="12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  <c r="AA778" s="174"/>
      <c r="AB778" s="174"/>
      <c r="AC778" s="174"/>
    </row>
    <row r="779" spans="1:29" ht="12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  <c r="AA779" s="174"/>
      <c r="AB779" s="174"/>
      <c r="AC779" s="174"/>
    </row>
    <row r="780" spans="1:29" ht="12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  <c r="AA780" s="174"/>
      <c r="AB780" s="174"/>
      <c r="AC780" s="174"/>
    </row>
    <row r="781" spans="1:29" ht="12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  <c r="AA781" s="174"/>
      <c r="AB781" s="174"/>
      <c r="AC781" s="174"/>
    </row>
    <row r="782" spans="1:29" ht="12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  <c r="AA782" s="174"/>
      <c r="AB782" s="174"/>
      <c r="AC782" s="174"/>
    </row>
    <row r="783" spans="1:29" ht="12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  <c r="AA783" s="174"/>
      <c r="AB783" s="174"/>
      <c r="AC783" s="174"/>
    </row>
    <row r="784" spans="1:29" ht="12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  <c r="AA784" s="174"/>
      <c r="AB784" s="174"/>
      <c r="AC784" s="174"/>
    </row>
    <row r="785" spans="1:29" ht="12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  <c r="AA785" s="174"/>
      <c r="AB785" s="174"/>
      <c r="AC785" s="174"/>
    </row>
    <row r="786" spans="1:29" ht="12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  <c r="AA786" s="174"/>
      <c r="AB786" s="174"/>
      <c r="AC786" s="174"/>
    </row>
    <row r="787" spans="1:29" ht="12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  <c r="AA787" s="174"/>
      <c r="AB787" s="174"/>
      <c r="AC787" s="174"/>
    </row>
    <row r="788" spans="1:29" ht="12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  <c r="AA788" s="174"/>
      <c r="AB788" s="174"/>
      <c r="AC788" s="174"/>
    </row>
    <row r="789" spans="1:29" ht="12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  <c r="AA789" s="174"/>
      <c r="AB789" s="174"/>
      <c r="AC789" s="174"/>
    </row>
    <row r="790" spans="1:29" ht="12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  <c r="AA790" s="174"/>
      <c r="AB790" s="174"/>
      <c r="AC790" s="174"/>
    </row>
    <row r="791" spans="1:29" ht="12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  <c r="AA791" s="174"/>
      <c r="AB791" s="174"/>
      <c r="AC791" s="174"/>
    </row>
    <row r="792" spans="1:29" ht="12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  <c r="AA792" s="174"/>
      <c r="AB792" s="174"/>
      <c r="AC792" s="174"/>
    </row>
    <row r="793" spans="1:29" ht="12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  <c r="AA793" s="174"/>
      <c r="AB793" s="174"/>
      <c r="AC793" s="174"/>
    </row>
    <row r="794" spans="1:29" ht="12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  <c r="AA794" s="174"/>
      <c r="AB794" s="174"/>
      <c r="AC794" s="174"/>
    </row>
    <row r="795" spans="1:29" ht="12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  <c r="AA795" s="174"/>
      <c r="AB795" s="174"/>
      <c r="AC795" s="174"/>
    </row>
    <row r="796" spans="1:29" ht="12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  <c r="AA796" s="174"/>
      <c r="AB796" s="174"/>
      <c r="AC796" s="174"/>
    </row>
    <row r="797" spans="1:29" ht="12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  <c r="AA797" s="174"/>
      <c r="AB797" s="174"/>
      <c r="AC797" s="174"/>
    </row>
    <row r="798" spans="1:29" ht="12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  <c r="AA798" s="174"/>
      <c r="AB798" s="174"/>
      <c r="AC798" s="174"/>
    </row>
    <row r="799" spans="1:29" ht="12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  <c r="AA799" s="174"/>
      <c r="AB799" s="174"/>
      <c r="AC799" s="174"/>
    </row>
    <row r="800" spans="1:29" ht="12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  <c r="AA800" s="174"/>
      <c r="AB800" s="174"/>
      <c r="AC800" s="174"/>
    </row>
    <row r="801" spans="1:29" ht="12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  <c r="AA801" s="174"/>
      <c r="AB801" s="174"/>
      <c r="AC801" s="174"/>
    </row>
    <row r="802" spans="1:29" ht="12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  <c r="AA802" s="174"/>
      <c r="AB802" s="174"/>
      <c r="AC802" s="174"/>
    </row>
    <row r="803" spans="1:29" ht="12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  <c r="AA803" s="174"/>
      <c r="AB803" s="174"/>
      <c r="AC803" s="174"/>
    </row>
    <row r="804" spans="1:29" ht="12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  <c r="AA804" s="174"/>
      <c r="AB804" s="174"/>
      <c r="AC804" s="174"/>
    </row>
    <row r="805" spans="1:29" ht="12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  <c r="AA805" s="174"/>
      <c r="AB805" s="174"/>
      <c r="AC805" s="174"/>
    </row>
    <row r="806" spans="1:29" ht="12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  <c r="AA806" s="174"/>
      <c r="AB806" s="174"/>
      <c r="AC806" s="174"/>
    </row>
    <row r="807" spans="1:29" ht="12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  <c r="AA807" s="174"/>
      <c r="AB807" s="174"/>
      <c r="AC807" s="174"/>
    </row>
    <row r="808" spans="1:29" ht="12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  <c r="AA808" s="174"/>
      <c r="AB808" s="174"/>
      <c r="AC808" s="174"/>
    </row>
    <row r="809" spans="1:29" ht="12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  <c r="AA809" s="174"/>
      <c r="AB809" s="174"/>
      <c r="AC809" s="174"/>
    </row>
    <row r="810" spans="1:29" ht="12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  <c r="AA810" s="174"/>
      <c r="AB810" s="174"/>
      <c r="AC810" s="174"/>
    </row>
    <row r="811" spans="1:29" ht="12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  <c r="AA811" s="174"/>
      <c r="AB811" s="174"/>
      <c r="AC811" s="174"/>
    </row>
    <row r="812" spans="1:29" ht="12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  <c r="AA812" s="174"/>
      <c r="AB812" s="174"/>
      <c r="AC812" s="174"/>
    </row>
    <row r="813" spans="1:29" ht="12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  <c r="AA813" s="174"/>
      <c r="AB813" s="174"/>
      <c r="AC813" s="174"/>
    </row>
    <row r="814" spans="1:29" ht="12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  <c r="AA814" s="174"/>
      <c r="AB814" s="174"/>
      <c r="AC814" s="174"/>
    </row>
    <row r="815" spans="1:29" ht="12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  <c r="AA815" s="174"/>
      <c r="AB815" s="174"/>
      <c r="AC815" s="174"/>
    </row>
    <row r="816" spans="1:29" ht="12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  <c r="AA816" s="174"/>
      <c r="AB816" s="174"/>
      <c r="AC816" s="174"/>
    </row>
    <row r="817" spans="1:29" ht="12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  <c r="AA817" s="174"/>
      <c r="AB817" s="174"/>
      <c r="AC817" s="174"/>
    </row>
    <row r="818" spans="1:29" ht="12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  <c r="AA818" s="174"/>
      <c r="AB818" s="174"/>
      <c r="AC818" s="174"/>
    </row>
    <row r="819" spans="1:29" ht="12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  <c r="AA819" s="174"/>
      <c r="AB819" s="174"/>
      <c r="AC819" s="174"/>
    </row>
    <row r="820" spans="1:29" ht="12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  <c r="AA820" s="174"/>
      <c r="AB820" s="174"/>
      <c r="AC820" s="174"/>
    </row>
    <row r="821" spans="1:29" ht="12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  <c r="AA821" s="174"/>
      <c r="AB821" s="174"/>
      <c r="AC821" s="174"/>
    </row>
    <row r="822" spans="1:29" ht="12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  <c r="AA822" s="174"/>
      <c r="AB822" s="174"/>
      <c r="AC822" s="174"/>
    </row>
    <row r="823" spans="1:29" ht="12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  <c r="AA823" s="174"/>
      <c r="AB823" s="174"/>
      <c r="AC823" s="174"/>
    </row>
    <row r="824" spans="1:29" ht="12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  <c r="AA824" s="174"/>
      <c r="AB824" s="174"/>
      <c r="AC824" s="174"/>
    </row>
    <row r="825" spans="1:29" ht="12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  <c r="AA825" s="174"/>
      <c r="AB825" s="174"/>
      <c r="AC825" s="174"/>
    </row>
    <row r="826" spans="1:29" ht="12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  <c r="AA826" s="174"/>
      <c r="AB826" s="174"/>
      <c r="AC826" s="174"/>
    </row>
    <row r="827" spans="1:29" ht="12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  <c r="AA827" s="174"/>
      <c r="AB827" s="174"/>
      <c r="AC827" s="174"/>
    </row>
    <row r="828" spans="1:29" ht="12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  <c r="AA828" s="174"/>
      <c r="AB828" s="174"/>
      <c r="AC828" s="174"/>
    </row>
    <row r="829" spans="1:29" ht="12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  <c r="AA829" s="174"/>
      <c r="AB829" s="174"/>
      <c r="AC829" s="174"/>
    </row>
    <row r="830" spans="1:29" ht="12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  <c r="AA830" s="174"/>
      <c r="AB830" s="174"/>
      <c r="AC830" s="174"/>
    </row>
    <row r="831" spans="1:29" ht="12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  <c r="AA831" s="174"/>
      <c r="AB831" s="174"/>
      <c r="AC831" s="174"/>
    </row>
    <row r="832" spans="1:29" ht="12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  <c r="AA832" s="174"/>
      <c r="AB832" s="174"/>
      <c r="AC832" s="174"/>
    </row>
    <row r="833" spans="1:29" ht="12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  <c r="AA833" s="174"/>
      <c r="AB833" s="174"/>
      <c r="AC833" s="174"/>
    </row>
    <row r="834" spans="1:29" ht="12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  <c r="AA834" s="174"/>
      <c r="AB834" s="174"/>
      <c r="AC834" s="174"/>
    </row>
    <row r="835" spans="1:29" ht="12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  <c r="AA835" s="174"/>
      <c r="AB835" s="174"/>
      <c r="AC835" s="174"/>
    </row>
    <row r="836" spans="1:29" ht="12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  <c r="AA836" s="174"/>
      <c r="AB836" s="174"/>
      <c r="AC836" s="174"/>
    </row>
    <row r="837" spans="1:29" ht="12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  <c r="AA837" s="174"/>
      <c r="AB837" s="174"/>
      <c r="AC837" s="174"/>
    </row>
    <row r="838" spans="1:29" ht="12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  <c r="AA838" s="174"/>
      <c r="AB838" s="174"/>
      <c r="AC838" s="174"/>
    </row>
    <row r="839" spans="1:29" ht="12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  <c r="AA839" s="174"/>
      <c r="AB839" s="174"/>
      <c r="AC839" s="174"/>
    </row>
    <row r="840" spans="1:29" ht="12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  <c r="AA840" s="174"/>
      <c r="AB840" s="174"/>
      <c r="AC840" s="174"/>
    </row>
    <row r="841" spans="1:29" ht="12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  <c r="AA841" s="174"/>
      <c r="AB841" s="174"/>
      <c r="AC841" s="174"/>
    </row>
    <row r="842" spans="1:29" ht="12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  <c r="AA842" s="174"/>
      <c r="AB842" s="174"/>
      <c r="AC842" s="174"/>
    </row>
    <row r="843" spans="1:29" ht="12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  <c r="AA843" s="174"/>
      <c r="AB843" s="174"/>
      <c r="AC843" s="174"/>
    </row>
    <row r="844" spans="1:29" ht="12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  <c r="AA844" s="174"/>
      <c r="AB844" s="174"/>
      <c r="AC844" s="174"/>
    </row>
    <row r="845" spans="1:29" ht="12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  <c r="AA845" s="174"/>
      <c r="AB845" s="174"/>
      <c r="AC845" s="174"/>
    </row>
    <row r="846" spans="1:29" ht="12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  <c r="AA846" s="174"/>
      <c r="AB846" s="174"/>
      <c r="AC846" s="174"/>
    </row>
    <row r="847" spans="1:29" ht="12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  <c r="AA847" s="174"/>
      <c r="AB847" s="174"/>
      <c r="AC847" s="174"/>
    </row>
    <row r="848" spans="1:29" ht="12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  <c r="AA848" s="174"/>
      <c r="AB848" s="174"/>
      <c r="AC848" s="174"/>
    </row>
    <row r="849" spans="1:29" ht="12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  <c r="AA849" s="174"/>
      <c r="AB849" s="174"/>
      <c r="AC849" s="174"/>
    </row>
    <row r="850" spans="1:29" ht="12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  <c r="AA850" s="174"/>
      <c r="AB850" s="174"/>
      <c r="AC850" s="174"/>
    </row>
    <row r="851" spans="1:29" ht="12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  <c r="AA851" s="174"/>
      <c r="AB851" s="174"/>
      <c r="AC851" s="174"/>
    </row>
    <row r="852" spans="1:29" ht="12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  <c r="AA852" s="174"/>
      <c r="AB852" s="174"/>
      <c r="AC852" s="174"/>
    </row>
    <row r="853" spans="1:29" ht="12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  <c r="AA853" s="174"/>
      <c r="AB853" s="174"/>
      <c r="AC853" s="174"/>
    </row>
    <row r="854" spans="1:29" ht="12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  <c r="AA854" s="174"/>
      <c r="AB854" s="174"/>
      <c r="AC854" s="174"/>
    </row>
    <row r="855" spans="1:29" ht="12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  <c r="AA855" s="174"/>
      <c r="AB855" s="174"/>
      <c r="AC855" s="174"/>
    </row>
    <row r="856" spans="1:29" ht="12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  <c r="AA856" s="174"/>
      <c r="AB856" s="174"/>
      <c r="AC856" s="174"/>
    </row>
    <row r="857" spans="1:29" ht="12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  <c r="AA857" s="174"/>
      <c r="AB857" s="174"/>
      <c r="AC857" s="174"/>
    </row>
    <row r="858" spans="1:29" ht="12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  <c r="AA858" s="174"/>
      <c r="AB858" s="174"/>
      <c r="AC858" s="174"/>
    </row>
    <row r="859" spans="1:29" ht="12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  <c r="AA859" s="174"/>
      <c r="AB859" s="174"/>
      <c r="AC859" s="174"/>
    </row>
    <row r="860" spans="1:29" ht="12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  <c r="AA860" s="174"/>
      <c r="AB860" s="174"/>
      <c r="AC860" s="174"/>
    </row>
    <row r="861" spans="1:29" ht="12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  <c r="AA861" s="174"/>
      <c r="AB861" s="174"/>
      <c r="AC861" s="174"/>
    </row>
    <row r="862" spans="1:29" ht="12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  <c r="AA862" s="174"/>
      <c r="AB862" s="174"/>
      <c r="AC862" s="174"/>
    </row>
    <row r="863" spans="1:29" ht="12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  <c r="AA863" s="174"/>
      <c r="AB863" s="174"/>
      <c r="AC863" s="174"/>
    </row>
    <row r="864" spans="1:29" ht="12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  <c r="AA864" s="174"/>
      <c r="AB864" s="174"/>
      <c r="AC864" s="174"/>
    </row>
    <row r="865" spans="1:29" ht="12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  <c r="AA865" s="174"/>
      <c r="AB865" s="174"/>
      <c r="AC865" s="174"/>
    </row>
    <row r="866" spans="1:29" ht="12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  <c r="AA866" s="174"/>
      <c r="AB866" s="174"/>
      <c r="AC866" s="174"/>
    </row>
    <row r="867" spans="1:29" ht="12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  <c r="AA867" s="174"/>
      <c r="AB867" s="174"/>
      <c r="AC867" s="174"/>
    </row>
    <row r="868" spans="1:29" ht="12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  <c r="AA868" s="174"/>
      <c r="AB868" s="174"/>
      <c r="AC868" s="174"/>
    </row>
    <row r="869" spans="1:29" ht="12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  <c r="AA869" s="174"/>
      <c r="AB869" s="174"/>
      <c r="AC869" s="174"/>
    </row>
    <row r="870" spans="1:29" ht="12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  <c r="AA870" s="174"/>
      <c r="AB870" s="174"/>
      <c r="AC870" s="174"/>
    </row>
    <row r="871" spans="1:29" ht="12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  <c r="AA871" s="174"/>
      <c r="AB871" s="174"/>
      <c r="AC871" s="174"/>
    </row>
    <row r="872" spans="1:29" ht="12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  <c r="AA872" s="174"/>
      <c r="AB872" s="174"/>
      <c r="AC872" s="174"/>
    </row>
    <row r="873" spans="1:29" ht="12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  <c r="AA873" s="174"/>
      <c r="AB873" s="174"/>
      <c r="AC873" s="174"/>
    </row>
    <row r="874" spans="1:29" ht="12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  <c r="AA874" s="174"/>
      <c r="AB874" s="174"/>
      <c r="AC874" s="174"/>
    </row>
    <row r="875" spans="1:29" ht="12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  <c r="AA875" s="174"/>
      <c r="AB875" s="174"/>
      <c r="AC875" s="174"/>
    </row>
    <row r="876" spans="1:29" ht="12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  <c r="AA876" s="174"/>
      <c r="AB876" s="174"/>
      <c r="AC876" s="174"/>
    </row>
    <row r="877" spans="1:29" ht="12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  <c r="AA877" s="174"/>
      <c r="AB877" s="174"/>
      <c r="AC877" s="174"/>
    </row>
    <row r="878" spans="1:29" ht="12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  <c r="AA878" s="174"/>
      <c r="AB878" s="174"/>
      <c r="AC878" s="174"/>
    </row>
    <row r="879" spans="1:29" ht="12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  <c r="AA879" s="174"/>
      <c r="AB879" s="174"/>
      <c r="AC879" s="174"/>
    </row>
    <row r="880" spans="1:29" ht="12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  <c r="AA880" s="174"/>
      <c r="AB880" s="174"/>
      <c r="AC880" s="174"/>
    </row>
    <row r="881" spans="1:29" ht="12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  <c r="AA881" s="174"/>
      <c r="AB881" s="174"/>
      <c r="AC881" s="174"/>
    </row>
    <row r="882" spans="1:29" ht="12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  <c r="AA882" s="174"/>
      <c r="AB882" s="174"/>
      <c r="AC882" s="174"/>
    </row>
    <row r="883" spans="1:29" ht="12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  <c r="AA883" s="174"/>
      <c r="AB883" s="174"/>
      <c r="AC883" s="174"/>
    </row>
    <row r="884" spans="1:29" ht="12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  <c r="AA884" s="174"/>
      <c r="AB884" s="174"/>
      <c r="AC884" s="174"/>
    </row>
    <row r="885" spans="1:29" ht="12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  <c r="AA885" s="174"/>
      <c r="AB885" s="174"/>
      <c r="AC885" s="174"/>
    </row>
    <row r="886" spans="1:29" ht="12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  <c r="AA886" s="174"/>
      <c r="AB886" s="174"/>
      <c r="AC886" s="174"/>
    </row>
    <row r="887" spans="1:29" ht="12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  <c r="AA887" s="174"/>
      <c r="AB887" s="174"/>
      <c r="AC887" s="174"/>
    </row>
    <row r="888" spans="1:29" ht="12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  <c r="AA888" s="174"/>
      <c r="AB888" s="174"/>
      <c r="AC888" s="174"/>
    </row>
    <row r="889" spans="1:29" ht="12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  <c r="AA889" s="174"/>
      <c r="AB889" s="174"/>
      <c r="AC889" s="174"/>
    </row>
    <row r="890" spans="1:29" ht="12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  <c r="AA890" s="174"/>
      <c r="AB890" s="174"/>
      <c r="AC890" s="174"/>
    </row>
    <row r="891" spans="1:29" ht="12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  <c r="AA891" s="174"/>
      <c r="AB891" s="174"/>
      <c r="AC891" s="174"/>
    </row>
    <row r="892" spans="1:29" ht="12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  <c r="AA892" s="174"/>
      <c r="AB892" s="174"/>
      <c r="AC892" s="174"/>
    </row>
    <row r="893" spans="1:29" ht="12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  <c r="AA893" s="174"/>
      <c r="AB893" s="174"/>
      <c r="AC893" s="174"/>
    </row>
    <row r="894" spans="1:29" ht="12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  <c r="AA894" s="174"/>
      <c r="AB894" s="174"/>
      <c r="AC894" s="174"/>
    </row>
    <row r="895" spans="1:29" ht="12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  <c r="AA895" s="174"/>
      <c r="AB895" s="174"/>
      <c r="AC895" s="174"/>
    </row>
    <row r="896" spans="1:29" ht="12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  <c r="AA896" s="174"/>
      <c r="AB896" s="174"/>
      <c r="AC896" s="174"/>
    </row>
    <row r="897" spans="1:29" ht="12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  <c r="AA897" s="174"/>
      <c r="AB897" s="174"/>
      <c r="AC897" s="174"/>
    </row>
    <row r="898" spans="1:29" ht="12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  <c r="AA898" s="174"/>
      <c r="AB898" s="174"/>
      <c r="AC898" s="174"/>
    </row>
    <row r="899" spans="1:29" ht="12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  <c r="AA899" s="174"/>
      <c r="AB899" s="174"/>
      <c r="AC899" s="174"/>
    </row>
    <row r="900" spans="1:29" ht="12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  <c r="AA900" s="174"/>
      <c r="AB900" s="174"/>
      <c r="AC900" s="174"/>
    </row>
    <row r="901" spans="1:29" ht="12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  <c r="AA901" s="174"/>
      <c r="AB901" s="174"/>
      <c r="AC901" s="174"/>
    </row>
    <row r="902" spans="1:29" ht="12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  <c r="AA902" s="174"/>
      <c r="AB902" s="174"/>
      <c r="AC902" s="174"/>
    </row>
    <row r="903" spans="1:29" ht="12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  <c r="AA903" s="174"/>
      <c r="AB903" s="174"/>
      <c r="AC903" s="174"/>
    </row>
    <row r="904" spans="1:29" ht="12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  <c r="AA904" s="174"/>
      <c r="AB904" s="174"/>
      <c r="AC904" s="174"/>
    </row>
    <row r="905" spans="1:29" ht="12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  <c r="AA905" s="174"/>
      <c r="AB905" s="174"/>
      <c r="AC905" s="174"/>
    </row>
    <row r="906" spans="1:29" ht="12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  <c r="AA906" s="174"/>
      <c r="AB906" s="174"/>
      <c r="AC906" s="174"/>
    </row>
    <row r="907" spans="1:29" ht="12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  <c r="AA907" s="174"/>
      <c r="AB907" s="174"/>
      <c r="AC907" s="174"/>
    </row>
    <row r="908" spans="1:29" ht="12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  <c r="AA908" s="174"/>
      <c r="AB908" s="174"/>
      <c r="AC908" s="174"/>
    </row>
    <row r="909" spans="1:29" ht="12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  <c r="AA909" s="174"/>
      <c r="AB909" s="174"/>
      <c r="AC909" s="174"/>
    </row>
    <row r="910" spans="1:29" ht="12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  <c r="AA910" s="174"/>
      <c r="AB910" s="174"/>
      <c r="AC910" s="174"/>
    </row>
    <row r="911" spans="1:29" ht="12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  <c r="AA911" s="174"/>
      <c r="AB911" s="174"/>
      <c r="AC911" s="174"/>
    </row>
    <row r="912" spans="1:29" ht="12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  <c r="AA912" s="174"/>
      <c r="AB912" s="174"/>
      <c r="AC912" s="174"/>
    </row>
    <row r="913" spans="1:29" ht="12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  <c r="AA913" s="174"/>
      <c r="AB913" s="174"/>
      <c r="AC913" s="174"/>
    </row>
    <row r="914" spans="1:29" ht="12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  <c r="AA914" s="174"/>
      <c r="AB914" s="174"/>
      <c r="AC914" s="174"/>
    </row>
    <row r="915" spans="1:29" ht="12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  <c r="AA915" s="174"/>
      <c r="AB915" s="174"/>
      <c r="AC915" s="174"/>
    </row>
    <row r="916" spans="1:29" ht="12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  <c r="AA916" s="174"/>
      <c r="AB916" s="174"/>
      <c r="AC916" s="174"/>
    </row>
    <row r="917" spans="1:29" ht="12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  <c r="AA917" s="174"/>
      <c r="AB917" s="174"/>
      <c r="AC917" s="174"/>
    </row>
    <row r="918" spans="1:29" ht="12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  <c r="AA918" s="174"/>
      <c r="AB918" s="174"/>
      <c r="AC918" s="174"/>
    </row>
    <row r="919" spans="1:29" ht="12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  <c r="AA919" s="174"/>
      <c r="AB919" s="174"/>
      <c r="AC919" s="174"/>
    </row>
    <row r="920" spans="1:29" ht="12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  <c r="AA920" s="174"/>
      <c r="AB920" s="174"/>
      <c r="AC920" s="174"/>
    </row>
    <row r="921" spans="1:29" ht="12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  <c r="AA921" s="174"/>
      <c r="AB921" s="174"/>
      <c r="AC921" s="174"/>
    </row>
    <row r="922" spans="1:29" ht="12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  <c r="AA922" s="174"/>
      <c r="AB922" s="174"/>
      <c r="AC922" s="174"/>
    </row>
    <row r="923" spans="1:29" ht="12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  <c r="AA923" s="174"/>
      <c r="AB923" s="174"/>
      <c r="AC923" s="174"/>
    </row>
    <row r="924" spans="1:29" ht="12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  <c r="AA924" s="174"/>
      <c r="AB924" s="174"/>
      <c r="AC924" s="174"/>
    </row>
    <row r="925" spans="1:29" ht="12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  <c r="AA925" s="174"/>
      <c r="AB925" s="174"/>
      <c r="AC925" s="174"/>
    </row>
    <row r="926" spans="1:29" ht="12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  <c r="AA926" s="174"/>
      <c r="AB926" s="174"/>
      <c r="AC926" s="174"/>
    </row>
    <row r="927" spans="1:29" ht="12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  <c r="AA927" s="174"/>
      <c r="AB927" s="174"/>
      <c r="AC927" s="174"/>
    </row>
    <row r="928" spans="1:29" ht="12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  <c r="AA928" s="174"/>
      <c r="AB928" s="174"/>
      <c r="AC928" s="174"/>
    </row>
    <row r="929" spans="1:29" ht="12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  <c r="AA929" s="174"/>
      <c r="AB929" s="174"/>
      <c r="AC929" s="174"/>
    </row>
    <row r="930" spans="1:29" ht="12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  <c r="AA930" s="174"/>
      <c r="AB930" s="174"/>
      <c r="AC930" s="174"/>
    </row>
    <row r="931" spans="1:29" ht="12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  <c r="AA931" s="174"/>
      <c r="AB931" s="174"/>
      <c r="AC931" s="174"/>
    </row>
    <row r="932" spans="1:29" ht="12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  <c r="AA932" s="174"/>
      <c r="AB932" s="174"/>
      <c r="AC932" s="174"/>
    </row>
    <row r="933" spans="1:29" ht="12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  <c r="AA933" s="174"/>
      <c r="AB933" s="174"/>
      <c r="AC933" s="174"/>
    </row>
    <row r="934" spans="1:29" ht="12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  <c r="AA934" s="174"/>
      <c r="AB934" s="174"/>
      <c r="AC934" s="174"/>
    </row>
    <row r="935" spans="1:29" ht="12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  <c r="AA935" s="174"/>
      <c r="AB935" s="174"/>
      <c r="AC935" s="174"/>
    </row>
    <row r="936" spans="1:29" ht="12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  <c r="AA936" s="174"/>
      <c r="AB936" s="174"/>
      <c r="AC936" s="174"/>
    </row>
    <row r="937" spans="1:29" ht="12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</row>
    <row r="938" spans="1:29" ht="12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  <c r="AA938" s="174"/>
      <c r="AB938" s="174"/>
      <c r="AC938" s="174"/>
    </row>
    <row r="939" spans="1:29" ht="12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  <c r="AA939" s="174"/>
      <c r="AB939" s="174"/>
      <c r="AC939" s="174"/>
    </row>
    <row r="940" spans="1:29" ht="12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  <c r="AA940" s="174"/>
      <c r="AB940" s="174"/>
      <c r="AC940" s="174"/>
    </row>
    <row r="941" spans="1:29" ht="12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  <c r="AA941" s="174"/>
      <c r="AB941" s="174"/>
      <c r="AC941" s="174"/>
    </row>
    <row r="942" spans="1:29" ht="12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  <c r="AA942" s="174"/>
      <c r="AB942" s="174"/>
      <c r="AC942" s="174"/>
    </row>
    <row r="943" spans="1:29" ht="12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  <c r="AA943" s="174"/>
      <c r="AB943" s="174"/>
      <c r="AC943" s="174"/>
    </row>
    <row r="944" spans="1:29" ht="12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  <c r="AA944" s="174"/>
      <c r="AB944" s="174"/>
      <c r="AC944" s="174"/>
    </row>
    <row r="945" spans="1:29" ht="12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  <c r="AA945" s="174"/>
      <c r="AB945" s="174"/>
      <c r="AC945" s="174"/>
    </row>
    <row r="946" spans="1:29" ht="12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  <c r="AA946" s="174"/>
      <c r="AB946" s="174"/>
      <c r="AC946" s="174"/>
    </row>
    <row r="947" spans="1:29" ht="12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  <c r="AA947" s="174"/>
      <c r="AB947" s="174"/>
      <c r="AC947" s="174"/>
    </row>
    <row r="948" spans="1:29" ht="12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  <c r="AA948" s="174"/>
      <c r="AB948" s="174"/>
      <c r="AC948" s="174"/>
    </row>
    <row r="949" spans="1:29" ht="12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  <c r="AA949" s="174"/>
      <c r="AB949" s="174"/>
      <c r="AC949" s="174"/>
    </row>
    <row r="950" spans="1:29" ht="12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  <c r="AA950" s="174"/>
      <c r="AB950" s="174"/>
      <c r="AC950" s="174"/>
    </row>
    <row r="951" spans="1:29" ht="12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  <c r="AA951" s="174"/>
      <c r="AB951" s="174"/>
      <c r="AC951" s="174"/>
    </row>
    <row r="952" spans="1:29" ht="12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  <c r="AA952" s="174"/>
      <c r="AB952" s="174"/>
      <c r="AC952" s="174"/>
    </row>
    <row r="953" spans="1:29" ht="12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  <c r="AA953" s="174"/>
      <c r="AB953" s="174"/>
      <c r="AC953" s="174"/>
    </row>
    <row r="954" spans="1:29" ht="12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  <c r="AA954" s="174"/>
      <c r="AB954" s="174"/>
      <c r="AC954" s="174"/>
    </row>
    <row r="955" spans="1:29" ht="12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  <c r="AA955" s="174"/>
      <c r="AB955" s="174"/>
      <c r="AC955" s="174"/>
    </row>
    <row r="956" spans="1:29" ht="12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  <c r="AA956" s="174"/>
      <c r="AB956" s="174"/>
      <c r="AC956" s="174"/>
    </row>
    <row r="957" spans="1:29" ht="12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  <c r="AA957" s="174"/>
      <c r="AB957" s="174"/>
      <c r="AC957" s="174"/>
    </row>
    <row r="958" spans="1:29" ht="12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  <c r="AA958" s="174"/>
      <c r="AB958" s="174"/>
      <c r="AC958" s="174"/>
    </row>
    <row r="959" spans="1:29" ht="12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  <c r="AA959" s="174"/>
      <c r="AB959" s="174"/>
      <c r="AC959" s="174"/>
    </row>
    <row r="960" spans="1:29" ht="12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  <c r="AA960" s="174"/>
      <c r="AB960" s="174"/>
      <c r="AC960" s="174"/>
    </row>
    <row r="961" spans="1:29" ht="12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  <c r="AA961" s="174"/>
      <c r="AB961" s="174"/>
      <c r="AC961" s="174"/>
    </row>
    <row r="962" spans="1:29" ht="12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  <c r="AA962" s="174"/>
      <c r="AB962" s="174"/>
      <c r="AC962" s="174"/>
    </row>
    <row r="963" spans="1:29" ht="12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  <c r="AA963" s="174"/>
      <c r="AB963" s="174"/>
      <c r="AC963" s="174"/>
    </row>
    <row r="964" spans="1:29" ht="12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  <c r="AA964" s="174"/>
      <c r="AB964" s="174"/>
      <c r="AC964" s="174"/>
    </row>
    <row r="965" spans="1:29" ht="12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  <c r="AA965" s="174"/>
      <c r="AB965" s="174"/>
      <c r="AC965" s="174"/>
    </row>
    <row r="966" spans="1:29" ht="12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  <c r="AA966" s="174"/>
      <c r="AB966" s="174"/>
      <c r="AC966" s="174"/>
    </row>
    <row r="967" spans="1:29" ht="12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  <c r="AA967" s="174"/>
      <c r="AB967" s="174"/>
      <c r="AC967" s="174"/>
    </row>
    <row r="968" spans="1:29" ht="12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  <c r="AA968" s="174"/>
      <c r="AB968" s="174"/>
      <c r="AC968" s="174"/>
    </row>
    <row r="969" spans="1:29" ht="12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  <c r="AA969" s="174"/>
      <c r="AB969" s="174"/>
      <c r="AC969" s="174"/>
    </row>
    <row r="970" spans="1:29" ht="12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  <c r="AA970" s="174"/>
      <c r="AB970" s="174"/>
      <c r="AC970" s="174"/>
    </row>
    <row r="971" spans="1:29" ht="12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  <c r="AA971" s="174"/>
      <c r="AB971" s="174"/>
      <c r="AC971" s="174"/>
    </row>
    <row r="972" spans="1:29" ht="12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  <c r="AA972" s="174"/>
      <c r="AB972" s="174"/>
      <c r="AC972" s="174"/>
    </row>
    <row r="973" spans="1:29" ht="12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  <c r="AA973" s="174"/>
      <c r="AB973" s="174"/>
      <c r="AC973" s="174"/>
    </row>
    <row r="974" spans="1:29" ht="12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  <c r="AA974" s="174"/>
      <c r="AB974" s="174"/>
      <c r="AC974" s="174"/>
    </row>
    <row r="975" spans="1:29" ht="12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  <c r="AA975" s="174"/>
      <c r="AB975" s="174"/>
      <c r="AC975" s="174"/>
    </row>
    <row r="976" spans="1:29" ht="12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  <c r="AA976" s="174"/>
      <c r="AB976" s="174"/>
      <c r="AC976" s="174"/>
    </row>
    <row r="977" spans="1:29" ht="12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  <c r="AA977" s="174"/>
      <c r="AB977" s="174"/>
      <c r="AC977" s="174"/>
    </row>
    <row r="978" spans="1:29" ht="12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  <c r="AA978" s="174"/>
      <c r="AB978" s="174"/>
      <c r="AC978" s="174"/>
    </row>
    <row r="979" spans="1:29" ht="12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  <c r="AA979" s="174"/>
      <c r="AB979" s="174"/>
      <c r="AC979" s="174"/>
    </row>
    <row r="980" spans="1:29" ht="12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  <c r="AA980" s="174"/>
      <c r="AB980" s="174"/>
      <c r="AC980" s="174"/>
    </row>
    <row r="981" spans="1:29" ht="12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  <c r="AA981" s="174"/>
      <c r="AB981" s="174"/>
      <c r="AC981" s="174"/>
    </row>
    <row r="982" spans="1:29" ht="12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  <c r="AA982" s="174"/>
      <c r="AB982" s="174"/>
      <c r="AC982" s="174"/>
    </row>
    <row r="983" spans="1:29" ht="12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  <c r="AA983" s="174"/>
      <c r="AB983" s="174"/>
      <c r="AC983" s="174"/>
    </row>
    <row r="984" spans="1:29" ht="12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  <c r="AA984" s="174"/>
      <c r="AB984" s="174"/>
      <c r="AC984" s="174"/>
    </row>
    <row r="985" spans="1:29" ht="12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  <c r="AA985" s="174"/>
      <c r="AB985" s="174"/>
      <c r="AC985" s="174"/>
    </row>
    <row r="986" spans="1:29" ht="12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  <c r="AA986" s="174"/>
      <c r="AB986" s="174"/>
      <c r="AC986" s="174"/>
    </row>
    <row r="987" spans="1:29" ht="12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  <c r="AA987" s="174"/>
      <c r="AB987" s="174"/>
      <c r="AC987" s="174"/>
    </row>
    <row r="988" spans="1:29" ht="12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  <c r="AA988" s="174"/>
      <c r="AB988" s="174"/>
      <c r="AC988" s="174"/>
    </row>
    <row r="989" spans="1:29" ht="12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  <c r="AA989" s="174"/>
      <c r="AB989" s="174"/>
      <c r="AC989" s="174"/>
    </row>
    <row r="990" spans="1:29" ht="12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  <c r="AA990" s="174"/>
      <c r="AB990" s="174"/>
      <c r="AC990" s="174"/>
    </row>
    <row r="991" spans="1:29" ht="12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  <c r="AA991" s="174"/>
      <c r="AB991" s="174"/>
      <c r="AC991" s="174"/>
    </row>
    <row r="992" spans="1:29" ht="12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  <c r="AA992" s="174"/>
      <c r="AB992" s="174"/>
      <c r="AC992" s="174"/>
    </row>
    <row r="993" spans="1:29" ht="12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  <c r="AA993" s="174"/>
      <c r="AB993" s="174"/>
      <c r="AC993" s="174"/>
    </row>
    <row r="994" spans="1:29" ht="12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  <c r="AA994" s="174"/>
      <c r="AB994" s="174"/>
      <c r="AC994" s="174"/>
    </row>
    <row r="995" spans="1:29" ht="12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  <c r="AA995" s="174"/>
      <c r="AB995" s="174"/>
      <c r="AC995" s="174"/>
    </row>
    <row r="996" spans="1:29" ht="12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  <c r="AA996" s="174"/>
      <c r="AB996" s="174"/>
      <c r="AC996" s="174"/>
    </row>
    <row r="997" spans="1:29" ht="12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  <c r="AA997" s="174"/>
      <c r="AB997" s="174"/>
      <c r="AC997" s="174"/>
    </row>
    <row r="998" spans="1:29" ht="12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  <c r="AA998" s="174"/>
      <c r="AB998" s="174"/>
      <c r="AC998" s="174"/>
    </row>
    <row r="999" spans="1:29" ht="12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  <c r="AA999" s="174"/>
      <c r="AB999" s="174"/>
      <c r="AC999" s="174"/>
    </row>
    <row r="1000" spans="1:29" ht="12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  <c r="AA1000" s="174"/>
      <c r="AB1000" s="174"/>
      <c r="AC1000" s="174"/>
    </row>
  </sheetData>
  <mergeCells count="123">
    <mergeCell ref="T14:U14"/>
    <mergeCell ref="V14:W14"/>
    <mergeCell ref="X14:Y14"/>
    <mergeCell ref="Z14:AA14"/>
    <mergeCell ref="AB14:AC14"/>
    <mergeCell ref="T15:U15"/>
    <mergeCell ref="V15:W15"/>
    <mergeCell ref="X15:Y15"/>
    <mergeCell ref="Z15:AA15"/>
    <mergeCell ref="AB15:AC15"/>
    <mergeCell ref="F15:G15"/>
    <mergeCell ref="H15:I15"/>
    <mergeCell ref="J15:K15"/>
    <mergeCell ref="L15:M15"/>
    <mergeCell ref="N15:O15"/>
    <mergeCell ref="P15:Q15"/>
    <mergeCell ref="R15:S15"/>
    <mergeCell ref="C8:D8"/>
    <mergeCell ref="C9:D9"/>
    <mergeCell ref="F14:G14"/>
    <mergeCell ref="H14:I14"/>
    <mergeCell ref="J14:K14"/>
    <mergeCell ref="L14:M14"/>
    <mergeCell ref="N14:O14"/>
    <mergeCell ref="P14:Q14"/>
    <mergeCell ref="R14:S1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121:E121"/>
    <mergeCell ref="C122:E122"/>
    <mergeCell ref="C123:E123"/>
    <mergeCell ref="C124:E124"/>
    <mergeCell ref="C125:E125"/>
    <mergeCell ref="C126:E126"/>
    <mergeCell ref="C59:E59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3:E83"/>
    <mergeCell ref="C84:E84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44:E144"/>
    <mergeCell ref="C145:E145"/>
    <mergeCell ref="C146:E146"/>
    <mergeCell ref="C147:E147"/>
    <mergeCell ref="C148:E148"/>
    <mergeCell ref="C149:E149"/>
    <mergeCell ref="C137:E137"/>
    <mergeCell ref="C138:E138"/>
    <mergeCell ref="C139:E139"/>
    <mergeCell ref="C140:E140"/>
    <mergeCell ref="C141:E141"/>
    <mergeCell ref="C142:E142"/>
    <mergeCell ref="C143:E143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14:E114"/>
    <mergeCell ref="C115:E115"/>
    <mergeCell ref="C116:E116"/>
    <mergeCell ref="C117:E117"/>
    <mergeCell ref="C118:E118"/>
    <mergeCell ref="C119:E119"/>
    <mergeCell ref="C120:E120"/>
    <mergeCell ref="C103:E103"/>
    <mergeCell ref="C106:E106"/>
    <mergeCell ref="C107:E107"/>
    <mergeCell ref="C108:E108"/>
    <mergeCell ref="C109:E109"/>
    <mergeCell ref="C110:E110"/>
    <mergeCell ref="C111:E111"/>
    <mergeCell ref="C112:E112"/>
    <mergeCell ref="C113:E113"/>
  </mergeCells>
  <pageMargins left="0.7" right="0.7" top="0.75" bottom="0.75" header="0" footer="0"/>
  <pageSetup orientation="landscape"/>
  <headerFooter>
    <oddFooter>&amp;RSABAK - STANDARD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64"/>
  <sheetViews>
    <sheetView showGridLines="0" workbookViewId="0">
      <selection activeCell="E7" sqref="E7:E53"/>
    </sheetView>
  </sheetViews>
  <sheetFormatPr defaultColWidth="12.42578125" defaultRowHeight="15" customHeight="1"/>
  <cols>
    <col min="1" max="1" width="9.7109375" customWidth="1"/>
    <col min="2" max="3" width="8" customWidth="1"/>
    <col min="4" max="4" width="18.42578125" bestFit="1" customWidth="1"/>
    <col min="5" max="5" width="16.28515625" bestFit="1" customWidth="1"/>
    <col min="6" max="6" width="12.7109375" customWidth="1"/>
    <col min="7" max="7" width="16.140625" customWidth="1"/>
    <col min="8" max="8" width="8" customWidth="1"/>
    <col min="9" max="9" width="18.7109375" customWidth="1"/>
    <col min="10" max="10" width="8" customWidth="1"/>
    <col min="11" max="11" width="17.7109375" customWidth="1"/>
    <col min="12" max="17" width="8" customWidth="1"/>
  </cols>
  <sheetData>
    <row r="1" spans="1:17" ht="12" customHeight="1">
      <c r="D1" s="15" t="s">
        <v>702</v>
      </c>
      <c r="E1" s="163">
        <v>0</v>
      </c>
      <c r="F1" s="15" t="str">
        <f>Historical!B13</f>
        <v>IDR Million</v>
      </c>
    </row>
    <row r="2" spans="1:17" ht="12" customHeight="1">
      <c r="D2" s="15" t="s">
        <v>703</v>
      </c>
      <c r="E2" s="163">
        <v>0</v>
      </c>
      <c r="F2" s="15" t="s">
        <v>664</v>
      </c>
    </row>
    <row r="3" spans="1:17" ht="12" customHeight="1">
      <c r="D3" s="15" t="s">
        <v>704</v>
      </c>
      <c r="E3" s="164">
        <v>0</v>
      </c>
    </row>
    <row r="4" spans="1:17" ht="12" customHeight="1"/>
    <row r="5" spans="1:17" ht="12.75" customHeight="1">
      <c r="A5" s="162"/>
      <c r="B5" s="162" t="s">
        <v>705</v>
      </c>
      <c r="C5" s="162" t="s">
        <v>664</v>
      </c>
      <c r="D5" s="162" t="s">
        <v>706</v>
      </c>
      <c r="E5" s="754" t="s">
        <v>707</v>
      </c>
      <c r="F5" s="755" t="s">
        <v>704</v>
      </c>
      <c r="G5" s="162" t="s">
        <v>708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ht="12" customHeight="1">
      <c r="A6" s="751"/>
      <c r="B6" s="587">
        <v>1</v>
      </c>
      <c r="C6" s="588">
        <f>+DATE(2018,1,1)</f>
        <v>43101</v>
      </c>
      <c r="D6" s="589">
        <f>E1</f>
        <v>0</v>
      </c>
      <c r="E6" s="589">
        <v>0</v>
      </c>
      <c r="F6" s="589"/>
      <c r="G6" s="163">
        <f>+D6-E6</f>
        <v>0</v>
      </c>
      <c r="I6" s="163"/>
    </row>
    <row r="7" spans="1:17" ht="12" customHeight="1">
      <c r="A7" s="751"/>
      <c r="B7" s="15">
        <f t="shared" ref="B7:B53" si="0">+B6+1</f>
        <v>2</v>
      </c>
      <c r="C7" s="170">
        <f t="shared" ref="C7:C17" si="1">C6+31</f>
        <v>43132</v>
      </c>
      <c r="D7" s="163">
        <f>+G6</f>
        <v>0</v>
      </c>
      <c r="F7" s="163"/>
      <c r="G7" s="163">
        <f>+D7-E7</f>
        <v>0</v>
      </c>
      <c r="I7" s="163"/>
      <c r="K7" s="163">
        <f>+E10*13600</f>
        <v>0</v>
      </c>
    </row>
    <row r="8" spans="1:17" ht="12" customHeight="1">
      <c r="B8" s="15">
        <f t="shared" si="0"/>
        <v>3</v>
      </c>
      <c r="C8" s="170">
        <f t="shared" si="1"/>
        <v>43163</v>
      </c>
      <c r="D8" s="163">
        <f t="shared" ref="D8:D53" si="2">+G7</f>
        <v>0</v>
      </c>
      <c r="E8" s="753"/>
      <c r="F8" s="163">
        <f>(D6*$E$3/12)+(D7*$E$3/12)+(D8*$E$3/12)</f>
        <v>0</v>
      </c>
      <c r="G8" s="163">
        <f>+D8-E8</f>
        <v>0</v>
      </c>
    </row>
    <row r="9" spans="1:17" ht="12" customHeight="1">
      <c r="B9" s="15">
        <f t="shared" si="0"/>
        <v>4</v>
      </c>
      <c r="C9" s="170">
        <f t="shared" si="1"/>
        <v>43194</v>
      </c>
      <c r="D9" s="163">
        <f t="shared" si="2"/>
        <v>0</v>
      </c>
      <c r="E9" s="163"/>
      <c r="F9" s="163"/>
      <c r="G9" s="163">
        <f t="shared" ref="G9:G53" si="3">+D9-E9</f>
        <v>0</v>
      </c>
    </row>
    <row r="10" spans="1:17" ht="12" customHeight="1">
      <c r="B10" s="15">
        <f t="shared" si="0"/>
        <v>5</v>
      </c>
      <c r="C10" s="170">
        <f t="shared" si="1"/>
        <v>43225</v>
      </c>
      <c r="D10" s="163">
        <f t="shared" si="2"/>
        <v>0</v>
      </c>
      <c r="E10" s="163"/>
      <c r="F10" s="163"/>
      <c r="G10" s="163">
        <f>+D10-E10</f>
        <v>0</v>
      </c>
    </row>
    <row r="11" spans="1:17" ht="12" customHeight="1">
      <c r="A11" s="752"/>
      <c r="B11" s="15">
        <f t="shared" si="0"/>
        <v>6</v>
      </c>
      <c r="C11" s="170">
        <f t="shared" si="1"/>
        <v>43256</v>
      </c>
      <c r="D11" s="163">
        <f t="shared" si="2"/>
        <v>0</v>
      </c>
      <c r="E11" s="753"/>
      <c r="F11" s="163">
        <f>(D9*$E$3/12)+(D10*$E$3/12)+(D11*$E$3/12)</f>
        <v>0</v>
      </c>
      <c r="G11" s="163">
        <f t="shared" si="3"/>
        <v>0</v>
      </c>
      <c r="I11" s="751"/>
    </row>
    <row r="12" spans="1:17" ht="12" customHeight="1">
      <c r="B12" s="15">
        <f t="shared" si="0"/>
        <v>7</v>
      </c>
      <c r="C12" s="170">
        <f t="shared" si="1"/>
        <v>43287</v>
      </c>
      <c r="D12" s="163">
        <f t="shared" si="2"/>
        <v>0</v>
      </c>
      <c r="E12" s="163"/>
      <c r="F12" s="163"/>
      <c r="G12" s="163">
        <f t="shared" si="3"/>
        <v>0</v>
      </c>
    </row>
    <row r="13" spans="1:17" ht="12" customHeight="1">
      <c r="B13" s="15">
        <f t="shared" si="0"/>
        <v>8</v>
      </c>
      <c r="C13" s="170">
        <f t="shared" si="1"/>
        <v>43318</v>
      </c>
      <c r="D13" s="163">
        <f t="shared" si="2"/>
        <v>0</v>
      </c>
      <c r="E13" s="163"/>
      <c r="F13" s="163"/>
      <c r="G13" s="163">
        <f t="shared" si="3"/>
        <v>0</v>
      </c>
    </row>
    <row r="14" spans="1:17" ht="12" customHeight="1">
      <c r="B14" s="15">
        <f t="shared" si="0"/>
        <v>9</v>
      </c>
      <c r="C14" s="170">
        <f t="shared" si="1"/>
        <v>43349</v>
      </c>
      <c r="D14" s="163">
        <f t="shared" si="2"/>
        <v>0</v>
      </c>
      <c r="E14" s="753"/>
      <c r="F14" s="163">
        <f>(D12*$E$3/12)+(D13*$E$3/12)+(D14*$E$3/12)</f>
        <v>0</v>
      </c>
      <c r="G14" s="163">
        <f t="shared" si="3"/>
        <v>0</v>
      </c>
    </row>
    <row r="15" spans="1:17" ht="12" customHeight="1">
      <c r="B15" s="15">
        <f t="shared" si="0"/>
        <v>10</v>
      </c>
      <c r="C15" s="170">
        <f t="shared" si="1"/>
        <v>43380</v>
      </c>
      <c r="D15" s="163">
        <f t="shared" si="2"/>
        <v>0</v>
      </c>
      <c r="E15" s="163"/>
      <c r="F15" s="163"/>
      <c r="G15" s="163">
        <f t="shared" si="3"/>
        <v>0</v>
      </c>
    </row>
    <row r="16" spans="1:17" ht="12" customHeight="1">
      <c r="B16" s="15">
        <f t="shared" si="0"/>
        <v>11</v>
      </c>
      <c r="C16" s="170">
        <f t="shared" si="1"/>
        <v>43411</v>
      </c>
      <c r="D16" s="163">
        <f t="shared" si="2"/>
        <v>0</v>
      </c>
      <c r="E16" s="163"/>
      <c r="F16" s="163"/>
      <c r="G16" s="163">
        <f t="shared" si="3"/>
        <v>0</v>
      </c>
    </row>
    <row r="17" spans="2:7" ht="12" customHeight="1">
      <c r="B17" s="15">
        <f t="shared" si="0"/>
        <v>12</v>
      </c>
      <c r="C17" s="170">
        <f t="shared" si="1"/>
        <v>43442</v>
      </c>
      <c r="D17" s="163">
        <f t="shared" si="2"/>
        <v>0</v>
      </c>
      <c r="E17" s="753"/>
      <c r="F17" s="163">
        <f>(D15*$E$3/12)+(D16*$E$3/12)+(D17*$E$3/12)</f>
        <v>0</v>
      </c>
      <c r="G17" s="163">
        <f t="shared" si="3"/>
        <v>0</v>
      </c>
    </row>
    <row r="18" spans="2:7" ht="12" customHeight="1">
      <c r="B18" s="15">
        <f t="shared" si="0"/>
        <v>13</v>
      </c>
      <c r="C18" s="170">
        <f>DATE(2019,1,1)</f>
        <v>43466</v>
      </c>
      <c r="D18" s="163">
        <f t="shared" si="2"/>
        <v>0</v>
      </c>
      <c r="E18" s="163"/>
      <c r="F18" s="163"/>
      <c r="G18" s="163">
        <f t="shared" si="3"/>
        <v>0</v>
      </c>
    </row>
    <row r="19" spans="2:7" ht="12" customHeight="1">
      <c r="B19" s="15">
        <f t="shared" si="0"/>
        <v>14</v>
      </c>
      <c r="C19" s="170">
        <f t="shared" ref="C19:C29" si="4">C18+31</f>
        <v>43497</v>
      </c>
      <c r="D19" s="163">
        <f t="shared" si="2"/>
        <v>0</v>
      </c>
      <c r="E19" s="163"/>
      <c r="F19" s="163"/>
      <c r="G19" s="163">
        <f t="shared" si="3"/>
        <v>0</v>
      </c>
    </row>
    <row r="20" spans="2:7" ht="12" customHeight="1">
      <c r="B20" s="15">
        <f t="shared" si="0"/>
        <v>15</v>
      </c>
      <c r="C20" s="170">
        <f t="shared" si="4"/>
        <v>43528</v>
      </c>
      <c r="D20" s="163">
        <f t="shared" si="2"/>
        <v>0</v>
      </c>
      <c r="E20" s="753"/>
      <c r="F20" s="163">
        <f>(D18*$E$3/12)+(D19*$E$3/12)+(D20*$E$3/12)</f>
        <v>0</v>
      </c>
      <c r="G20" s="163">
        <f t="shared" si="3"/>
        <v>0</v>
      </c>
    </row>
    <row r="21" spans="2:7" ht="12" customHeight="1">
      <c r="B21" s="15">
        <f t="shared" si="0"/>
        <v>16</v>
      </c>
      <c r="C21" s="170">
        <f t="shared" si="4"/>
        <v>43559</v>
      </c>
      <c r="D21" s="163">
        <f t="shared" si="2"/>
        <v>0</v>
      </c>
      <c r="E21" s="163"/>
      <c r="F21" s="163"/>
      <c r="G21" s="163">
        <f t="shared" si="3"/>
        <v>0</v>
      </c>
    </row>
    <row r="22" spans="2:7" ht="12" customHeight="1">
      <c r="B22" s="15">
        <f t="shared" si="0"/>
        <v>17</v>
      </c>
      <c r="C22" s="170">
        <f t="shared" si="4"/>
        <v>43590</v>
      </c>
      <c r="D22" s="163">
        <f t="shared" si="2"/>
        <v>0</v>
      </c>
      <c r="E22" s="163"/>
      <c r="F22" s="163"/>
      <c r="G22" s="163">
        <f t="shared" si="3"/>
        <v>0</v>
      </c>
    </row>
    <row r="23" spans="2:7" ht="12" customHeight="1">
      <c r="B23" s="15">
        <f t="shared" si="0"/>
        <v>18</v>
      </c>
      <c r="C23" s="170">
        <f t="shared" si="4"/>
        <v>43621</v>
      </c>
      <c r="D23" s="163">
        <f t="shared" si="2"/>
        <v>0</v>
      </c>
      <c r="E23" s="753"/>
      <c r="F23" s="163">
        <f>(D21*$E$3/12)+(D22*$E$3/12)+(D23*$E$3/12)</f>
        <v>0</v>
      </c>
      <c r="G23" s="163">
        <f t="shared" si="3"/>
        <v>0</v>
      </c>
    </row>
    <row r="24" spans="2:7" ht="12" customHeight="1">
      <c r="B24" s="15">
        <f t="shared" si="0"/>
        <v>19</v>
      </c>
      <c r="C24" s="170">
        <f t="shared" si="4"/>
        <v>43652</v>
      </c>
      <c r="D24" s="163">
        <f t="shared" si="2"/>
        <v>0</v>
      </c>
      <c r="E24" s="163"/>
      <c r="F24" s="163"/>
      <c r="G24" s="163">
        <f t="shared" si="3"/>
        <v>0</v>
      </c>
    </row>
    <row r="25" spans="2:7" ht="12" customHeight="1">
      <c r="B25" s="15">
        <f t="shared" si="0"/>
        <v>20</v>
      </c>
      <c r="C25" s="170">
        <f t="shared" si="4"/>
        <v>43683</v>
      </c>
      <c r="D25" s="163">
        <f t="shared" si="2"/>
        <v>0</v>
      </c>
      <c r="E25" s="163"/>
      <c r="F25" s="163"/>
      <c r="G25" s="163">
        <f t="shared" si="3"/>
        <v>0</v>
      </c>
    </row>
    <row r="26" spans="2:7" ht="12" customHeight="1">
      <c r="B26" s="15">
        <f t="shared" si="0"/>
        <v>21</v>
      </c>
      <c r="C26" s="170">
        <f t="shared" si="4"/>
        <v>43714</v>
      </c>
      <c r="D26" s="163">
        <f t="shared" si="2"/>
        <v>0</v>
      </c>
      <c r="E26" s="753"/>
      <c r="F26" s="163">
        <f>(D24*$E$3/12)+(D25*$E$3/12)+(D26*$E$3/12)</f>
        <v>0</v>
      </c>
      <c r="G26" s="163">
        <f t="shared" si="3"/>
        <v>0</v>
      </c>
    </row>
    <row r="27" spans="2:7" ht="12" customHeight="1">
      <c r="B27" s="15">
        <f t="shared" si="0"/>
        <v>22</v>
      </c>
      <c r="C27" s="170">
        <f t="shared" si="4"/>
        <v>43745</v>
      </c>
      <c r="D27" s="163">
        <f t="shared" si="2"/>
        <v>0</v>
      </c>
      <c r="E27" s="163"/>
      <c r="F27" s="163"/>
      <c r="G27" s="163">
        <f t="shared" si="3"/>
        <v>0</v>
      </c>
    </row>
    <row r="28" spans="2:7" ht="12" customHeight="1">
      <c r="B28" s="15">
        <f t="shared" si="0"/>
        <v>23</v>
      </c>
      <c r="C28" s="170">
        <f t="shared" si="4"/>
        <v>43776</v>
      </c>
      <c r="D28" s="163">
        <f t="shared" si="2"/>
        <v>0</v>
      </c>
      <c r="E28" s="163"/>
      <c r="F28" s="163"/>
      <c r="G28" s="163">
        <f t="shared" si="3"/>
        <v>0</v>
      </c>
    </row>
    <row r="29" spans="2:7" ht="12" customHeight="1">
      <c r="B29" s="15">
        <f t="shared" si="0"/>
        <v>24</v>
      </c>
      <c r="C29" s="170">
        <f t="shared" si="4"/>
        <v>43807</v>
      </c>
      <c r="D29" s="163">
        <f t="shared" si="2"/>
        <v>0</v>
      </c>
      <c r="E29" s="753"/>
      <c r="F29" s="163">
        <f>(D27*$E$3/12)+(D28*$E$3/12)+(D29*$E$3/12)</f>
        <v>0</v>
      </c>
      <c r="G29" s="163">
        <f t="shared" si="3"/>
        <v>0</v>
      </c>
    </row>
    <row r="30" spans="2:7" ht="12" customHeight="1">
      <c r="B30" s="15">
        <f t="shared" si="0"/>
        <v>25</v>
      </c>
      <c r="C30" s="170">
        <f>DATE(2020,1,1)</f>
        <v>43831</v>
      </c>
      <c r="D30" s="163">
        <f t="shared" si="2"/>
        <v>0</v>
      </c>
      <c r="E30" s="163"/>
      <c r="F30" s="163"/>
      <c r="G30" s="163">
        <f t="shared" si="3"/>
        <v>0</v>
      </c>
    </row>
    <row r="31" spans="2:7" ht="12" customHeight="1">
      <c r="B31" s="15">
        <f t="shared" si="0"/>
        <v>26</v>
      </c>
      <c r="C31" s="170">
        <f t="shared" ref="C31:C41" si="5">C30+31</f>
        <v>43862</v>
      </c>
      <c r="D31" s="163">
        <f t="shared" si="2"/>
        <v>0</v>
      </c>
      <c r="E31" s="163"/>
      <c r="F31" s="163"/>
      <c r="G31" s="163">
        <f t="shared" si="3"/>
        <v>0</v>
      </c>
    </row>
    <row r="32" spans="2:7" ht="12" customHeight="1">
      <c r="B32" s="15">
        <f t="shared" si="0"/>
        <v>27</v>
      </c>
      <c r="C32" s="170">
        <f t="shared" si="5"/>
        <v>43893</v>
      </c>
      <c r="D32" s="163">
        <f t="shared" si="2"/>
        <v>0</v>
      </c>
      <c r="E32" s="753"/>
      <c r="F32" s="163">
        <f>(D30*$E$3/12)+(D31*$E$3/12)+(D32*$E$3/12)</f>
        <v>0</v>
      </c>
      <c r="G32" s="163">
        <f t="shared" si="3"/>
        <v>0</v>
      </c>
    </row>
    <row r="33" spans="2:7" ht="12" customHeight="1">
      <c r="B33" s="15">
        <f t="shared" si="0"/>
        <v>28</v>
      </c>
      <c r="C33" s="170">
        <f t="shared" si="5"/>
        <v>43924</v>
      </c>
      <c r="D33" s="163">
        <f t="shared" si="2"/>
        <v>0</v>
      </c>
      <c r="E33" s="163"/>
      <c r="F33" s="163"/>
      <c r="G33" s="163">
        <f t="shared" si="3"/>
        <v>0</v>
      </c>
    </row>
    <row r="34" spans="2:7" ht="12" customHeight="1">
      <c r="B34" s="15">
        <f t="shared" si="0"/>
        <v>29</v>
      </c>
      <c r="C34" s="170">
        <f t="shared" si="5"/>
        <v>43955</v>
      </c>
      <c r="D34" s="163">
        <f t="shared" si="2"/>
        <v>0</v>
      </c>
      <c r="E34" s="163"/>
      <c r="F34" s="163"/>
      <c r="G34" s="163">
        <f t="shared" si="3"/>
        <v>0</v>
      </c>
    </row>
    <row r="35" spans="2:7" ht="12" customHeight="1">
      <c r="B35" s="15">
        <f t="shared" si="0"/>
        <v>30</v>
      </c>
      <c r="C35" s="170">
        <f t="shared" si="5"/>
        <v>43986</v>
      </c>
      <c r="D35" s="163">
        <f t="shared" si="2"/>
        <v>0</v>
      </c>
      <c r="E35" s="753"/>
      <c r="F35" s="163">
        <f>(D33*$E$3/12)+(D34*$E$3/12)+(D35*$E$3/12)</f>
        <v>0</v>
      </c>
      <c r="G35" s="163">
        <f t="shared" si="3"/>
        <v>0</v>
      </c>
    </row>
    <row r="36" spans="2:7" ht="12" customHeight="1">
      <c r="B36" s="15">
        <f t="shared" si="0"/>
        <v>31</v>
      </c>
      <c r="C36" s="170">
        <f t="shared" si="5"/>
        <v>44017</v>
      </c>
      <c r="D36" s="163">
        <f t="shared" si="2"/>
        <v>0</v>
      </c>
      <c r="E36" s="163"/>
      <c r="F36" s="163"/>
      <c r="G36" s="163">
        <f t="shared" si="3"/>
        <v>0</v>
      </c>
    </row>
    <row r="37" spans="2:7" ht="12" customHeight="1">
      <c r="B37" s="15">
        <f t="shared" si="0"/>
        <v>32</v>
      </c>
      <c r="C37" s="170">
        <f t="shared" si="5"/>
        <v>44048</v>
      </c>
      <c r="D37" s="163">
        <f t="shared" si="2"/>
        <v>0</v>
      </c>
      <c r="E37" s="163"/>
      <c r="F37" s="163"/>
      <c r="G37" s="163">
        <f t="shared" si="3"/>
        <v>0</v>
      </c>
    </row>
    <row r="38" spans="2:7" ht="12" customHeight="1">
      <c r="B38" s="15">
        <f t="shared" si="0"/>
        <v>33</v>
      </c>
      <c r="C38" s="170">
        <f t="shared" si="5"/>
        <v>44079</v>
      </c>
      <c r="D38" s="163">
        <f t="shared" si="2"/>
        <v>0</v>
      </c>
      <c r="E38" s="753"/>
      <c r="F38" s="163">
        <f>(D36*$E$3/12)+(D37*$E$3/12)+(D38*$E$3/12)</f>
        <v>0</v>
      </c>
      <c r="G38" s="163">
        <f t="shared" si="3"/>
        <v>0</v>
      </c>
    </row>
    <row r="39" spans="2:7" ht="12" customHeight="1">
      <c r="B39" s="15">
        <f t="shared" si="0"/>
        <v>34</v>
      </c>
      <c r="C39" s="170">
        <f t="shared" si="5"/>
        <v>44110</v>
      </c>
      <c r="D39" s="163">
        <f t="shared" si="2"/>
        <v>0</v>
      </c>
      <c r="E39" s="163"/>
      <c r="F39" s="163"/>
      <c r="G39" s="163">
        <f t="shared" si="3"/>
        <v>0</v>
      </c>
    </row>
    <row r="40" spans="2:7" ht="12" customHeight="1">
      <c r="B40" s="15">
        <f t="shared" si="0"/>
        <v>35</v>
      </c>
      <c r="C40" s="170">
        <f t="shared" si="5"/>
        <v>44141</v>
      </c>
      <c r="D40" s="163">
        <f t="shared" si="2"/>
        <v>0</v>
      </c>
      <c r="E40" s="163"/>
      <c r="F40" s="163"/>
      <c r="G40" s="163">
        <f t="shared" si="3"/>
        <v>0</v>
      </c>
    </row>
    <row r="41" spans="2:7" ht="12" customHeight="1">
      <c r="B41" s="15">
        <f t="shared" si="0"/>
        <v>36</v>
      </c>
      <c r="C41" s="170">
        <f t="shared" si="5"/>
        <v>44172</v>
      </c>
      <c r="D41" s="163">
        <f t="shared" si="2"/>
        <v>0</v>
      </c>
      <c r="E41" s="753"/>
      <c r="F41" s="163">
        <f>(D39*$E$3/12)+(D40*$E$3/12)+(D41*$E$3/12)</f>
        <v>0</v>
      </c>
      <c r="G41" s="163">
        <f t="shared" si="3"/>
        <v>0</v>
      </c>
    </row>
    <row r="42" spans="2:7" ht="12" customHeight="1">
      <c r="B42" s="15">
        <f t="shared" si="0"/>
        <v>37</v>
      </c>
      <c r="C42" s="170">
        <f>DATE(2021,1,1)</f>
        <v>44197</v>
      </c>
      <c r="D42" s="163">
        <f t="shared" si="2"/>
        <v>0</v>
      </c>
      <c r="E42" s="163"/>
      <c r="F42" s="163"/>
      <c r="G42" s="163">
        <f t="shared" si="3"/>
        <v>0</v>
      </c>
    </row>
    <row r="43" spans="2:7" ht="12" customHeight="1">
      <c r="B43" s="15">
        <f t="shared" si="0"/>
        <v>38</v>
      </c>
      <c r="C43" s="170">
        <f t="shared" ref="C43:C53" si="6">C42+31</f>
        <v>44228</v>
      </c>
      <c r="D43" s="163">
        <f t="shared" si="2"/>
        <v>0</v>
      </c>
      <c r="E43" s="163"/>
      <c r="F43" s="163"/>
      <c r="G43" s="163">
        <f t="shared" si="3"/>
        <v>0</v>
      </c>
    </row>
    <row r="44" spans="2:7" ht="12" customHeight="1">
      <c r="B44" s="15">
        <f t="shared" si="0"/>
        <v>39</v>
      </c>
      <c r="C44" s="170">
        <f t="shared" si="6"/>
        <v>44259</v>
      </c>
      <c r="D44" s="163">
        <f t="shared" si="2"/>
        <v>0</v>
      </c>
      <c r="E44" s="753"/>
      <c r="F44" s="163">
        <f>(D42*$E$3/12)+(D43*$E$3/12)+(D44*$E$3/12)</f>
        <v>0</v>
      </c>
      <c r="G44" s="163">
        <f t="shared" si="3"/>
        <v>0</v>
      </c>
    </row>
    <row r="45" spans="2:7" ht="12" customHeight="1">
      <c r="B45" s="15">
        <f t="shared" si="0"/>
        <v>40</v>
      </c>
      <c r="C45" s="170">
        <f t="shared" si="6"/>
        <v>44290</v>
      </c>
      <c r="D45" s="163">
        <f t="shared" si="2"/>
        <v>0</v>
      </c>
      <c r="E45" s="163"/>
      <c r="F45" s="163"/>
      <c r="G45" s="163">
        <f t="shared" si="3"/>
        <v>0</v>
      </c>
    </row>
    <row r="46" spans="2:7" ht="12" customHeight="1">
      <c r="B46" s="15">
        <f t="shared" si="0"/>
        <v>41</v>
      </c>
      <c r="C46" s="170">
        <f t="shared" si="6"/>
        <v>44321</v>
      </c>
      <c r="D46" s="163">
        <f t="shared" si="2"/>
        <v>0</v>
      </c>
      <c r="E46" s="163"/>
      <c r="F46" s="163"/>
      <c r="G46" s="163">
        <f t="shared" si="3"/>
        <v>0</v>
      </c>
    </row>
    <row r="47" spans="2:7" ht="12" customHeight="1">
      <c r="B47" s="15">
        <f t="shared" si="0"/>
        <v>42</v>
      </c>
      <c r="C47" s="170">
        <f t="shared" si="6"/>
        <v>44352</v>
      </c>
      <c r="D47" s="163">
        <f t="shared" si="2"/>
        <v>0</v>
      </c>
      <c r="E47" s="753"/>
      <c r="F47" s="163">
        <f>(D45*$E$3/12)+(D46*$E$3/12)+(D47*$E$3/12)</f>
        <v>0</v>
      </c>
      <c r="G47" s="163">
        <f t="shared" si="3"/>
        <v>0</v>
      </c>
    </row>
    <row r="48" spans="2:7" ht="12" customHeight="1">
      <c r="B48" s="15">
        <f t="shared" si="0"/>
        <v>43</v>
      </c>
      <c r="C48" s="170">
        <f t="shared" si="6"/>
        <v>44383</v>
      </c>
      <c r="D48" s="163">
        <f t="shared" si="2"/>
        <v>0</v>
      </c>
      <c r="E48" s="163"/>
      <c r="F48" s="163"/>
      <c r="G48" s="163">
        <f t="shared" si="3"/>
        <v>0</v>
      </c>
    </row>
    <row r="49" spans="2:7" ht="12" customHeight="1">
      <c r="B49" s="15">
        <f t="shared" si="0"/>
        <v>44</v>
      </c>
      <c r="C49" s="170">
        <f t="shared" si="6"/>
        <v>44414</v>
      </c>
      <c r="D49" s="163">
        <f t="shared" si="2"/>
        <v>0</v>
      </c>
      <c r="E49" s="163"/>
      <c r="F49" s="163"/>
      <c r="G49" s="163">
        <f t="shared" si="3"/>
        <v>0</v>
      </c>
    </row>
    <row r="50" spans="2:7" ht="12" customHeight="1">
      <c r="B50" s="15">
        <f t="shared" si="0"/>
        <v>45</v>
      </c>
      <c r="C50" s="170">
        <f t="shared" si="6"/>
        <v>44445</v>
      </c>
      <c r="D50" s="163">
        <f t="shared" si="2"/>
        <v>0</v>
      </c>
      <c r="E50" s="753"/>
      <c r="F50" s="163">
        <f>(D48*$E$3/12)+(D49*$E$3/12)+(D50*$E$3/12)</f>
        <v>0</v>
      </c>
      <c r="G50" s="163">
        <f t="shared" si="3"/>
        <v>0</v>
      </c>
    </row>
    <row r="51" spans="2:7" ht="12" customHeight="1">
      <c r="B51" s="15">
        <f t="shared" si="0"/>
        <v>46</v>
      </c>
      <c r="C51" s="170">
        <f t="shared" si="6"/>
        <v>44476</v>
      </c>
      <c r="D51" s="163">
        <f t="shared" si="2"/>
        <v>0</v>
      </c>
      <c r="E51" s="163"/>
      <c r="F51" s="163"/>
      <c r="G51" s="163">
        <f t="shared" si="3"/>
        <v>0</v>
      </c>
    </row>
    <row r="52" spans="2:7" ht="12" customHeight="1">
      <c r="B52" s="15">
        <f t="shared" si="0"/>
        <v>47</v>
      </c>
      <c r="C52" s="170">
        <f t="shared" si="6"/>
        <v>44507</v>
      </c>
      <c r="D52" s="163">
        <f t="shared" si="2"/>
        <v>0</v>
      </c>
      <c r="E52" s="163"/>
      <c r="F52" s="163"/>
      <c r="G52" s="163">
        <f t="shared" si="3"/>
        <v>0</v>
      </c>
    </row>
    <row r="53" spans="2:7" ht="12" customHeight="1">
      <c r="B53" s="15">
        <f t="shared" si="0"/>
        <v>48</v>
      </c>
      <c r="C53" s="170">
        <f t="shared" si="6"/>
        <v>44538</v>
      </c>
      <c r="D53" s="163">
        <f t="shared" si="2"/>
        <v>0</v>
      </c>
      <c r="E53" s="753"/>
      <c r="F53" s="163">
        <f>(D51*$E$3/12)+(D52*$E$3/12)+(D53*$E$3/12)</f>
        <v>0</v>
      </c>
      <c r="G53" s="163">
        <f t="shared" si="3"/>
        <v>0</v>
      </c>
    </row>
    <row r="54" spans="2:7" ht="12" customHeight="1"/>
    <row r="55" spans="2:7" ht="12" customHeight="1"/>
    <row r="56" spans="2:7" ht="12" customHeight="1"/>
    <row r="57" spans="2:7" ht="12" customHeight="1"/>
    <row r="58" spans="2:7" ht="12" customHeight="1"/>
    <row r="59" spans="2:7" ht="12" customHeight="1"/>
    <row r="60" spans="2:7" ht="12" customHeight="1"/>
    <row r="61" spans="2:7" ht="12" customHeight="1"/>
    <row r="62" spans="2:7" ht="12" customHeight="1"/>
    <row r="63" spans="2:7" ht="12" customHeight="1"/>
    <row r="64" spans="2:7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C233-2F45-4F07-B5DB-1F3FE49D0CC1}">
  <dimension ref="B1:N54"/>
  <sheetViews>
    <sheetView topLeftCell="A29" workbookViewId="0">
      <selection activeCell="D35" sqref="D35"/>
    </sheetView>
  </sheetViews>
  <sheetFormatPr defaultColWidth="8.7109375" defaultRowHeight="12.6"/>
  <cols>
    <col min="2" max="2" width="26.42578125" customWidth="1"/>
    <col min="3" max="3" width="11.140625" customWidth="1"/>
    <col min="4" max="14" width="12.7109375" customWidth="1"/>
  </cols>
  <sheetData>
    <row r="1" spans="2:14" ht="12.95">
      <c r="B1" s="809" t="s">
        <v>709</v>
      </c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</row>
    <row r="2" spans="2:14" ht="12.95">
      <c r="B2" s="809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</row>
    <row r="3" spans="2:14" ht="12.95">
      <c r="B3" s="1638" t="s">
        <v>710</v>
      </c>
      <c r="C3" s="810"/>
      <c r="D3" s="817">
        <v>0</v>
      </c>
      <c r="E3" s="817">
        <v>1</v>
      </c>
      <c r="F3" s="817">
        <v>2</v>
      </c>
      <c r="G3" s="817">
        <v>3</v>
      </c>
      <c r="H3" s="817">
        <v>4</v>
      </c>
      <c r="I3" s="817">
        <v>5</v>
      </c>
      <c r="J3" s="817">
        <v>6</v>
      </c>
      <c r="K3" s="817">
        <v>7</v>
      </c>
      <c r="L3" s="817">
        <v>8</v>
      </c>
      <c r="M3" s="817">
        <v>9</v>
      </c>
      <c r="N3" s="817">
        <v>10</v>
      </c>
    </row>
    <row r="4" spans="2:14" ht="12.95">
      <c r="B4" s="1638"/>
      <c r="C4" s="809"/>
      <c r="D4" s="817">
        <f>YEAR(Projection!L7)</f>
        <v>2024</v>
      </c>
      <c r="E4" s="817">
        <f>YEAR(Projection!N7)</f>
        <v>2025</v>
      </c>
      <c r="F4" s="817">
        <f>YEAR(Projection!P7)</f>
        <v>2026</v>
      </c>
      <c r="G4" s="817">
        <f>YEAR(Projection!R7)</f>
        <v>2027</v>
      </c>
      <c r="H4" s="817">
        <f>YEAR(Projection!T7)</f>
        <v>2028</v>
      </c>
      <c r="I4" s="817">
        <f>H4+1</f>
        <v>2029</v>
      </c>
      <c r="J4" s="817">
        <f t="shared" ref="J4:N4" si="0">I4+1</f>
        <v>2030</v>
      </c>
      <c r="K4" s="817">
        <f t="shared" si="0"/>
        <v>2031</v>
      </c>
      <c r="L4" s="817">
        <f t="shared" si="0"/>
        <v>2032</v>
      </c>
      <c r="M4" s="817">
        <f t="shared" si="0"/>
        <v>2033</v>
      </c>
      <c r="N4" s="817">
        <f t="shared" si="0"/>
        <v>2034</v>
      </c>
    </row>
    <row r="5" spans="2:14" ht="12.95">
      <c r="B5" s="809" t="s">
        <v>711</v>
      </c>
      <c r="C5" s="809"/>
      <c r="D5" s="809"/>
      <c r="E5" s="809"/>
      <c r="F5" s="809"/>
      <c r="G5" s="809"/>
      <c r="H5" s="809"/>
      <c r="I5" s="809"/>
      <c r="J5" s="809"/>
      <c r="K5" s="809"/>
      <c r="L5" s="809"/>
      <c r="M5" s="809"/>
      <c r="N5" s="809"/>
    </row>
    <row r="6" spans="2:14" ht="12.95">
      <c r="B6" s="809" t="s">
        <v>712</v>
      </c>
      <c r="C6" s="809" t="str">
        <f>Historical!$B$13</f>
        <v>IDR Million</v>
      </c>
      <c r="D6" s="819">
        <v>0</v>
      </c>
      <c r="E6" s="820">
        <v>17643</v>
      </c>
      <c r="F6" s="820">
        <v>116657</v>
      </c>
      <c r="G6" s="820">
        <v>156579</v>
      </c>
      <c r="H6" s="820">
        <v>197116</v>
      </c>
      <c r="I6" s="820">
        <v>205986</v>
      </c>
      <c r="J6" s="820">
        <v>215256</v>
      </c>
      <c r="K6" s="820">
        <v>224942</v>
      </c>
      <c r="L6" s="820">
        <v>235065</v>
      </c>
      <c r="M6" s="820">
        <v>245643</v>
      </c>
      <c r="N6" s="820">
        <v>256696</v>
      </c>
    </row>
    <row r="7" spans="2:14" ht="12.95">
      <c r="B7" s="809" t="s">
        <v>713</v>
      </c>
      <c r="C7" s="809" t="str">
        <f>Historical!$B$13</f>
        <v>IDR Million</v>
      </c>
      <c r="D7" s="822">
        <f t="shared" ref="D7:N7" si="1">D6-(D6*$C$40)</f>
        <v>0</v>
      </c>
      <c r="E7" s="822">
        <f t="shared" si="1"/>
        <v>17643</v>
      </c>
      <c r="F7" s="822">
        <f t="shared" si="1"/>
        <v>116657</v>
      </c>
      <c r="G7" s="822">
        <f t="shared" si="1"/>
        <v>156579</v>
      </c>
      <c r="H7" s="822">
        <f t="shared" si="1"/>
        <v>197116</v>
      </c>
      <c r="I7" s="822">
        <f t="shared" si="1"/>
        <v>205986</v>
      </c>
      <c r="J7" s="822">
        <f t="shared" si="1"/>
        <v>215256</v>
      </c>
      <c r="K7" s="822">
        <f t="shared" si="1"/>
        <v>224942</v>
      </c>
      <c r="L7" s="822">
        <f t="shared" si="1"/>
        <v>235065</v>
      </c>
      <c r="M7" s="822">
        <f t="shared" si="1"/>
        <v>245643</v>
      </c>
      <c r="N7" s="822">
        <f t="shared" si="1"/>
        <v>256696</v>
      </c>
    </row>
    <row r="8" spans="2:14" ht="12.95">
      <c r="B8" s="809" t="s">
        <v>465</v>
      </c>
      <c r="C8" s="809" t="str">
        <f>Historical!$B$13</f>
        <v>IDR Million</v>
      </c>
      <c r="D8" s="819">
        <v>0</v>
      </c>
      <c r="E8" s="819">
        <v>11201</v>
      </c>
      <c r="F8" s="819">
        <v>71581</v>
      </c>
      <c r="G8" s="819">
        <v>90704</v>
      </c>
      <c r="H8" s="819">
        <v>116663</v>
      </c>
      <c r="I8" s="819">
        <v>122496</v>
      </c>
      <c r="J8" s="819">
        <v>128621</v>
      </c>
      <c r="K8" s="819">
        <v>135052</v>
      </c>
      <c r="L8" s="819">
        <v>141804</v>
      </c>
      <c r="M8" s="819">
        <v>148894</v>
      </c>
      <c r="N8" s="819">
        <v>156339</v>
      </c>
    </row>
    <row r="9" spans="2:14" ht="12.95">
      <c r="B9" s="809" t="s">
        <v>714</v>
      </c>
      <c r="C9" s="809" t="str">
        <f>Historical!$B$13</f>
        <v>IDR Million</v>
      </c>
      <c r="D9" s="822">
        <f t="shared" ref="D9:N9" si="2">D8+(D8*$C$41)</f>
        <v>0</v>
      </c>
      <c r="E9" s="822">
        <f t="shared" si="2"/>
        <v>11201</v>
      </c>
      <c r="F9" s="822">
        <f t="shared" si="2"/>
        <v>71581</v>
      </c>
      <c r="G9" s="822">
        <f t="shared" si="2"/>
        <v>90704</v>
      </c>
      <c r="H9" s="822">
        <f t="shared" si="2"/>
        <v>116663</v>
      </c>
      <c r="I9" s="822">
        <f t="shared" si="2"/>
        <v>122496</v>
      </c>
      <c r="J9" s="822">
        <f t="shared" si="2"/>
        <v>128621</v>
      </c>
      <c r="K9" s="822">
        <f t="shared" si="2"/>
        <v>135052</v>
      </c>
      <c r="L9" s="822">
        <f t="shared" si="2"/>
        <v>141804</v>
      </c>
      <c r="M9" s="822">
        <f t="shared" si="2"/>
        <v>148894</v>
      </c>
      <c r="N9" s="822">
        <f t="shared" si="2"/>
        <v>156339</v>
      </c>
    </row>
    <row r="10" spans="2:14" ht="12.95">
      <c r="B10" s="811" t="s">
        <v>715</v>
      </c>
      <c r="C10" s="811" t="str">
        <f>Historical!$B$13</f>
        <v>IDR Million</v>
      </c>
      <c r="D10" s="823">
        <f t="shared" ref="D10:N10" si="3">D7-D9</f>
        <v>0</v>
      </c>
      <c r="E10" s="823">
        <f t="shared" si="3"/>
        <v>6442</v>
      </c>
      <c r="F10" s="823">
        <f t="shared" si="3"/>
        <v>45076</v>
      </c>
      <c r="G10" s="823">
        <f t="shared" si="3"/>
        <v>65875</v>
      </c>
      <c r="H10" s="823">
        <f t="shared" si="3"/>
        <v>80453</v>
      </c>
      <c r="I10" s="823">
        <f t="shared" si="3"/>
        <v>83490</v>
      </c>
      <c r="J10" s="823">
        <f t="shared" si="3"/>
        <v>86635</v>
      </c>
      <c r="K10" s="823">
        <f t="shared" si="3"/>
        <v>89890</v>
      </c>
      <c r="L10" s="823">
        <f t="shared" si="3"/>
        <v>93261</v>
      </c>
      <c r="M10" s="823">
        <f t="shared" si="3"/>
        <v>96749</v>
      </c>
      <c r="N10" s="823">
        <f t="shared" si="3"/>
        <v>100357</v>
      </c>
    </row>
    <row r="11" spans="2:14" ht="12.95">
      <c r="B11" s="809" t="s">
        <v>716</v>
      </c>
      <c r="C11" s="809" t="str">
        <f>Historical!$B$13</f>
        <v>IDR Million</v>
      </c>
      <c r="D11" s="819">
        <v>0</v>
      </c>
      <c r="E11" s="819">
        <v>19749</v>
      </c>
      <c r="F11" s="819">
        <v>40695</v>
      </c>
      <c r="G11" s="819">
        <v>42163</v>
      </c>
      <c r="H11" s="819">
        <v>45644</v>
      </c>
      <c r="I11" s="819">
        <v>46938</v>
      </c>
      <c r="J11" s="819">
        <v>48248</v>
      </c>
      <c r="K11" s="819">
        <v>47666</v>
      </c>
      <c r="L11" s="819">
        <v>49054</v>
      </c>
      <c r="M11" s="819">
        <v>50638</v>
      </c>
      <c r="N11" s="819">
        <v>52036</v>
      </c>
    </row>
    <row r="12" spans="2:14" ht="12.95">
      <c r="B12" s="809" t="s">
        <v>717</v>
      </c>
      <c r="C12" s="809" t="str">
        <f>Historical!$B$13</f>
        <v>IDR Million</v>
      </c>
      <c r="D12" s="822">
        <f t="shared" ref="D12:N12" si="4">D11+(D11*$C$42)</f>
        <v>0</v>
      </c>
      <c r="E12" s="822">
        <f t="shared" si="4"/>
        <v>19749</v>
      </c>
      <c r="F12" s="822">
        <f t="shared" si="4"/>
        <v>40695</v>
      </c>
      <c r="G12" s="822">
        <f t="shared" si="4"/>
        <v>42163</v>
      </c>
      <c r="H12" s="822">
        <f t="shared" si="4"/>
        <v>45644</v>
      </c>
      <c r="I12" s="822">
        <f t="shared" si="4"/>
        <v>46938</v>
      </c>
      <c r="J12" s="822">
        <f t="shared" si="4"/>
        <v>48248</v>
      </c>
      <c r="K12" s="822">
        <f t="shared" si="4"/>
        <v>47666</v>
      </c>
      <c r="L12" s="822">
        <f t="shared" si="4"/>
        <v>49054</v>
      </c>
      <c r="M12" s="822">
        <f t="shared" si="4"/>
        <v>50638</v>
      </c>
      <c r="N12" s="822">
        <f t="shared" si="4"/>
        <v>52036</v>
      </c>
    </row>
    <row r="13" spans="2:14" ht="12.95">
      <c r="B13" s="811" t="s">
        <v>718</v>
      </c>
      <c r="C13" s="811" t="str">
        <f>Historical!$B$13</f>
        <v>IDR Million</v>
      </c>
      <c r="D13" s="823">
        <f t="shared" ref="D13:N13" si="5">D10-D12</f>
        <v>0</v>
      </c>
      <c r="E13" s="823">
        <f t="shared" si="5"/>
        <v>-13307</v>
      </c>
      <c r="F13" s="823">
        <f t="shared" si="5"/>
        <v>4381</v>
      </c>
      <c r="G13" s="823">
        <f t="shared" si="5"/>
        <v>23712</v>
      </c>
      <c r="H13" s="823">
        <f t="shared" si="5"/>
        <v>34809</v>
      </c>
      <c r="I13" s="823">
        <f t="shared" si="5"/>
        <v>36552</v>
      </c>
      <c r="J13" s="823">
        <f t="shared" si="5"/>
        <v>38387</v>
      </c>
      <c r="K13" s="823">
        <f t="shared" si="5"/>
        <v>42224</v>
      </c>
      <c r="L13" s="823">
        <f t="shared" si="5"/>
        <v>44207</v>
      </c>
      <c r="M13" s="823">
        <f t="shared" si="5"/>
        <v>46111</v>
      </c>
      <c r="N13" s="823">
        <f t="shared" si="5"/>
        <v>48321</v>
      </c>
    </row>
    <row r="14" spans="2:14" ht="12.95">
      <c r="B14" s="809" t="s">
        <v>719</v>
      </c>
      <c r="C14" s="809"/>
      <c r="D14" s="818">
        <f>Assumption!$G$340</f>
        <v>0.35</v>
      </c>
      <c r="E14" s="818">
        <f>Assumption!$G$340</f>
        <v>0.35</v>
      </c>
      <c r="F14" s="818">
        <f>Assumption!$G$340</f>
        <v>0.35</v>
      </c>
      <c r="G14" s="818">
        <f>Assumption!$G$340</f>
        <v>0.35</v>
      </c>
      <c r="H14" s="818">
        <f>Assumption!$G$340</f>
        <v>0.35</v>
      </c>
      <c r="I14" s="818">
        <f>Assumption!$G$340</f>
        <v>0.35</v>
      </c>
      <c r="J14" s="818">
        <f>Assumption!$G$340</f>
        <v>0.35</v>
      </c>
      <c r="K14" s="818">
        <f>Assumption!$G$340</f>
        <v>0.35</v>
      </c>
      <c r="L14" s="818">
        <f>Assumption!$G$340</f>
        <v>0.35</v>
      </c>
      <c r="M14" s="818">
        <f>Assumption!$G$340</f>
        <v>0.35</v>
      </c>
      <c r="N14" s="818">
        <f>Assumption!$G$340</f>
        <v>0.35</v>
      </c>
    </row>
    <row r="15" spans="2:14" ht="12.95">
      <c r="B15" s="811" t="s">
        <v>720</v>
      </c>
      <c r="C15" s="811" t="str">
        <f>Historical!$B$13</f>
        <v>IDR Million</v>
      </c>
      <c r="D15" s="823">
        <f t="shared" ref="D15:N15" si="6">D13*(1-D14)</f>
        <v>0</v>
      </c>
      <c r="E15" s="823">
        <f t="shared" si="6"/>
        <v>-8649.5500000000011</v>
      </c>
      <c r="F15" s="823">
        <f t="shared" si="6"/>
        <v>2847.65</v>
      </c>
      <c r="G15" s="823">
        <f t="shared" si="6"/>
        <v>15412.800000000001</v>
      </c>
      <c r="H15" s="823">
        <f t="shared" si="6"/>
        <v>22625.850000000002</v>
      </c>
      <c r="I15" s="823">
        <f t="shared" si="6"/>
        <v>23758.799999999999</v>
      </c>
      <c r="J15" s="823">
        <f t="shared" si="6"/>
        <v>24951.55</v>
      </c>
      <c r="K15" s="823">
        <f t="shared" si="6"/>
        <v>27445.600000000002</v>
      </c>
      <c r="L15" s="823">
        <f t="shared" si="6"/>
        <v>28734.55</v>
      </c>
      <c r="M15" s="823">
        <f t="shared" si="6"/>
        <v>29972.15</v>
      </c>
      <c r="N15" s="823">
        <f t="shared" si="6"/>
        <v>31408.65</v>
      </c>
    </row>
    <row r="16" spans="2:14" ht="12.95">
      <c r="B16" s="809" t="s">
        <v>721</v>
      </c>
      <c r="C16" s="809" t="str">
        <f>Historical!$B$13</f>
        <v>IDR Million</v>
      </c>
      <c r="D16" s="819">
        <v>0</v>
      </c>
      <c r="E16" s="819">
        <v>11466</v>
      </c>
      <c r="F16" s="819">
        <v>22932</v>
      </c>
      <c r="G16" s="819">
        <v>22932</v>
      </c>
      <c r="H16" s="819">
        <v>22932</v>
      </c>
      <c r="I16" s="819">
        <v>22932</v>
      </c>
      <c r="J16" s="819">
        <v>21028</v>
      </c>
      <c r="K16" s="819">
        <v>19123</v>
      </c>
      <c r="L16" s="819">
        <v>19123</v>
      </c>
      <c r="M16" s="819">
        <v>19123</v>
      </c>
      <c r="N16" s="819">
        <v>19123</v>
      </c>
    </row>
    <row r="17" spans="2:14" ht="12.95">
      <c r="B17" s="811" t="s">
        <v>722</v>
      </c>
      <c r="C17" s="811" t="str">
        <f>Historical!$B$13</f>
        <v>IDR Million</v>
      </c>
      <c r="D17" s="823">
        <f t="shared" ref="D17:N17" si="7">D15+D16</f>
        <v>0</v>
      </c>
      <c r="E17" s="823">
        <f t="shared" si="7"/>
        <v>2816.4499999999989</v>
      </c>
      <c r="F17" s="823">
        <f t="shared" si="7"/>
        <v>25779.65</v>
      </c>
      <c r="G17" s="823">
        <f t="shared" si="7"/>
        <v>38344.800000000003</v>
      </c>
      <c r="H17" s="823">
        <f t="shared" si="7"/>
        <v>45557.850000000006</v>
      </c>
      <c r="I17" s="823">
        <f t="shared" si="7"/>
        <v>46690.8</v>
      </c>
      <c r="J17" s="823">
        <f t="shared" si="7"/>
        <v>45979.55</v>
      </c>
      <c r="K17" s="823">
        <f t="shared" si="7"/>
        <v>46568.600000000006</v>
      </c>
      <c r="L17" s="823">
        <f t="shared" si="7"/>
        <v>47857.55</v>
      </c>
      <c r="M17" s="823">
        <f t="shared" si="7"/>
        <v>49095.15</v>
      </c>
      <c r="N17" s="823">
        <f t="shared" si="7"/>
        <v>50531.65</v>
      </c>
    </row>
    <row r="18" spans="2:14" ht="12.95">
      <c r="B18" s="809" t="s">
        <v>723</v>
      </c>
      <c r="C18" s="809" t="str">
        <f>Historical!$B$13</f>
        <v>IDR Million</v>
      </c>
      <c r="D18" s="819">
        <v>256144</v>
      </c>
      <c r="E18" s="819">
        <v>6840</v>
      </c>
      <c r="F18" s="819">
        <v>24579</v>
      </c>
      <c r="G18" s="819">
        <v>6673</v>
      </c>
      <c r="H18" s="819">
        <v>5566</v>
      </c>
      <c r="I18" s="819">
        <v>-2346</v>
      </c>
      <c r="J18" s="819">
        <v>4961</v>
      </c>
      <c r="K18" s="819">
        <v>2214</v>
      </c>
      <c r="L18" s="819">
        <v>2321</v>
      </c>
      <c r="M18" s="819">
        <v>2432</v>
      </c>
      <c r="N18" s="819">
        <v>2549</v>
      </c>
    </row>
    <row r="19" spans="2:14" ht="12.95">
      <c r="B19" s="811" t="s">
        <v>724</v>
      </c>
      <c r="C19" s="811" t="str">
        <f>Historical!$B$13</f>
        <v>IDR Million</v>
      </c>
      <c r="D19" s="823">
        <f t="shared" ref="D19:N19" si="8">D17-D18</f>
        <v>-256144</v>
      </c>
      <c r="E19" s="823">
        <f t="shared" si="8"/>
        <v>-4023.5500000000011</v>
      </c>
      <c r="F19" s="823">
        <f t="shared" si="8"/>
        <v>1200.6500000000015</v>
      </c>
      <c r="G19" s="823">
        <f t="shared" si="8"/>
        <v>31671.800000000003</v>
      </c>
      <c r="H19" s="823">
        <f t="shared" si="8"/>
        <v>39991.850000000006</v>
      </c>
      <c r="I19" s="823">
        <f t="shared" si="8"/>
        <v>49036.800000000003</v>
      </c>
      <c r="J19" s="823">
        <f t="shared" si="8"/>
        <v>41018.550000000003</v>
      </c>
      <c r="K19" s="823">
        <f t="shared" si="8"/>
        <v>44354.600000000006</v>
      </c>
      <c r="L19" s="823">
        <f t="shared" si="8"/>
        <v>45536.55</v>
      </c>
      <c r="M19" s="823">
        <f t="shared" si="8"/>
        <v>46663.15</v>
      </c>
      <c r="N19" s="823">
        <f t="shared" si="8"/>
        <v>47982.65</v>
      </c>
    </row>
    <row r="20" spans="2:14" ht="12.95">
      <c r="B20" s="811" t="s">
        <v>725</v>
      </c>
      <c r="C20" s="811" t="str">
        <f>Historical!$B$13</f>
        <v>IDR Million</v>
      </c>
      <c r="D20" s="823">
        <f>D19</f>
        <v>-256144</v>
      </c>
      <c r="E20" s="823">
        <f t="shared" ref="E20:N20" si="9">D20+E19</f>
        <v>-260167.55</v>
      </c>
      <c r="F20" s="823">
        <f t="shared" si="9"/>
        <v>-258966.9</v>
      </c>
      <c r="G20" s="823">
        <f t="shared" si="9"/>
        <v>-227295.09999999998</v>
      </c>
      <c r="H20" s="823">
        <f t="shared" si="9"/>
        <v>-187303.24999999997</v>
      </c>
      <c r="I20" s="823">
        <f t="shared" si="9"/>
        <v>-138266.44999999995</v>
      </c>
      <c r="J20" s="823">
        <f t="shared" si="9"/>
        <v>-97247.899999999951</v>
      </c>
      <c r="K20" s="823">
        <f t="shared" si="9"/>
        <v>-52893.299999999945</v>
      </c>
      <c r="L20" s="823">
        <f t="shared" si="9"/>
        <v>-7356.7499999999418</v>
      </c>
      <c r="M20" s="823">
        <f t="shared" si="9"/>
        <v>39306.40000000006</v>
      </c>
      <c r="N20" s="823">
        <f t="shared" si="9"/>
        <v>87289.050000000061</v>
      </c>
    </row>
    <row r="21" spans="2:14" ht="12.95">
      <c r="B21" s="809"/>
      <c r="C21" s="809"/>
      <c r="D21" s="809"/>
      <c r="E21" s="809"/>
      <c r="F21" s="809"/>
      <c r="G21" s="809"/>
      <c r="H21" s="809"/>
      <c r="I21" s="809"/>
      <c r="J21" s="809"/>
      <c r="K21" s="809"/>
      <c r="L21" s="809"/>
      <c r="M21" s="809"/>
      <c r="N21" s="809"/>
    </row>
    <row r="22" spans="2:14" ht="12.95">
      <c r="B22" s="810" t="s">
        <v>726</v>
      </c>
      <c r="C22" s="809"/>
      <c r="D22" s="810" t="str">
        <f>IF(D20&lt;0,"-",ABS(0)/D19)</f>
        <v>-</v>
      </c>
      <c r="E22" s="810" t="str">
        <f t="shared" ref="E22:N22" si="10">IF(E20&lt;0,"-",ABS(D20)/E19)</f>
        <v>-</v>
      </c>
      <c r="F22" s="810" t="str">
        <f t="shared" si="10"/>
        <v>-</v>
      </c>
      <c r="G22" s="810" t="str">
        <f t="shared" si="10"/>
        <v>-</v>
      </c>
      <c r="H22" s="810" t="str">
        <f t="shared" si="10"/>
        <v>-</v>
      </c>
      <c r="I22" s="810" t="str">
        <f t="shared" si="10"/>
        <v>-</v>
      </c>
      <c r="J22" s="810" t="str">
        <f t="shared" si="10"/>
        <v>-</v>
      </c>
      <c r="K22" s="810" t="str">
        <f t="shared" si="10"/>
        <v>-</v>
      </c>
      <c r="L22" s="810" t="str">
        <f t="shared" si="10"/>
        <v>-</v>
      </c>
      <c r="M22" s="810">
        <f t="shared" si="10"/>
        <v>0.15765652340229799</v>
      </c>
      <c r="N22" s="810">
        <f t="shared" si="10"/>
        <v>0.81917943256573067</v>
      </c>
    </row>
    <row r="23" spans="2:14" ht="12.95">
      <c r="B23" s="809"/>
      <c r="C23" s="809"/>
      <c r="D23" s="810"/>
      <c r="E23" s="810"/>
      <c r="F23" s="810"/>
      <c r="G23" s="810"/>
      <c r="H23" s="810"/>
      <c r="I23" s="810"/>
      <c r="J23" s="810"/>
      <c r="K23" s="810"/>
      <c r="L23" s="810"/>
      <c r="M23" s="810"/>
      <c r="N23" s="810"/>
    </row>
    <row r="24" spans="2:14" ht="12.95">
      <c r="B24" s="809" t="s">
        <v>727</v>
      </c>
      <c r="C24" s="809"/>
      <c r="D24" s="825">
        <f>1-Assumption!$H$252</f>
        <v>0.4</v>
      </c>
      <c r="E24" s="810"/>
      <c r="F24" s="810"/>
      <c r="G24" s="810"/>
      <c r="H24" s="810"/>
      <c r="I24" s="810"/>
      <c r="J24" s="810"/>
      <c r="K24" s="810"/>
      <c r="L24" s="810"/>
      <c r="M24" s="810"/>
      <c r="N24" s="810"/>
    </row>
    <row r="25" spans="2:14" ht="12.95">
      <c r="B25" s="809" t="s">
        <v>728</v>
      </c>
      <c r="C25" s="809"/>
      <c r="D25" s="825">
        <f>1-D24</f>
        <v>0.6</v>
      </c>
      <c r="E25" s="810"/>
      <c r="F25" s="810"/>
      <c r="G25" s="810"/>
      <c r="H25" s="810"/>
      <c r="I25" s="810"/>
      <c r="J25" s="810"/>
      <c r="K25" s="810"/>
      <c r="L25" s="810"/>
      <c r="M25" s="810"/>
      <c r="N25" s="810"/>
    </row>
    <row r="26" spans="2:14" ht="12.95">
      <c r="B26" s="809" t="s">
        <v>729</v>
      </c>
      <c r="C26" s="809"/>
      <c r="D26" s="815">
        <v>7.4999999999999997E-2</v>
      </c>
      <c r="E26" s="810"/>
      <c r="F26" s="810"/>
      <c r="G26" s="810"/>
      <c r="H26" s="810"/>
      <c r="I26" s="810"/>
      <c r="J26" s="810"/>
      <c r="K26" s="810"/>
      <c r="L26" s="810"/>
      <c r="M26" s="810"/>
      <c r="N26" s="810"/>
    </row>
    <row r="27" spans="2:14" ht="12.95">
      <c r="B27" s="809" t="s">
        <v>730</v>
      </c>
      <c r="C27" s="810"/>
      <c r="D27" s="825">
        <f>Assumption!$G$337</f>
        <v>0.25</v>
      </c>
      <c r="E27" s="810"/>
      <c r="F27" s="810"/>
      <c r="G27" s="810"/>
      <c r="H27" s="810"/>
      <c r="I27" s="810"/>
      <c r="J27" s="810"/>
      <c r="K27" s="810"/>
      <c r="L27" s="810"/>
      <c r="M27" s="810"/>
      <c r="N27" s="810"/>
    </row>
    <row r="28" spans="2:14" ht="12.95">
      <c r="B28" s="809" t="s">
        <v>731</v>
      </c>
      <c r="C28" s="810"/>
      <c r="D28" s="813">
        <f>D24*D26+D25*D27</f>
        <v>0.18</v>
      </c>
      <c r="E28" s="810"/>
      <c r="F28" s="810"/>
      <c r="G28" s="810"/>
      <c r="H28" s="810"/>
      <c r="I28" s="810"/>
      <c r="J28" s="810"/>
      <c r="K28" s="810"/>
      <c r="L28" s="810"/>
      <c r="M28" s="810"/>
      <c r="N28" s="810"/>
    </row>
    <row r="29" spans="2:14" ht="12.95">
      <c r="B29" s="809"/>
      <c r="C29" s="810"/>
      <c r="D29" s="813"/>
      <c r="E29" s="810"/>
      <c r="F29" s="810"/>
      <c r="G29" s="810"/>
      <c r="H29" s="810"/>
      <c r="I29" s="810"/>
      <c r="J29" s="810"/>
      <c r="K29" s="810"/>
      <c r="L29" s="810"/>
      <c r="M29" s="810"/>
      <c r="N29" s="810"/>
    </row>
    <row r="30" spans="2:14" ht="12.95">
      <c r="B30" s="810"/>
      <c r="C30" s="810"/>
      <c r="D30" s="810"/>
      <c r="E30" s="810"/>
      <c r="F30" s="810"/>
      <c r="G30" s="810"/>
      <c r="H30" s="810"/>
      <c r="I30" s="810"/>
      <c r="J30" s="810"/>
      <c r="K30" s="810"/>
      <c r="L30" s="810"/>
      <c r="M30" s="810"/>
      <c r="N30" s="810"/>
    </row>
    <row r="31" spans="2:14" ht="12.95">
      <c r="B31" s="809"/>
      <c r="C31" s="809"/>
      <c r="D31" s="810"/>
      <c r="E31" s="810"/>
      <c r="F31" s="810"/>
      <c r="G31" s="810"/>
      <c r="H31" s="810"/>
      <c r="I31" s="810"/>
      <c r="J31" s="810"/>
      <c r="K31" s="810"/>
      <c r="L31" s="810"/>
      <c r="M31" s="810"/>
      <c r="N31" s="810"/>
    </row>
    <row r="32" spans="2:14" ht="12.95">
      <c r="B32" s="812" t="s">
        <v>732</v>
      </c>
      <c r="C32" s="812"/>
      <c r="D32" s="824">
        <f>(NPV($D$28,E19:N19)+D19)</f>
        <v>-136431.96225095476</v>
      </c>
      <c r="E32" s="812" t="s">
        <v>733</v>
      </c>
      <c r="F32" s="810"/>
      <c r="G32" s="810"/>
      <c r="H32" s="810"/>
      <c r="I32" s="810"/>
      <c r="J32" s="810"/>
      <c r="K32" s="810"/>
      <c r="L32" s="810"/>
      <c r="M32" s="810"/>
      <c r="N32" s="810"/>
    </row>
    <row r="33" spans="2:14" ht="12.95">
      <c r="B33" s="809" t="s">
        <v>734</v>
      </c>
      <c r="C33" s="809"/>
      <c r="D33" s="821">
        <f>NPV($D$28,E19:N19)/ABS(D19)</f>
        <v>0.46736225618810212</v>
      </c>
      <c r="E33" s="809"/>
      <c r="F33" s="810"/>
      <c r="G33" s="810"/>
      <c r="H33" s="810"/>
      <c r="I33" s="810"/>
      <c r="J33" s="810"/>
      <c r="K33" s="810"/>
      <c r="L33" s="810"/>
      <c r="M33" s="810"/>
      <c r="N33" s="810"/>
    </row>
    <row r="34" spans="2:14" ht="12.95">
      <c r="B34" s="809" t="s">
        <v>735</v>
      </c>
      <c r="C34" s="809"/>
      <c r="D34" s="813">
        <f>IRR(D19:N19)</f>
        <v>4.50954413071607E-2</v>
      </c>
      <c r="E34" s="809"/>
      <c r="F34" s="810"/>
      <c r="G34" s="810"/>
      <c r="H34" s="810"/>
      <c r="I34" s="810"/>
      <c r="J34" s="810"/>
      <c r="K34" s="810"/>
      <c r="L34" s="810"/>
      <c r="M34" s="810"/>
      <c r="N34" s="810"/>
    </row>
    <row r="35" spans="2:14" ht="12.95">
      <c r="B35" s="814" t="s">
        <v>736</v>
      </c>
      <c r="C35" s="814" t="s">
        <v>737</v>
      </c>
      <c r="D35" s="834" cm="1">
        <f t="array" ref="D35">COUNTIF(E20:X20,"&lt;0")+INDEX(E22:X22,,COUNTIF(E20:X20,"&lt;0")+1)</f>
        <v>8.1576565234022986</v>
      </c>
      <c r="E35" s="814" t="s">
        <v>738</v>
      </c>
      <c r="F35" s="810"/>
      <c r="G35" s="810"/>
      <c r="H35" s="810"/>
      <c r="I35" s="810"/>
      <c r="J35" s="810"/>
      <c r="K35" s="810"/>
      <c r="L35" s="810"/>
      <c r="M35" s="810"/>
      <c r="N35" s="810"/>
    </row>
    <row r="36" spans="2:14" ht="12.95">
      <c r="B36" s="810"/>
      <c r="C36" s="810"/>
      <c r="D36" s="810"/>
      <c r="E36" s="810"/>
      <c r="F36" s="810"/>
      <c r="G36" s="810"/>
      <c r="H36" s="810"/>
      <c r="I36" s="810"/>
      <c r="J36" s="810"/>
      <c r="K36" s="810"/>
      <c r="L36" s="810"/>
      <c r="M36" s="810"/>
      <c r="N36" s="810"/>
    </row>
    <row r="37" spans="2:14" ht="12.95">
      <c r="B37" s="810"/>
      <c r="C37" s="810"/>
      <c r="D37" s="810"/>
      <c r="E37" s="810"/>
      <c r="F37" s="810"/>
      <c r="G37" s="810"/>
      <c r="H37" s="810"/>
      <c r="I37" s="810"/>
      <c r="J37" s="810"/>
      <c r="K37" s="810"/>
      <c r="L37" s="810"/>
      <c r="M37" s="810"/>
      <c r="N37" s="810"/>
    </row>
    <row r="38" spans="2:14" ht="12.95">
      <c r="B38" s="809"/>
      <c r="C38" s="810"/>
      <c r="D38" s="810"/>
      <c r="E38" s="810"/>
      <c r="F38" s="810"/>
      <c r="G38" s="810"/>
      <c r="H38" s="810"/>
      <c r="I38" s="810"/>
      <c r="J38" s="810"/>
      <c r="K38" s="810"/>
      <c r="L38" s="810"/>
      <c r="M38" s="810"/>
      <c r="N38" s="810"/>
    </row>
    <row r="39" spans="2:14" ht="12.95">
      <c r="B39" s="809" t="s">
        <v>739</v>
      </c>
      <c r="C39" s="810"/>
      <c r="D39" s="810"/>
      <c r="E39" s="810"/>
      <c r="F39" s="810"/>
      <c r="G39" s="810"/>
      <c r="H39" s="810"/>
      <c r="I39" s="810"/>
      <c r="J39" s="810"/>
      <c r="K39" s="810"/>
      <c r="L39" s="810"/>
      <c r="M39" s="810"/>
      <c r="N39" s="810"/>
    </row>
    <row r="40" spans="2:14" ht="12.95">
      <c r="B40" s="809" t="s">
        <v>740</v>
      </c>
      <c r="C40" s="815">
        <v>0</v>
      </c>
      <c r="D40" s="810"/>
      <c r="E40" s="810"/>
      <c r="F40" s="810"/>
      <c r="G40" s="810"/>
      <c r="H40" s="810"/>
      <c r="I40" s="810"/>
      <c r="J40" s="810"/>
      <c r="K40" s="810"/>
      <c r="L40" s="810"/>
      <c r="M40" s="810"/>
      <c r="N40" s="810"/>
    </row>
    <row r="41" spans="2:14" ht="12.95">
      <c r="B41" s="809" t="s">
        <v>741</v>
      </c>
      <c r="C41" s="816">
        <v>0</v>
      </c>
      <c r="D41" s="810"/>
      <c r="E41" s="810"/>
      <c r="F41" s="810"/>
      <c r="G41" s="810"/>
      <c r="H41" s="810"/>
      <c r="I41" s="810"/>
      <c r="J41" s="810"/>
      <c r="K41" s="810"/>
      <c r="L41" s="810"/>
      <c r="M41" s="810"/>
      <c r="N41" s="810"/>
    </row>
    <row r="42" spans="2:14" ht="12.95">
      <c r="B42" s="809" t="s">
        <v>742</v>
      </c>
      <c r="C42" s="816">
        <v>0</v>
      </c>
      <c r="D42" s="810"/>
      <c r="E42" s="810"/>
      <c r="F42" s="810"/>
      <c r="G42" s="810"/>
      <c r="H42" s="810"/>
      <c r="I42" s="810"/>
      <c r="J42" s="810"/>
      <c r="K42" s="810"/>
      <c r="L42" s="810"/>
      <c r="M42" s="810"/>
      <c r="N42" s="810"/>
    </row>
    <row r="43" spans="2:14" ht="12.95">
      <c r="B43" s="810"/>
      <c r="C43" s="810"/>
      <c r="D43" s="810"/>
      <c r="E43" s="810"/>
      <c r="F43" s="810"/>
      <c r="G43" s="810"/>
      <c r="H43" s="810"/>
      <c r="I43" s="810"/>
      <c r="J43" s="810"/>
      <c r="K43" s="810"/>
      <c r="L43" s="810"/>
      <c r="M43" s="810"/>
      <c r="N43" s="810"/>
    </row>
    <row r="44" spans="2:14" ht="12.95">
      <c r="B44" s="810"/>
      <c r="C44" s="810"/>
      <c r="D44" s="810"/>
      <c r="E44" s="810"/>
      <c r="F44" s="810"/>
      <c r="G44" s="810"/>
      <c r="H44" s="810"/>
      <c r="I44" s="810"/>
      <c r="J44" s="810"/>
      <c r="K44" s="810"/>
      <c r="L44" s="810"/>
      <c r="M44" s="810"/>
      <c r="N44" s="810"/>
    </row>
    <row r="45" spans="2:14" ht="12.95">
      <c r="B45" s="810"/>
      <c r="C45" s="810"/>
      <c r="D45" s="810"/>
      <c r="E45" s="810"/>
      <c r="F45" s="810"/>
      <c r="G45" s="810"/>
      <c r="H45" s="810"/>
      <c r="I45" s="810"/>
      <c r="J45" s="810"/>
      <c r="K45" s="810"/>
      <c r="L45" s="810"/>
      <c r="M45" s="810"/>
      <c r="N45" s="810"/>
    </row>
    <row r="46" spans="2:14" ht="12.95">
      <c r="B46" s="810"/>
      <c r="C46" s="810"/>
      <c r="D46" s="810"/>
      <c r="E46" s="810"/>
      <c r="F46" s="810"/>
      <c r="G46" s="810"/>
      <c r="H46" s="810"/>
      <c r="I46" s="810"/>
      <c r="J46" s="810"/>
      <c r="K46" s="810"/>
      <c r="L46" s="810"/>
      <c r="M46" s="810"/>
      <c r="N46" s="810"/>
    </row>
    <row r="47" spans="2:14" ht="12.95">
      <c r="B47" s="810"/>
      <c r="C47" s="810"/>
      <c r="D47" s="810"/>
      <c r="E47" s="810"/>
      <c r="F47" s="810"/>
      <c r="G47" s="810"/>
      <c r="H47" s="810"/>
      <c r="I47" s="810"/>
      <c r="J47" s="810"/>
      <c r="K47" s="810"/>
      <c r="L47" s="810"/>
      <c r="M47" s="810"/>
      <c r="N47" s="810"/>
    </row>
    <row r="48" spans="2:14" ht="12.95">
      <c r="B48" s="810"/>
      <c r="C48" s="810"/>
      <c r="D48" s="810"/>
      <c r="E48" s="810"/>
      <c r="F48" s="810"/>
      <c r="G48" s="810"/>
      <c r="H48" s="810"/>
      <c r="I48" s="810"/>
      <c r="J48" s="810"/>
      <c r="K48" s="810"/>
      <c r="L48" s="810"/>
      <c r="M48" s="810"/>
      <c r="N48" s="810"/>
    </row>
    <row r="49" spans="2:14" ht="12.95">
      <c r="B49" s="810"/>
      <c r="C49" s="810"/>
      <c r="D49" s="810"/>
      <c r="E49" s="810"/>
      <c r="F49" s="810"/>
      <c r="G49" s="810"/>
      <c r="H49" s="810"/>
      <c r="I49" s="810"/>
      <c r="J49" s="810"/>
      <c r="K49" s="810"/>
      <c r="L49" s="810"/>
      <c r="M49" s="810"/>
      <c r="N49" s="810"/>
    </row>
    <row r="50" spans="2:14" ht="12.95">
      <c r="B50" s="810"/>
      <c r="C50" s="810"/>
      <c r="D50" s="810"/>
      <c r="E50" s="810"/>
      <c r="F50" s="810"/>
      <c r="G50" s="810"/>
      <c r="H50" s="810"/>
      <c r="I50" s="810"/>
      <c r="J50" s="810"/>
      <c r="K50" s="810"/>
      <c r="L50" s="810"/>
      <c r="M50" s="810"/>
      <c r="N50" s="810"/>
    </row>
    <row r="51" spans="2:14" ht="12.95">
      <c r="B51" s="810"/>
      <c r="C51" s="810"/>
      <c r="D51" s="810"/>
      <c r="E51" s="810"/>
      <c r="F51" s="810"/>
      <c r="G51" s="810"/>
      <c r="H51" s="810"/>
      <c r="I51" s="810"/>
      <c r="J51" s="810"/>
      <c r="K51" s="810"/>
      <c r="L51" s="810"/>
      <c r="M51" s="810"/>
      <c r="N51" s="810"/>
    </row>
    <row r="52" spans="2:14" ht="12.95">
      <c r="B52" s="810"/>
      <c r="C52" s="810"/>
      <c r="D52" s="810"/>
      <c r="E52" s="810"/>
      <c r="F52" s="810"/>
      <c r="G52" s="810"/>
      <c r="H52" s="810"/>
      <c r="I52" s="810"/>
      <c r="J52" s="810"/>
      <c r="K52" s="810"/>
      <c r="L52" s="810"/>
      <c r="M52" s="810"/>
      <c r="N52" s="810"/>
    </row>
    <row r="53" spans="2:14" ht="12.95">
      <c r="B53" s="810"/>
      <c r="C53" s="810"/>
      <c r="D53" s="810"/>
      <c r="E53" s="810"/>
      <c r="F53" s="810"/>
      <c r="G53" s="810"/>
      <c r="H53" s="810"/>
      <c r="I53" s="810"/>
      <c r="J53" s="810"/>
      <c r="K53" s="810"/>
      <c r="L53" s="810"/>
      <c r="M53" s="810"/>
      <c r="N53" s="810"/>
    </row>
    <row r="54" spans="2:14" ht="12.95">
      <c r="B54" s="810"/>
      <c r="C54" s="810"/>
      <c r="D54" s="810"/>
      <c r="E54" s="810"/>
      <c r="F54" s="810"/>
      <c r="G54" s="810"/>
      <c r="H54" s="810"/>
      <c r="I54" s="810"/>
      <c r="J54" s="810"/>
      <c r="K54" s="810"/>
      <c r="L54" s="810"/>
      <c r="M54" s="810"/>
      <c r="N54" s="810"/>
    </row>
  </sheetData>
  <mergeCells count="1">
    <mergeCell ref="B3:B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B732-26B4-49CF-A392-D1AA29B5AA22}">
  <sheetPr>
    <tabColor rgb="FFFFC000"/>
  </sheetPr>
  <dimension ref="C2:I21"/>
  <sheetViews>
    <sheetView workbookViewId="0">
      <selection activeCell="D1" sqref="D1"/>
    </sheetView>
  </sheetViews>
  <sheetFormatPr defaultColWidth="8.7109375" defaultRowHeight="12.6"/>
  <cols>
    <col min="3" max="3" width="28.7109375" customWidth="1"/>
    <col min="4" max="4" width="13.7109375" customWidth="1"/>
    <col min="5" max="5" width="16.140625" customWidth="1"/>
    <col min="6" max="6" width="13.7109375" customWidth="1"/>
    <col min="7" max="7" width="14.28515625" customWidth="1"/>
    <col min="8" max="8" width="16.28515625" customWidth="1"/>
    <col min="9" max="9" width="14.7109375" customWidth="1"/>
  </cols>
  <sheetData>
    <row r="2" spans="3:9">
      <c r="C2" t="s">
        <v>743</v>
      </c>
      <c r="D2" s="803">
        <v>16000</v>
      </c>
    </row>
    <row r="3" spans="3:9">
      <c r="C3" t="s">
        <v>744</v>
      </c>
      <c r="D3" s="804">
        <v>0.3</v>
      </c>
    </row>
    <row r="4" spans="3:9">
      <c r="C4" t="s">
        <v>745</v>
      </c>
      <c r="D4" s="804">
        <v>0.12</v>
      </c>
    </row>
    <row r="5" spans="3:9">
      <c r="C5" t="s">
        <v>746</v>
      </c>
      <c r="D5" s="805">
        <v>180</v>
      </c>
    </row>
    <row r="8" spans="3:9" ht="12.95">
      <c r="C8" s="798" t="s">
        <v>747</v>
      </c>
      <c r="D8" s="798" t="s">
        <v>737</v>
      </c>
      <c r="E8" s="798">
        <f>YEAR(Projection!L7)</f>
        <v>2024</v>
      </c>
      <c r="F8" s="798">
        <f>YEAR(Projection!N7)</f>
        <v>2025</v>
      </c>
      <c r="G8" s="798">
        <f>YEAR(Projection!P7)</f>
        <v>2026</v>
      </c>
      <c r="H8" s="798">
        <f>YEAR(Projection!R7)</f>
        <v>2027</v>
      </c>
      <c r="I8" s="798">
        <f>YEAR(Projection!T7)</f>
        <v>2028</v>
      </c>
    </row>
    <row r="9" spans="3:9">
      <c r="C9" s="799" t="s">
        <v>748</v>
      </c>
      <c r="D9" s="802" t="str">
        <f>Projection!$E$7</f>
        <v>IDR Million</v>
      </c>
      <c r="E9" s="835">
        <f>'Purchase-Expenses-AP Schedule'!K19</f>
        <v>20377</v>
      </c>
      <c r="F9" s="835">
        <f>'Purchase-Expenses-AP Schedule'!M19</f>
        <v>116292</v>
      </c>
      <c r="G9" s="835">
        <f>'Purchase-Expenses-AP Schedule'!O19</f>
        <v>126469.19999999998</v>
      </c>
      <c r="H9" s="835">
        <f>'Purchase-Expenses-AP Schedule'!Q19</f>
        <v>139116.12</v>
      </c>
      <c r="I9" s="835">
        <f>'Purchase-Expenses-AP Schedule'!Q19</f>
        <v>139116.12</v>
      </c>
    </row>
    <row r="10" spans="3:9">
      <c r="C10" s="799" t="s">
        <v>749</v>
      </c>
      <c r="D10" s="799" t="s">
        <v>86</v>
      </c>
      <c r="E10" s="836">
        <f>D3</f>
        <v>0.3</v>
      </c>
      <c r="F10" s="836">
        <f>D3</f>
        <v>0.3</v>
      </c>
      <c r="G10" s="836">
        <f>D3</f>
        <v>0.3</v>
      </c>
      <c r="H10" s="836">
        <f>D3</f>
        <v>0.3</v>
      </c>
      <c r="I10" s="836">
        <f>D3</f>
        <v>0.3</v>
      </c>
    </row>
    <row r="11" spans="3:9">
      <c r="C11" s="799" t="s">
        <v>750</v>
      </c>
      <c r="D11" s="802" t="str">
        <f>Projection!$E$7</f>
        <v>IDR Million</v>
      </c>
      <c r="E11" s="835">
        <f>E9*E10</f>
        <v>6113.0999999999995</v>
      </c>
      <c r="F11" s="835">
        <f t="shared" ref="F11:I11" si="0">F9*F10</f>
        <v>34887.599999999999</v>
      </c>
      <c r="G11" s="835">
        <f t="shared" si="0"/>
        <v>37940.759999999995</v>
      </c>
      <c r="H11" s="835">
        <f t="shared" si="0"/>
        <v>41734.835999999996</v>
      </c>
      <c r="I11" s="835">
        <f t="shared" si="0"/>
        <v>41734.835999999996</v>
      </c>
    </row>
    <row r="12" spans="3:9">
      <c r="C12" s="800" t="s">
        <v>751</v>
      </c>
      <c r="D12" s="800" t="s">
        <v>752</v>
      </c>
      <c r="E12" s="837">
        <f>E11/$D$2*1000</f>
        <v>382.06874999999997</v>
      </c>
      <c r="F12" s="837">
        <f>F11/$D$2*1000</f>
        <v>2180.4749999999999</v>
      </c>
      <c r="G12" s="837">
        <f>G11/$D$2*1000</f>
        <v>2371.2974999999997</v>
      </c>
      <c r="H12" s="837">
        <f>H11/$D$2*1000</f>
        <v>2608.4272499999997</v>
      </c>
      <c r="I12" s="837">
        <f>I11/$D$2*1000</f>
        <v>2608.4272499999997</v>
      </c>
    </row>
    <row r="13" spans="3:9">
      <c r="C13" s="799" t="s">
        <v>753</v>
      </c>
      <c r="D13" s="799" t="s">
        <v>191</v>
      </c>
      <c r="E13" s="838">
        <f>$D$5</f>
        <v>180</v>
      </c>
      <c r="F13" s="838">
        <f t="shared" ref="F13:I13" si="1">$D$5</f>
        <v>180</v>
      </c>
      <c r="G13" s="838">
        <f t="shared" si="1"/>
        <v>180</v>
      </c>
      <c r="H13" s="838">
        <f t="shared" si="1"/>
        <v>180</v>
      </c>
      <c r="I13" s="838">
        <f t="shared" si="1"/>
        <v>180</v>
      </c>
    </row>
    <row r="14" spans="3:9">
      <c r="C14" s="801" t="s">
        <v>754</v>
      </c>
      <c r="D14" s="801" t="s">
        <v>752</v>
      </c>
      <c r="E14" s="839">
        <f>E12/360*E13</f>
        <v>191.03437499999998</v>
      </c>
      <c r="F14" s="839">
        <f t="shared" ref="F14:H14" si="2">F12/360*F13</f>
        <v>1090.2375</v>
      </c>
      <c r="G14" s="839">
        <f t="shared" si="2"/>
        <v>1185.6487499999998</v>
      </c>
      <c r="H14" s="839">
        <f t="shared" si="2"/>
        <v>1304.2136249999999</v>
      </c>
      <c r="I14" s="839">
        <f>I12/360*I13</f>
        <v>1304.2136249999999</v>
      </c>
    </row>
    <row r="15" spans="3:9">
      <c r="C15" s="801" t="s">
        <v>755</v>
      </c>
      <c r="D15" s="840">
        <f>D4</f>
        <v>0.12</v>
      </c>
      <c r="E15" s="839">
        <f>E14*$D$15</f>
        <v>22.924124999999997</v>
      </c>
      <c r="F15" s="839">
        <f t="shared" ref="F15:I15" si="3">F14*$D$15</f>
        <v>130.82849999999999</v>
      </c>
      <c r="G15" s="839">
        <f t="shared" si="3"/>
        <v>142.27784999999997</v>
      </c>
      <c r="H15" s="839">
        <f t="shared" si="3"/>
        <v>156.50563499999998</v>
      </c>
      <c r="I15" s="839">
        <f t="shared" si="3"/>
        <v>156.50563499999998</v>
      </c>
    </row>
    <row r="16" spans="3:9" ht="12.95">
      <c r="C16" s="798" t="s">
        <v>756</v>
      </c>
      <c r="D16" s="798" t="s">
        <v>752</v>
      </c>
      <c r="E16" s="807">
        <f>E15</f>
        <v>22.924124999999997</v>
      </c>
      <c r="F16" s="807">
        <f t="shared" ref="F16:I16" si="4">F15</f>
        <v>130.82849999999999</v>
      </c>
      <c r="G16" s="807">
        <f t="shared" si="4"/>
        <v>142.27784999999997</v>
      </c>
      <c r="H16" s="807">
        <f t="shared" si="4"/>
        <v>156.50563499999998</v>
      </c>
      <c r="I16" s="807">
        <f t="shared" si="4"/>
        <v>156.50563499999998</v>
      </c>
    </row>
    <row r="17" spans="3:7">
      <c r="C17" s="799"/>
      <c r="D17" s="835"/>
      <c r="E17" s="799"/>
      <c r="F17" s="799"/>
      <c r="G17" s="799"/>
    </row>
    <row r="21" spans="3:7">
      <c r="E21" s="80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400E-E144-46A2-9463-B4BC35E7E1BF}">
  <sheetPr>
    <tabColor rgb="FFFFC000"/>
  </sheetPr>
  <dimension ref="C2:I14"/>
  <sheetViews>
    <sheetView workbookViewId="0">
      <selection activeCell="D20" sqref="D20"/>
    </sheetView>
  </sheetViews>
  <sheetFormatPr defaultColWidth="8.7109375" defaultRowHeight="12.6"/>
  <cols>
    <col min="3" max="3" width="28.42578125" customWidth="1"/>
    <col min="4" max="4" width="14" bestFit="1" customWidth="1"/>
    <col min="5" max="9" width="10.7109375" customWidth="1"/>
  </cols>
  <sheetData>
    <row r="2" spans="3:9">
      <c r="C2" t="s">
        <v>743</v>
      </c>
      <c r="D2" s="803">
        <v>16000</v>
      </c>
    </row>
    <row r="3" spans="3:9">
      <c r="C3" t="s">
        <v>757</v>
      </c>
      <c r="D3" s="804">
        <v>0.3</v>
      </c>
    </row>
    <row r="4" spans="3:9">
      <c r="C4" t="s">
        <v>758</v>
      </c>
      <c r="D4" s="805">
        <v>180</v>
      </c>
    </row>
    <row r="8" spans="3:9" ht="12.95">
      <c r="C8" s="798" t="s">
        <v>747</v>
      </c>
      <c r="D8" s="798" t="s">
        <v>737</v>
      </c>
      <c r="E8" s="798">
        <f>YEAR(Projection!L7)</f>
        <v>2024</v>
      </c>
      <c r="F8" s="798">
        <f>YEAR(Projection!N7)</f>
        <v>2025</v>
      </c>
      <c r="G8" s="798">
        <f>YEAR(Projection!P7)</f>
        <v>2026</v>
      </c>
      <c r="H8" s="798">
        <f>YEAR(Projection!R7)</f>
        <v>2027</v>
      </c>
      <c r="I8" s="798">
        <f>YEAR(Projection!T7)</f>
        <v>2028</v>
      </c>
    </row>
    <row r="9" spans="3:9">
      <c r="C9" s="799" t="s">
        <v>206</v>
      </c>
      <c r="D9" s="802" t="str">
        <f>Projection!$E$7</f>
        <v>IDR Million</v>
      </c>
      <c r="E9" s="835">
        <f>'Sales-AR Schedule'!H11</f>
        <v>132000</v>
      </c>
      <c r="F9" s="835">
        <f>'Sales-AR Schedule'!I11</f>
        <v>157300</v>
      </c>
      <c r="G9" s="835">
        <f>'Sales-AR Schedule'!J11</f>
        <v>173030</v>
      </c>
      <c r="H9" s="835">
        <f>'Sales-AR Schedule'!K11</f>
        <v>190333.00000000003</v>
      </c>
      <c r="I9" s="835">
        <f>'Sales-AR Schedule'!L11</f>
        <v>209366.30000000002</v>
      </c>
    </row>
    <row r="10" spans="3:9">
      <c r="C10" s="799" t="s">
        <v>759</v>
      </c>
      <c r="D10" s="799" t="s">
        <v>86</v>
      </c>
      <c r="E10" s="836">
        <f>D3</f>
        <v>0.3</v>
      </c>
      <c r="F10" s="836">
        <f>D3</f>
        <v>0.3</v>
      </c>
      <c r="G10" s="836">
        <f>D3</f>
        <v>0.3</v>
      </c>
      <c r="H10" s="836">
        <f>D3</f>
        <v>0.3</v>
      </c>
      <c r="I10" s="836">
        <f>D3</f>
        <v>0.3</v>
      </c>
    </row>
    <row r="11" spans="3:9">
      <c r="C11" s="799" t="s">
        <v>760</v>
      </c>
      <c r="D11" s="802" t="str">
        <f>Projection!$E$7</f>
        <v>IDR Million</v>
      </c>
      <c r="E11" s="835">
        <f>E9*E10</f>
        <v>39600</v>
      </c>
      <c r="F11" s="835">
        <f t="shared" ref="F11:I11" si="0">F9*F10</f>
        <v>47190</v>
      </c>
      <c r="G11" s="835">
        <f t="shared" si="0"/>
        <v>51909</v>
      </c>
      <c r="H11" s="835">
        <f t="shared" si="0"/>
        <v>57099.900000000009</v>
      </c>
      <c r="I11" s="835">
        <f t="shared" si="0"/>
        <v>62809.89</v>
      </c>
    </row>
    <row r="12" spans="3:9">
      <c r="C12" s="799" t="s">
        <v>760</v>
      </c>
      <c r="D12" s="802" t="s">
        <v>752</v>
      </c>
      <c r="E12" s="835">
        <f>E11/$D$2*1000</f>
        <v>2475</v>
      </c>
      <c r="F12" s="835">
        <f>F11/$D$2*1000</f>
        <v>2949.375</v>
      </c>
      <c r="G12" s="835">
        <f t="shared" ref="G12:I12" si="1">G11/$D$2*1000</f>
        <v>3244.3125</v>
      </c>
      <c r="H12" s="835">
        <f t="shared" si="1"/>
        <v>3568.7437500000005</v>
      </c>
      <c r="I12" s="835">
        <f t="shared" si="1"/>
        <v>3925.618125</v>
      </c>
    </row>
    <row r="13" spans="3:9">
      <c r="C13" t="s">
        <v>761</v>
      </c>
      <c r="D13" t="s">
        <v>191</v>
      </c>
      <c r="E13" s="808">
        <f>$D$4</f>
        <v>180</v>
      </c>
      <c r="F13" s="808">
        <f t="shared" ref="F13:I13" si="2">$D$4</f>
        <v>180</v>
      </c>
      <c r="G13" s="808">
        <f t="shared" si="2"/>
        <v>180</v>
      </c>
      <c r="H13" s="808">
        <f t="shared" si="2"/>
        <v>180</v>
      </c>
      <c r="I13" s="808">
        <f t="shared" si="2"/>
        <v>180</v>
      </c>
    </row>
    <row r="14" spans="3:9" ht="12.95">
      <c r="C14" s="798" t="s">
        <v>762</v>
      </c>
      <c r="D14" s="798" t="s">
        <v>752</v>
      </c>
      <c r="E14" s="807">
        <f>E12/360*E13</f>
        <v>1237.5</v>
      </c>
      <c r="F14" s="807">
        <f t="shared" ref="F14:I14" si="3">F12/360*F13</f>
        <v>1474.6875</v>
      </c>
      <c r="G14" s="807">
        <f t="shared" si="3"/>
        <v>1622.15625</v>
      </c>
      <c r="H14" s="807">
        <f t="shared" si="3"/>
        <v>1784.371875</v>
      </c>
      <c r="I14" s="807">
        <f t="shared" si="3"/>
        <v>1962.8090625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3A4A-8796-4415-ADAD-2915C62C7206}">
  <sheetPr>
    <tabColor theme="5" tint="0.59999389629810485"/>
  </sheetPr>
  <dimension ref="B2:L18"/>
  <sheetViews>
    <sheetView workbookViewId="0">
      <selection activeCell="C6" sqref="C6"/>
    </sheetView>
  </sheetViews>
  <sheetFormatPr defaultColWidth="8.7109375" defaultRowHeight="12.6"/>
  <cols>
    <col min="1" max="1" width="8.7109375" style="771" customWidth="1"/>
    <col min="2" max="2" width="27" style="771" bestFit="1" customWidth="1"/>
    <col min="3" max="3" width="12.140625" style="771" bestFit="1" customWidth="1"/>
    <col min="4" max="4" width="5.42578125" style="771" bestFit="1" customWidth="1"/>
    <col min="5" max="8" width="12.42578125" style="771" customWidth="1"/>
    <col min="9" max="11" width="8.7109375" style="771" customWidth="1"/>
    <col min="12" max="12" width="17.42578125" style="771" customWidth="1"/>
    <col min="13" max="16384" width="8.7109375" style="771"/>
  </cols>
  <sheetData>
    <row r="2" spans="2:12" ht="14.45">
      <c r="B2" s="1593" t="s">
        <v>46</v>
      </c>
      <c r="C2" s="1594"/>
      <c r="D2" s="1594"/>
      <c r="E2" s="1593" t="s">
        <v>763</v>
      </c>
      <c r="F2" s="1594"/>
      <c r="G2" s="1595"/>
      <c r="H2" s="1594" t="s">
        <v>48</v>
      </c>
      <c r="I2" s="1594"/>
      <c r="J2" s="1594"/>
      <c r="K2" s="1594"/>
      <c r="L2" s="770"/>
    </row>
    <row r="3" spans="2:12" ht="14.45">
      <c r="B3" s="1596" t="str">
        <f>Historical!B3</f>
        <v>Generic Niaga / Generic Group</v>
      </c>
      <c r="C3" s="1597"/>
      <c r="D3" s="1597"/>
      <c r="E3" s="1598">
        <f>Historical!E3</f>
        <v>45598</v>
      </c>
      <c r="F3" s="1599"/>
      <c r="G3" s="1600"/>
      <c r="H3" s="772" t="str">
        <f>Historical!H3</f>
        <v>Divisi Corporate Banking 2</v>
      </c>
      <c r="I3" s="773"/>
      <c r="J3" s="773"/>
      <c r="K3" s="773"/>
      <c r="L3" s="774"/>
    </row>
    <row r="4" spans="2:12" ht="14.45">
      <c r="B4" s="1587"/>
      <c r="C4" s="1588"/>
      <c r="D4" s="1588"/>
      <c r="E4" s="1589"/>
      <c r="F4" s="1590"/>
      <c r="G4" s="1591"/>
      <c r="H4" s="1592"/>
      <c r="I4" s="1588"/>
      <c r="J4" s="1588"/>
      <c r="K4" s="1588"/>
      <c r="L4" s="775"/>
    </row>
    <row r="5" spans="2:12">
      <c r="B5" s="776"/>
      <c r="C5" s="777"/>
      <c r="D5" s="777"/>
      <c r="E5" s="776"/>
      <c r="F5" s="777"/>
      <c r="G5" s="778"/>
      <c r="H5" s="777"/>
      <c r="I5" s="777"/>
      <c r="J5" s="777"/>
      <c r="K5" s="777"/>
      <c r="L5" s="778"/>
    </row>
    <row r="6" spans="2:12">
      <c r="B6" s="779" t="s">
        <v>764</v>
      </c>
      <c r="C6" s="780">
        <f>Historical!K133-Historical!K120</f>
        <v>24065</v>
      </c>
      <c r="D6" s="781"/>
      <c r="E6" s="782" t="s">
        <v>765</v>
      </c>
    </row>
    <row r="7" spans="2:12">
      <c r="B7" s="783" t="s">
        <v>766</v>
      </c>
      <c r="C7" s="797">
        <f>MAX(MAX(Assumption!H266:H280),MAX(Assumption!H285:H300))</f>
        <v>0.12</v>
      </c>
      <c r="D7" s="784"/>
      <c r="E7" s="782" t="s">
        <v>767</v>
      </c>
    </row>
    <row r="8" spans="2:12">
      <c r="B8" s="783" t="s">
        <v>768</v>
      </c>
      <c r="C8" s="791">
        <v>300000</v>
      </c>
      <c r="D8" s="784"/>
      <c r="E8" s="782" t="s">
        <v>769</v>
      </c>
    </row>
    <row r="10" spans="2:12">
      <c r="D10" s="771" t="s">
        <v>703</v>
      </c>
      <c r="E10" s="785">
        <v>11</v>
      </c>
      <c r="F10" s="785">
        <v>12</v>
      </c>
      <c r="G10" s="785">
        <v>13</v>
      </c>
      <c r="H10" s="785">
        <v>14</v>
      </c>
      <c r="I10" s="782" t="s">
        <v>770</v>
      </c>
    </row>
    <row r="11" spans="2:12">
      <c r="B11" s="779" t="s">
        <v>771</v>
      </c>
      <c r="C11" s="786"/>
      <c r="D11" s="781"/>
      <c r="E11" s="787">
        <f>PV($C$7,E$10,-$C$6,0,0)</f>
        <v>142890.72962384601</v>
      </c>
      <c r="F11" s="788">
        <f>PV($C$7,F$10,-$C$6,0,0)</f>
        <v>149067.61573557678</v>
      </c>
      <c r="G11" s="788">
        <f>PV($C$7,G$10,-$C$6,0,0)</f>
        <v>154582.69262105069</v>
      </c>
      <c r="H11" s="788">
        <f>PV($C$7,H$10,-$C$6,0,0)</f>
        <v>159506.86841165242</v>
      </c>
      <c r="I11" s="782"/>
    </row>
    <row r="12" spans="2:12">
      <c r="B12" s="783" t="s">
        <v>772</v>
      </c>
      <c r="C12" s="789"/>
      <c r="D12" s="784"/>
      <c r="E12" s="787">
        <f>$C$8-E11</f>
        <v>157109.27037615399</v>
      </c>
      <c r="F12" s="788">
        <f>$C$8-F11</f>
        <v>150932.38426442322</v>
      </c>
      <c r="G12" s="788">
        <f>$C$8-G11</f>
        <v>145417.30737894931</v>
      </c>
      <c r="H12" s="788">
        <f>$C$8-H11</f>
        <v>140493.13158834758</v>
      </c>
      <c r="I12" s="782" t="s">
        <v>773</v>
      </c>
    </row>
    <row r="13" spans="2:12">
      <c r="B13" s="783" t="s">
        <v>774</v>
      </c>
      <c r="C13" s="789"/>
      <c r="D13" s="784"/>
      <c r="E13" s="788">
        <f>FV($C$7,E$10,-$C$6,$C$8,1)</f>
        <v>-486866.14583162952</v>
      </c>
      <c r="F13" s="788">
        <f>FV($C$7,F$10,-$C$6,$C$8,1)</f>
        <v>-518337.28333142505</v>
      </c>
      <c r="G13" s="788">
        <f>FV($C$7,G$10,-$C$6,$C$8,1)</f>
        <v>-553584.95733119629</v>
      </c>
      <c r="H13" s="788">
        <f>FV($C$7,H$10,-$C$6,$C$8,1)</f>
        <v>-593062.35221093975</v>
      </c>
      <c r="I13" s="782"/>
    </row>
    <row r="14" spans="2:12">
      <c r="B14" s="783" t="s">
        <v>775</v>
      </c>
      <c r="C14" s="789"/>
      <c r="D14" s="784"/>
      <c r="E14" s="787">
        <f>IF(E13&gt;0,0,E13)</f>
        <v>-486866.14583162952</v>
      </c>
      <c r="F14" s="788">
        <f>IF(F13&gt;0,0,F13)</f>
        <v>-518337.28333142505</v>
      </c>
      <c r="G14" s="788">
        <f>IF(G13&gt;0,0,G13)</f>
        <v>-553584.95733119629</v>
      </c>
      <c r="H14" s="788">
        <f>IF(H13&gt;0,0,H13)</f>
        <v>-593062.35221093975</v>
      </c>
      <c r="I14" s="782" t="s">
        <v>776</v>
      </c>
    </row>
    <row r="15" spans="2:12">
      <c r="B15" s="776" t="s">
        <v>777</v>
      </c>
      <c r="C15" s="777"/>
      <c r="D15" s="778"/>
      <c r="E15" s="790" t="e">
        <f>NPER($C$7,-C$6,C8,0,0)</f>
        <v>#NUM!</v>
      </c>
      <c r="F15" s="771" t="s">
        <v>778</v>
      </c>
    </row>
    <row r="18" spans="3:3">
      <c r="C18" s="793"/>
    </row>
  </sheetData>
  <mergeCells count="8">
    <mergeCell ref="B4:D4"/>
    <mergeCell ref="E4:G4"/>
    <mergeCell ref="H4:K4"/>
    <mergeCell ref="B2:D2"/>
    <mergeCell ref="E2:G2"/>
    <mergeCell ref="H2:K2"/>
    <mergeCell ref="B3:D3"/>
    <mergeCell ref="E3:G3"/>
  </mergeCells>
  <dataValidations count="1">
    <dataValidation type="date" errorStyle="warning" allowBlank="1" error="Input anda salah!" prompt="Agar diinput format tanggal : mm/dd/yyy" sqref="E3:G3" xr:uid="{2249C604-4D20-47FF-AC38-DA32B660F5B8}">
      <formula1>1</formula1>
      <formula2>402133</formula2>
    </dataValidation>
  </dataValidations>
  <hyperlinks>
    <hyperlink ref="H3:L3" r:id="rId1" tooltip="Optimist Link" display=" " xr:uid="{F606382A-7D56-407E-B707-F3BDACBE73A9}"/>
    <hyperlink ref="B3:D3" r:id="rId2" tooltip="Optimist Link" display=" " xr:uid="{B2C06195-24A8-4062-95C6-C7ED0C30A56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0871-92FC-48FD-B310-0222C3F8B56B}">
  <sheetPr codeName="Sheet11">
    <tabColor rgb="FF92D050"/>
  </sheetPr>
  <dimension ref="A1:Z990"/>
  <sheetViews>
    <sheetView showGridLines="0" topLeftCell="A12" workbookViewId="0">
      <selection activeCell="C28" sqref="C28"/>
    </sheetView>
  </sheetViews>
  <sheetFormatPr defaultColWidth="12.42578125" defaultRowHeight="15" customHeight="1"/>
  <cols>
    <col min="1" max="1" width="9.140625" customWidth="1"/>
    <col min="2" max="2" width="3.140625" customWidth="1"/>
    <col min="3" max="3" width="20" customWidth="1"/>
    <col min="4" max="14" width="12.42578125" customWidth="1"/>
    <col min="15" max="26" width="8" customWidth="1"/>
  </cols>
  <sheetData>
    <row r="1" spans="1:26" ht="11.25" customHeight="1">
      <c r="A1" s="456"/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  <c r="X1" s="456"/>
      <c r="Y1" s="456"/>
      <c r="Z1" s="456"/>
    </row>
    <row r="2" spans="1:26" ht="11.25" customHeight="1">
      <c r="A2" s="456"/>
      <c r="B2" s="456"/>
      <c r="C2" s="458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</row>
    <row r="3" spans="1:26" ht="11.25" customHeight="1">
      <c r="A3" s="456"/>
      <c r="B3" s="456"/>
      <c r="C3" s="456" t="s">
        <v>779</v>
      </c>
      <c r="D3" s="459">
        <f>+Assumption!G340</f>
        <v>0.35</v>
      </c>
      <c r="E3" s="456"/>
      <c r="F3" s="456"/>
      <c r="G3" s="456"/>
      <c r="H3" s="456"/>
      <c r="I3" s="456"/>
      <c r="J3" s="456"/>
      <c r="K3" s="456"/>
      <c r="L3" s="456"/>
      <c r="M3" s="456"/>
      <c r="N3" s="456"/>
      <c r="O3" s="456"/>
      <c r="P3" s="456"/>
      <c r="Q3" s="456"/>
      <c r="R3" s="456"/>
      <c r="S3" s="456"/>
      <c r="T3" s="456"/>
      <c r="U3" s="456"/>
      <c r="V3" s="456"/>
      <c r="W3" s="456"/>
      <c r="X3" s="456"/>
      <c r="Y3" s="456"/>
      <c r="Z3" s="456"/>
    </row>
    <row r="4" spans="1:26" ht="11.25" customHeight="1">
      <c r="A4" s="456"/>
      <c r="B4" s="456"/>
      <c r="C4" s="456"/>
      <c r="D4" s="456"/>
      <c r="E4" s="456"/>
      <c r="F4" s="456"/>
      <c r="G4" s="456"/>
      <c r="H4" s="456"/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</row>
    <row r="5" spans="1:26" ht="11.25" customHeight="1">
      <c r="A5" s="456"/>
      <c r="B5" s="456"/>
      <c r="C5" s="691"/>
      <c r="D5" s="692">
        <f>+IF(MONTH(Historical!K13)=12,Historical!K13,Historical!I13)</f>
        <v>45291</v>
      </c>
      <c r="E5" s="692">
        <f t="shared" ref="E5:I5" si="0">DATE(YEAR(D5)+1,MONTH(D5),DAY(D5))</f>
        <v>45657</v>
      </c>
      <c r="F5" s="692">
        <f t="shared" si="0"/>
        <v>46022</v>
      </c>
      <c r="G5" s="692">
        <f t="shared" si="0"/>
        <v>46387</v>
      </c>
      <c r="H5" s="692">
        <f t="shared" si="0"/>
        <v>46752</v>
      </c>
      <c r="I5" s="692">
        <f t="shared" si="0"/>
        <v>47118</v>
      </c>
      <c r="J5" s="692">
        <f t="shared" ref="J5" si="1">DATE(YEAR(I5)+1,MONTH(I5),DAY(I5))</f>
        <v>47483</v>
      </c>
      <c r="K5" s="692">
        <f t="shared" ref="K5" si="2">DATE(YEAR(J5)+1,MONTH(J5),DAY(J5))</f>
        <v>47848</v>
      </c>
      <c r="L5" s="692">
        <f t="shared" ref="L5" si="3">DATE(YEAR(K5)+1,MONTH(K5),DAY(K5))</f>
        <v>48213</v>
      </c>
      <c r="M5" s="692">
        <f t="shared" ref="M5" si="4">DATE(YEAR(L5)+1,MONTH(L5),DAY(L5))</f>
        <v>48579</v>
      </c>
      <c r="N5" s="692">
        <f t="shared" ref="N5" si="5">DATE(YEAR(M5)+1,MONTH(M5),DAY(M5))</f>
        <v>48944</v>
      </c>
      <c r="O5" s="456"/>
      <c r="P5" s="456"/>
      <c r="Q5" s="456"/>
      <c r="R5" s="456"/>
      <c r="S5" s="456"/>
      <c r="T5" s="456"/>
      <c r="U5" s="456"/>
      <c r="V5" s="456"/>
      <c r="W5" s="456"/>
      <c r="X5" s="456"/>
      <c r="Y5" s="456"/>
      <c r="Z5" s="456"/>
    </row>
    <row r="6" spans="1:26" ht="11.25" customHeight="1">
      <c r="A6" s="456"/>
      <c r="B6" s="456"/>
      <c r="C6" s="456" t="s">
        <v>238</v>
      </c>
      <c r="D6" s="453">
        <f>+IF(MONTH(Historical!K13)=12,Historical!K133,Historical!I133)</f>
        <v>32740</v>
      </c>
      <c r="E6" s="453">
        <f>+Projection!L103</f>
        <v>30435</v>
      </c>
      <c r="F6" s="453">
        <f>+Projection!N103</f>
        <v>36965.5</v>
      </c>
      <c r="G6" s="453">
        <f>+Projection!P103</f>
        <v>40662.049999999981</v>
      </c>
      <c r="H6" s="453">
        <f>+Projection!R103</f>
        <v>44728.255000000048</v>
      </c>
      <c r="I6" s="453">
        <f>+Projection!T103</f>
        <v>49201.08050000004</v>
      </c>
      <c r="J6" s="453"/>
      <c r="K6" s="453"/>
      <c r="L6" s="453"/>
      <c r="M6" s="453"/>
      <c r="N6" s="453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</row>
    <row r="7" spans="1:26" ht="11.25" customHeight="1">
      <c r="A7" s="456"/>
      <c r="B7" s="456"/>
      <c r="C7" s="456" t="s">
        <v>780</v>
      </c>
      <c r="D7" s="453">
        <f t="shared" ref="D7:I7" si="6">+D6*(1-$D$3)</f>
        <v>21281</v>
      </c>
      <c r="E7" s="453">
        <f t="shared" si="6"/>
        <v>19782.75</v>
      </c>
      <c r="F7" s="453">
        <f t="shared" si="6"/>
        <v>24027.575000000001</v>
      </c>
      <c r="G7" s="453">
        <f t="shared" si="6"/>
        <v>26430.33249999999</v>
      </c>
      <c r="H7" s="453">
        <f t="shared" si="6"/>
        <v>29073.365750000034</v>
      </c>
      <c r="I7" s="453">
        <f t="shared" si="6"/>
        <v>31980.702325000027</v>
      </c>
      <c r="J7" s="453"/>
      <c r="K7" s="453"/>
      <c r="L7" s="453"/>
      <c r="M7" s="453"/>
      <c r="N7" s="453"/>
      <c r="O7" s="456"/>
      <c r="P7" s="456"/>
      <c r="Q7" s="456"/>
      <c r="R7" s="456"/>
      <c r="S7" s="456"/>
      <c r="T7" s="456"/>
      <c r="U7" s="456"/>
      <c r="V7" s="456"/>
      <c r="W7" s="456"/>
      <c r="X7" s="456"/>
      <c r="Y7" s="456"/>
      <c r="Z7" s="456"/>
    </row>
    <row r="8" spans="1:26" ht="11.25" customHeight="1">
      <c r="A8" s="456"/>
      <c r="B8" s="456"/>
      <c r="C8" s="456" t="s">
        <v>781</v>
      </c>
      <c r="D8" s="453">
        <f>+IF(MONTH(Historical!K13)=12,(Historical!K19+Historical!K20-Historical!K39),(Historical!I19+Historical!I20-Historical!I39))</f>
        <v>-1498</v>
      </c>
      <c r="E8" s="453">
        <f>+(Projection!L12+Projection!L13-Projection!L32)</f>
        <v>30806.972222222223</v>
      </c>
      <c r="F8" s="453">
        <f>+(Projection!N12+Projection!N13-Projection!N32)</f>
        <v>36923.333333333336</v>
      </c>
      <c r="G8" s="453">
        <f>+(Projection!P12+Projection!P13-Projection!P32)</f>
        <v>40635.833333333328</v>
      </c>
      <c r="H8" s="453">
        <f>+(Projection!R12+Projection!R13-Projection!R32)</f>
        <v>44699.416666666672</v>
      </c>
      <c r="I8" s="453">
        <f>+(Projection!T12+Projection!T13-Projection!T32)</f>
        <v>49169.358333333337</v>
      </c>
      <c r="J8" s="453"/>
      <c r="K8" s="453"/>
      <c r="L8" s="453"/>
      <c r="M8" s="453"/>
      <c r="N8" s="453"/>
      <c r="O8" s="456"/>
      <c r="P8" s="456"/>
      <c r="Q8" s="456"/>
      <c r="R8" s="456"/>
      <c r="S8" s="456"/>
      <c r="T8" s="456"/>
      <c r="U8" s="456"/>
      <c r="V8" s="456"/>
      <c r="W8" s="456"/>
      <c r="X8" s="456"/>
      <c r="Y8" s="456"/>
      <c r="Z8" s="456"/>
    </row>
    <row r="9" spans="1:26" ht="11.25" customHeight="1">
      <c r="A9" s="456"/>
      <c r="B9" s="456"/>
      <c r="C9" s="456" t="s">
        <v>782</v>
      </c>
      <c r="D9" s="453">
        <f>+IF(MONTH(Historical!K13)=12,Historical!I19+Historical!I20-Historical!I39,Historical!G19+Historical!G20-Historical!G39)</f>
        <v>-1499</v>
      </c>
      <c r="E9" s="453">
        <f t="shared" ref="E9:I9" si="7">+D8</f>
        <v>-1498</v>
      </c>
      <c r="F9" s="453">
        <f t="shared" si="7"/>
        <v>30806.972222222223</v>
      </c>
      <c r="G9" s="453">
        <f t="shared" si="7"/>
        <v>36923.333333333336</v>
      </c>
      <c r="H9" s="453">
        <f t="shared" si="7"/>
        <v>40635.833333333328</v>
      </c>
      <c r="I9" s="453">
        <f t="shared" si="7"/>
        <v>44699.416666666672</v>
      </c>
      <c r="J9" s="453"/>
      <c r="K9" s="453"/>
      <c r="L9" s="453"/>
      <c r="M9" s="453"/>
      <c r="N9" s="453"/>
      <c r="O9" s="456"/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</row>
    <row r="10" spans="1:26" ht="11.25" customHeight="1">
      <c r="A10" s="456"/>
      <c r="B10" s="456"/>
      <c r="C10" s="693" t="s">
        <v>783</v>
      </c>
      <c r="D10" s="694">
        <v>0</v>
      </c>
      <c r="E10" s="694">
        <f>+CF!U61+CF!U62</f>
        <v>100050</v>
      </c>
      <c r="F10" s="694">
        <f>+CF!AH61+CF!AH62</f>
        <v>0</v>
      </c>
      <c r="G10" s="694">
        <f>+CF!AU61+CF!AU62</f>
        <v>0</v>
      </c>
      <c r="H10" s="694">
        <f>+CF!BH61+CF!BH62</f>
        <v>0</v>
      </c>
      <c r="I10" s="694">
        <f>+CF!BU61+CF!BU62</f>
        <v>0</v>
      </c>
      <c r="J10" s="694"/>
      <c r="K10" s="694"/>
      <c r="L10" s="694"/>
      <c r="M10" s="694"/>
      <c r="N10" s="694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</row>
    <row r="11" spans="1:26" ht="11.25" customHeight="1">
      <c r="A11" s="456"/>
      <c r="B11" s="456"/>
      <c r="C11" s="458" t="s">
        <v>784</v>
      </c>
      <c r="D11" s="460">
        <f t="shared" ref="D11:I11" si="8">+D7-(D8-D9)-D10</f>
        <v>21280</v>
      </c>
      <c r="E11" s="460">
        <f>+E7-(E8-E9)-E10</f>
        <v>-112572.22222222222</v>
      </c>
      <c r="F11" s="460">
        <f t="shared" si="8"/>
        <v>17911.213888888888</v>
      </c>
      <c r="G11" s="460">
        <f t="shared" si="8"/>
        <v>22717.832499999997</v>
      </c>
      <c r="H11" s="460">
        <f t="shared" si="8"/>
        <v>25009.782416666691</v>
      </c>
      <c r="I11" s="460">
        <f t="shared" si="8"/>
        <v>27510.760658333362</v>
      </c>
      <c r="J11" s="460">
        <f>I11*(1+$I$12)</f>
        <v>30261.8367241667</v>
      </c>
      <c r="K11" s="460">
        <f t="shared" ref="K11:N11" si="9">J11*(1+$I$12)</f>
        <v>33288.020396583372</v>
      </c>
      <c r="L11" s="460">
        <f t="shared" si="9"/>
        <v>36616.82243624171</v>
      </c>
      <c r="M11" s="460">
        <f t="shared" si="9"/>
        <v>40278.50467986588</v>
      </c>
      <c r="N11" s="460">
        <f t="shared" si="9"/>
        <v>44306.355147852475</v>
      </c>
      <c r="O11" s="456"/>
      <c r="P11" s="456"/>
      <c r="Q11" s="456"/>
      <c r="R11" s="456"/>
      <c r="S11" s="456"/>
      <c r="T11" s="456"/>
      <c r="U11" s="456"/>
      <c r="V11" s="456"/>
      <c r="W11" s="456"/>
      <c r="X11" s="456"/>
      <c r="Y11" s="456"/>
      <c r="Z11" s="456"/>
    </row>
    <row r="12" spans="1:26" ht="11.25" customHeight="1">
      <c r="A12" s="456"/>
      <c r="B12" s="456"/>
      <c r="C12" s="456" t="s">
        <v>785</v>
      </c>
      <c r="D12" s="462" t="s">
        <v>74</v>
      </c>
      <c r="E12" s="463">
        <f t="shared" ref="E12:H12" si="10">IF(D11=0,0,E11/D11-1)</f>
        <v>-6.2900480367585629</v>
      </c>
      <c r="F12" s="463">
        <f t="shared" si="10"/>
        <v>-1.15910864630114</v>
      </c>
      <c r="G12" s="463">
        <f t="shared" si="10"/>
        <v>0.26835805998011475</v>
      </c>
      <c r="H12" s="463">
        <f t="shared" si="10"/>
        <v>0.10088770205813846</v>
      </c>
      <c r="I12" s="463">
        <f>IF(H11=0,0,I11/H11-1)</f>
        <v>0.10000000000000009</v>
      </c>
      <c r="J12" s="463"/>
      <c r="K12" s="463"/>
      <c r="L12" s="463"/>
      <c r="M12" s="463"/>
      <c r="N12" s="463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</row>
    <row r="13" spans="1:26" ht="11.25" customHeight="1">
      <c r="A13" s="456"/>
      <c r="B13" s="456"/>
      <c r="C13" s="456"/>
      <c r="D13" s="456"/>
      <c r="E13" s="456"/>
      <c r="F13" s="456"/>
      <c r="G13" s="456"/>
      <c r="H13" s="456"/>
      <c r="I13" s="456"/>
      <c r="J13" s="456"/>
      <c r="K13" s="456"/>
      <c r="L13" s="456"/>
      <c r="M13" s="456"/>
      <c r="N13" s="456"/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456"/>
      <c r="Z13" s="456"/>
    </row>
    <row r="14" spans="1:26" ht="11.25" customHeight="1">
      <c r="A14" s="456"/>
      <c r="B14" s="456"/>
      <c r="C14" s="456"/>
      <c r="D14" s="456"/>
      <c r="E14" s="456"/>
      <c r="F14" s="456"/>
      <c r="G14" s="456"/>
      <c r="H14" s="456"/>
      <c r="I14" s="456"/>
      <c r="J14" s="456"/>
      <c r="K14" s="456"/>
      <c r="L14" s="456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456"/>
      <c r="Z14" s="456"/>
    </row>
    <row r="15" spans="1:26" ht="11.25" customHeight="1">
      <c r="A15" s="456"/>
      <c r="B15" s="456"/>
      <c r="C15" s="458" t="s">
        <v>786</v>
      </c>
      <c r="D15" s="456"/>
      <c r="E15" s="456"/>
      <c r="F15" s="456"/>
      <c r="G15" s="456"/>
      <c r="H15" s="456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456"/>
      <c r="Z15" s="456"/>
    </row>
    <row r="16" spans="1:26" ht="11.25" customHeight="1">
      <c r="A16" s="456"/>
      <c r="B16" s="456"/>
      <c r="C16" s="456" t="s">
        <v>787</v>
      </c>
      <c r="D16" s="456"/>
      <c r="E16" s="456"/>
      <c r="F16" s="456"/>
      <c r="G16" s="456"/>
      <c r="H16" s="456"/>
      <c r="I16" s="456"/>
      <c r="J16" s="456"/>
      <c r="K16" s="456"/>
      <c r="L16" s="456"/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6"/>
      <c r="X16" s="456"/>
      <c r="Y16" s="456"/>
      <c r="Z16" s="456"/>
    </row>
    <row r="17" spans="1:26" ht="11.25" customHeight="1">
      <c r="A17" s="456"/>
      <c r="B17" s="456"/>
      <c r="C17" s="456" t="s">
        <v>788</v>
      </c>
      <c r="D17" s="792">
        <v>7.4999999999999997E-2</v>
      </c>
      <c r="E17" s="456" t="s">
        <v>789</v>
      </c>
      <c r="F17" s="456" t="s">
        <v>790</v>
      </c>
      <c r="G17" s="456"/>
      <c r="H17" s="456"/>
      <c r="I17" s="456"/>
      <c r="J17" s="456"/>
      <c r="K17" s="456"/>
      <c r="L17" s="456"/>
      <c r="M17" s="456"/>
      <c r="N17" s="456"/>
      <c r="O17" s="456"/>
      <c r="P17" s="456"/>
      <c r="Q17" s="456"/>
      <c r="R17" s="456"/>
      <c r="S17" s="456"/>
      <c r="T17" s="456"/>
      <c r="U17" s="456"/>
      <c r="V17" s="456"/>
      <c r="W17" s="456"/>
      <c r="X17" s="456"/>
      <c r="Y17" s="456"/>
      <c r="Z17" s="456"/>
    </row>
    <row r="18" spans="1:26" ht="11.25" customHeight="1">
      <c r="A18" s="456"/>
      <c r="B18" s="456"/>
      <c r="C18" s="456" t="s">
        <v>791</v>
      </c>
      <c r="D18" s="792">
        <v>0.06</v>
      </c>
      <c r="E18" s="456"/>
      <c r="F18" s="456"/>
      <c r="G18" s="456"/>
      <c r="H18" s="456"/>
      <c r="I18" s="456"/>
      <c r="J18" s="456"/>
      <c r="K18" s="456"/>
      <c r="L18" s="456"/>
      <c r="M18" s="456"/>
      <c r="N18" s="456"/>
      <c r="O18" s="456"/>
      <c r="P18" s="456"/>
      <c r="Q18" s="456"/>
      <c r="R18" s="456"/>
      <c r="S18" s="456"/>
      <c r="T18" s="456"/>
      <c r="U18" s="456"/>
      <c r="V18" s="456"/>
      <c r="W18" s="456"/>
      <c r="X18" s="456"/>
      <c r="Y18" s="456"/>
      <c r="Z18" s="456"/>
    </row>
    <row r="19" spans="1:26" ht="11.25" customHeight="1">
      <c r="A19" s="456"/>
      <c r="B19" s="456"/>
      <c r="C19" s="456" t="s">
        <v>792</v>
      </c>
      <c r="D19" s="456"/>
      <c r="E19" s="456"/>
      <c r="F19" s="456"/>
      <c r="G19" s="456"/>
      <c r="H19" s="456"/>
      <c r="I19" s="456"/>
      <c r="J19" s="456"/>
      <c r="K19" s="456"/>
      <c r="L19" s="456"/>
      <c r="M19" s="456"/>
      <c r="N19" s="456"/>
      <c r="O19" s="456"/>
      <c r="P19" s="456"/>
      <c r="Q19" s="456"/>
      <c r="R19" s="456"/>
      <c r="S19" s="456"/>
      <c r="T19" s="456"/>
      <c r="U19" s="456"/>
      <c r="V19" s="456"/>
      <c r="W19" s="456"/>
      <c r="X19" s="456"/>
      <c r="Y19" s="456"/>
      <c r="Z19" s="456"/>
    </row>
    <row r="20" spans="1:26" ht="11.25" customHeight="1">
      <c r="A20" s="456"/>
      <c r="B20" s="456"/>
      <c r="C20" s="456" t="s">
        <v>793</v>
      </c>
      <c r="D20" s="459">
        <f>+Assumption!H252</f>
        <v>0.6</v>
      </c>
      <c r="E20" s="456"/>
      <c r="F20" s="456"/>
      <c r="G20" s="456"/>
      <c r="H20" s="456"/>
      <c r="I20" s="456"/>
      <c r="J20" s="456"/>
      <c r="K20" s="456"/>
      <c r="L20" s="456"/>
      <c r="M20" s="456"/>
      <c r="N20" s="456"/>
      <c r="O20" s="456"/>
      <c r="P20" s="456"/>
      <c r="Q20" s="456"/>
      <c r="R20" s="456"/>
      <c r="S20" s="456"/>
      <c r="T20" s="456"/>
      <c r="U20" s="456"/>
      <c r="V20" s="456"/>
      <c r="W20" s="456"/>
      <c r="X20" s="456"/>
      <c r="Y20" s="456"/>
      <c r="Z20" s="456"/>
    </row>
    <row r="21" spans="1:26" ht="11.25" customHeight="1">
      <c r="A21" s="456"/>
      <c r="B21" s="456"/>
      <c r="C21" s="456" t="s">
        <v>794</v>
      </c>
      <c r="D21" s="459">
        <f>+Assumption!H253</f>
        <v>0.4</v>
      </c>
      <c r="E21" s="456"/>
      <c r="F21" s="456"/>
      <c r="G21" s="456"/>
      <c r="H21" s="456"/>
      <c r="I21" s="456"/>
      <c r="J21" s="456"/>
      <c r="K21" s="456"/>
      <c r="L21" s="456"/>
      <c r="M21" s="456"/>
      <c r="N21" s="456"/>
      <c r="O21" s="456"/>
      <c r="P21" s="456"/>
      <c r="Q21" s="456"/>
      <c r="R21" s="456"/>
      <c r="S21" s="456"/>
      <c r="T21" s="456"/>
      <c r="U21" s="456"/>
      <c r="V21" s="456"/>
      <c r="W21" s="456"/>
      <c r="X21" s="456"/>
      <c r="Y21" s="456"/>
      <c r="Z21" s="456"/>
    </row>
    <row r="22" spans="1:26" ht="11.25" customHeight="1">
      <c r="A22" s="456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</row>
    <row r="23" spans="1:26" ht="11.25" customHeight="1">
      <c r="A23" s="456"/>
      <c r="B23" s="456"/>
      <c r="C23" s="457" t="s">
        <v>795</v>
      </c>
      <c r="D23" s="459">
        <f>+D17*D20*(1-D3)+D21*D18</f>
        <v>5.3249999999999999E-2</v>
      </c>
      <c r="E23" s="456"/>
      <c r="F23" s="456"/>
      <c r="G23" s="456"/>
      <c r="H23" s="456"/>
      <c r="I23" s="456"/>
      <c r="J23" s="456"/>
      <c r="K23" s="456"/>
      <c r="L23" s="456"/>
      <c r="M23" s="456"/>
      <c r="N23" s="456"/>
      <c r="O23" s="456"/>
      <c r="P23" s="456"/>
      <c r="Q23" s="456"/>
      <c r="R23" s="456"/>
      <c r="S23" s="456"/>
      <c r="T23" s="456"/>
      <c r="U23" s="456"/>
      <c r="V23" s="456"/>
      <c r="W23" s="456"/>
      <c r="X23" s="456"/>
      <c r="Y23" s="456"/>
      <c r="Z23" s="456"/>
    </row>
    <row r="24" spans="1:26" ht="11.25" customHeight="1">
      <c r="A24" s="456"/>
      <c r="B24" s="456"/>
      <c r="C24" s="456"/>
      <c r="D24" s="456"/>
      <c r="E24" s="456"/>
      <c r="F24" s="456"/>
      <c r="G24" s="456"/>
      <c r="H24" s="456"/>
      <c r="I24" s="456"/>
      <c r="J24" s="456"/>
      <c r="K24" s="456"/>
      <c r="L24" s="456"/>
      <c r="M24" s="456"/>
      <c r="N24" s="456"/>
      <c r="O24" s="456"/>
      <c r="P24" s="456"/>
      <c r="Q24" s="456"/>
      <c r="R24" s="456"/>
      <c r="S24" s="456"/>
      <c r="T24" s="456"/>
      <c r="U24" s="456"/>
      <c r="V24" s="456"/>
      <c r="W24" s="456"/>
      <c r="X24" s="456"/>
      <c r="Y24" s="456"/>
      <c r="Z24" s="456"/>
    </row>
    <row r="25" spans="1:26" ht="11.25" customHeight="1">
      <c r="A25" s="456"/>
      <c r="B25" s="456"/>
      <c r="C25" s="456"/>
      <c r="D25" s="456"/>
      <c r="E25" s="456">
        <f>+E11</f>
        <v>-112572.22222222222</v>
      </c>
      <c r="F25" s="456">
        <f>+E25+F11</f>
        <v>-94661.008333333331</v>
      </c>
      <c r="G25" s="456">
        <f>+F25+G11</f>
        <v>-71943.175833333342</v>
      </c>
      <c r="H25" s="456">
        <f>+G25+H11</f>
        <v>-46933.393416666651</v>
      </c>
      <c r="I25" s="456">
        <f>+H25+I11</f>
        <v>-19422.63275833329</v>
      </c>
      <c r="J25" s="456">
        <f t="shared" ref="J25:N25" si="11">+I25+J11</f>
        <v>10839.203965833411</v>
      </c>
      <c r="K25" s="456">
        <f t="shared" si="11"/>
        <v>44127.224362416782</v>
      </c>
      <c r="L25" s="456">
        <f t="shared" si="11"/>
        <v>80744.046798658499</v>
      </c>
      <c r="M25" s="456">
        <f t="shared" si="11"/>
        <v>121022.55147852437</v>
      </c>
      <c r="N25" s="456">
        <f t="shared" si="11"/>
        <v>165328.90662637685</v>
      </c>
      <c r="O25" s="456"/>
      <c r="P25" s="456"/>
      <c r="Q25" s="456"/>
      <c r="R25" s="456"/>
      <c r="S25" s="456"/>
      <c r="T25" s="456"/>
      <c r="U25" s="456"/>
      <c r="V25" s="456"/>
      <c r="W25" s="456"/>
      <c r="X25" s="456"/>
      <c r="Y25" s="456"/>
      <c r="Z25" s="456"/>
    </row>
    <row r="26" spans="1:26" ht="11.25" customHeight="1">
      <c r="A26" s="456"/>
      <c r="B26" s="456"/>
      <c r="C26" s="456"/>
      <c r="D26" s="456"/>
      <c r="E26" s="456">
        <f t="shared" ref="E26:I26" si="12">+IF(E25&lt;0,1,0)</f>
        <v>1</v>
      </c>
      <c r="F26" s="456">
        <f t="shared" si="12"/>
        <v>1</v>
      </c>
      <c r="G26" s="456">
        <f t="shared" si="12"/>
        <v>1</v>
      </c>
      <c r="H26" s="456">
        <f t="shared" si="12"/>
        <v>1</v>
      </c>
      <c r="I26" s="456">
        <f t="shared" si="12"/>
        <v>1</v>
      </c>
      <c r="J26" s="456">
        <f t="shared" ref="J26:N26" si="13">+IF(J25&lt;0,1,0)</f>
        <v>0</v>
      </c>
      <c r="K26" s="456">
        <f t="shared" si="13"/>
        <v>0</v>
      </c>
      <c r="L26" s="456">
        <f t="shared" si="13"/>
        <v>0</v>
      </c>
      <c r="M26" s="456">
        <f t="shared" si="13"/>
        <v>0</v>
      </c>
      <c r="N26" s="456">
        <f t="shared" si="13"/>
        <v>0</v>
      </c>
      <c r="O26" s="456"/>
      <c r="P26" s="456"/>
      <c r="Q26" s="456"/>
      <c r="R26" s="456"/>
      <c r="S26" s="456"/>
      <c r="T26" s="456"/>
      <c r="U26" s="456"/>
      <c r="V26" s="456"/>
      <c r="W26" s="456"/>
      <c r="X26" s="456"/>
      <c r="Y26" s="456"/>
      <c r="Z26" s="456"/>
    </row>
    <row r="27" spans="1:26" ht="11.25" customHeight="1">
      <c r="A27" s="456"/>
      <c r="B27" s="456"/>
      <c r="C27" s="456"/>
      <c r="D27" s="456"/>
      <c r="E27" s="456">
        <f t="shared" ref="E27:I27" si="14">+E26-F26</f>
        <v>0</v>
      </c>
      <c r="F27" s="456">
        <f t="shared" si="14"/>
        <v>0</v>
      </c>
      <c r="G27" s="456">
        <f t="shared" si="14"/>
        <v>0</v>
      </c>
      <c r="H27" s="456">
        <f t="shared" si="14"/>
        <v>0</v>
      </c>
      <c r="I27" s="456">
        <f t="shared" si="14"/>
        <v>1</v>
      </c>
      <c r="J27" s="456">
        <f t="shared" ref="J27" si="15">+J26-K26</f>
        <v>0</v>
      </c>
      <c r="K27" s="456">
        <f t="shared" ref="K27" si="16">+K26-L26</f>
        <v>0</v>
      </c>
      <c r="L27" s="456">
        <f t="shared" ref="L27" si="17">+L26-M26</f>
        <v>0</v>
      </c>
      <c r="M27" s="456">
        <f t="shared" ref="M27" si="18">+M26-N26</f>
        <v>0</v>
      </c>
      <c r="N27" s="456">
        <f t="shared" ref="N27" si="19">+N26-O26</f>
        <v>0</v>
      </c>
      <c r="O27" s="456"/>
      <c r="P27" s="456"/>
      <c r="Q27" s="456"/>
      <c r="R27" s="456"/>
      <c r="S27" s="456"/>
      <c r="T27" s="456"/>
      <c r="U27" s="456"/>
      <c r="V27" s="456"/>
      <c r="W27" s="456"/>
      <c r="X27" s="456"/>
      <c r="Y27" s="456"/>
      <c r="Z27" s="456"/>
    </row>
    <row r="28" spans="1:26" ht="11.25" customHeight="1">
      <c r="A28" s="456"/>
      <c r="B28" s="456"/>
      <c r="C28" s="456"/>
      <c r="D28" s="456"/>
      <c r="E28" s="456">
        <f t="shared" ref="E28:I28" si="20">IF(E27=0,0,+((0-E25)*12/(F25-E25))*E27)</f>
        <v>0</v>
      </c>
      <c r="F28" s="456">
        <f t="shared" si="20"/>
        <v>0</v>
      </c>
      <c r="G28" s="456">
        <f t="shared" si="20"/>
        <v>0</v>
      </c>
      <c r="H28" s="456">
        <f t="shared" si="20"/>
        <v>0</v>
      </c>
      <c r="I28" s="456">
        <f t="shared" si="20"/>
        <v>7.7018323515661429</v>
      </c>
      <c r="J28" s="456">
        <f t="shared" ref="J28" si="21">IF(J27=0,0,+((0-J25)*12/(K25-J25))*J27)</f>
        <v>0</v>
      </c>
      <c r="K28" s="456">
        <f t="shared" ref="K28" si="22">IF(K27=0,0,+((0-K25)*12/(L25-K25))*K27)</f>
        <v>0</v>
      </c>
      <c r="L28" s="456">
        <f t="shared" ref="L28" si="23">IF(L27=0,0,+((0-L25)*12/(M25-L25))*L27)</f>
        <v>0</v>
      </c>
      <c r="M28" s="456">
        <f t="shared" ref="M28" si="24">IF(M27=0,0,+((0-M25)*12/(N25-M25))*M27)</f>
        <v>0</v>
      </c>
      <c r="N28" s="456">
        <f t="shared" ref="N28" si="25">IF(N27=0,0,+((0-N25)*12/(O25-N25))*N27)</f>
        <v>0</v>
      </c>
      <c r="O28" s="456"/>
      <c r="P28" s="456"/>
      <c r="Q28" s="456"/>
      <c r="R28" s="456"/>
      <c r="S28" s="456"/>
      <c r="T28" s="456"/>
      <c r="U28" s="456"/>
      <c r="V28" s="456"/>
      <c r="W28" s="456"/>
      <c r="X28" s="456"/>
      <c r="Y28" s="456"/>
      <c r="Z28" s="456"/>
    </row>
    <row r="29" spans="1:26" ht="11.25" customHeight="1">
      <c r="A29" s="456"/>
      <c r="B29" s="456"/>
      <c r="C29" s="456"/>
      <c r="D29" s="456"/>
      <c r="E29" s="456"/>
      <c r="F29" s="456"/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456"/>
      <c r="T29" s="456"/>
      <c r="U29" s="456"/>
      <c r="V29" s="456"/>
      <c r="W29" s="456"/>
      <c r="X29" s="456"/>
      <c r="Y29" s="456"/>
      <c r="Z29" s="456"/>
    </row>
    <row r="30" spans="1:26" ht="11.25" customHeight="1">
      <c r="A30" s="456"/>
      <c r="B30" s="456"/>
      <c r="C30" s="464" t="s">
        <v>796</v>
      </c>
      <c r="D30" s="460">
        <f>E11+NPV(D23,F11:N11)</f>
        <v>96242.518227724155</v>
      </c>
      <c r="E30" s="456"/>
      <c r="F30" s="456"/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456"/>
      <c r="T30" s="456"/>
      <c r="U30" s="456"/>
      <c r="V30" s="456"/>
      <c r="W30" s="456"/>
      <c r="X30" s="456"/>
      <c r="Y30" s="456"/>
      <c r="Z30" s="456"/>
    </row>
    <row r="31" spans="1:26" ht="11.25" customHeight="1">
      <c r="A31" s="456"/>
      <c r="B31" s="456"/>
      <c r="C31" s="464" t="s">
        <v>797</v>
      </c>
      <c r="D31" s="465">
        <f>+IRR(E11:N11)</f>
        <v>0.19369310523712313</v>
      </c>
      <c r="E31" s="456"/>
      <c r="F31" s="456"/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V31" s="456"/>
      <c r="W31" s="456"/>
      <c r="X31" s="456"/>
      <c r="Y31" s="456"/>
      <c r="Z31" s="456"/>
    </row>
    <row r="32" spans="1:26" ht="11.25" customHeight="1">
      <c r="A32" s="456"/>
      <c r="B32" s="456"/>
      <c r="C32" s="464" t="s">
        <v>798</v>
      </c>
      <c r="D32" s="466">
        <f>+SUM(F26:N26)</f>
        <v>4</v>
      </c>
      <c r="E32" s="458" t="s">
        <v>697</v>
      </c>
      <c r="F32" s="456"/>
      <c r="G32" s="456"/>
      <c r="H32" s="456"/>
      <c r="I32" s="456"/>
      <c r="J32" s="456"/>
      <c r="K32" s="456"/>
      <c r="L32" s="456"/>
      <c r="M32" s="456"/>
      <c r="N32" s="456"/>
      <c r="O32" s="456"/>
      <c r="P32" s="456"/>
      <c r="Q32" s="456"/>
      <c r="R32" s="456"/>
      <c r="S32" s="456"/>
      <c r="T32" s="456"/>
      <c r="U32" s="456"/>
      <c r="V32" s="456"/>
      <c r="W32" s="456"/>
      <c r="X32" s="456"/>
      <c r="Y32" s="456"/>
      <c r="Z32" s="456"/>
    </row>
    <row r="33" spans="1:26" ht="11.25" customHeight="1">
      <c r="A33" s="456"/>
      <c r="B33" s="456"/>
      <c r="C33" s="464"/>
      <c r="D33" s="466">
        <f>+ROUNDUP(SUM(E28:N28),0)</f>
        <v>8</v>
      </c>
      <c r="E33" s="458" t="s">
        <v>799</v>
      </c>
      <c r="F33" s="456"/>
      <c r="G33" s="456"/>
      <c r="H33" s="456"/>
      <c r="I33" s="456"/>
      <c r="J33" s="456"/>
      <c r="K33" s="456"/>
      <c r="L33" s="456"/>
      <c r="M33" s="456"/>
      <c r="N33" s="456"/>
      <c r="O33" s="456"/>
      <c r="P33" s="456"/>
      <c r="Q33" s="456"/>
      <c r="R33" s="456"/>
      <c r="S33" s="456"/>
      <c r="T33" s="456"/>
      <c r="U33" s="456"/>
      <c r="V33" s="456"/>
      <c r="W33" s="456"/>
      <c r="X33" s="456"/>
      <c r="Y33" s="456"/>
      <c r="Z33" s="456"/>
    </row>
    <row r="34" spans="1:26" ht="11.25" customHeight="1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</row>
    <row r="35" spans="1:26" ht="11.25" customHeight="1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</row>
    <row r="36" spans="1:26" ht="11.25" customHeight="1">
      <c r="A36" s="456"/>
      <c r="B36" s="456"/>
      <c r="C36" s="456"/>
      <c r="D36" s="456"/>
      <c r="E36" s="456"/>
      <c r="F36" s="456"/>
      <c r="G36" s="456"/>
      <c r="H36" s="456"/>
      <c r="I36" s="456"/>
      <c r="J36" s="456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</row>
    <row r="37" spans="1:26" ht="11.25" customHeight="1">
      <c r="A37" s="456"/>
      <c r="B37" s="456"/>
      <c r="C37" s="456"/>
      <c r="D37" s="456"/>
      <c r="E37" s="456"/>
      <c r="F37" s="456"/>
      <c r="G37" s="456"/>
      <c r="H37" s="456"/>
      <c r="I37" s="456"/>
      <c r="J37" s="456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</row>
    <row r="38" spans="1:26" ht="11.25" customHeight="1">
      <c r="A38" s="456"/>
      <c r="B38" s="456"/>
      <c r="C38" s="456"/>
      <c r="D38" s="456"/>
      <c r="E38" s="456"/>
      <c r="F38" s="456"/>
      <c r="G38" s="456"/>
      <c r="H38" s="456"/>
      <c r="I38" s="456"/>
      <c r="J38" s="456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</row>
    <row r="39" spans="1:26" ht="11.25" customHeight="1">
      <c r="A39" s="456"/>
      <c r="B39" s="456"/>
      <c r="C39" s="456"/>
      <c r="D39" s="456"/>
      <c r="E39" s="456"/>
      <c r="F39" s="456"/>
      <c r="G39" s="456"/>
      <c r="H39" s="456"/>
      <c r="I39" s="456"/>
      <c r="J39" s="456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</row>
    <row r="40" spans="1:26" ht="11.25" customHeight="1">
      <c r="A40" s="456"/>
      <c r="B40" s="456"/>
      <c r="C40" s="456"/>
      <c r="D40" s="456"/>
      <c r="E40" s="456"/>
      <c r="F40" s="456"/>
      <c r="G40" s="456"/>
      <c r="H40" s="456"/>
      <c r="I40" s="456"/>
      <c r="J40" s="456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</row>
    <row r="41" spans="1:26" ht="11.25" customHeight="1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P41" s="456"/>
      <c r="Q41" s="456"/>
      <c r="R41" s="456"/>
      <c r="S41" s="456"/>
      <c r="T41" s="456"/>
      <c r="U41" s="456"/>
      <c r="V41" s="456"/>
      <c r="W41" s="456"/>
      <c r="X41" s="456"/>
      <c r="Y41" s="456"/>
      <c r="Z41" s="456"/>
    </row>
    <row r="42" spans="1:26" ht="11.25" customHeight="1">
      <c r="A42" s="456"/>
      <c r="B42" s="456"/>
      <c r="C42" s="456"/>
      <c r="D42" s="456"/>
      <c r="E42" s="456"/>
      <c r="F42" s="456"/>
      <c r="G42" s="456"/>
      <c r="H42" s="456"/>
      <c r="I42" s="456"/>
      <c r="J42" s="456"/>
      <c r="K42" s="456"/>
      <c r="L42" s="456"/>
      <c r="M42" s="456"/>
      <c r="N42" s="456"/>
      <c r="O42" s="456"/>
      <c r="P42" s="456"/>
      <c r="Q42" s="456"/>
      <c r="R42" s="456"/>
      <c r="S42" s="456"/>
      <c r="T42" s="456"/>
      <c r="U42" s="456"/>
      <c r="V42" s="456"/>
      <c r="W42" s="456"/>
      <c r="X42" s="456"/>
      <c r="Y42" s="456"/>
      <c r="Z42" s="456"/>
    </row>
    <row r="43" spans="1:26" ht="11.25" customHeight="1">
      <c r="A43" s="456"/>
      <c r="B43" s="456"/>
      <c r="C43" s="456"/>
      <c r="D43" s="456"/>
      <c r="E43" s="456"/>
      <c r="F43" s="456"/>
      <c r="G43" s="456"/>
      <c r="H43" s="456"/>
      <c r="I43" s="456"/>
      <c r="J43" s="456"/>
      <c r="K43" s="456"/>
      <c r="L43" s="456"/>
      <c r="M43" s="456"/>
      <c r="N43" s="456"/>
      <c r="O43" s="456"/>
      <c r="P43" s="456"/>
      <c r="Q43" s="456"/>
      <c r="R43" s="456"/>
      <c r="S43" s="456"/>
      <c r="T43" s="456"/>
      <c r="U43" s="456"/>
      <c r="V43" s="456"/>
      <c r="W43" s="456"/>
      <c r="X43" s="456"/>
      <c r="Y43" s="456"/>
      <c r="Z43" s="456"/>
    </row>
    <row r="44" spans="1:26" ht="11.25" customHeight="1">
      <c r="A44" s="456"/>
      <c r="B44" s="456"/>
      <c r="C44" s="456"/>
      <c r="D44" s="456"/>
      <c r="E44" s="456"/>
      <c r="F44" s="456"/>
      <c r="G44" s="456"/>
      <c r="H44" s="456"/>
      <c r="I44" s="456"/>
      <c r="J44" s="456"/>
      <c r="K44" s="456"/>
      <c r="L44" s="456"/>
      <c r="M44" s="456"/>
      <c r="N44" s="456"/>
      <c r="O44" s="456"/>
      <c r="P44" s="456"/>
      <c r="Q44" s="456"/>
      <c r="R44" s="456"/>
      <c r="S44" s="456"/>
      <c r="T44" s="456"/>
      <c r="U44" s="456"/>
      <c r="V44" s="456"/>
      <c r="W44" s="456"/>
      <c r="X44" s="456"/>
      <c r="Y44" s="456"/>
      <c r="Z44" s="456"/>
    </row>
    <row r="45" spans="1:26" ht="11.25" customHeight="1">
      <c r="A45" s="456"/>
      <c r="B45" s="456"/>
      <c r="C45" s="456"/>
      <c r="D45" s="456"/>
      <c r="E45" s="456"/>
      <c r="F45" s="456"/>
      <c r="G45" s="456"/>
      <c r="H45" s="456"/>
      <c r="I45" s="456"/>
      <c r="J45" s="456"/>
      <c r="K45" s="456"/>
      <c r="L45" s="456"/>
      <c r="M45" s="456"/>
      <c r="N45" s="456"/>
      <c r="O45" s="456"/>
      <c r="P45" s="456"/>
      <c r="Q45" s="456"/>
      <c r="R45" s="456"/>
      <c r="S45" s="456"/>
      <c r="T45" s="456"/>
      <c r="U45" s="456"/>
      <c r="V45" s="456"/>
      <c r="W45" s="456"/>
      <c r="X45" s="456"/>
      <c r="Y45" s="456"/>
      <c r="Z45" s="456"/>
    </row>
    <row r="46" spans="1:26" ht="11.25" customHeight="1">
      <c r="A46" s="456"/>
      <c r="B46" s="456"/>
      <c r="C46" s="456"/>
      <c r="D46" s="456"/>
      <c r="E46" s="456"/>
      <c r="F46" s="456"/>
      <c r="G46" s="456"/>
      <c r="H46" s="456"/>
      <c r="I46" s="456"/>
      <c r="J46" s="456"/>
      <c r="K46" s="456"/>
      <c r="L46" s="456"/>
      <c r="M46" s="456"/>
      <c r="N46" s="456"/>
      <c r="O46" s="456"/>
      <c r="P46" s="456"/>
      <c r="Q46" s="456"/>
      <c r="R46" s="456"/>
      <c r="S46" s="456"/>
      <c r="T46" s="456"/>
      <c r="U46" s="456"/>
      <c r="V46" s="456"/>
      <c r="W46" s="456"/>
      <c r="X46" s="456"/>
      <c r="Y46" s="456"/>
      <c r="Z46" s="456"/>
    </row>
    <row r="47" spans="1:26" ht="11.25" customHeight="1">
      <c r="A47" s="456"/>
      <c r="B47" s="456"/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</row>
    <row r="48" spans="1:26" ht="11.25" customHeight="1">
      <c r="A48" s="456"/>
      <c r="B48" s="456"/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  <c r="Z48" s="456"/>
    </row>
    <row r="49" spans="1:26" ht="11.25" customHeight="1">
      <c r="A49" s="456"/>
      <c r="B49" s="456"/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</row>
    <row r="50" spans="1:26" ht="11.25" customHeight="1">
      <c r="A50" s="456"/>
      <c r="B50" s="456"/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</row>
    <row r="51" spans="1:26" ht="11.25" customHeight="1">
      <c r="A51" s="456"/>
      <c r="B51" s="456"/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</row>
    <row r="52" spans="1:26" ht="11.25" customHeight="1">
      <c r="A52" s="456"/>
      <c r="B52" s="456"/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</row>
    <row r="53" spans="1:26" ht="11.25" customHeight="1">
      <c r="A53" s="456"/>
      <c r="B53" s="456"/>
      <c r="C53" s="456"/>
      <c r="D53" s="456"/>
      <c r="E53" s="456"/>
      <c r="F53" s="456"/>
      <c r="G53" s="456"/>
      <c r="H53" s="456"/>
      <c r="I53" s="456"/>
      <c r="J53" s="456"/>
      <c r="K53" s="456"/>
      <c r="L53" s="456"/>
      <c r="M53" s="456"/>
      <c r="N53" s="456"/>
      <c r="O53" s="456"/>
      <c r="P53" s="456"/>
      <c r="Q53" s="456"/>
      <c r="R53" s="456"/>
      <c r="S53" s="456"/>
      <c r="T53" s="456"/>
      <c r="U53" s="456"/>
      <c r="V53" s="456"/>
      <c r="W53" s="456"/>
      <c r="X53" s="456"/>
      <c r="Y53" s="456"/>
      <c r="Z53" s="456"/>
    </row>
    <row r="54" spans="1:26" ht="11.25" customHeight="1">
      <c r="A54" s="456"/>
      <c r="B54" s="456"/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</row>
    <row r="55" spans="1:26" ht="11.25" customHeight="1">
      <c r="A55" s="456"/>
      <c r="B55" s="456"/>
      <c r="C55" s="456"/>
      <c r="D55" s="456"/>
      <c r="E55" s="456"/>
      <c r="F55" s="456"/>
      <c r="G55" s="456"/>
      <c r="H55" s="456"/>
      <c r="I55" s="456"/>
      <c r="J55" s="456"/>
      <c r="K55" s="456"/>
      <c r="L55" s="456"/>
      <c r="M55" s="456"/>
      <c r="N55" s="456"/>
      <c r="O55" s="456"/>
      <c r="P55" s="456"/>
      <c r="Q55" s="456"/>
      <c r="R55" s="456"/>
      <c r="S55" s="456"/>
      <c r="T55" s="456"/>
      <c r="U55" s="456"/>
      <c r="V55" s="456"/>
      <c r="W55" s="456"/>
      <c r="X55" s="456"/>
      <c r="Y55" s="456"/>
      <c r="Z55" s="456"/>
    </row>
    <row r="56" spans="1:26" ht="11.25" customHeight="1">
      <c r="A56" s="456"/>
      <c r="B56" s="456"/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</row>
    <row r="57" spans="1:26" ht="11.25" customHeight="1">
      <c r="A57" s="456"/>
      <c r="B57" s="456"/>
      <c r="C57" s="456"/>
      <c r="D57" s="456"/>
      <c r="E57" s="456"/>
      <c r="F57" s="456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</row>
    <row r="58" spans="1:26" ht="11.25" customHeight="1">
      <c r="A58" s="456"/>
      <c r="B58" s="456"/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</row>
    <row r="59" spans="1:26" ht="11.25" customHeight="1">
      <c r="A59" s="456"/>
      <c r="B59" s="456"/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</row>
    <row r="60" spans="1:26" ht="11.25" customHeight="1">
      <c r="A60" s="456"/>
      <c r="B60" s="456"/>
      <c r="C60" s="456"/>
      <c r="D60" s="456"/>
      <c r="E60" s="456"/>
      <c r="F60" s="456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</row>
    <row r="61" spans="1:26" ht="11.25" customHeight="1">
      <c r="A61" s="456"/>
      <c r="B61" s="456"/>
      <c r="C61" s="456"/>
      <c r="D61" s="456"/>
      <c r="E61" s="456"/>
      <c r="F61" s="456"/>
      <c r="G61" s="456"/>
      <c r="H61" s="456"/>
      <c r="I61" s="456"/>
      <c r="J61" s="456"/>
      <c r="K61" s="456"/>
      <c r="L61" s="456"/>
      <c r="M61" s="456"/>
      <c r="N61" s="456"/>
      <c r="O61" s="456"/>
      <c r="P61" s="456"/>
      <c r="Q61" s="456"/>
      <c r="R61" s="456"/>
      <c r="S61" s="456"/>
      <c r="T61" s="456"/>
      <c r="U61" s="456"/>
      <c r="V61" s="456"/>
      <c r="W61" s="456"/>
      <c r="X61" s="456"/>
      <c r="Y61" s="456"/>
      <c r="Z61" s="456"/>
    </row>
    <row r="62" spans="1:26" ht="11.25" customHeight="1">
      <c r="A62" s="456"/>
      <c r="B62" s="456"/>
      <c r="C62" s="456"/>
      <c r="D62" s="456"/>
      <c r="E62" s="456"/>
      <c r="F62" s="456"/>
      <c r="G62" s="456"/>
      <c r="H62" s="456"/>
      <c r="I62" s="456"/>
      <c r="J62" s="456"/>
      <c r="K62" s="456"/>
      <c r="L62" s="456"/>
      <c r="M62" s="456"/>
      <c r="N62" s="456"/>
      <c r="O62" s="456"/>
      <c r="P62" s="456"/>
      <c r="Q62" s="456"/>
      <c r="R62" s="456"/>
      <c r="S62" s="456"/>
      <c r="T62" s="456"/>
      <c r="U62" s="456"/>
      <c r="V62" s="456"/>
      <c r="W62" s="456"/>
      <c r="X62" s="456"/>
      <c r="Y62" s="456"/>
      <c r="Z62" s="456"/>
    </row>
    <row r="63" spans="1:26" ht="11.25" customHeight="1">
      <c r="A63" s="456"/>
      <c r="B63" s="456"/>
      <c r="C63" s="456"/>
      <c r="D63" s="456"/>
      <c r="E63" s="456"/>
      <c r="F63" s="456"/>
      <c r="G63" s="456"/>
      <c r="H63" s="456"/>
      <c r="I63" s="456"/>
      <c r="J63" s="456"/>
      <c r="K63" s="456"/>
      <c r="L63" s="456"/>
      <c r="M63" s="456"/>
      <c r="N63" s="456"/>
      <c r="O63" s="456"/>
      <c r="P63" s="456"/>
      <c r="Q63" s="456"/>
      <c r="R63" s="456"/>
      <c r="S63" s="456"/>
      <c r="T63" s="456"/>
      <c r="U63" s="456"/>
      <c r="V63" s="456"/>
      <c r="W63" s="456"/>
      <c r="X63" s="456"/>
      <c r="Y63" s="456"/>
      <c r="Z63" s="456"/>
    </row>
    <row r="64" spans="1:26" ht="11.25" customHeight="1">
      <c r="A64" s="456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56"/>
      <c r="Q64" s="456"/>
      <c r="R64" s="456"/>
      <c r="S64" s="456"/>
      <c r="T64" s="456"/>
      <c r="U64" s="456"/>
      <c r="V64" s="456"/>
      <c r="W64" s="456"/>
      <c r="X64" s="456"/>
      <c r="Y64" s="456"/>
      <c r="Z64" s="456"/>
    </row>
    <row r="65" spans="1:26" ht="11.25" customHeight="1">
      <c r="A65" s="456"/>
      <c r="B65" s="456"/>
      <c r="C65" s="456"/>
      <c r="D65" s="456"/>
      <c r="E65" s="456"/>
      <c r="F65" s="456"/>
      <c r="G65" s="456"/>
      <c r="H65" s="456"/>
      <c r="I65" s="456"/>
      <c r="J65" s="456"/>
      <c r="K65" s="456"/>
      <c r="L65" s="456"/>
      <c r="M65" s="456"/>
      <c r="N65" s="456"/>
      <c r="O65" s="456"/>
      <c r="P65" s="456"/>
      <c r="Q65" s="456"/>
      <c r="R65" s="456"/>
      <c r="S65" s="456"/>
      <c r="T65" s="456"/>
      <c r="U65" s="456"/>
      <c r="V65" s="456"/>
      <c r="W65" s="456"/>
      <c r="X65" s="456"/>
      <c r="Y65" s="456"/>
      <c r="Z65" s="456"/>
    </row>
    <row r="66" spans="1:26" ht="11.25" customHeight="1">
      <c r="A66" s="456"/>
      <c r="B66" s="456"/>
      <c r="C66" s="456"/>
      <c r="D66" s="456"/>
      <c r="E66" s="456"/>
      <c r="F66" s="456"/>
      <c r="G66" s="456"/>
      <c r="H66" s="456"/>
      <c r="I66" s="456"/>
      <c r="J66" s="456"/>
      <c r="K66" s="456"/>
      <c r="L66" s="456"/>
      <c r="M66" s="456"/>
      <c r="N66" s="456"/>
      <c r="O66" s="456"/>
      <c r="P66" s="456"/>
      <c r="Q66" s="456"/>
      <c r="R66" s="456"/>
      <c r="S66" s="456"/>
      <c r="T66" s="456"/>
      <c r="U66" s="456"/>
      <c r="V66" s="456"/>
      <c r="W66" s="456"/>
      <c r="X66" s="456"/>
      <c r="Y66" s="456"/>
      <c r="Z66" s="456"/>
    </row>
    <row r="67" spans="1:26" ht="11.25" customHeight="1">
      <c r="A67" s="456"/>
      <c r="B67" s="456"/>
      <c r="C67" s="456"/>
      <c r="D67" s="456"/>
      <c r="E67" s="456"/>
      <c r="F67" s="456"/>
      <c r="G67" s="456"/>
      <c r="H67" s="456"/>
      <c r="I67" s="456"/>
      <c r="J67" s="456"/>
      <c r="K67" s="456"/>
      <c r="L67" s="456"/>
      <c r="M67" s="456"/>
      <c r="N67" s="456"/>
      <c r="O67" s="456"/>
      <c r="P67" s="456"/>
      <c r="Q67" s="456"/>
      <c r="R67" s="456"/>
      <c r="S67" s="456"/>
      <c r="T67" s="456"/>
      <c r="U67" s="456"/>
      <c r="V67" s="456"/>
      <c r="W67" s="456"/>
      <c r="X67" s="456"/>
      <c r="Y67" s="456"/>
      <c r="Z67" s="456"/>
    </row>
    <row r="68" spans="1:26" ht="11.25" customHeight="1">
      <c r="A68" s="456"/>
      <c r="B68" s="456"/>
      <c r="C68" s="456"/>
      <c r="D68" s="456"/>
      <c r="E68" s="456"/>
      <c r="F68" s="456"/>
      <c r="G68" s="456"/>
      <c r="H68" s="456"/>
      <c r="I68" s="456"/>
      <c r="J68" s="456"/>
      <c r="K68" s="456"/>
      <c r="L68" s="456"/>
      <c r="M68" s="456"/>
      <c r="N68" s="456"/>
      <c r="O68" s="456"/>
      <c r="P68" s="456"/>
      <c r="Q68" s="456"/>
      <c r="R68" s="456"/>
      <c r="S68" s="456"/>
      <c r="T68" s="456"/>
      <c r="U68" s="456"/>
      <c r="V68" s="456"/>
      <c r="W68" s="456"/>
      <c r="X68" s="456"/>
      <c r="Y68" s="456"/>
      <c r="Z68" s="456"/>
    </row>
    <row r="69" spans="1:26" ht="11.25" customHeight="1">
      <c r="A69" s="456"/>
      <c r="B69" s="456"/>
      <c r="C69" s="456"/>
      <c r="D69" s="456"/>
      <c r="E69" s="456"/>
      <c r="F69" s="456"/>
      <c r="G69" s="456"/>
      <c r="H69" s="456"/>
      <c r="I69" s="456"/>
      <c r="J69" s="456"/>
      <c r="K69" s="456"/>
      <c r="L69" s="456"/>
      <c r="M69" s="456"/>
      <c r="N69" s="456"/>
      <c r="O69" s="456"/>
      <c r="P69" s="456"/>
      <c r="Q69" s="456"/>
      <c r="R69" s="456"/>
      <c r="S69" s="456"/>
      <c r="T69" s="456"/>
      <c r="U69" s="456"/>
      <c r="V69" s="456"/>
      <c r="W69" s="456"/>
      <c r="X69" s="456"/>
      <c r="Y69" s="456"/>
      <c r="Z69" s="456"/>
    </row>
    <row r="70" spans="1:26" ht="11.25" customHeight="1">
      <c r="A70" s="456"/>
      <c r="B70" s="456"/>
      <c r="C70" s="456"/>
      <c r="D70" s="456"/>
      <c r="E70" s="456"/>
      <c r="F70" s="456"/>
      <c r="G70" s="456"/>
      <c r="H70" s="456"/>
      <c r="I70" s="456"/>
      <c r="J70" s="456"/>
      <c r="K70" s="456"/>
      <c r="L70" s="456"/>
      <c r="M70" s="456"/>
      <c r="N70" s="456"/>
      <c r="O70" s="456"/>
      <c r="P70" s="456"/>
      <c r="Q70" s="456"/>
      <c r="R70" s="456"/>
      <c r="S70" s="456"/>
      <c r="T70" s="456"/>
      <c r="U70" s="456"/>
      <c r="V70" s="456"/>
      <c r="W70" s="456"/>
      <c r="X70" s="456"/>
      <c r="Y70" s="456"/>
      <c r="Z70" s="456"/>
    </row>
    <row r="71" spans="1:26" ht="11.25" customHeight="1">
      <c r="A71" s="456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6"/>
      <c r="Q71" s="456"/>
      <c r="R71" s="456"/>
      <c r="S71" s="456"/>
      <c r="T71" s="456"/>
      <c r="U71" s="456"/>
      <c r="V71" s="456"/>
      <c r="W71" s="456"/>
      <c r="X71" s="456"/>
      <c r="Y71" s="456"/>
      <c r="Z71" s="456"/>
    </row>
    <row r="72" spans="1:26" ht="11.25" customHeight="1">
      <c r="A72" s="456"/>
      <c r="B72" s="456"/>
      <c r="C72" s="456"/>
      <c r="D72" s="456"/>
      <c r="E72" s="456"/>
      <c r="F72" s="456"/>
      <c r="G72" s="456"/>
      <c r="H72" s="456"/>
      <c r="I72" s="456"/>
      <c r="J72" s="456"/>
      <c r="K72" s="456"/>
      <c r="L72" s="456"/>
      <c r="M72" s="456"/>
      <c r="N72" s="456"/>
      <c r="O72" s="456"/>
      <c r="P72" s="456"/>
      <c r="Q72" s="456"/>
      <c r="R72" s="456"/>
      <c r="S72" s="456"/>
      <c r="T72" s="456"/>
      <c r="U72" s="456"/>
      <c r="V72" s="456"/>
      <c r="W72" s="456"/>
      <c r="X72" s="456"/>
      <c r="Y72" s="456"/>
      <c r="Z72" s="456"/>
    </row>
    <row r="73" spans="1:26" ht="11.25" customHeight="1">
      <c r="A73" s="456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6"/>
      <c r="Q73" s="456"/>
      <c r="R73" s="456"/>
      <c r="S73" s="456"/>
      <c r="T73" s="456"/>
      <c r="U73" s="456"/>
      <c r="V73" s="456"/>
      <c r="W73" s="456"/>
      <c r="X73" s="456"/>
      <c r="Y73" s="456"/>
      <c r="Z73" s="456"/>
    </row>
    <row r="74" spans="1:26" ht="11.25" customHeight="1">
      <c r="A74" s="456"/>
      <c r="B74" s="456"/>
      <c r="C74" s="456"/>
      <c r="D74" s="456"/>
      <c r="E74" s="456"/>
      <c r="F74" s="456"/>
      <c r="G74" s="456"/>
      <c r="H74" s="456"/>
      <c r="I74" s="456"/>
      <c r="J74" s="456"/>
      <c r="K74" s="456"/>
      <c r="L74" s="456"/>
      <c r="M74" s="456"/>
      <c r="N74" s="456"/>
      <c r="O74" s="456"/>
      <c r="P74" s="456"/>
      <c r="Q74" s="456"/>
      <c r="R74" s="456"/>
      <c r="S74" s="456"/>
      <c r="T74" s="456"/>
      <c r="U74" s="456"/>
      <c r="V74" s="456"/>
      <c r="W74" s="456"/>
      <c r="X74" s="456"/>
      <c r="Y74" s="456"/>
      <c r="Z74" s="456"/>
    </row>
    <row r="75" spans="1:26" ht="11.25" customHeight="1">
      <c r="A75" s="456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6"/>
      <c r="Q75" s="456"/>
      <c r="R75" s="456"/>
      <c r="S75" s="456"/>
      <c r="T75" s="456"/>
      <c r="U75" s="456"/>
      <c r="V75" s="456"/>
      <c r="W75" s="456"/>
      <c r="X75" s="456"/>
      <c r="Y75" s="456"/>
      <c r="Z75" s="456"/>
    </row>
    <row r="76" spans="1:26" ht="11.25" customHeight="1">
      <c r="A76" s="456"/>
      <c r="B76" s="456"/>
      <c r="C76" s="456"/>
      <c r="D76" s="456"/>
      <c r="E76" s="456"/>
      <c r="F76" s="456"/>
      <c r="G76" s="456"/>
      <c r="H76" s="456"/>
      <c r="I76" s="456"/>
      <c r="J76" s="456"/>
      <c r="K76" s="456"/>
      <c r="L76" s="456"/>
      <c r="M76" s="456"/>
      <c r="N76" s="456"/>
      <c r="O76" s="456"/>
      <c r="P76" s="456"/>
      <c r="Q76" s="456"/>
      <c r="R76" s="456"/>
      <c r="S76" s="456"/>
      <c r="T76" s="456"/>
      <c r="U76" s="456"/>
      <c r="V76" s="456"/>
      <c r="W76" s="456"/>
      <c r="X76" s="456"/>
      <c r="Y76" s="456"/>
      <c r="Z76" s="456"/>
    </row>
    <row r="77" spans="1:26" ht="11.25" customHeight="1">
      <c r="A77" s="456"/>
      <c r="B77" s="456"/>
      <c r="C77" s="456"/>
      <c r="D77" s="456"/>
      <c r="E77" s="456"/>
      <c r="F77" s="456"/>
      <c r="G77" s="456"/>
      <c r="H77" s="456"/>
      <c r="I77" s="456"/>
      <c r="J77" s="456"/>
      <c r="K77" s="456"/>
      <c r="L77" s="456"/>
      <c r="M77" s="456"/>
      <c r="N77" s="456"/>
      <c r="O77" s="456"/>
      <c r="P77" s="456"/>
      <c r="Q77" s="456"/>
      <c r="R77" s="456"/>
      <c r="S77" s="456"/>
      <c r="T77" s="456"/>
      <c r="U77" s="456"/>
      <c r="V77" s="456"/>
      <c r="W77" s="456"/>
      <c r="X77" s="456"/>
      <c r="Y77" s="456"/>
      <c r="Z77" s="456"/>
    </row>
    <row r="78" spans="1:26" ht="11.25" customHeight="1">
      <c r="A78" s="456"/>
      <c r="B78" s="456"/>
      <c r="C78" s="456"/>
      <c r="D78" s="456"/>
      <c r="E78" s="456"/>
      <c r="F78" s="456"/>
      <c r="G78" s="456"/>
      <c r="H78" s="456"/>
      <c r="I78" s="456"/>
      <c r="J78" s="456"/>
      <c r="K78" s="456"/>
      <c r="L78" s="456"/>
      <c r="M78" s="456"/>
      <c r="N78" s="456"/>
      <c r="O78" s="456"/>
      <c r="P78" s="456"/>
      <c r="Q78" s="456"/>
      <c r="R78" s="456"/>
      <c r="S78" s="456"/>
      <c r="T78" s="456"/>
      <c r="U78" s="456"/>
      <c r="V78" s="456"/>
      <c r="W78" s="456"/>
      <c r="X78" s="456"/>
      <c r="Y78" s="456"/>
      <c r="Z78" s="456"/>
    </row>
    <row r="79" spans="1:26" ht="11.25" customHeight="1">
      <c r="A79" s="456"/>
      <c r="B79" s="456"/>
      <c r="C79" s="456"/>
      <c r="D79" s="456"/>
      <c r="E79" s="456"/>
      <c r="F79" s="456"/>
      <c r="G79" s="456"/>
      <c r="H79" s="456"/>
      <c r="I79" s="456"/>
      <c r="J79" s="456"/>
      <c r="K79" s="456"/>
      <c r="L79" s="456"/>
      <c r="M79" s="456"/>
      <c r="N79" s="456"/>
      <c r="O79" s="456"/>
      <c r="P79" s="456"/>
      <c r="Q79" s="456"/>
      <c r="R79" s="456"/>
      <c r="S79" s="456"/>
      <c r="T79" s="456"/>
      <c r="U79" s="456"/>
      <c r="V79" s="456"/>
      <c r="W79" s="456"/>
      <c r="X79" s="456"/>
      <c r="Y79" s="456"/>
      <c r="Z79" s="456"/>
    </row>
    <row r="80" spans="1:26" ht="11.25" customHeight="1">
      <c r="A80" s="456"/>
      <c r="B80" s="456"/>
      <c r="C80" s="456"/>
      <c r="D80" s="456"/>
      <c r="E80" s="456"/>
      <c r="F80" s="456"/>
      <c r="G80" s="456"/>
      <c r="H80" s="456"/>
      <c r="I80" s="456"/>
      <c r="J80" s="456"/>
      <c r="K80" s="456"/>
      <c r="L80" s="456"/>
      <c r="M80" s="456"/>
      <c r="N80" s="456"/>
      <c r="O80" s="456"/>
      <c r="P80" s="456"/>
      <c r="Q80" s="456"/>
      <c r="R80" s="456"/>
      <c r="S80" s="456"/>
      <c r="T80" s="456"/>
      <c r="U80" s="456"/>
      <c r="V80" s="456"/>
      <c r="W80" s="456"/>
      <c r="X80" s="456"/>
      <c r="Y80" s="456"/>
      <c r="Z80" s="456"/>
    </row>
    <row r="81" spans="1:26" ht="11.25" customHeight="1">
      <c r="A81" s="456"/>
      <c r="B81" s="456"/>
      <c r="C81" s="456"/>
      <c r="D81" s="456"/>
      <c r="E81" s="456"/>
      <c r="F81" s="456"/>
      <c r="G81" s="456"/>
      <c r="H81" s="456"/>
      <c r="I81" s="456"/>
      <c r="J81" s="456"/>
      <c r="K81" s="456"/>
      <c r="L81" s="456"/>
      <c r="M81" s="456"/>
      <c r="N81" s="456"/>
      <c r="O81" s="456"/>
      <c r="P81" s="456"/>
      <c r="Q81" s="456"/>
      <c r="R81" s="456"/>
      <c r="S81" s="456"/>
      <c r="T81" s="456"/>
      <c r="U81" s="456"/>
      <c r="V81" s="456"/>
      <c r="W81" s="456"/>
      <c r="X81" s="456"/>
      <c r="Y81" s="456"/>
      <c r="Z81" s="456"/>
    </row>
    <row r="82" spans="1:26" ht="11.25" customHeight="1">
      <c r="A82" s="456"/>
      <c r="B82" s="456"/>
      <c r="C82" s="456"/>
      <c r="D82" s="456"/>
      <c r="E82" s="456"/>
      <c r="F82" s="456"/>
      <c r="G82" s="456"/>
      <c r="H82" s="456"/>
      <c r="I82" s="456"/>
      <c r="J82" s="456"/>
      <c r="K82" s="456"/>
      <c r="L82" s="456"/>
      <c r="M82" s="456"/>
      <c r="N82" s="456"/>
      <c r="O82" s="456"/>
      <c r="P82" s="456"/>
      <c r="Q82" s="456"/>
      <c r="R82" s="456"/>
      <c r="S82" s="456"/>
      <c r="T82" s="456"/>
      <c r="U82" s="456"/>
      <c r="V82" s="456"/>
      <c r="W82" s="456"/>
      <c r="X82" s="456"/>
      <c r="Y82" s="456"/>
      <c r="Z82" s="456"/>
    </row>
    <row r="83" spans="1:26" ht="11.25" customHeight="1">
      <c r="A83" s="456"/>
      <c r="B83" s="456"/>
      <c r="C83" s="456"/>
      <c r="D83" s="456"/>
      <c r="E83" s="456"/>
      <c r="F83" s="456"/>
      <c r="G83" s="456"/>
      <c r="H83" s="456"/>
      <c r="I83" s="456"/>
      <c r="J83" s="456"/>
      <c r="K83" s="456"/>
      <c r="L83" s="456"/>
      <c r="M83" s="456"/>
      <c r="N83" s="456"/>
      <c r="O83" s="456"/>
      <c r="P83" s="456"/>
      <c r="Q83" s="456"/>
      <c r="R83" s="456"/>
      <c r="S83" s="456"/>
      <c r="T83" s="456"/>
      <c r="U83" s="456"/>
      <c r="V83" s="456"/>
      <c r="W83" s="456"/>
      <c r="X83" s="456"/>
      <c r="Y83" s="456"/>
      <c r="Z83" s="456"/>
    </row>
    <row r="84" spans="1:26" ht="11.25" customHeight="1">
      <c r="A84" s="456"/>
      <c r="B84" s="456"/>
      <c r="C84" s="456"/>
      <c r="D84" s="456"/>
      <c r="E84" s="456"/>
      <c r="F84" s="456"/>
      <c r="G84" s="456"/>
      <c r="H84" s="456"/>
      <c r="I84" s="456"/>
      <c r="J84" s="456"/>
      <c r="K84" s="456"/>
      <c r="L84" s="456"/>
      <c r="M84" s="456"/>
      <c r="N84" s="456"/>
      <c r="O84" s="456"/>
      <c r="P84" s="456"/>
      <c r="Q84" s="456"/>
      <c r="R84" s="456"/>
      <c r="S84" s="456"/>
      <c r="T84" s="456"/>
      <c r="U84" s="456"/>
      <c r="V84" s="456"/>
      <c r="W84" s="456"/>
      <c r="X84" s="456"/>
      <c r="Y84" s="456"/>
      <c r="Z84" s="456"/>
    </row>
    <row r="85" spans="1:26" ht="11.25" customHeight="1">
      <c r="A85" s="456"/>
      <c r="B85" s="456"/>
      <c r="C85" s="456"/>
      <c r="D85" s="456"/>
      <c r="E85" s="456"/>
      <c r="F85" s="456"/>
      <c r="G85" s="456"/>
      <c r="H85" s="456"/>
      <c r="I85" s="456"/>
      <c r="J85" s="456"/>
      <c r="K85" s="456"/>
      <c r="L85" s="456"/>
      <c r="M85" s="456"/>
      <c r="N85" s="456"/>
      <c r="O85" s="456"/>
      <c r="P85" s="456"/>
      <c r="Q85" s="456"/>
      <c r="R85" s="456"/>
      <c r="S85" s="456"/>
      <c r="T85" s="456"/>
      <c r="U85" s="456"/>
      <c r="V85" s="456"/>
      <c r="W85" s="456"/>
      <c r="X85" s="456"/>
      <c r="Y85" s="456"/>
      <c r="Z85" s="456"/>
    </row>
    <row r="86" spans="1:26" ht="11.25" customHeight="1">
      <c r="A86" s="456"/>
      <c r="B86" s="456"/>
      <c r="C86" s="456"/>
      <c r="D86" s="456"/>
      <c r="E86" s="456"/>
      <c r="F86" s="456"/>
      <c r="G86" s="456"/>
      <c r="H86" s="456"/>
      <c r="I86" s="456"/>
      <c r="J86" s="456"/>
      <c r="K86" s="456"/>
      <c r="L86" s="456"/>
      <c r="M86" s="456"/>
      <c r="N86" s="456"/>
      <c r="O86" s="456"/>
      <c r="P86" s="456"/>
      <c r="Q86" s="456"/>
      <c r="R86" s="456"/>
      <c r="S86" s="456"/>
      <c r="T86" s="456"/>
      <c r="U86" s="456"/>
      <c r="V86" s="456"/>
      <c r="W86" s="456"/>
      <c r="X86" s="456"/>
      <c r="Y86" s="456"/>
      <c r="Z86" s="456"/>
    </row>
    <row r="87" spans="1:26" ht="11.25" customHeight="1">
      <c r="A87" s="456"/>
      <c r="B87" s="456"/>
      <c r="C87" s="456"/>
      <c r="D87" s="456"/>
      <c r="E87" s="456"/>
      <c r="F87" s="456"/>
      <c r="G87" s="456"/>
      <c r="H87" s="456"/>
      <c r="I87" s="456"/>
      <c r="J87" s="456"/>
      <c r="K87" s="456"/>
      <c r="L87" s="456"/>
      <c r="M87" s="456"/>
      <c r="N87" s="456"/>
      <c r="O87" s="456"/>
      <c r="P87" s="456"/>
      <c r="Q87" s="456"/>
      <c r="R87" s="456"/>
      <c r="S87" s="456"/>
      <c r="T87" s="456"/>
      <c r="U87" s="456"/>
      <c r="V87" s="456"/>
      <c r="W87" s="456"/>
      <c r="X87" s="456"/>
      <c r="Y87" s="456"/>
      <c r="Z87" s="456"/>
    </row>
    <row r="88" spans="1:26" ht="11.25" customHeight="1">
      <c r="A88" s="456"/>
      <c r="B88" s="456"/>
      <c r="C88" s="456"/>
      <c r="D88" s="456"/>
      <c r="E88" s="456"/>
      <c r="F88" s="456"/>
      <c r="G88" s="456"/>
      <c r="H88" s="456"/>
      <c r="I88" s="456"/>
      <c r="J88" s="456"/>
      <c r="K88" s="456"/>
      <c r="L88" s="456"/>
      <c r="M88" s="456"/>
      <c r="N88" s="456"/>
      <c r="O88" s="456"/>
      <c r="P88" s="456"/>
      <c r="Q88" s="456"/>
      <c r="R88" s="456"/>
      <c r="S88" s="456"/>
      <c r="T88" s="456"/>
      <c r="U88" s="456"/>
      <c r="V88" s="456"/>
      <c r="W88" s="456"/>
      <c r="X88" s="456"/>
      <c r="Y88" s="456"/>
      <c r="Z88" s="456"/>
    </row>
    <row r="89" spans="1:26" ht="11.25" customHeight="1">
      <c r="A89" s="456"/>
      <c r="B89" s="456"/>
      <c r="C89" s="456"/>
      <c r="D89" s="456"/>
      <c r="E89" s="456"/>
      <c r="F89" s="456"/>
      <c r="G89" s="456"/>
      <c r="H89" s="456"/>
      <c r="I89" s="456"/>
      <c r="J89" s="456"/>
      <c r="K89" s="456"/>
      <c r="L89" s="456"/>
      <c r="M89" s="456"/>
      <c r="N89" s="456"/>
      <c r="O89" s="456"/>
      <c r="P89" s="456"/>
      <c r="Q89" s="456"/>
      <c r="R89" s="456"/>
      <c r="S89" s="456"/>
      <c r="T89" s="456"/>
      <c r="U89" s="456"/>
      <c r="V89" s="456"/>
      <c r="W89" s="456"/>
      <c r="X89" s="456"/>
      <c r="Y89" s="456"/>
      <c r="Z89" s="456"/>
    </row>
    <row r="90" spans="1:26" ht="11.25" customHeight="1">
      <c r="A90" s="456"/>
      <c r="B90" s="456"/>
      <c r="C90" s="456"/>
      <c r="D90" s="456"/>
      <c r="E90" s="456"/>
      <c r="F90" s="456"/>
      <c r="G90" s="456"/>
      <c r="H90" s="456"/>
      <c r="I90" s="456"/>
      <c r="J90" s="456"/>
      <c r="K90" s="456"/>
      <c r="L90" s="456"/>
      <c r="M90" s="456"/>
      <c r="N90" s="456"/>
      <c r="O90" s="456"/>
      <c r="P90" s="456"/>
      <c r="Q90" s="456"/>
      <c r="R90" s="456"/>
      <c r="S90" s="456"/>
      <c r="T90" s="456"/>
      <c r="U90" s="456"/>
      <c r="V90" s="456"/>
      <c r="W90" s="456"/>
      <c r="X90" s="456"/>
      <c r="Y90" s="456"/>
      <c r="Z90" s="456"/>
    </row>
    <row r="91" spans="1:26" ht="11.25" customHeight="1">
      <c r="A91" s="456"/>
      <c r="B91" s="456"/>
      <c r="C91" s="456"/>
      <c r="D91" s="456"/>
      <c r="E91" s="456"/>
      <c r="F91" s="456"/>
      <c r="G91" s="456"/>
      <c r="H91" s="456"/>
      <c r="I91" s="456"/>
      <c r="J91" s="456"/>
      <c r="K91" s="456"/>
      <c r="L91" s="456"/>
      <c r="M91" s="456"/>
      <c r="N91" s="456"/>
      <c r="O91" s="456"/>
      <c r="P91" s="456"/>
      <c r="Q91" s="456"/>
      <c r="R91" s="456"/>
      <c r="S91" s="456"/>
      <c r="T91" s="456"/>
      <c r="U91" s="456"/>
      <c r="V91" s="456"/>
      <c r="W91" s="456"/>
      <c r="X91" s="456"/>
      <c r="Y91" s="456"/>
      <c r="Z91" s="456"/>
    </row>
    <row r="92" spans="1:26" ht="11.25" customHeight="1">
      <c r="A92" s="456"/>
      <c r="B92" s="456"/>
      <c r="C92" s="456"/>
      <c r="D92" s="456"/>
      <c r="E92" s="456"/>
      <c r="F92" s="456"/>
      <c r="G92" s="456"/>
      <c r="H92" s="456"/>
      <c r="I92" s="456"/>
      <c r="J92" s="456"/>
      <c r="K92" s="456"/>
      <c r="L92" s="456"/>
      <c r="M92" s="456"/>
      <c r="N92" s="456"/>
      <c r="O92" s="456"/>
      <c r="P92" s="456"/>
      <c r="Q92" s="456"/>
      <c r="R92" s="456"/>
      <c r="S92" s="456"/>
      <c r="T92" s="456"/>
      <c r="U92" s="456"/>
      <c r="V92" s="456"/>
      <c r="W92" s="456"/>
      <c r="X92" s="456"/>
      <c r="Y92" s="456"/>
      <c r="Z92" s="456"/>
    </row>
    <row r="93" spans="1:26" ht="11.25" customHeight="1">
      <c r="A93" s="456"/>
      <c r="B93" s="456"/>
      <c r="C93" s="456"/>
      <c r="D93" s="456"/>
      <c r="E93" s="456"/>
      <c r="F93" s="456"/>
      <c r="G93" s="456"/>
      <c r="H93" s="456"/>
      <c r="I93" s="456"/>
      <c r="J93" s="456"/>
      <c r="K93" s="456"/>
      <c r="L93" s="456"/>
      <c r="M93" s="456"/>
      <c r="N93" s="456"/>
      <c r="O93" s="456"/>
      <c r="P93" s="456"/>
      <c r="Q93" s="456"/>
      <c r="R93" s="456"/>
      <c r="S93" s="456"/>
      <c r="T93" s="456"/>
      <c r="U93" s="456"/>
      <c r="V93" s="456"/>
      <c r="W93" s="456"/>
      <c r="X93" s="456"/>
      <c r="Y93" s="456"/>
      <c r="Z93" s="456"/>
    </row>
    <row r="94" spans="1:26" ht="11.25" customHeight="1">
      <c r="A94" s="456"/>
      <c r="B94" s="456"/>
      <c r="C94" s="456"/>
      <c r="D94" s="456"/>
      <c r="E94" s="456"/>
      <c r="F94" s="456"/>
      <c r="G94" s="456"/>
      <c r="H94" s="456"/>
      <c r="I94" s="456"/>
      <c r="J94" s="456"/>
      <c r="K94" s="456"/>
      <c r="L94" s="456"/>
      <c r="M94" s="456"/>
      <c r="N94" s="456"/>
      <c r="O94" s="456"/>
      <c r="P94" s="456"/>
      <c r="Q94" s="456"/>
      <c r="R94" s="456"/>
      <c r="S94" s="456"/>
      <c r="T94" s="456"/>
      <c r="U94" s="456"/>
      <c r="V94" s="456"/>
      <c r="W94" s="456"/>
      <c r="X94" s="456"/>
      <c r="Y94" s="456"/>
      <c r="Z94" s="456"/>
    </row>
    <row r="95" spans="1:26" ht="11.25" customHeight="1">
      <c r="A95" s="456"/>
      <c r="B95" s="456"/>
      <c r="C95" s="456"/>
      <c r="D95" s="456"/>
      <c r="E95" s="456"/>
      <c r="F95" s="456"/>
      <c r="G95" s="456"/>
      <c r="H95" s="456"/>
      <c r="I95" s="456"/>
      <c r="J95" s="456"/>
      <c r="K95" s="456"/>
      <c r="L95" s="456"/>
      <c r="M95" s="456"/>
      <c r="N95" s="456"/>
      <c r="O95" s="456"/>
      <c r="P95" s="456"/>
      <c r="Q95" s="456"/>
      <c r="R95" s="456"/>
      <c r="S95" s="456"/>
      <c r="T95" s="456"/>
      <c r="U95" s="456"/>
      <c r="V95" s="456"/>
      <c r="W95" s="456"/>
      <c r="X95" s="456"/>
      <c r="Y95" s="456"/>
      <c r="Z95" s="456"/>
    </row>
    <row r="96" spans="1:26" ht="11.25" customHeight="1">
      <c r="A96" s="456"/>
      <c r="B96" s="456"/>
      <c r="C96" s="456"/>
      <c r="D96" s="456"/>
      <c r="E96" s="456"/>
      <c r="F96" s="456"/>
      <c r="G96" s="456"/>
      <c r="H96" s="456"/>
      <c r="I96" s="456"/>
      <c r="J96" s="456"/>
      <c r="K96" s="456"/>
      <c r="L96" s="456"/>
      <c r="M96" s="456"/>
      <c r="N96" s="456"/>
      <c r="O96" s="456"/>
      <c r="P96" s="456"/>
      <c r="Q96" s="456"/>
      <c r="R96" s="456"/>
      <c r="S96" s="456"/>
      <c r="T96" s="456"/>
      <c r="U96" s="456"/>
      <c r="V96" s="456"/>
      <c r="W96" s="456"/>
      <c r="X96" s="456"/>
      <c r="Y96" s="456"/>
      <c r="Z96" s="456"/>
    </row>
    <row r="97" spans="1:26" ht="11.25" customHeight="1">
      <c r="A97" s="456"/>
      <c r="B97" s="456"/>
      <c r="C97" s="456"/>
      <c r="D97" s="456"/>
      <c r="E97" s="456"/>
      <c r="F97" s="456"/>
      <c r="G97" s="456"/>
      <c r="H97" s="456"/>
      <c r="I97" s="456"/>
      <c r="J97" s="456"/>
      <c r="K97" s="456"/>
      <c r="L97" s="456"/>
      <c r="M97" s="456"/>
      <c r="N97" s="456"/>
      <c r="O97" s="456"/>
      <c r="P97" s="456"/>
      <c r="Q97" s="456"/>
      <c r="R97" s="456"/>
      <c r="S97" s="456"/>
      <c r="T97" s="456"/>
      <c r="U97" s="456"/>
      <c r="V97" s="456"/>
      <c r="W97" s="456"/>
      <c r="X97" s="456"/>
      <c r="Y97" s="456"/>
      <c r="Z97" s="456"/>
    </row>
    <row r="98" spans="1:26" ht="11.25" customHeight="1">
      <c r="A98" s="456"/>
      <c r="B98" s="456"/>
      <c r="C98" s="456"/>
      <c r="D98" s="456"/>
      <c r="E98" s="456"/>
      <c r="F98" s="456"/>
      <c r="G98" s="456"/>
      <c r="H98" s="456"/>
      <c r="I98" s="456"/>
      <c r="J98" s="456"/>
      <c r="K98" s="456"/>
      <c r="L98" s="456"/>
      <c r="M98" s="456"/>
      <c r="N98" s="456"/>
      <c r="O98" s="456"/>
      <c r="P98" s="456"/>
      <c r="Q98" s="456"/>
      <c r="R98" s="456"/>
      <c r="S98" s="456"/>
      <c r="T98" s="456"/>
      <c r="U98" s="456"/>
      <c r="V98" s="456"/>
      <c r="W98" s="456"/>
      <c r="X98" s="456"/>
      <c r="Y98" s="456"/>
      <c r="Z98" s="456"/>
    </row>
    <row r="99" spans="1:26" ht="11.25" customHeight="1">
      <c r="A99" s="456"/>
      <c r="B99" s="456"/>
      <c r="C99" s="456"/>
      <c r="D99" s="456"/>
      <c r="E99" s="456"/>
      <c r="F99" s="456"/>
      <c r="G99" s="456"/>
      <c r="H99" s="456"/>
      <c r="I99" s="456"/>
      <c r="J99" s="456"/>
      <c r="K99" s="456"/>
      <c r="L99" s="456"/>
      <c r="M99" s="456"/>
      <c r="N99" s="456"/>
      <c r="O99" s="456"/>
      <c r="P99" s="456"/>
      <c r="Q99" s="456"/>
      <c r="R99" s="456"/>
      <c r="S99" s="456"/>
      <c r="T99" s="456"/>
      <c r="U99" s="456"/>
      <c r="V99" s="456"/>
      <c r="W99" s="456"/>
      <c r="X99" s="456"/>
      <c r="Y99" s="456"/>
      <c r="Z99" s="456"/>
    </row>
    <row r="100" spans="1:26" ht="11.25" customHeight="1">
      <c r="A100" s="456"/>
      <c r="B100" s="456"/>
      <c r="C100" s="456"/>
      <c r="D100" s="456"/>
      <c r="E100" s="456"/>
      <c r="F100" s="456"/>
      <c r="G100" s="456"/>
      <c r="H100" s="456"/>
      <c r="I100" s="456"/>
      <c r="J100" s="456"/>
      <c r="K100" s="456"/>
      <c r="L100" s="456"/>
      <c r="M100" s="456"/>
      <c r="N100" s="456"/>
      <c r="O100" s="456"/>
      <c r="P100" s="456"/>
      <c r="Q100" s="456"/>
      <c r="R100" s="456"/>
      <c r="S100" s="456"/>
      <c r="T100" s="456"/>
      <c r="U100" s="456"/>
      <c r="V100" s="456"/>
      <c r="W100" s="456"/>
      <c r="X100" s="456"/>
      <c r="Y100" s="456"/>
      <c r="Z100" s="456"/>
    </row>
    <row r="101" spans="1:26" ht="11.25" customHeight="1">
      <c r="A101" s="456"/>
      <c r="B101" s="456"/>
      <c r="C101" s="456"/>
      <c r="D101" s="456"/>
      <c r="E101" s="456"/>
      <c r="F101" s="456"/>
      <c r="G101" s="456"/>
      <c r="H101" s="456"/>
      <c r="I101" s="456"/>
      <c r="J101" s="456"/>
      <c r="K101" s="456"/>
      <c r="L101" s="456"/>
      <c r="M101" s="456"/>
      <c r="N101" s="456"/>
      <c r="O101" s="456"/>
      <c r="P101" s="456"/>
      <c r="Q101" s="456"/>
      <c r="R101" s="456"/>
      <c r="S101" s="456"/>
      <c r="T101" s="456"/>
      <c r="U101" s="456"/>
      <c r="V101" s="456"/>
      <c r="W101" s="456"/>
      <c r="X101" s="456"/>
      <c r="Y101" s="456"/>
      <c r="Z101" s="456"/>
    </row>
    <row r="102" spans="1:26" ht="11.25" customHeight="1">
      <c r="A102" s="456"/>
      <c r="B102" s="456"/>
      <c r="C102" s="456"/>
      <c r="D102" s="456"/>
      <c r="E102" s="456"/>
      <c r="F102" s="456"/>
      <c r="G102" s="456"/>
      <c r="H102" s="456"/>
      <c r="I102" s="456"/>
      <c r="J102" s="456"/>
      <c r="K102" s="456"/>
      <c r="L102" s="456"/>
      <c r="M102" s="456"/>
      <c r="N102" s="456"/>
      <c r="O102" s="456"/>
      <c r="P102" s="456"/>
      <c r="Q102" s="456"/>
      <c r="R102" s="456"/>
      <c r="S102" s="456"/>
      <c r="T102" s="456"/>
      <c r="U102" s="456"/>
      <c r="V102" s="456"/>
      <c r="W102" s="456"/>
      <c r="X102" s="456"/>
      <c r="Y102" s="456"/>
      <c r="Z102" s="456"/>
    </row>
    <row r="103" spans="1:26" ht="11.25" customHeight="1">
      <c r="A103" s="456"/>
      <c r="B103" s="456"/>
      <c r="C103" s="456"/>
      <c r="D103" s="456"/>
      <c r="E103" s="456"/>
      <c r="F103" s="456"/>
      <c r="G103" s="456"/>
      <c r="H103" s="456"/>
      <c r="I103" s="456"/>
      <c r="J103" s="456"/>
      <c r="K103" s="456"/>
      <c r="L103" s="456"/>
      <c r="M103" s="456"/>
      <c r="N103" s="456"/>
      <c r="O103" s="456"/>
      <c r="P103" s="456"/>
      <c r="Q103" s="456"/>
      <c r="R103" s="456"/>
      <c r="S103" s="456"/>
      <c r="T103" s="456"/>
      <c r="U103" s="456"/>
      <c r="V103" s="456"/>
      <c r="W103" s="456"/>
      <c r="X103" s="456"/>
      <c r="Y103" s="456"/>
      <c r="Z103" s="456"/>
    </row>
    <row r="104" spans="1:26" ht="11.25" customHeight="1">
      <c r="A104" s="456"/>
      <c r="B104" s="456"/>
      <c r="C104" s="456"/>
      <c r="D104" s="456"/>
      <c r="E104" s="456"/>
      <c r="F104" s="456"/>
      <c r="G104" s="456"/>
      <c r="H104" s="456"/>
      <c r="I104" s="456"/>
      <c r="J104" s="456"/>
      <c r="K104" s="456"/>
      <c r="L104" s="456"/>
      <c r="M104" s="456"/>
      <c r="N104" s="456"/>
      <c r="O104" s="456"/>
      <c r="P104" s="456"/>
      <c r="Q104" s="456"/>
      <c r="R104" s="456"/>
      <c r="S104" s="456"/>
      <c r="T104" s="456"/>
      <c r="U104" s="456"/>
      <c r="V104" s="456"/>
      <c r="W104" s="456"/>
      <c r="X104" s="456"/>
      <c r="Y104" s="456"/>
      <c r="Z104" s="456"/>
    </row>
    <row r="105" spans="1:26" ht="11.25" customHeight="1">
      <c r="A105" s="456"/>
      <c r="B105" s="456"/>
      <c r="C105" s="456"/>
      <c r="D105" s="456"/>
      <c r="E105" s="456"/>
      <c r="F105" s="456"/>
      <c r="G105" s="456"/>
      <c r="H105" s="456"/>
      <c r="I105" s="456"/>
      <c r="J105" s="456"/>
      <c r="K105" s="456"/>
      <c r="L105" s="456"/>
      <c r="M105" s="456"/>
      <c r="N105" s="456"/>
      <c r="O105" s="456"/>
      <c r="P105" s="456"/>
      <c r="Q105" s="456"/>
      <c r="R105" s="456"/>
      <c r="S105" s="456"/>
      <c r="T105" s="456"/>
      <c r="U105" s="456"/>
      <c r="V105" s="456"/>
      <c r="W105" s="456"/>
      <c r="X105" s="456"/>
      <c r="Y105" s="456"/>
      <c r="Z105" s="456"/>
    </row>
    <row r="106" spans="1:26" ht="11.25" customHeight="1">
      <c r="A106" s="456"/>
      <c r="B106" s="456"/>
      <c r="C106" s="456"/>
      <c r="D106" s="456"/>
      <c r="E106" s="456"/>
      <c r="F106" s="456"/>
      <c r="G106" s="456"/>
      <c r="H106" s="456"/>
      <c r="I106" s="456"/>
      <c r="J106" s="456"/>
      <c r="K106" s="456"/>
      <c r="L106" s="456"/>
      <c r="M106" s="456"/>
      <c r="N106" s="456"/>
      <c r="O106" s="456"/>
      <c r="P106" s="456"/>
      <c r="Q106" s="456"/>
      <c r="R106" s="456"/>
      <c r="S106" s="456"/>
      <c r="T106" s="456"/>
      <c r="U106" s="456"/>
      <c r="V106" s="456"/>
      <c r="W106" s="456"/>
      <c r="X106" s="456"/>
      <c r="Y106" s="456"/>
      <c r="Z106" s="456"/>
    </row>
    <row r="107" spans="1:26" ht="11.25" customHeight="1">
      <c r="A107" s="456"/>
      <c r="B107" s="456"/>
      <c r="C107" s="456"/>
      <c r="D107" s="456"/>
      <c r="E107" s="456"/>
      <c r="F107" s="456"/>
      <c r="G107" s="456"/>
      <c r="H107" s="456"/>
      <c r="I107" s="456"/>
      <c r="J107" s="456"/>
      <c r="K107" s="456"/>
      <c r="L107" s="456"/>
      <c r="M107" s="456"/>
      <c r="N107" s="456"/>
      <c r="O107" s="456"/>
      <c r="P107" s="456"/>
      <c r="Q107" s="456"/>
      <c r="R107" s="456"/>
      <c r="S107" s="456"/>
      <c r="T107" s="456"/>
      <c r="U107" s="456"/>
      <c r="V107" s="456"/>
      <c r="W107" s="456"/>
      <c r="X107" s="456"/>
      <c r="Y107" s="456"/>
      <c r="Z107" s="456"/>
    </row>
    <row r="108" spans="1:26" ht="11.25" customHeight="1">
      <c r="A108" s="456"/>
      <c r="B108" s="456"/>
      <c r="C108" s="456"/>
      <c r="D108" s="456"/>
      <c r="E108" s="456"/>
      <c r="F108" s="456"/>
      <c r="G108" s="456"/>
      <c r="H108" s="456"/>
      <c r="I108" s="456"/>
      <c r="J108" s="456"/>
      <c r="K108" s="456"/>
      <c r="L108" s="456"/>
      <c r="M108" s="456"/>
      <c r="N108" s="456"/>
      <c r="O108" s="456"/>
      <c r="P108" s="456"/>
      <c r="Q108" s="456"/>
      <c r="R108" s="456"/>
      <c r="S108" s="456"/>
      <c r="T108" s="456"/>
      <c r="U108" s="456"/>
      <c r="V108" s="456"/>
      <c r="W108" s="456"/>
      <c r="X108" s="456"/>
      <c r="Y108" s="456"/>
      <c r="Z108" s="456"/>
    </row>
    <row r="109" spans="1:26" ht="11.25" customHeight="1">
      <c r="A109" s="456"/>
      <c r="B109" s="456"/>
      <c r="C109" s="456"/>
      <c r="D109" s="456"/>
      <c r="E109" s="456"/>
      <c r="F109" s="456"/>
      <c r="G109" s="456"/>
      <c r="H109" s="456"/>
      <c r="I109" s="456"/>
      <c r="J109" s="456"/>
      <c r="K109" s="456"/>
      <c r="L109" s="456"/>
      <c r="M109" s="456"/>
      <c r="N109" s="456"/>
      <c r="O109" s="456"/>
      <c r="P109" s="456"/>
      <c r="Q109" s="456"/>
      <c r="R109" s="456"/>
      <c r="S109" s="456"/>
      <c r="T109" s="456"/>
      <c r="U109" s="456"/>
      <c r="V109" s="456"/>
      <c r="W109" s="456"/>
      <c r="X109" s="456"/>
      <c r="Y109" s="456"/>
      <c r="Z109" s="456"/>
    </row>
    <row r="110" spans="1:26" ht="11.25" customHeight="1">
      <c r="A110" s="456"/>
      <c r="B110" s="456"/>
      <c r="C110" s="456"/>
      <c r="D110" s="456"/>
      <c r="E110" s="456"/>
      <c r="F110" s="456"/>
      <c r="G110" s="456"/>
      <c r="H110" s="456"/>
      <c r="I110" s="456"/>
      <c r="J110" s="456"/>
      <c r="K110" s="456"/>
      <c r="L110" s="456"/>
      <c r="M110" s="456"/>
      <c r="N110" s="456"/>
      <c r="O110" s="456"/>
      <c r="P110" s="456"/>
      <c r="Q110" s="456"/>
      <c r="R110" s="456"/>
      <c r="S110" s="456"/>
      <c r="T110" s="456"/>
      <c r="U110" s="456"/>
      <c r="V110" s="456"/>
      <c r="W110" s="456"/>
      <c r="X110" s="456"/>
      <c r="Y110" s="456"/>
      <c r="Z110" s="456"/>
    </row>
    <row r="111" spans="1:26" ht="11.25" customHeight="1">
      <c r="A111" s="456"/>
      <c r="B111" s="456"/>
      <c r="C111" s="456"/>
      <c r="D111" s="456"/>
      <c r="E111" s="456"/>
      <c r="F111" s="456"/>
      <c r="G111" s="456"/>
      <c r="H111" s="456"/>
      <c r="I111" s="456"/>
      <c r="J111" s="456"/>
      <c r="K111" s="456"/>
      <c r="L111" s="456"/>
      <c r="M111" s="456"/>
      <c r="N111" s="456"/>
      <c r="O111" s="456"/>
      <c r="P111" s="456"/>
      <c r="Q111" s="456"/>
      <c r="R111" s="456"/>
      <c r="S111" s="456"/>
      <c r="T111" s="456"/>
      <c r="U111" s="456"/>
      <c r="V111" s="456"/>
      <c r="W111" s="456"/>
      <c r="X111" s="456"/>
      <c r="Y111" s="456"/>
      <c r="Z111" s="456"/>
    </row>
    <row r="112" spans="1:26" ht="11.25" customHeight="1">
      <c r="A112" s="456"/>
      <c r="B112" s="456"/>
      <c r="C112" s="456"/>
      <c r="D112" s="456"/>
      <c r="E112" s="456"/>
      <c r="F112" s="456"/>
      <c r="G112" s="456"/>
      <c r="H112" s="456"/>
      <c r="I112" s="456"/>
      <c r="J112" s="456"/>
      <c r="K112" s="456"/>
      <c r="L112" s="456"/>
      <c r="M112" s="456"/>
      <c r="N112" s="456"/>
      <c r="O112" s="456"/>
      <c r="P112" s="456"/>
      <c r="Q112" s="456"/>
      <c r="R112" s="456"/>
      <c r="S112" s="456"/>
      <c r="T112" s="456"/>
      <c r="U112" s="456"/>
      <c r="V112" s="456"/>
      <c r="W112" s="456"/>
      <c r="X112" s="456"/>
      <c r="Y112" s="456"/>
      <c r="Z112" s="456"/>
    </row>
    <row r="113" spans="1:26" ht="11.25" customHeight="1">
      <c r="A113" s="456"/>
      <c r="B113" s="456"/>
      <c r="C113" s="456"/>
      <c r="D113" s="456"/>
      <c r="E113" s="456"/>
      <c r="F113" s="456"/>
      <c r="G113" s="456"/>
      <c r="H113" s="456"/>
      <c r="I113" s="456"/>
      <c r="J113" s="456"/>
      <c r="K113" s="456"/>
      <c r="L113" s="456"/>
      <c r="M113" s="456"/>
      <c r="N113" s="456"/>
      <c r="O113" s="456"/>
      <c r="P113" s="456"/>
      <c r="Q113" s="456"/>
      <c r="R113" s="456"/>
      <c r="S113" s="456"/>
      <c r="T113" s="456"/>
      <c r="U113" s="456"/>
      <c r="V113" s="456"/>
      <c r="W113" s="456"/>
      <c r="X113" s="456"/>
      <c r="Y113" s="456"/>
      <c r="Z113" s="456"/>
    </row>
    <row r="114" spans="1:26" ht="11.25" customHeight="1">
      <c r="A114" s="456"/>
      <c r="B114" s="456"/>
      <c r="C114" s="456"/>
      <c r="D114" s="456"/>
      <c r="E114" s="456"/>
      <c r="F114" s="456"/>
      <c r="G114" s="456"/>
      <c r="H114" s="456"/>
      <c r="I114" s="456"/>
      <c r="J114" s="456"/>
      <c r="K114" s="456"/>
      <c r="L114" s="456"/>
      <c r="M114" s="456"/>
      <c r="N114" s="456"/>
      <c r="O114" s="456"/>
      <c r="P114" s="456"/>
      <c r="Q114" s="456"/>
      <c r="R114" s="456"/>
      <c r="S114" s="456"/>
      <c r="T114" s="456"/>
      <c r="U114" s="456"/>
      <c r="V114" s="456"/>
      <c r="W114" s="456"/>
      <c r="X114" s="456"/>
      <c r="Y114" s="456"/>
      <c r="Z114" s="456"/>
    </row>
    <row r="115" spans="1:26" ht="11.25" customHeight="1">
      <c r="A115" s="456"/>
      <c r="B115" s="456"/>
      <c r="C115" s="456"/>
      <c r="D115" s="456"/>
      <c r="E115" s="456"/>
      <c r="F115" s="456"/>
      <c r="G115" s="456"/>
      <c r="H115" s="456"/>
      <c r="I115" s="456"/>
      <c r="J115" s="456"/>
      <c r="K115" s="456"/>
      <c r="L115" s="456"/>
      <c r="M115" s="456"/>
      <c r="N115" s="456"/>
      <c r="O115" s="456"/>
      <c r="P115" s="456"/>
      <c r="Q115" s="456"/>
      <c r="R115" s="456"/>
      <c r="S115" s="456"/>
      <c r="T115" s="456"/>
      <c r="U115" s="456"/>
      <c r="V115" s="456"/>
      <c r="W115" s="456"/>
      <c r="X115" s="456"/>
      <c r="Y115" s="456"/>
      <c r="Z115" s="456"/>
    </row>
    <row r="116" spans="1:26" ht="11.25" customHeight="1">
      <c r="A116" s="456"/>
      <c r="B116" s="456"/>
      <c r="C116" s="456"/>
      <c r="D116" s="456"/>
      <c r="E116" s="456"/>
      <c r="F116" s="456"/>
      <c r="G116" s="456"/>
      <c r="H116" s="456"/>
      <c r="I116" s="456"/>
      <c r="J116" s="456"/>
      <c r="K116" s="456"/>
      <c r="L116" s="456"/>
      <c r="M116" s="456"/>
      <c r="N116" s="456"/>
      <c r="O116" s="456"/>
      <c r="P116" s="456"/>
      <c r="Q116" s="456"/>
      <c r="R116" s="456"/>
      <c r="S116" s="456"/>
      <c r="T116" s="456"/>
      <c r="U116" s="456"/>
      <c r="V116" s="456"/>
      <c r="W116" s="456"/>
      <c r="X116" s="456"/>
      <c r="Y116" s="456"/>
      <c r="Z116" s="456"/>
    </row>
    <row r="117" spans="1:26" ht="11.25" customHeight="1">
      <c r="A117" s="456"/>
      <c r="B117" s="456"/>
      <c r="C117" s="456"/>
      <c r="D117" s="456"/>
      <c r="E117" s="456"/>
      <c r="F117" s="456"/>
      <c r="G117" s="456"/>
      <c r="H117" s="456"/>
      <c r="I117" s="456"/>
      <c r="J117" s="456"/>
      <c r="K117" s="456"/>
      <c r="L117" s="456"/>
      <c r="M117" s="456"/>
      <c r="N117" s="456"/>
      <c r="O117" s="456"/>
      <c r="P117" s="456"/>
      <c r="Q117" s="456"/>
      <c r="R117" s="456"/>
      <c r="S117" s="456"/>
      <c r="T117" s="456"/>
      <c r="U117" s="456"/>
      <c r="V117" s="456"/>
      <c r="W117" s="456"/>
      <c r="X117" s="456"/>
      <c r="Y117" s="456"/>
      <c r="Z117" s="456"/>
    </row>
    <row r="118" spans="1:26" ht="11.25" customHeight="1">
      <c r="A118" s="456"/>
      <c r="B118" s="456"/>
      <c r="C118" s="456"/>
      <c r="D118" s="456"/>
      <c r="E118" s="456"/>
      <c r="F118" s="456"/>
      <c r="G118" s="456"/>
      <c r="H118" s="456"/>
      <c r="I118" s="456"/>
      <c r="J118" s="456"/>
      <c r="K118" s="456"/>
      <c r="L118" s="456"/>
      <c r="M118" s="456"/>
      <c r="N118" s="456"/>
      <c r="O118" s="456"/>
      <c r="P118" s="456"/>
      <c r="Q118" s="456"/>
      <c r="R118" s="456"/>
      <c r="S118" s="456"/>
      <c r="T118" s="456"/>
      <c r="U118" s="456"/>
      <c r="V118" s="456"/>
      <c r="W118" s="456"/>
      <c r="X118" s="456"/>
      <c r="Y118" s="456"/>
      <c r="Z118" s="456"/>
    </row>
    <row r="119" spans="1:26" ht="11.25" customHeight="1">
      <c r="A119" s="456"/>
      <c r="B119" s="456"/>
      <c r="C119" s="456"/>
      <c r="D119" s="456"/>
      <c r="E119" s="456"/>
      <c r="F119" s="456"/>
      <c r="G119" s="456"/>
      <c r="H119" s="456"/>
      <c r="I119" s="456"/>
      <c r="J119" s="456"/>
      <c r="K119" s="456"/>
      <c r="L119" s="456"/>
      <c r="M119" s="456"/>
      <c r="N119" s="456"/>
      <c r="O119" s="456"/>
      <c r="P119" s="456"/>
      <c r="Q119" s="456"/>
      <c r="R119" s="456"/>
      <c r="S119" s="456"/>
      <c r="T119" s="456"/>
      <c r="U119" s="456"/>
      <c r="V119" s="456"/>
      <c r="W119" s="456"/>
      <c r="X119" s="456"/>
      <c r="Y119" s="456"/>
      <c r="Z119" s="456"/>
    </row>
    <row r="120" spans="1:26" ht="11.25" customHeight="1">
      <c r="A120" s="456"/>
      <c r="B120" s="456"/>
      <c r="C120" s="456"/>
      <c r="D120" s="456"/>
      <c r="E120" s="456"/>
      <c r="F120" s="456"/>
      <c r="G120" s="456"/>
      <c r="H120" s="456"/>
      <c r="I120" s="456"/>
      <c r="J120" s="456"/>
      <c r="K120" s="456"/>
      <c r="L120" s="456"/>
      <c r="M120" s="456"/>
      <c r="N120" s="456"/>
      <c r="O120" s="456"/>
      <c r="P120" s="456"/>
      <c r="Q120" s="456"/>
      <c r="R120" s="456"/>
      <c r="S120" s="456"/>
      <c r="T120" s="456"/>
      <c r="U120" s="456"/>
      <c r="V120" s="456"/>
      <c r="W120" s="456"/>
      <c r="X120" s="456"/>
      <c r="Y120" s="456"/>
      <c r="Z120" s="456"/>
    </row>
    <row r="121" spans="1:26" ht="11.25" customHeight="1">
      <c r="A121" s="456"/>
      <c r="B121" s="456"/>
      <c r="C121" s="456"/>
      <c r="D121" s="456"/>
      <c r="E121" s="456"/>
      <c r="F121" s="456"/>
      <c r="G121" s="456"/>
      <c r="H121" s="456"/>
      <c r="I121" s="456"/>
      <c r="J121" s="456"/>
      <c r="K121" s="456"/>
      <c r="L121" s="456"/>
      <c r="M121" s="456"/>
      <c r="N121" s="456"/>
      <c r="O121" s="456"/>
      <c r="P121" s="456"/>
      <c r="Q121" s="456"/>
      <c r="R121" s="456"/>
      <c r="S121" s="456"/>
      <c r="T121" s="456"/>
      <c r="U121" s="456"/>
      <c r="V121" s="456"/>
      <c r="W121" s="456"/>
      <c r="X121" s="456"/>
      <c r="Y121" s="456"/>
      <c r="Z121" s="456"/>
    </row>
    <row r="122" spans="1:26" ht="11.25" customHeight="1">
      <c r="A122" s="456"/>
      <c r="B122" s="456"/>
      <c r="C122" s="456"/>
      <c r="D122" s="456"/>
      <c r="E122" s="456"/>
      <c r="F122" s="456"/>
      <c r="G122" s="456"/>
      <c r="H122" s="456"/>
      <c r="I122" s="456"/>
      <c r="J122" s="456"/>
      <c r="K122" s="456"/>
      <c r="L122" s="456"/>
      <c r="M122" s="456"/>
      <c r="N122" s="456"/>
      <c r="O122" s="456"/>
      <c r="P122" s="456"/>
      <c r="Q122" s="456"/>
      <c r="R122" s="456"/>
      <c r="S122" s="456"/>
      <c r="T122" s="456"/>
      <c r="U122" s="456"/>
      <c r="V122" s="456"/>
      <c r="W122" s="456"/>
      <c r="X122" s="456"/>
      <c r="Y122" s="456"/>
      <c r="Z122" s="456"/>
    </row>
    <row r="123" spans="1:26" ht="11.25" customHeight="1">
      <c r="A123" s="456"/>
      <c r="B123" s="456"/>
      <c r="C123" s="456"/>
      <c r="D123" s="456"/>
      <c r="E123" s="456"/>
      <c r="F123" s="456"/>
      <c r="G123" s="456"/>
      <c r="H123" s="456"/>
      <c r="I123" s="456"/>
      <c r="J123" s="456"/>
      <c r="K123" s="456"/>
      <c r="L123" s="456"/>
      <c r="M123" s="456"/>
      <c r="N123" s="456"/>
      <c r="O123" s="456"/>
      <c r="P123" s="456"/>
      <c r="Q123" s="456"/>
      <c r="R123" s="456"/>
      <c r="S123" s="456"/>
      <c r="T123" s="456"/>
      <c r="U123" s="456"/>
      <c r="V123" s="456"/>
      <c r="W123" s="456"/>
      <c r="X123" s="456"/>
      <c r="Y123" s="456"/>
      <c r="Z123" s="456"/>
    </row>
    <row r="124" spans="1:26" ht="11.25" customHeight="1">
      <c r="A124" s="456"/>
      <c r="B124" s="456"/>
      <c r="C124" s="456"/>
      <c r="D124" s="456"/>
      <c r="E124" s="456"/>
      <c r="F124" s="456"/>
      <c r="G124" s="456"/>
      <c r="H124" s="456"/>
      <c r="I124" s="456"/>
      <c r="J124" s="456"/>
      <c r="K124" s="456"/>
      <c r="L124" s="456"/>
      <c r="M124" s="456"/>
      <c r="N124" s="456"/>
      <c r="O124" s="456"/>
      <c r="P124" s="456"/>
      <c r="Q124" s="456"/>
      <c r="R124" s="456"/>
      <c r="S124" s="456"/>
      <c r="T124" s="456"/>
      <c r="U124" s="456"/>
      <c r="V124" s="456"/>
      <c r="W124" s="456"/>
      <c r="X124" s="456"/>
      <c r="Y124" s="456"/>
      <c r="Z124" s="456"/>
    </row>
    <row r="125" spans="1:26" ht="11.25" customHeight="1">
      <c r="A125" s="456"/>
      <c r="B125" s="456"/>
      <c r="C125" s="456"/>
      <c r="D125" s="456"/>
      <c r="E125" s="456"/>
      <c r="F125" s="456"/>
      <c r="G125" s="456"/>
      <c r="H125" s="456"/>
      <c r="I125" s="456"/>
      <c r="J125" s="456"/>
      <c r="K125" s="456"/>
      <c r="L125" s="456"/>
      <c r="M125" s="456"/>
      <c r="N125" s="456"/>
      <c r="O125" s="456"/>
      <c r="P125" s="456"/>
      <c r="Q125" s="456"/>
      <c r="R125" s="456"/>
      <c r="S125" s="456"/>
      <c r="T125" s="456"/>
      <c r="U125" s="456"/>
      <c r="V125" s="456"/>
      <c r="W125" s="456"/>
      <c r="X125" s="456"/>
      <c r="Y125" s="456"/>
      <c r="Z125" s="456"/>
    </row>
    <row r="126" spans="1:26" ht="11.25" customHeight="1">
      <c r="A126" s="456"/>
      <c r="B126" s="456"/>
      <c r="C126" s="456"/>
      <c r="D126" s="456"/>
      <c r="E126" s="456"/>
      <c r="F126" s="456"/>
      <c r="G126" s="456"/>
      <c r="H126" s="456"/>
      <c r="I126" s="456"/>
      <c r="J126" s="456"/>
      <c r="K126" s="456"/>
      <c r="L126" s="456"/>
      <c r="M126" s="456"/>
      <c r="N126" s="456"/>
      <c r="O126" s="456"/>
      <c r="P126" s="456"/>
      <c r="Q126" s="456"/>
      <c r="R126" s="456"/>
      <c r="S126" s="456"/>
      <c r="T126" s="456"/>
      <c r="U126" s="456"/>
      <c r="V126" s="456"/>
      <c r="W126" s="456"/>
      <c r="X126" s="456"/>
      <c r="Y126" s="456"/>
      <c r="Z126" s="456"/>
    </row>
    <row r="127" spans="1:26" ht="11.25" customHeight="1">
      <c r="A127" s="456"/>
      <c r="B127" s="456"/>
      <c r="C127" s="456"/>
      <c r="D127" s="456"/>
      <c r="E127" s="456"/>
      <c r="F127" s="456"/>
      <c r="G127" s="456"/>
      <c r="H127" s="456"/>
      <c r="I127" s="456"/>
      <c r="J127" s="456"/>
      <c r="K127" s="456"/>
      <c r="L127" s="456"/>
      <c r="M127" s="456"/>
      <c r="N127" s="456"/>
      <c r="O127" s="456"/>
      <c r="P127" s="456"/>
      <c r="Q127" s="456"/>
      <c r="R127" s="456"/>
      <c r="S127" s="456"/>
      <c r="T127" s="456"/>
      <c r="U127" s="456"/>
      <c r="V127" s="456"/>
      <c r="W127" s="456"/>
      <c r="X127" s="456"/>
      <c r="Y127" s="456"/>
      <c r="Z127" s="456"/>
    </row>
    <row r="128" spans="1:26" ht="11.25" customHeight="1">
      <c r="A128" s="456"/>
      <c r="B128" s="456"/>
      <c r="C128" s="456"/>
      <c r="D128" s="456"/>
      <c r="E128" s="456"/>
      <c r="F128" s="456"/>
      <c r="G128" s="456"/>
      <c r="H128" s="456"/>
      <c r="I128" s="456"/>
      <c r="J128" s="456"/>
      <c r="K128" s="456"/>
      <c r="L128" s="456"/>
      <c r="M128" s="456"/>
      <c r="N128" s="456"/>
      <c r="O128" s="456"/>
      <c r="P128" s="456"/>
      <c r="Q128" s="456"/>
      <c r="R128" s="456"/>
      <c r="S128" s="456"/>
      <c r="T128" s="456"/>
      <c r="U128" s="456"/>
      <c r="V128" s="456"/>
      <c r="W128" s="456"/>
      <c r="X128" s="456"/>
      <c r="Y128" s="456"/>
      <c r="Z128" s="456"/>
    </row>
    <row r="129" spans="1:26" ht="11.25" customHeight="1">
      <c r="A129" s="456"/>
      <c r="B129" s="456"/>
      <c r="C129" s="456"/>
      <c r="D129" s="456"/>
      <c r="E129" s="456"/>
      <c r="F129" s="456"/>
      <c r="G129" s="456"/>
      <c r="H129" s="456"/>
      <c r="I129" s="456"/>
      <c r="J129" s="456"/>
      <c r="K129" s="456"/>
      <c r="L129" s="456"/>
      <c r="M129" s="456"/>
      <c r="N129" s="456"/>
      <c r="O129" s="456"/>
      <c r="P129" s="456"/>
      <c r="Q129" s="456"/>
      <c r="R129" s="456"/>
      <c r="S129" s="456"/>
      <c r="T129" s="456"/>
      <c r="U129" s="456"/>
      <c r="V129" s="456"/>
      <c r="W129" s="456"/>
      <c r="X129" s="456"/>
      <c r="Y129" s="456"/>
      <c r="Z129" s="456"/>
    </row>
    <row r="130" spans="1:26" ht="11.25" customHeight="1">
      <c r="A130" s="456"/>
      <c r="B130" s="456"/>
      <c r="C130" s="456"/>
      <c r="D130" s="456"/>
      <c r="E130" s="456"/>
      <c r="F130" s="456"/>
      <c r="G130" s="456"/>
      <c r="H130" s="456"/>
      <c r="I130" s="456"/>
      <c r="J130" s="456"/>
      <c r="K130" s="456"/>
      <c r="L130" s="456"/>
      <c r="M130" s="456"/>
      <c r="N130" s="456"/>
      <c r="O130" s="456"/>
      <c r="P130" s="456"/>
      <c r="Q130" s="456"/>
      <c r="R130" s="456"/>
      <c r="S130" s="456"/>
      <c r="T130" s="456"/>
      <c r="U130" s="456"/>
      <c r="V130" s="456"/>
      <c r="W130" s="456"/>
      <c r="X130" s="456"/>
      <c r="Y130" s="456"/>
      <c r="Z130" s="456"/>
    </row>
    <row r="131" spans="1:26" ht="11.25" customHeight="1">
      <c r="A131" s="456"/>
      <c r="B131" s="456"/>
      <c r="C131" s="456"/>
      <c r="D131" s="456"/>
      <c r="E131" s="456"/>
      <c r="F131" s="456"/>
      <c r="G131" s="456"/>
      <c r="H131" s="456"/>
      <c r="I131" s="456"/>
      <c r="J131" s="456"/>
      <c r="K131" s="456"/>
      <c r="L131" s="456"/>
      <c r="M131" s="456"/>
      <c r="N131" s="456"/>
      <c r="O131" s="456"/>
      <c r="P131" s="456"/>
      <c r="Q131" s="456"/>
      <c r="R131" s="456"/>
      <c r="S131" s="456"/>
      <c r="T131" s="456"/>
      <c r="U131" s="456"/>
      <c r="V131" s="456"/>
      <c r="W131" s="456"/>
      <c r="X131" s="456"/>
      <c r="Y131" s="456"/>
      <c r="Z131" s="456"/>
    </row>
    <row r="132" spans="1:26" ht="11.25" customHeight="1">
      <c r="A132" s="456"/>
      <c r="B132" s="456"/>
      <c r="C132" s="456"/>
      <c r="D132" s="456"/>
      <c r="E132" s="456"/>
      <c r="F132" s="456"/>
      <c r="G132" s="456"/>
      <c r="H132" s="456"/>
      <c r="I132" s="456"/>
      <c r="J132" s="456"/>
      <c r="K132" s="456"/>
      <c r="L132" s="456"/>
      <c r="M132" s="456"/>
      <c r="N132" s="456"/>
      <c r="O132" s="456"/>
      <c r="P132" s="456"/>
      <c r="Q132" s="456"/>
      <c r="R132" s="456"/>
      <c r="S132" s="456"/>
      <c r="T132" s="456"/>
      <c r="U132" s="456"/>
      <c r="V132" s="456"/>
      <c r="W132" s="456"/>
      <c r="X132" s="456"/>
      <c r="Y132" s="456"/>
      <c r="Z132" s="456"/>
    </row>
    <row r="133" spans="1:26" ht="11.25" customHeight="1">
      <c r="A133" s="456"/>
      <c r="B133" s="456"/>
      <c r="C133" s="456"/>
      <c r="D133" s="456"/>
      <c r="E133" s="456"/>
      <c r="F133" s="456"/>
      <c r="G133" s="456"/>
      <c r="H133" s="456"/>
      <c r="I133" s="456"/>
      <c r="J133" s="456"/>
      <c r="K133" s="456"/>
      <c r="L133" s="456"/>
      <c r="M133" s="456"/>
      <c r="N133" s="456"/>
      <c r="O133" s="456"/>
      <c r="P133" s="456"/>
      <c r="Q133" s="456"/>
      <c r="R133" s="456"/>
      <c r="S133" s="456"/>
      <c r="T133" s="456"/>
      <c r="U133" s="456"/>
      <c r="V133" s="456"/>
      <c r="W133" s="456"/>
      <c r="X133" s="456"/>
      <c r="Y133" s="456"/>
      <c r="Z133" s="456"/>
    </row>
    <row r="134" spans="1:26" ht="11.25" customHeight="1">
      <c r="A134" s="456"/>
      <c r="B134" s="456"/>
      <c r="C134" s="456"/>
      <c r="D134" s="456"/>
      <c r="E134" s="456"/>
      <c r="F134" s="456"/>
      <c r="G134" s="456"/>
      <c r="H134" s="456"/>
      <c r="I134" s="456"/>
      <c r="J134" s="456"/>
      <c r="K134" s="456"/>
      <c r="L134" s="456"/>
      <c r="M134" s="456"/>
      <c r="N134" s="456"/>
      <c r="O134" s="456"/>
      <c r="P134" s="456"/>
      <c r="Q134" s="456"/>
      <c r="R134" s="456"/>
      <c r="S134" s="456"/>
      <c r="T134" s="456"/>
      <c r="U134" s="456"/>
      <c r="V134" s="456"/>
      <c r="W134" s="456"/>
      <c r="X134" s="456"/>
      <c r="Y134" s="456"/>
      <c r="Z134" s="456"/>
    </row>
    <row r="135" spans="1:26" ht="11.25" customHeight="1">
      <c r="A135" s="456"/>
      <c r="B135" s="456"/>
      <c r="C135" s="456"/>
      <c r="D135" s="456"/>
      <c r="E135" s="456"/>
      <c r="F135" s="456"/>
      <c r="G135" s="456"/>
      <c r="H135" s="456"/>
      <c r="I135" s="456"/>
      <c r="J135" s="456"/>
      <c r="K135" s="456"/>
      <c r="L135" s="456"/>
      <c r="M135" s="456"/>
      <c r="N135" s="456"/>
      <c r="O135" s="456"/>
      <c r="P135" s="456"/>
      <c r="Q135" s="456"/>
      <c r="R135" s="456"/>
      <c r="S135" s="456"/>
      <c r="T135" s="456"/>
      <c r="U135" s="456"/>
      <c r="V135" s="456"/>
      <c r="W135" s="456"/>
      <c r="X135" s="456"/>
      <c r="Y135" s="456"/>
      <c r="Z135" s="456"/>
    </row>
    <row r="136" spans="1:26" ht="11.25" customHeight="1">
      <c r="A136" s="456"/>
      <c r="B136" s="456"/>
      <c r="C136" s="456"/>
      <c r="D136" s="456"/>
      <c r="E136" s="456"/>
      <c r="F136" s="456"/>
      <c r="G136" s="456"/>
      <c r="H136" s="456"/>
      <c r="I136" s="456"/>
      <c r="J136" s="456"/>
      <c r="K136" s="456"/>
      <c r="L136" s="456"/>
      <c r="M136" s="456"/>
      <c r="N136" s="456"/>
      <c r="O136" s="456"/>
      <c r="P136" s="456"/>
      <c r="Q136" s="456"/>
      <c r="R136" s="456"/>
      <c r="S136" s="456"/>
      <c r="T136" s="456"/>
      <c r="U136" s="456"/>
      <c r="V136" s="456"/>
      <c r="W136" s="456"/>
      <c r="X136" s="456"/>
      <c r="Y136" s="456"/>
      <c r="Z136" s="456"/>
    </row>
    <row r="137" spans="1:26" ht="11.25" customHeight="1">
      <c r="A137" s="456"/>
      <c r="B137" s="456"/>
      <c r="C137" s="456"/>
      <c r="D137" s="456"/>
      <c r="E137" s="456"/>
      <c r="F137" s="456"/>
      <c r="G137" s="456"/>
      <c r="H137" s="456"/>
      <c r="I137" s="456"/>
      <c r="J137" s="456"/>
      <c r="K137" s="456"/>
      <c r="L137" s="456"/>
      <c r="M137" s="456"/>
      <c r="N137" s="456"/>
      <c r="O137" s="456"/>
      <c r="P137" s="456"/>
      <c r="Q137" s="456"/>
      <c r="R137" s="456"/>
      <c r="S137" s="456"/>
      <c r="T137" s="456"/>
      <c r="U137" s="456"/>
      <c r="V137" s="456"/>
      <c r="W137" s="456"/>
      <c r="X137" s="456"/>
      <c r="Y137" s="456"/>
      <c r="Z137" s="456"/>
    </row>
    <row r="138" spans="1:26" ht="11.25" customHeight="1">
      <c r="A138" s="456"/>
      <c r="B138" s="456"/>
      <c r="C138" s="456"/>
      <c r="D138" s="456"/>
      <c r="E138" s="456"/>
      <c r="F138" s="456"/>
      <c r="G138" s="456"/>
      <c r="H138" s="456"/>
      <c r="I138" s="456"/>
      <c r="J138" s="456"/>
      <c r="K138" s="456"/>
      <c r="L138" s="456"/>
      <c r="M138" s="456"/>
      <c r="N138" s="456"/>
      <c r="O138" s="456"/>
      <c r="P138" s="456"/>
      <c r="Q138" s="456"/>
      <c r="R138" s="456"/>
      <c r="S138" s="456"/>
      <c r="T138" s="456"/>
      <c r="U138" s="456"/>
      <c r="V138" s="456"/>
      <c r="W138" s="456"/>
      <c r="X138" s="456"/>
      <c r="Y138" s="456"/>
      <c r="Z138" s="456"/>
    </row>
    <row r="139" spans="1:26" ht="11.25" customHeight="1">
      <c r="A139" s="456"/>
      <c r="B139" s="456"/>
      <c r="C139" s="456"/>
      <c r="D139" s="456"/>
      <c r="E139" s="456"/>
      <c r="F139" s="456"/>
      <c r="G139" s="456"/>
      <c r="H139" s="456"/>
      <c r="I139" s="456"/>
      <c r="J139" s="456"/>
      <c r="K139" s="456"/>
      <c r="L139" s="456"/>
      <c r="M139" s="456"/>
      <c r="N139" s="456"/>
      <c r="O139" s="456"/>
      <c r="P139" s="456"/>
      <c r="Q139" s="456"/>
      <c r="R139" s="456"/>
      <c r="S139" s="456"/>
      <c r="T139" s="456"/>
      <c r="U139" s="456"/>
      <c r="V139" s="456"/>
      <c r="W139" s="456"/>
      <c r="X139" s="456"/>
      <c r="Y139" s="456"/>
      <c r="Z139" s="456"/>
    </row>
    <row r="140" spans="1:26" ht="11.25" customHeight="1">
      <c r="A140" s="456"/>
      <c r="B140" s="456"/>
      <c r="C140" s="456"/>
      <c r="D140" s="456"/>
      <c r="E140" s="456"/>
      <c r="F140" s="456"/>
      <c r="G140" s="456"/>
      <c r="H140" s="456"/>
      <c r="I140" s="456"/>
      <c r="J140" s="456"/>
      <c r="K140" s="456"/>
      <c r="L140" s="456"/>
      <c r="M140" s="456"/>
      <c r="N140" s="456"/>
      <c r="O140" s="456"/>
      <c r="P140" s="456"/>
      <c r="Q140" s="456"/>
      <c r="R140" s="456"/>
      <c r="S140" s="456"/>
      <c r="T140" s="456"/>
      <c r="U140" s="456"/>
      <c r="V140" s="456"/>
      <c r="W140" s="456"/>
      <c r="X140" s="456"/>
      <c r="Y140" s="456"/>
      <c r="Z140" s="456"/>
    </row>
    <row r="141" spans="1:26" ht="11.25" customHeight="1">
      <c r="A141" s="456"/>
      <c r="B141" s="456"/>
      <c r="C141" s="456"/>
      <c r="D141" s="456"/>
      <c r="E141" s="456"/>
      <c r="F141" s="456"/>
      <c r="G141" s="456"/>
      <c r="H141" s="456"/>
      <c r="I141" s="456"/>
      <c r="J141" s="456"/>
      <c r="K141" s="456"/>
      <c r="L141" s="456"/>
      <c r="M141" s="456"/>
      <c r="N141" s="456"/>
      <c r="O141" s="456"/>
      <c r="P141" s="456"/>
      <c r="Q141" s="456"/>
      <c r="R141" s="456"/>
      <c r="S141" s="456"/>
      <c r="T141" s="456"/>
      <c r="U141" s="456"/>
      <c r="V141" s="456"/>
      <c r="W141" s="456"/>
      <c r="X141" s="456"/>
      <c r="Y141" s="456"/>
      <c r="Z141" s="456"/>
    </row>
    <row r="142" spans="1:26" ht="11.25" customHeight="1">
      <c r="A142" s="456"/>
      <c r="B142" s="456"/>
      <c r="C142" s="456"/>
      <c r="D142" s="456"/>
      <c r="E142" s="456"/>
      <c r="F142" s="456"/>
      <c r="G142" s="456"/>
      <c r="H142" s="456"/>
      <c r="I142" s="456"/>
      <c r="J142" s="456"/>
      <c r="K142" s="456"/>
      <c r="L142" s="456"/>
      <c r="M142" s="456"/>
      <c r="N142" s="456"/>
      <c r="O142" s="456"/>
      <c r="P142" s="456"/>
      <c r="Q142" s="456"/>
      <c r="R142" s="456"/>
      <c r="S142" s="456"/>
      <c r="T142" s="456"/>
      <c r="U142" s="456"/>
      <c r="V142" s="456"/>
      <c r="W142" s="456"/>
      <c r="X142" s="456"/>
      <c r="Y142" s="456"/>
      <c r="Z142" s="456"/>
    </row>
    <row r="143" spans="1:26" ht="11.25" customHeight="1">
      <c r="A143" s="456"/>
      <c r="B143" s="456"/>
      <c r="C143" s="456"/>
      <c r="D143" s="456"/>
      <c r="E143" s="456"/>
      <c r="F143" s="456"/>
      <c r="G143" s="456"/>
      <c r="H143" s="456"/>
      <c r="I143" s="456"/>
      <c r="J143" s="456"/>
      <c r="K143" s="456"/>
      <c r="L143" s="456"/>
      <c r="M143" s="456"/>
      <c r="N143" s="456"/>
      <c r="O143" s="456"/>
      <c r="P143" s="456"/>
      <c r="Q143" s="456"/>
      <c r="R143" s="456"/>
      <c r="S143" s="456"/>
      <c r="T143" s="456"/>
      <c r="U143" s="456"/>
      <c r="V143" s="456"/>
      <c r="W143" s="456"/>
      <c r="X143" s="456"/>
      <c r="Y143" s="456"/>
      <c r="Z143" s="456"/>
    </row>
    <row r="144" spans="1:26" ht="11.25" customHeight="1">
      <c r="A144" s="456"/>
      <c r="B144" s="456"/>
      <c r="C144" s="456"/>
      <c r="D144" s="456"/>
      <c r="E144" s="456"/>
      <c r="F144" s="456"/>
      <c r="G144" s="456"/>
      <c r="H144" s="456"/>
      <c r="I144" s="456"/>
      <c r="J144" s="456"/>
      <c r="K144" s="456"/>
      <c r="L144" s="456"/>
      <c r="M144" s="456"/>
      <c r="N144" s="456"/>
      <c r="O144" s="456"/>
      <c r="P144" s="456"/>
      <c r="Q144" s="456"/>
      <c r="R144" s="456"/>
      <c r="S144" s="456"/>
      <c r="T144" s="456"/>
      <c r="U144" s="456"/>
      <c r="V144" s="456"/>
      <c r="W144" s="456"/>
      <c r="X144" s="456"/>
      <c r="Y144" s="456"/>
      <c r="Z144" s="456"/>
    </row>
    <row r="145" spans="1:26" ht="11.25" customHeight="1">
      <c r="A145" s="456"/>
      <c r="B145" s="456"/>
      <c r="C145" s="456"/>
      <c r="D145" s="456"/>
      <c r="E145" s="456"/>
      <c r="F145" s="456"/>
      <c r="G145" s="456"/>
      <c r="H145" s="456"/>
      <c r="I145" s="456"/>
      <c r="J145" s="456"/>
      <c r="K145" s="456"/>
      <c r="L145" s="456"/>
      <c r="M145" s="456"/>
      <c r="N145" s="456"/>
      <c r="O145" s="456"/>
      <c r="P145" s="456"/>
      <c r="Q145" s="456"/>
      <c r="R145" s="456"/>
      <c r="S145" s="456"/>
      <c r="T145" s="456"/>
      <c r="U145" s="456"/>
      <c r="V145" s="456"/>
      <c r="W145" s="456"/>
      <c r="X145" s="456"/>
      <c r="Y145" s="456"/>
      <c r="Z145" s="456"/>
    </row>
    <row r="146" spans="1:26" ht="11.25" customHeight="1">
      <c r="A146" s="456"/>
      <c r="B146" s="456"/>
      <c r="C146" s="456"/>
      <c r="D146" s="456"/>
      <c r="E146" s="456"/>
      <c r="F146" s="456"/>
      <c r="G146" s="456"/>
      <c r="H146" s="456"/>
      <c r="I146" s="456"/>
      <c r="J146" s="456"/>
      <c r="K146" s="456"/>
      <c r="L146" s="456"/>
      <c r="M146" s="456"/>
      <c r="N146" s="456"/>
      <c r="O146" s="456"/>
      <c r="P146" s="456"/>
      <c r="Q146" s="456"/>
      <c r="R146" s="456"/>
      <c r="S146" s="456"/>
      <c r="T146" s="456"/>
      <c r="U146" s="456"/>
      <c r="V146" s="456"/>
      <c r="W146" s="456"/>
      <c r="X146" s="456"/>
      <c r="Y146" s="456"/>
      <c r="Z146" s="456"/>
    </row>
    <row r="147" spans="1:26" ht="11.25" customHeight="1">
      <c r="A147" s="456"/>
      <c r="B147" s="456"/>
      <c r="C147" s="456"/>
      <c r="D147" s="456"/>
      <c r="E147" s="456"/>
      <c r="F147" s="456"/>
      <c r="G147" s="456"/>
      <c r="H147" s="456"/>
      <c r="I147" s="456"/>
      <c r="J147" s="456"/>
      <c r="K147" s="456"/>
      <c r="L147" s="456"/>
      <c r="M147" s="456"/>
      <c r="N147" s="456"/>
      <c r="O147" s="456"/>
      <c r="P147" s="456"/>
      <c r="Q147" s="456"/>
      <c r="R147" s="456"/>
      <c r="S147" s="456"/>
      <c r="T147" s="456"/>
      <c r="U147" s="456"/>
      <c r="V147" s="456"/>
      <c r="W147" s="456"/>
      <c r="X147" s="456"/>
      <c r="Y147" s="456"/>
      <c r="Z147" s="456"/>
    </row>
    <row r="148" spans="1:26" ht="11.25" customHeight="1">
      <c r="A148" s="456"/>
      <c r="B148" s="456"/>
      <c r="C148" s="456"/>
      <c r="D148" s="456"/>
      <c r="E148" s="456"/>
      <c r="F148" s="456"/>
      <c r="G148" s="456"/>
      <c r="H148" s="456"/>
      <c r="I148" s="456"/>
      <c r="J148" s="456"/>
      <c r="K148" s="456"/>
      <c r="L148" s="456"/>
      <c r="M148" s="456"/>
      <c r="N148" s="456"/>
      <c r="O148" s="456"/>
      <c r="P148" s="456"/>
      <c r="Q148" s="456"/>
      <c r="R148" s="456"/>
      <c r="S148" s="456"/>
      <c r="T148" s="456"/>
      <c r="U148" s="456"/>
      <c r="V148" s="456"/>
      <c r="W148" s="456"/>
      <c r="X148" s="456"/>
      <c r="Y148" s="456"/>
      <c r="Z148" s="456"/>
    </row>
    <row r="149" spans="1:26" ht="11.25" customHeight="1">
      <c r="A149" s="456"/>
      <c r="B149" s="456"/>
      <c r="C149" s="456"/>
      <c r="D149" s="456"/>
      <c r="E149" s="456"/>
      <c r="F149" s="456"/>
      <c r="G149" s="456"/>
      <c r="H149" s="456"/>
      <c r="I149" s="456"/>
      <c r="J149" s="456"/>
      <c r="K149" s="456"/>
      <c r="L149" s="456"/>
      <c r="M149" s="456"/>
      <c r="N149" s="456"/>
      <c r="O149" s="456"/>
      <c r="P149" s="456"/>
      <c r="Q149" s="456"/>
      <c r="R149" s="456"/>
      <c r="S149" s="456"/>
      <c r="T149" s="456"/>
      <c r="U149" s="456"/>
      <c r="V149" s="456"/>
      <c r="W149" s="456"/>
      <c r="X149" s="456"/>
      <c r="Y149" s="456"/>
      <c r="Z149" s="456"/>
    </row>
    <row r="150" spans="1:26" ht="11.25" customHeight="1">
      <c r="A150" s="456"/>
      <c r="B150" s="456"/>
      <c r="C150" s="456"/>
      <c r="D150" s="456"/>
      <c r="E150" s="456"/>
      <c r="F150" s="456"/>
      <c r="G150" s="456"/>
      <c r="H150" s="456"/>
      <c r="I150" s="456"/>
      <c r="J150" s="456"/>
      <c r="K150" s="456"/>
      <c r="L150" s="456"/>
      <c r="M150" s="456"/>
      <c r="N150" s="456"/>
      <c r="O150" s="456"/>
      <c r="P150" s="456"/>
      <c r="Q150" s="456"/>
      <c r="R150" s="456"/>
      <c r="S150" s="456"/>
      <c r="T150" s="456"/>
      <c r="U150" s="456"/>
      <c r="V150" s="456"/>
      <c r="W150" s="456"/>
      <c r="X150" s="456"/>
      <c r="Y150" s="456"/>
      <c r="Z150" s="456"/>
    </row>
    <row r="151" spans="1:26" ht="11.25" customHeight="1">
      <c r="A151" s="456"/>
      <c r="B151" s="456"/>
      <c r="C151" s="456"/>
      <c r="D151" s="456"/>
      <c r="E151" s="456"/>
      <c r="F151" s="456"/>
      <c r="G151" s="456"/>
      <c r="H151" s="456"/>
      <c r="I151" s="456"/>
      <c r="J151" s="456"/>
      <c r="K151" s="456"/>
      <c r="L151" s="456"/>
      <c r="M151" s="456"/>
      <c r="N151" s="456"/>
      <c r="O151" s="456"/>
      <c r="P151" s="456"/>
      <c r="Q151" s="456"/>
      <c r="R151" s="456"/>
      <c r="S151" s="456"/>
      <c r="T151" s="456"/>
      <c r="U151" s="456"/>
      <c r="V151" s="456"/>
      <c r="W151" s="456"/>
      <c r="X151" s="456"/>
      <c r="Y151" s="456"/>
      <c r="Z151" s="456"/>
    </row>
    <row r="152" spans="1:26" ht="11.25" customHeight="1">
      <c r="A152" s="456"/>
      <c r="B152" s="456"/>
      <c r="C152" s="456"/>
      <c r="D152" s="456"/>
      <c r="E152" s="456"/>
      <c r="F152" s="456"/>
      <c r="G152" s="456"/>
      <c r="H152" s="456"/>
      <c r="I152" s="456"/>
      <c r="J152" s="456"/>
      <c r="K152" s="456"/>
      <c r="L152" s="456"/>
      <c r="M152" s="456"/>
      <c r="N152" s="456"/>
      <c r="O152" s="456"/>
      <c r="P152" s="456"/>
      <c r="Q152" s="456"/>
      <c r="R152" s="456"/>
      <c r="S152" s="456"/>
      <c r="T152" s="456"/>
      <c r="U152" s="456"/>
      <c r="V152" s="456"/>
      <c r="W152" s="456"/>
      <c r="X152" s="456"/>
      <c r="Y152" s="456"/>
      <c r="Z152" s="456"/>
    </row>
    <row r="153" spans="1:26" ht="11.25" customHeight="1">
      <c r="A153" s="456"/>
      <c r="B153" s="456"/>
      <c r="C153" s="456"/>
      <c r="D153" s="456"/>
      <c r="E153" s="456"/>
      <c r="F153" s="456"/>
      <c r="G153" s="456"/>
      <c r="H153" s="456"/>
      <c r="I153" s="456"/>
      <c r="J153" s="456"/>
      <c r="K153" s="456"/>
      <c r="L153" s="456"/>
      <c r="M153" s="456"/>
      <c r="N153" s="456"/>
      <c r="O153" s="456"/>
      <c r="P153" s="456"/>
      <c r="Q153" s="456"/>
      <c r="R153" s="456"/>
      <c r="S153" s="456"/>
      <c r="T153" s="456"/>
      <c r="U153" s="456"/>
      <c r="V153" s="456"/>
      <c r="W153" s="456"/>
      <c r="X153" s="456"/>
      <c r="Y153" s="456"/>
      <c r="Z153" s="456"/>
    </row>
    <row r="154" spans="1:26" ht="11.25" customHeight="1">
      <c r="A154" s="456"/>
      <c r="B154" s="456"/>
      <c r="C154" s="456"/>
      <c r="D154" s="456"/>
      <c r="E154" s="456"/>
      <c r="F154" s="456"/>
      <c r="G154" s="456"/>
      <c r="H154" s="456"/>
      <c r="I154" s="456"/>
      <c r="J154" s="456"/>
      <c r="K154" s="456"/>
      <c r="L154" s="456"/>
      <c r="M154" s="456"/>
      <c r="N154" s="456"/>
      <c r="O154" s="456"/>
      <c r="P154" s="456"/>
      <c r="Q154" s="456"/>
      <c r="R154" s="456"/>
      <c r="S154" s="456"/>
      <c r="T154" s="456"/>
      <c r="U154" s="456"/>
      <c r="V154" s="456"/>
      <c r="W154" s="456"/>
      <c r="X154" s="456"/>
      <c r="Y154" s="456"/>
      <c r="Z154" s="456"/>
    </row>
    <row r="155" spans="1:26" ht="11.25" customHeight="1">
      <c r="A155" s="456"/>
      <c r="B155" s="456"/>
      <c r="C155" s="456"/>
      <c r="D155" s="456"/>
      <c r="E155" s="456"/>
      <c r="F155" s="456"/>
      <c r="G155" s="456"/>
      <c r="H155" s="456"/>
      <c r="I155" s="456"/>
      <c r="J155" s="456"/>
      <c r="K155" s="456"/>
      <c r="L155" s="456"/>
      <c r="M155" s="456"/>
      <c r="N155" s="456"/>
      <c r="O155" s="456"/>
      <c r="P155" s="456"/>
      <c r="Q155" s="456"/>
      <c r="R155" s="456"/>
      <c r="S155" s="456"/>
      <c r="T155" s="456"/>
      <c r="U155" s="456"/>
      <c r="V155" s="456"/>
      <c r="W155" s="456"/>
      <c r="X155" s="456"/>
      <c r="Y155" s="456"/>
      <c r="Z155" s="456"/>
    </row>
    <row r="156" spans="1:26" ht="11.25" customHeight="1">
      <c r="A156" s="456"/>
      <c r="B156" s="456"/>
      <c r="C156" s="456"/>
      <c r="D156" s="456"/>
      <c r="E156" s="456"/>
      <c r="F156" s="456"/>
      <c r="G156" s="456"/>
      <c r="H156" s="456"/>
      <c r="I156" s="456"/>
      <c r="J156" s="456"/>
      <c r="K156" s="456"/>
      <c r="L156" s="456"/>
      <c r="M156" s="456"/>
      <c r="N156" s="456"/>
      <c r="O156" s="456"/>
      <c r="P156" s="456"/>
      <c r="Q156" s="456"/>
      <c r="R156" s="456"/>
      <c r="S156" s="456"/>
      <c r="T156" s="456"/>
      <c r="U156" s="456"/>
      <c r="V156" s="456"/>
      <c r="W156" s="456"/>
      <c r="X156" s="456"/>
      <c r="Y156" s="456"/>
      <c r="Z156" s="456"/>
    </row>
    <row r="157" spans="1:26" ht="11.25" customHeight="1">
      <c r="A157" s="456"/>
      <c r="B157" s="456"/>
      <c r="C157" s="456"/>
      <c r="D157" s="456"/>
      <c r="E157" s="456"/>
      <c r="F157" s="456"/>
      <c r="G157" s="456"/>
      <c r="H157" s="456"/>
      <c r="I157" s="456"/>
      <c r="J157" s="456"/>
      <c r="K157" s="456"/>
      <c r="L157" s="456"/>
      <c r="M157" s="456"/>
      <c r="N157" s="456"/>
      <c r="O157" s="456"/>
      <c r="P157" s="456"/>
      <c r="Q157" s="456"/>
      <c r="R157" s="456"/>
      <c r="S157" s="456"/>
      <c r="T157" s="456"/>
      <c r="U157" s="456"/>
      <c r="V157" s="456"/>
      <c r="W157" s="456"/>
      <c r="X157" s="456"/>
      <c r="Y157" s="456"/>
      <c r="Z157" s="456"/>
    </row>
    <row r="158" spans="1:26" ht="11.25" customHeight="1">
      <c r="A158" s="456"/>
      <c r="B158" s="456"/>
      <c r="C158" s="456"/>
      <c r="D158" s="456"/>
      <c r="E158" s="456"/>
      <c r="F158" s="456"/>
      <c r="G158" s="456"/>
      <c r="H158" s="456"/>
      <c r="I158" s="456"/>
      <c r="J158" s="456"/>
      <c r="K158" s="456"/>
      <c r="L158" s="456"/>
      <c r="M158" s="456"/>
      <c r="N158" s="456"/>
      <c r="O158" s="456"/>
      <c r="P158" s="456"/>
      <c r="Q158" s="456"/>
      <c r="R158" s="456"/>
      <c r="S158" s="456"/>
      <c r="T158" s="456"/>
      <c r="U158" s="456"/>
      <c r="V158" s="456"/>
      <c r="W158" s="456"/>
      <c r="X158" s="456"/>
      <c r="Y158" s="456"/>
      <c r="Z158" s="456"/>
    </row>
    <row r="159" spans="1:26" ht="11.25" customHeight="1">
      <c r="A159" s="456"/>
      <c r="B159" s="456"/>
      <c r="C159" s="456"/>
      <c r="D159" s="456"/>
      <c r="E159" s="456"/>
      <c r="F159" s="456"/>
      <c r="G159" s="456"/>
      <c r="H159" s="456"/>
      <c r="I159" s="456"/>
      <c r="J159" s="456"/>
      <c r="K159" s="456"/>
      <c r="L159" s="456"/>
      <c r="M159" s="456"/>
      <c r="N159" s="456"/>
      <c r="O159" s="456"/>
      <c r="P159" s="456"/>
      <c r="Q159" s="456"/>
      <c r="R159" s="456"/>
      <c r="S159" s="456"/>
      <c r="T159" s="456"/>
      <c r="U159" s="456"/>
      <c r="V159" s="456"/>
      <c r="W159" s="456"/>
      <c r="X159" s="456"/>
      <c r="Y159" s="456"/>
      <c r="Z159" s="456"/>
    </row>
    <row r="160" spans="1:26" ht="11.25" customHeight="1">
      <c r="A160" s="456"/>
      <c r="B160" s="456"/>
      <c r="C160" s="456"/>
      <c r="D160" s="456"/>
      <c r="E160" s="456"/>
      <c r="F160" s="456"/>
      <c r="G160" s="456"/>
      <c r="H160" s="456"/>
      <c r="I160" s="456"/>
      <c r="J160" s="456"/>
      <c r="K160" s="456"/>
      <c r="L160" s="456"/>
      <c r="M160" s="456"/>
      <c r="N160" s="456"/>
      <c r="O160" s="456"/>
      <c r="P160" s="456"/>
      <c r="Q160" s="456"/>
      <c r="R160" s="456"/>
      <c r="S160" s="456"/>
      <c r="T160" s="456"/>
      <c r="U160" s="456"/>
      <c r="V160" s="456"/>
      <c r="W160" s="456"/>
      <c r="X160" s="456"/>
      <c r="Y160" s="456"/>
      <c r="Z160" s="456"/>
    </row>
    <row r="161" spans="1:26" ht="11.25" customHeight="1">
      <c r="A161" s="456"/>
      <c r="B161" s="456"/>
      <c r="C161" s="456"/>
      <c r="D161" s="456"/>
      <c r="E161" s="456"/>
      <c r="F161" s="456"/>
      <c r="G161" s="456"/>
      <c r="H161" s="456"/>
      <c r="I161" s="456"/>
      <c r="J161" s="456"/>
      <c r="K161" s="456"/>
      <c r="L161" s="456"/>
      <c r="M161" s="456"/>
      <c r="N161" s="456"/>
      <c r="O161" s="456"/>
      <c r="P161" s="456"/>
      <c r="Q161" s="456"/>
      <c r="R161" s="456"/>
      <c r="S161" s="456"/>
      <c r="T161" s="456"/>
      <c r="U161" s="456"/>
      <c r="V161" s="456"/>
      <c r="W161" s="456"/>
      <c r="X161" s="456"/>
      <c r="Y161" s="456"/>
      <c r="Z161" s="456"/>
    </row>
    <row r="162" spans="1:26" ht="11.25" customHeight="1">
      <c r="A162" s="456"/>
      <c r="B162" s="456"/>
      <c r="C162" s="456"/>
      <c r="D162" s="456"/>
      <c r="E162" s="456"/>
      <c r="F162" s="456"/>
      <c r="G162" s="456"/>
      <c r="H162" s="456"/>
      <c r="I162" s="456"/>
      <c r="J162" s="456"/>
      <c r="K162" s="456"/>
      <c r="L162" s="456"/>
      <c r="M162" s="456"/>
      <c r="N162" s="456"/>
      <c r="O162" s="456"/>
      <c r="P162" s="456"/>
      <c r="Q162" s="456"/>
      <c r="R162" s="456"/>
      <c r="S162" s="456"/>
      <c r="T162" s="456"/>
      <c r="U162" s="456"/>
      <c r="V162" s="456"/>
      <c r="W162" s="456"/>
      <c r="X162" s="456"/>
      <c r="Y162" s="456"/>
      <c r="Z162" s="456"/>
    </row>
    <row r="163" spans="1:26" ht="11.25" customHeight="1">
      <c r="A163" s="456"/>
      <c r="B163" s="456"/>
      <c r="C163" s="456"/>
      <c r="D163" s="456"/>
      <c r="E163" s="456"/>
      <c r="F163" s="456"/>
      <c r="G163" s="456"/>
      <c r="H163" s="456"/>
      <c r="I163" s="456"/>
      <c r="J163" s="456"/>
      <c r="K163" s="456"/>
      <c r="L163" s="456"/>
      <c r="M163" s="456"/>
      <c r="N163" s="456"/>
      <c r="O163" s="456"/>
      <c r="P163" s="456"/>
      <c r="Q163" s="456"/>
      <c r="R163" s="456"/>
      <c r="S163" s="456"/>
      <c r="T163" s="456"/>
      <c r="U163" s="456"/>
      <c r="V163" s="456"/>
      <c r="W163" s="456"/>
      <c r="X163" s="456"/>
      <c r="Y163" s="456"/>
      <c r="Z163" s="456"/>
    </row>
    <row r="164" spans="1:26" ht="11.25" customHeight="1">
      <c r="A164" s="456"/>
      <c r="B164" s="456"/>
      <c r="C164" s="456"/>
      <c r="D164" s="456"/>
      <c r="E164" s="456"/>
      <c r="F164" s="456"/>
      <c r="G164" s="456"/>
      <c r="H164" s="456"/>
      <c r="I164" s="456"/>
      <c r="J164" s="456"/>
      <c r="K164" s="456"/>
      <c r="L164" s="456"/>
      <c r="M164" s="456"/>
      <c r="N164" s="456"/>
      <c r="O164" s="456"/>
      <c r="P164" s="456"/>
      <c r="Q164" s="456"/>
      <c r="R164" s="456"/>
      <c r="S164" s="456"/>
      <c r="T164" s="456"/>
      <c r="U164" s="456"/>
      <c r="V164" s="456"/>
      <c r="W164" s="456"/>
      <c r="X164" s="456"/>
      <c r="Y164" s="456"/>
      <c r="Z164" s="456"/>
    </row>
    <row r="165" spans="1:26" ht="11.25" customHeight="1">
      <c r="A165" s="456"/>
      <c r="B165" s="456"/>
      <c r="C165" s="456"/>
      <c r="D165" s="456"/>
      <c r="E165" s="456"/>
      <c r="F165" s="456"/>
      <c r="G165" s="456"/>
      <c r="H165" s="456"/>
      <c r="I165" s="456"/>
      <c r="J165" s="456"/>
      <c r="K165" s="456"/>
      <c r="L165" s="456"/>
      <c r="M165" s="456"/>
      <c r="N165" s="456"/>
      <c r="O165" s="456"/>
      <c r="P165" s="456"/>
      <c r="Q165" s="456"/>
      <c r="R165" s="456"/>
      <c r="S165" s="456"/>
      <c r="T165" s="456"/>
      <c r="U165" s="456"/>
      <c r="V165" s="456"/>
      <c r="W165" s="456"/>
      <c r="X165" s="456"/>
      <c r="Y165" s="456"/>
      <c r="Z165" s="456"/>
    </row>
    <row r="166" spans="1:26" ht="11.25" customHeight="1">
      <c r="A166" s="456"/>
      <c r="B166" s="456"/>
      <c r="C166" s="456"/>
      <c r="D166" s="456"/>
      <c r="E166" s="456"/>
      <c r="F166" s="456"/>
      <c r="G166" s="456"/>
      <c r="H166" s="456"/>
      <c r="I166" s="456"/>
      <c r="J166" s="456"/>
      <c r="K166" s="456"/>
      <c r="L166" s="456"/>
      <c r="M166" s="456"/>
      <c r="N166" s="456"/>
      <c r="O166" s="456"/>
      <c r="P166" s="456"/>
      <c r="Q166" s="456"/>
      <c r="R166" s="456"/>
      <c r="S166" s="456"/>
      <c r="T166" s="456"/>
      <c r="U166" s="456"/>
      <c r="V166" s="456"/>
      <c r="W166" s="456"/>
      <c r="X166" s="456"/>
      <c r="Y166" s="456"/>
      <c r="Z166" s="456"/>
    </row>
    <row r="167" spans="1:26" ht="11.25" customHeight="1">
      <c r="A167" s="456"/>
      <c r="B167" s="456"/>
      <c r="C167" s="456"/>
      <c r="D167" s="456"/>
      <c r="E167" s="456"/>
      <c r="F167" s="456"/>
      <c r="G167" s="456"/>
      <c r="H167" s="456"/>
      <c r="I167" s="456"/>
      <c r="J167" s="456"/>
      <c r="K167" s="456"/>
      <c r="L167" s="456"/>
      <c r="M167" s="456"/>
      <c r="N167" s="456"/>
      <c r="O167" s="456"/>
      <c r="P167" s="456"/>
      <c r="Q167" s="456"/>
      <c r="R167" s="456"/>
      <c r="S167" s="456"/>
      <c r="T167" s="456"/>
      <c r="U167" s="456"/>
      <c r="V167" s="456"/>
      <c r="W167" s="456"/>
      <c r="X167" s="456"/>
      <c r="Y167" s="456"/>
      <c r="Z167" s="456"/>
    </row>
    <row r="168" spans="1:26" ht="11.25" customHeight="1">
      <c r="A168" s="456"/>
      <c r="B168" s="456"/>
      <c r="C168" s="456"/>
      <c r="D168" s="456"/>
      <c r="E168" s="456"/>
      <c r="F168" s="456"/>
      <c r="G168" s="456"/>
      <c r="H168" s="456"/>
      <c r="I168" s="456"/>
      <c r="J168" s="456"/>
      <c r="K168" s="456"/>
      <c r="L168" s="456"/>
      <c r="M168" s="456"/>
      <c r="N168" s="456"/>
      <c r="O168" s="456"/>
      <c r="P168" s="456"/>
      <c r="Q168" s="456"/>
      <c r="R168" s="456"/>
      <c r="S168" s="456"/>
      <c r="T168" s="456"/>
      <c r="U168" s="456"/>
      <c r="V168" s="456"/>
      <c r="W168" s="456"/>
      <c r="X168" s="456"/>
      <c r="Y168" s="456"/>
      <c r="Z168" s="456"/>
    </row>
    <row r="169" spans="1:26" ht="11.25" customHeight="1">
      <c r="A169" s="456"/>
      <c r="B169" s="456"/>
      <c r="C169" s="456"/>
      <c r="D169" s="456"/>
      <c r="E169" s="456"/>
      <c r="F169" s="456"/>
      <c r="G169" s="456"/>
      <c r="H169" s="456"/>
      <c r="I169" s="456"/>
      <c r="J169" s="456"/>
      <c r="K169" s="456"/>
      <c r="L169" s="456"/>
      <c r="M169" s="456"/>
      <c r="N169" s="456"/>
      <c r="O169" s="456"/>
      <c r="P169" s="456"/>
      <c r="Q169" s="456"/>
      <c r="R169" s="456"/>
      <c r="S169" s="456"/>
      <c r="T169" s="456"/>
      <c r="U169" s="456"/>
      <c r="V169" s="456"/>
      <c r="W169" s="456"/>
      <c r="X169" s="456"/>
      <c r="Y169" s="456"/>
      <c r="Z169" s="456"/>
    </row>
    <row r="170" spans="1:26" ht="11.25" customHeight="1">
      <c r="A170" s="456"/>
      <c r="B170" s="456"/>
      <c r="C170" s="456"/>
      <c r="D170" s="456"/>
      <c r="E170" s="456"/>
      <c r="F170" s="456"/>
      <c r="G170" s="456"/>
      <c r="H170" s="456"/>
      <c r="I170" s="456"/>
      <c r="J170" s="456"/>
      <c r="K170" s="456"/>
      <c r="L170" s="456"/>
      <c r="M170" s="456"/>
      <c r="N170" s="456"/>
      <c r="O170" s="456"/>
      <c r="P170" s="456"/>
      <c r="Q170" s="456"/>
      <c r="R170" s="456"/>
      <c r="S170" s="456"/>
      <c r="T170" s="456"/>
      <c r="U170" s="456"/>
      <c r="V170" s="456"/>
      <c r="W170" s="456"/>
      <c r="X170" s="456"/>
      <c r="Y170" s="456"/>
      <c r="Z170" s="456"/>
    </row>
    <row r="171" spans="1:26" ht="11.25" customHeight="1">
      <c r="A171" s="456"/>
      <c r="B171" s="456"/>
      <c r="C171" s="456"/>
      <c r="D171" s="456"/>
      <c r="E171" s="456"/>
      <c r="F171" s="456"/>
      <c r="G171" s="456"/>
      <c r="H171" s="456"/>
      <c r="I171" s="456"/>
      <c r="J171" s="456"/>
      <c r="K171" s="456"/>
      <c r="L171" s="456"/>
      <c r="M171" s="456"/>
      <c r="N171" s="456"/>
      <c r="O171" s="456"/>
      <c r="P171" s="456"/>
      <c r="Q171" s="456"/>
      <c r="R171" s="456"/>
      <c r="S171" s="456"/>
      <c r="T171" s="456"/>
      <c r="U171" s="456"/>
      <c r="V171" s="456"/>
      <c r="W171" s="456"/>
      <c r="X171" s="456"/>
      <c r="Y171" s="456"/>
      <c r="Z171" s="456"/>
    </row>
    <row r="172" spans="1:26" ht="11.25" customHeight="1">
      <c r="A172" s="456"/>
      <c r="B172" s="456"/>
      <c r="C172" s="456"/>
      <c r="D172" s="456"/>
      <c r="E172" s="456"/>
      <c r="F172" s="456"/>
      <c r="G172" s="456"/>
      <c r="H172" s="456"/>
      <c r="I172" s="456"/>
      <c r="J172" s="456"/>
      <c r="K172" s="456"/>
      <c r="L172" s="456"/>
      <c r="M172" s="456"/>
      <c r="N172" s="456"/>
      <c r="O172" s="456"/>
      <c r="P172" s="456"/>
      <c r="Q172" s="456"/>
      <c r="R172" s="456"/>
      <c r="S172" s="456"/>
      <c r="T172" s="456"/>
      <c r="U172" s="456"/>
      <c r="V172" s="456"/>
      <c r="W172" s="456"/>
      <c r="X172" s="456"/>
      <c r="Y172" s="456"/>
      <c r="Z172" s="456"/>
    </row>
    <row r="173" spans="1:26" ht="11.25" customHeight="1">
      <c r="A173" s="456"/>
      <c r="B173" s="456"/>
      <c r="C173" s="456"/>
      <c r="D173" s="456"/>
      <c r="E173" s="456"/>
      <c r="F173" s="456"/>
      <c r="G173" s="456"/>
      <c r="H173" s="456"/>
      <c r="I173" s="456"/>
      <c r="J173" s="456"/>
      <c r="K173" s="456"/>
      <c r="L173" s="456"/>
      <c r="M173" s="456"/>
      <c r="N173" s="456"/>
      <c r="O173" s="456"/>
      <c r="P173" s="456"/>
      <c r="Q173" s="456"/>
      <c r="R173" s="456"/>
      <c r="S173" s="456"/>
      <c r="T173" s="456"/>
      <c r="U173" s="456"/>
      <c r="V173" s="456"/>
      <c r="W173" s="456"/>
      <c r="X173" s="456"/>
      <c r="Y173" s="456"/>
      <c r="Z173" s="456"/>
    </row>
    <row r="174" spans="1:26" ht="11.25" customHeight="1">
      <c r="A174" s="456"/>
      <c r="B174" s="456"/>
      <c r="C174" s="456"/>
      <c r="D174" s="456"/>
      <c r="E174" s="456"/>
      <c r="F174" s="456"/>
      <c r="G174" s="456"/>
      <c r="H174" s="456"/>
      <c r="I174" s="456"/>
      <c r="J174" s="456"/>
      <c r="K174" s="456"/>
      <c r="L174" s="456"/>
      <c r="M174" s="456"/>
      <c r="N174" s="456"/>
      <c r="O174" s="456"/>
      <c r="P174" s="456"/>
      <c r="Q174" s="456"/>
      <c r="R174" s="456"/>
      <c r="S174" s="456"/>
      <c r="T174" s="456"/>
      <c r="U174" s="456"/>
      <c r="V174" s="456"/>
      <c r="W174" s="456"/>
      <c r="X174" s="456"/>
      <c r="Y174" s="456"/>
      <c r="Z174" s="456"/>
    </row>
    <row r="175" spans="1:26" ht="11.25" customHeight="1">
      <c r="A175" s="456"/>
      <c r="B175" s="456"/>
      <c r="C175" s="456"/>
      <c r="D175" s="456"/>
      <c r="E175" s="456"/>
      <c r="F175" s="456"/>
      <c r="G175" s="456"/>
      <c r="H175" s="456"/>
      <c r="I175" s="456"/>
      <c r="J175" s="456"/>
      <c r="K175" s="456"/>
      <c r="L175" s="456"/>
      <c r="M175" s="456"/>
      <c r="N175" s="456"/>
      <c r="O175" s="456"/>
      <c r="P175" s="456"/>
      <c r="Q175" s="456"/>
      <c r="R175" s="456"/>
      <c r="S175" s="456"/>
      <c r="T175" s="456"/>
      <c r="U175" s="456"/>
      <c r="V175" s="456"/>
      <c r="W175" s="456"/>
      <c r="X175" s="456"/>
      <c r="Y175" s="456"/>
      <c r="Z175" s="456"/>
    </row>
    <row r="176" spans="1:26" ht="11.25" customHeight="1">
      <c r="A176" s="456"/>
      <c r="B176" s="456"/>
      <c r="C176" s="456"/>
      <c r="D176" s="456"/>
      <c r="E176" s="456"/>
      <c r="F176" s="456"/>
      <c r="G176" s="456"/>
      <c r="H176" s="456"/>
      <c r="I176" s="456"/>
      <c r="J176" s="456"/>
      <c r="K176" s="456"/>
      <c r="L176" s="456"/>
      <c r="M176" s="456"/>
      <c r="N176" s="456"/>
      <c r="O176" s="456"/>
      <c r="P176" s="456"/>
      <c r="Q176" s="456"/>
      <c r="R176" s="456"/>
      <c r="S176" s="456"/>
      <c r="T176" s="456"/>
      <c r="U176" s="456"/>
      <c r="V176" s="456"/>
      <c r="W176" s="456"/>
      <c r="X176" s="456"/>
      <c r="Y176" s="456"/>
      <c r="Z176" s="456"/>
    </row>
    <row r="177" spans="1:26" ht="11.25" customHeight="1">
      <c r="A177" s="456"/>
      <c r="B177" s="456"/>
      <c r="C177" s="456"/>
      <c r="D177" s="456"/>
      <c r="E177" s="456"/>
      <c r="F177" s="456"/>
      <c r="G177" s="456"/>
      <c r="H177" s="456"/>
      <c r="I177" s="456"/>
      <c r="J177" s="456"/>
      <c r="K177" s="456"/>
      <c r="L177" s="456"/>
      <c r="M177" s="456"/>
      <c r="N177" s="456"/>
      <c r="O177" s="456"/>
      <c r="P177" s="456"/>
      <c r="Q177" s="456"/>
      <c r="R177" s="456"/>
      <c r="S177" s="456"/>
      <c r="T177" s="456"/>
      <c r="U177" s="456"/>
      <c r="V177" s="456"/>
      <c r="W177" s="456"/>
      <c r="X177" s="456"/>
      <c r="Y177" s="456"/>
      <c r="Z177" s="456"/>
    </row>
    <row r="178" spans="1:26" ht="11.25" customHeight="1">
      <c r="A178" s="456"/>
      <c r="B178" s="456"/>
      <c r="C178" s="456"/>
      <c r="D178" s="456"/>
      <c r="E178" s="456"/>
      <c r="F178" s="456"/>
      <c r="G178" s="456"/>
      <c r="H178" s="456"/>
      <c r="I178" s="456"/>
      <c r="J178" s="456"/>
      <c r="K178" s="456"/>
      <c r="L178" s="456"/>
      <c r="M178" s="456"/>
      <c r="N178" s="456"/>
      <c r="O178" s="456"/>
      <c r="P178" s="456"/>
      <c r="Q178" s="456"/>
      <c r="R178" s="456"/>
      <c r="S178" s="456"/>
      <c r="T178" s="456"/>
      <c r="U178" s="456"/>
      <c r="V178" s="456"/>
      <c r="W178" s="456"/>
      <c r="X178" s="456"/>
      <c r="Y178" s="456"/>
      <c r="Z178" s="456"/>
    </row>
    <row r="179" spans="1:26" ht="11.25" customHeight="1">
      <c r="A179" s="456"/>
      <c r="B179" s="456"/>
      <c r="C179" s="456"/>
      <c r="D179" s="456"/>
      <c r="E179" s="456"/>
      <c r="F179" s="456"/>
      <c r="G179" s="456"/>
      <c r="H179" s="456"/>
      <c r="I179" s="456"/>
      <c r="J179" s="456"/>
      <c r="K179" s="456"/>
      <c r="L179" s="456"/>
      <c r="M179" s="456"/>
      <c r="N179" s="456"/>
      <c r="O179" s="456"/>
      <c r="P179" s="456"/>
      <c r="Q179" s="456"/>
      <c r="R179" s="456"/>
      <c r="S179" s="456"/>
      <c r="T179" s="456"/>
      <c r="U179" s="456"/>
      <c r="V179" s="456"/>
      <c r="W179" s="456"/>
      <c r="X179" s="456"/>
      <c r="Y179" s="456"/>
      <c r="Z179" s="456"/>
    </row>
    <row r="180" spans="1:26" ht="11.25" customHeight="1">
      <c r="A180" s="456"/>
      <c r="B180" s="456"/>
      <c r="C180" s="456"/>
      <c r="D180" s="456"/>
      <c r="E180" s="456"/>
      <c r="F180" s="456"/>
      <c r="G180" s="456"/>
      <c r="H180" s="456"/>
      <c r="I180" s="456"/>
      <c r="J180" s="456"/>
      <c r="K180" s="456"/>
      <c r="L180" s="456"/>
      <c r="M180" s="456"/>
      <c r="N180" s="456"/>
      <c r="O180" s="456"/>
      <c r="P180" s="456"/>
      <c r="Q180" s="456"/>
      <c r="R180" s="456"/>
      <c r="S180" s="456"/>
      <c r="T180" s="456"/>
      <c r="U180" s="456"/>
      <c r="V180" s="456"/>
      <c r="W180" s="456"/>
      <c r="X180" s="456"/>
      <c r="Y180" s="456"/>
      <c r="Z180" s="456"/>
    </row>
    <row r="181" spans="1:26" ht="11.25" customHeight="1">
      <c r="A181" s="456"/>
      <c r="B181" s="456"/>
      <c r="C181" s="456"/>
      <c r="D181" s="456"/>
      <c r="E181" s="456"/>
      <c r="F181" s="456"/>
      <c r="G181" s="456"/>
      <c r="H181" s="456"/>
      <c r="I181" s="456"/>
      <c r="J181" s="456"/>
      <c r="K181" s="456"/>
      <c r="L181" s="456"/>
      <c r="M181" s="456"/>
      <c r="N181" s="456"/>
      <c r="O181" s="456"/>
      <c r="P181" s="456"/>
      <c r="Q181" s="456"/>
      <c r="R181" s="456"/>
      <c r="S181" s="456"/>
      <c r="T181" s="456"/>
      <c r="U181" s="456"/>
      <c r="V181" s="456"/>
      <c r="W181" s="456"/>
      <c r="X181" s="456"/>
      <c r="Y181" s="456"/>
      <c r="Z181" s="456"/>
    </row>
    <row r="182" spans="1:26" ht="11.25" customHeight="1">
      <c r="A182" s="456"/>
      <c r="B182" s="456"/>
      <c r="C182" s="456"/>
      <c r="D182" s="456"/>
      <c r="E182" s="456"/>
      <c r="F182" s="456"/>
      <c r="G182" s="456"/>
      <c r="H182" s="456"/>
      <c r="I182" s="456"/>
      <c r="J182" s="456"/>
      <c r="K182" s="456"/>
      <c r="L182" s="456"/>
      <c r="M182" s="456"/>
      <c r="N182" s="456"/>
      <c r="O182" s="456"/>
      <c r="P182" s="456"/>
      <c r="Q182" s="456"/>
      <c r="R182" s="456"/>
      <c r="S182" s="456"/>
      <c r="T182" s="456"/>
      <c r="U182" s="456"/>
      <c r="V182" s="456"/>
      <c r="W182" s="456"/>
      <c r="X182" s="456"/>
      <c r="Y182" s="456"/>
      <c r="Z182" s="456"/>
    </row>
    <row r="183" spans="1:26" ht="11.25" customHeight="1">
      <c r="A183" s="456"/>
      <c r="B183" s="456"/>
      <c r="C183" s="456"/>
      <c r="D183" s="456"/>
      <c r="E183" s="456"/>
      <c r="F183" s="456"/>
      <c r="G183" s="456"/>
      <c r="H183" s="456"/>
      <c r="I183" s="456"/>
      <c r="J183" s="456"/>
      <c r="K183" s="456"/>
      <c r="L183" s="456"/>
      <c r="M183" s="456"/>
      <c r="N183" s="456"/>
      <c r="O183" s="456"/>
      <c r="P183" s="456"/>
      <c r="Q183" s="456"/>
      <c r="R183" s="456"/>
      <c r="S183" s="456"/>
      <c r="T183" s="456"/>
      <c r="U183" s="456"/>
      <c r="V183" s="456"/>
      <c r="W183" s="456"/>
      <c r="X183" s="456"/>
      <c r="Y183" s="456"/>
      <c r="Z183" s="456"/>
    </row>
    <row r="184" spans="1:26" ht="11.25" customHeight="1">
      <c r="A184" s="456"/>
      <c r="B184" s="456"/>
      <c r="C184" s="456"/>
      <c r="D184" s="456"/>
      <c r="E184" s="456"/>
      <c r="F184" s="456"/>
      <c r="G184" s="456"/>
      <c r="H184" s="456"/>
      <c r="I184" s="456"/>
      <c r="J184" s="456"/>
      <c r="K184" s="456"/>
      <c r="L184" s="456"/>
      <c r="M184" s="456"/>
      <c r="N184" s="456"/>
      <c r="O184" s="456"/>
      <c r="P184" s="456"/>
      <c r="Q184" s="456"/>
      <c r="R184" s="456"/>
      <c r="S184" s="456"/>
      <c r="T184" s="456"/>
      <c r="U184" s="456"/>
      <c r="V184" s="456"/>
      <c r="W184" s="456"/>
      <c r="X184" s="456"/>
      <c r="Y184" s="456"/>
      <c r="Z184" s="456"/>
    </row>
    <row r="185" spans="1:26" ht="11.25" customHeight="1">
      <c r="A185" s="456"/>
      <c r="B185" s="456"/>
      <c r="C185" s="456"/>
      <c r="D185" s="456"/>
      <c r="E185" s="456"/>
      <c r="F185" s="456"/>
      <c r="G185" s="456"/>
      <c r="H185" s="456"/>
      <c r="I185" s="456"/>
      <c r="J185" s="456"/>
      <c r="K185" s="456"/>
      <c r="L185" s="456"/>
      <c r="M185" s="456"/>
      <c r="N185" s="456"/>
      <c r="O185" s="456"/>
      <c r="P185" s="456"/>
      <c r="Q185" s="456"/>
      <c r="R185" s="456"/>
      <c r="S185" s="456"/>
      <c r="T185" s="456"/>
      <c r="U185" s="456"/>
      <c r="V185" s="456"/>
      <c r="W185" s="456"/>
      <c r="X185" s="456"/>
      <c r="Y185" s="456"/>
      <c r="Z185" s="456"/>
    </row>
    <row r="186" spans="1:26" ht="11.25" customHeight="1">
      <c r="A186" s="456"/>
      <c r="B186" s="456"/>
      <c r="C186" s="456"/>
      <c r="D186" s="456"/>
      <c r="E186" s="456"/>
      <c r="F186" s="456"/>
      <c r="G186" s="456"/>
      <c r="H186" s="456"/>
      <c r="I186" s="456"/>
      <c r="J186" s="456"/>
      <c r="K186" s="456"/>
      <c r="L186" s="456"/>
      <c r="M186" s="456"/>
      <c r="N186" s="456"/>
      <c r="O186" s="456"/>
      <c r="P186" s="456"/>
      <c r="Q186" s="456"/>
      <c r="R186" s="456"/>
      <c r="S186" s="456"/>
      <c r="T186" s="456"/>
      <c r="U186" s="456"/>
      <c r="V186" s="456"/>
      <c r="W186" s="456"/>
      <c r="X186" s="456"/>
      <c r="Y186" s="456"/>
      <c r="Z186" s="456"/>
    </row>
    <row r="187" spans="1:26" ht="11.25" customHeight="1">
      <c r="A187" s="456"/>
      <c r="B187" s="456"/>
      <c r="C187" s="456"/>
      <c r="D187" s="456"/>
      <c r="E187" s="456"/>
      <c r="F187" s="456"/>
      <c r="G187" s="456"/>
      <c r="H187" s="456"/>
      <c r="I187" s="456"/>
      <c r="J187" s="456"/>
      <c r="K187" s="456"/>
      <c r="L187" s="456"/>
      <c r="M187" s="456"/>
      <c r="N187" s="456"/>
      <c r="O187" s="456"/>
      <c r="P187" s="456"/>
      <c r="Q187" s="456"/>
      <c r="R187" s="456"/>
      <c r="S187" s="456"/>
      <c r="T187" s="456"/>
      <c r="U187" s="456"/>
      <c r="V187" s="456"/>
      <c r="W187" s="456"/>
      <c r="X187" s="456"/>
      <c r="Y187" s="456"/>
      <c r="Z187" s="456"/>
    </row>
    <row r="188" spans="1:26" ht="11.25" customHeight="1">
      <c r="A188" s="456"/>
      <c r="B188" s="456"/>
      <c r="C188" s="456"/>
      <c r="D188" s="456"/>
      <c r="E188" s="456"/>
      <c r="F188" s="456"/>
      <c r="G188" s="456"/>
      <c r="H188" s="456"/>
      <c r="I188" s="456"/>
      <c r="J188" s="456"/>
      <c r="K188" s="456"/>
      <c r="L188" s="456"/>
      <c r="M188" s="456"/>
      <c r="N188" s="456"/>
      <c r="O188" s="456"/>
      <c r="P188" s="456"/>
      <c r="Q188" s="456"/>
      <c r="R188" s="456"/>
      <c r="S188" s="456"/>
      <c r="T188" s="456"/>
      <c r="U188" s="456"/>
      <c r="V188" s="456"/>
      <c r="W188" s="456"/>
      <c r="X188" s="456"/>
      <c r="Y188" s="456"/>
      <c r="Z188" s="456"/>
    </row>
    <row r="189" spans="1:26" ht="11.25" customHeight="1">
      <c r="A189" s="456"/>
      <c r="B189" s="456"/>
      <c r="C189" s="456"/>
      <c r="D189" s="456"/>
      <c r="E189" s="456"/>
      <c r="F189" s="456"/>
      <c r="G189" s="456"/>
      <c r="H189" s="456"/>
      <c r="I189" s="456"/>
      <c r="J189" s="456"/>
      <c r="K189" s="456"/>
      <c r="L189" s="456"/>
      <c r="M189" s="456"/>
      <c r="N189" s="456"/>
      <c r="O189" s="456"/>
      <c r="P189" s="456"/>
      <c r="Q189" s="456"/>
      <c r="R189" s="456"/>
      <c r="S189" s="456"/>
      <c r="T189" s="456"/>
      <c r="U189" s="456"/>
      <c r="V189" s="456"/>
      <c r="W189" s="456"/>
      <c r="X189" s="456"/>
      <c r="Y189" s="456"/>
      <c r="Z189" s="456"/>
    </row>
    <row r="190" spans="1:26" ht="11.25" customHeight="1">
      <c r="A190" s="456"/>
      <c r="B190" s="456"/>
      <c r="C190" s="456"/>
      <c r="D190" s="456"/>
      <c r="E190" s="456"/>
      <c r="F190" s="456"/>
      <c r="G190" s="456"/>
      <c r="H190" s="456"/>
      <c r="I190" s="456"/>
      <c r="J190" s="456"/>
      <c r="K190" s="456"/>
      <c r="L190" s="456"/>
      <c r="M190" s="456"/>
      <c r="N190" s="456"/>
      <c r="O190" s="456"/>
      <c r="P190" s="456"/>
      <c r="Q190" s="456"/>
      <c r="R190" s="456"/>
      <c r="S190" s="456"/>
      <c r="T190" s="456"/>
      <c r="U190" s="456"/>
      <c r="V190" s="456"/>
      <c r="W190" s="456"/>
      <c r="X190" s="456"/>
      <c r="Y190" s="456"/>
      <c r="Z190" s="456"/>
    </row>
    <row r="191" spans="1:26" ht="11.25" customHeight="1">
      <c r="A191" s="456"/>
      <c r="B191" s="456"/>
      <c r="C191" s="456"/>
      <c r="D191" s="456"/>
      <c r="E191" s="456"/>
      <c r="F191" s="456"/>
      <c r="G191" s="456"/>
      <c r="H191" s="456"/>
      <c r="I191" s="456"/>
      <c r="J191" s="456"/>
      <c r="K191" s="456"/>
      <c r="L191" s="456"/>
      <c r="M191" s="456"/>
      <c r="N191" s="456"/>
      <c r="O191" s="456"/>
      <c r="P191" s="456"/>
      <c r="Q191" s="456"/>
      <c r="R191" s="456"/>
      <c r="S191" s="456"/>
      <c r="T191" s="456"/>
      <c r="U191" s="456"/>
      <c r="V191" s="456"/>
      <c r="W191" s="456"/>
      <c r="X191" s="456"/>
      <c r="Y191" s="456"/>
      <c r="Z191" s="456"/>
    </row>
    <row r="192" spans="1:26" ht="11.25" customHeight="1">
      <c r="A192" s="456"/>
      <c r="B192" s="456"/>
      <c r="C192" s="456"/>
      <c r="D192" s="456"/>
      <c r="E192" s="456"/>
      <c r="F192" s="456"/>
      <c r="G192" s="456"/>
      <c r="H192" s="456"/>
      <c r="I192" s="456"/>
      <c r="J192" s="456"/>
      <c r="K192" s="456"/>
      <c r="L192" s="456"/>
      <c r="M192" s="456"/>
      <c r="N192" s="456"/>
      <c r="O192" s="456"/>
      <c r="P192" s="456"/>
      <c r="Q192" s="456"/>
      <c r="R192" s="456"/>
      <c r="S192" s="456"/>
      <c r="T192" s="456"/>
      <c r="U192" s="456"/>
      <c r="V192" s="456"/>
      <c r="W192" s="456"/>
      <c r="X192" s="456"/>
      <c r="Y192" s="456"/>
      <c r="Z192" s="456"/>
    </row>
    <row r="193" spans="1:26" ht="11.25" customHeight="1">
      <c r="A193" s="456"/>
      <c r="B193" s="456"/>
      <c r="C193" s="456"/>
      <c r="D193" s="456"/>
      <c r="E193" s="456"/>
      <c r="F193" s="456"/>
      <c r="G193" s="456"/>
      <c r="H193" s="456"/>
      <c r="I193" s="456"/>
      <c r="J193" s="456"/>
      <c r="K193" s="456"/>
      <c r="L193" s="456"/>
      <c r="M193" s="456"/>
      <c r="N193" s="456"/>
      <c r="O193" s="456"/>
      <c r="P193" s="456"/>
      <c r="Q193" s="456"/>
      <c r="R193" s="456"/>
      <c r="S193" s="456"/>
      <c r="T193" s="456"/>
      <c r="U193" s="456"/>
      <c r="V193" s="456"/>
      <c r="W193" s="456"/>
      <c r="X193" s="456"/>
      <c r="Y193" s="456"/>
      <c r="Z193" s="456"/>
    </row>
    <row r="194" spans="1:26" ht="11.25" customHeight="1">
      <c r="A194" s="456"/>
      <c r="B194" s="456"/>
      <c r="C194" s="456"/>
      <c r="D194" s="456"/>
      <c r="E194" s="456"/>
      <c r="F194" s="456"/>
      <c r="G194" s="456"/>
      <c r="H194" s="456"/>
      <c r="I194" s="456"/>
      <c r="J194" s="456"/>
      <c r="K194" s="456"/>
      <c r="L194" s="456"/>
      <c r="M194" s="456"/>
      <c r="N194" s="456"/>
      <c r="O194" s="456"/>
      <c r="P194" s="456"/>
      <c r="Q194" s="456"/>
      <c r="R194" s="456"/>
      <c r="S194" s="456"/>
      <c r="T194" s="456"/>
      <c r="U194" s="456"/>
      <c r="V194" s="456"/>
      <c r="W194" s="456"/>
      <c r="X194" s="456"/>
      <c r="Y194" s="456"/>
      <c r="Z194" s="456"/>
    </row>
    <row r="195" spans="1:26" ht="11.25" customHeight="1">
      <c r="A195" s="456"/>
      <c r="B195" s="456"/>
      <c r="C195" s="456"/>
      <c r="D195" s="456"/>
      <c r="E195" s="456"/>
      <c r="F195" s="456"/>
      <c r="G195" s="456"/>
      <c r="H195" s="456"/>
      <c r="I195" s="456"/>
      <c r="J195" s="456"/>
      <c r="K195" s="456"/>
      <c r="L195" s="456"/>
      <c r="M195" s="456"/>
      <c r="N195" s="456"/>
      <c r="O195" s="456"/>
      <c r="P195" s="456"/>
      <c r="Q195" s="456"/>
      <c r="R195" s="456"/>
      <c r="S195" s="456"/>
      <c r="T195" s="456"/>
      <c r="U195" s="456"/>
      <c r="V195" s="456"/>
      <c r="W195" s="456"/>
      <c r="X195" s="456"/>
      <c r="Y195" s="456"/>
      <c r="Z195" s="456"/>
    </row>
    <row r="196" spans="1:26" ht="11.25" customHeight="1">
      <c r="A196" s="456"/>
      <c r="B196" s="456"/>
      <c r="C196" s="456"/>
      <c r="D196" s="456"/>
      <c r="E196" s="456"/>
      <c r="F196" s="456"/>
      <c r="G196" s="456"/>
      <c r="H196" s="456"/>
      <c r="I196" s="456"/>
      <c r="J196" s="456"/>
      <c r="K196" s="456"/>
      <c r="L196" s="456"/>
      <c r="M196" s="456"/>
      <c r="N196" s="456"/>
      <c r="O196" s="456"/>
      <c r="P196" s="456"/>
      <c r="Q196" s="456"/>
      <c r="R196" s="456"/>
      <c r="S196" s="456"/>
      <c r="T196" s="456"/>
      <c r="U196" s="456"/>
      <c r="V196" s="456"/>
      <c r="W196" s="456"/>
      <c r="X196" s="456"/>
      <c r="Y196" s="456"/>
      <c r="Z196" s="456"/>
    </row>
    <row r="197" spans="1:26" ht="11.25" customHeight="1">
      <c r="A197" s="456"/>
      <c r="B197" s="456"/>
      <c r="C197" s="456"/>
      <c r="D197" s="456"/>
      <c r="E197" s="456"/>
      <c r="F197" s="456"/>
      <c r="G197" s="456"/>
      <c r="H197" s="456"/>
      <c r="I197" s="456"/>
      <c r="J197" s="456"/>
      <c r="K197" s="456"/>
      <c r="L197" s="456"/>
      <c r="M197" s="456"/>
      <c r="N197" s="456"/>
      <c r="O197" s="456"/>
      <c r="P197" s="456"/>
      <c r="Q197" s="456"/>
      <c r="R197" s="456"/>
      <c r="S197" s="456"/>
      <c r="T197" s="456"/>
      <c r="U197" s="456"/>
      <c r="V197" s="456"/>
      <c r="W197" s="456"/>
      <c r="X197" s="456"/>
      <c r="Y197" s="456"/>
      <c r="Z197" s="456"/>
    </row>
    <row r="198" spans="1:26" ht="11.25" customHeight="1">
      <c r="A198" s="456"/>
      <c r="B198" s="456"/>
      <c r="C198" s="456"/>
      <c r="D198" s="456"/>
      <c r="E198" s="456"/>
      <c r="F198" s="456"/>
      <c r="G198" s="456"/>
      <c r="H198" s="456"/>
      <c r="I198" s="456"/>
      <c r="J198" s="456"/>
      <c r="K198" s="456"/>
      <c r="L198" s="456"/>
      <c r="M198" s="456"/>
      <c r="N198" s="456"/>
      <c r="O198" s="456"/>
      <c r="P198" s="456"/>
      <c r="Q198" s="456"/>
      <c r="R198" s="456"/>
      <c r="S198" s="456"/>
      <c r="T198" s="456"/>
      <c r="U198" s="456"/>
      <c r="V198" s="456"/>
      <c r="W198" s="456"/>
      <c r="X198" s="456"/>
      <c r="Y198" s="456"/>
      <c r="Z198" s="456"/>
    </row>
    <row r="199" spans="1:26" ht="11.25" customHeight="1">
      <c r="A199" s="456"/>
      <c r="B199" s="456"/>
      <c r="C199" s="456"/>
      <c r="D199" s="456"/>
      <c r="E199" s="456"/>
      <c r="F199" s="456"/>
      <c r="G199" s="456"/>
      <c r="H199" s="456"/>
      <c r="I199" s="456"/>
      <c r="J199" s="456"/>
      <c r="K199" s="456"/>
      <c r="L199" s="456"/>
      <c r="M199" s="456"/>
      <c r="N199" s="456"/>
      <c r="O199" s="456"/>
      <c r="P199" s="456"/>
      <c r="Q199" s="456"/>
      <c r="R199" s="456"/>
      <c r="S199" s="456"/>
      <c r="T199" s="456"/>
      <c r="U199" s="456"/>
      <c r="V199" s="456"/>
      <c r="W199" s="456"/>
      <c r="X199" s="456"/>
      <c r="Y199" s="456"/>
      <c r="Z199" s="456"/>
    </row>
    <row r="200" spans="1:26" ht="11.25" customHeight="1">
      <c r="A200" s="456"/>
      <c r="B200" s="456"/>
      <c r="C200" s="456"/>
      <c r="D200" s="456"/>
      <c r="E200" s="456"/>
      <c r="F200" s="456"/>
      <c r="G200" s="456"/>
      <c r="H200" s="456"/>
      <c r="I200" s="456"/>
      <c r="J200" s="456"/>
      <c r="K200" s="456"/>
      <c r="L200" s="456"/>
      <c r="M200" s="456"/>
      <c r="N200" s="456"/>
      <c r="O200" s="456"/>
      <c r="P200" s="456"/>
      <c r="Q200" s="456"/>
      <c r="R200" s="456"/>
      <c r="S200" s="456"/>
      <c r="T200" s="456"/>
      <c r="U200" s="456"/>
      <c r="V200" s="456"/>
      <c r="W200" s="456"/>
      <c r="X200" s="456"/>
      <c r="Y200" s="456"/>
      <c r="Z200" s="456"/>
    </row>
    <row r="201" spans="1:26" ht="11.25" customHeight="1">
      <c r="A201" s="456"/>
      <c r="B201" s="456"/>
      <c r="C201" s="456"/>
      <c r="D201" s="456"/>
      <c r="E201" s="456"/>
      <c r="F201" s="456"/>
      <c r="G201" s="456"/>
      <c r="H201" s="456"/>
      <c r="I201" s="456"/>
      <c r="J201" s="456"/>
      <c r="K201" s="456"/>
      <c r="L201" s="456"/>
      <c r="M201" s="456"/>
      <c r="N201" s="456"/>
      <c r="O201" s="456"/>
      <c r="P201" s="456"/>
      <c r="Q201" s="456"/>
      <c r="R201" s="456"/>
      <c r="S201" s="456"/>
      <c r="T201" s="456"/>
      <c r="U201" s="456"/>
      <c r="V201" s="456"/>
      <c r="W201" s="456"/>
      <c r="X201" s="456"/>
      <c r="Y201" s="456"/>
      <c r="Z201" s="456"/>
    </row>
    <row r="202" spans="1:26" ht="11.25" customHeight="1">
      <c r="A202" s="456"/>
      <c r="B202" s="456"/>
      <c r="C202" s="456"/>
      <c r="D202" s="456"/>
      <c r="E202" s="456"/>
      <c r="F202" s="456"/>
      <c r="G202" s="456"/>
      <c r="H202" s="456"/>
      <c r="I202" s="456"/>
      <c r="J202" s="456"/>
      <c r="K202" s="456"/>
      <c r="L202" s="456"/>
      <c r="M202" s="456"/>
      <c r="N202" s="456"/>
      <c r="O202" s="456"/>
      <c r="P202" s="456"/>
      <c r="Q202" s="456"/>
      <c r="R202" s="456"/>
      <c r="S202" s="456"/>
      <c r="T202" s="456"/>
      <c r="U202" s="456"/>
      <c r="V202" s="456"/>
      <c r="W202" s="456"/>
      <c r="X202" s="456"/>
      <c r="Y202" s="456"/>
      <c r="Z202" s="456"/>
    </row>
    <row r="203" spans="1:26" ht="11.25" customHeight="1">
      <c r="A203" s="456"/>
      <c r="B203" s="456"/>
      <c r="C203" s="456"/>
      <c r="D203" s="456"/>
      <c r="E203" s="456"/>
      <c r="F203" s="456"/>
      <c r="G203" s="456"/>
      <c r="H203" s="456"/>
      <c r="I203" s="456"/>
      <c r="J203" s="456"/>
      <c r="K203" s="456"/>
      <c r="L203" s="456"/>
      <c r="M203" s="456"/>
      <c r="N203" s="456"/>
      <c r="O203" s="456"/>
      <c r="P203" s="456"/>
      <c r="Q203" s="456"/>
      <c r="R203" s="456"/>
      <c r="S203" s="456"/>
      <c r="T203" s="456"/>
      <c r="U203" s="456"/>
      <c r="V203" s="456"/>
      <c r="W203" s="456"/>
      <c r="X203" s="456"/>
      <c r="Y203" s="456"/>
      <c r="Z203" s="456"/>
    </row>
    <row r="204" spans="1:26" ht="11.25" customHeight="1">
      <c r="A204" s="456"/>
      <c r="B204" s="456"/>
      <c r="C204" s="456"/>
      <c r="D204" s="456"/>
      <c r="E204" s="456"/>
      <c r="F204" s="456"/>
      <c r="G204" s="456"/>
      <c r="H204" s="456"/>
      <c r="I204" s="456"/>
      <c r="J204" s="456"/>
      <c r="K204" s="456"/>
      <c r="L204" s="456"/>
      <c r="M204" s="456"/>
      <c r="N204" s="456"/>
      <c r="O204" s="456"/>
      <c r="P204" s="456"/>
      <c r="Q204" s="456"/>
      <c r="R204" s="456"/>
      <c r="S204" s="456"/>
      <c r="T204" s="456"/>
      <c r="U204" s="456"/>
      <c r="V204" s="456"/>
      <c r="W204" s="456"/>
      <c r="X204" s="456"/>
      <c r="Y204" s="456"/>
      <c r="Z204" s="456"/>
    </row>
    <row r="205" spans="1:26" ht="11.25" customHeight="1">
      <c r="A205" s="456"/>
      <c r="B205" s="456"/>
      <c r="C205" s="456"/>
      <c r="D205" s="456"/>
      <c r="E205" s="456"/>
      <c r="F205" s="456"/>
      <c r="G205" s="456"/>
      <c r="H205" s="456"/>
      <c r="I205" s="456"/>
      <c r="J205" s="456"/>
      <c r="K205" s="456"/>
      <c r="L205" s="456"/>
      <c r="M205" s="456"/>
      <c r="N205" s="456"/>
      <c r="O205" s="456"/>
      <c r="P205" s="456"/>
      <c r="Q205" s="456"/>
      <c r="R205" s="456"/>
      <c r="S205" s="456"/>
      <c r="T205" s="456"/>
      <c r="U205" s="456"/>
      <c r="V205" s="456"/>
      <c r="W205" s="456"/>
      <c r="X205" s="456"/>
      <c r="Y205" s="456"/>
      <c r="Z205" s="456"/>
    </row>
    <row r="206" spans="1:26" ht="11.25" customHeight="1">
      <c r="A206" s="456"/>
      <c r="B206" s="456"/>
      <c r="C206" s="456"/>
      <c r="D206" s="456"/>
      <c r="E206" s="456"/>
      <c r="F206" s="456"/>
      <c r="G206" s="456"/>
      <c r="H206" s="456"/>
      <c r="I206" s="456"/>
      <c r="J206" s="456"/>
      <c r="K206" s="456"/>
      <c r="L206" s="456"/>
      <c r="M206" s="456"/>
      <c r="N206" s="456"/>
      <c r="O206" s="456"/>
      <c r="P206" s="456"/>
      <c r="Q206" s="456"/>
      <c r="R206" s="456"/>
      <c r="S206" s="456"/>
      <c r="T206" s="456"/>
      <c r="U206" s="456"/>
      <c r="V206" s="456"/>
      <c r="W206" s="456"/>
      <c r="X206" s="456"/>
      <c r="Y206" s="456"/>
      <c r="Z206" s="456"/>
    </row>
    <row r="207" spans="1:26" ht="11.25" customHeight="1">
      <c r="A207" s="456"/>
      <c r="B207" s="456"/>
      <c r="C207" s="456"/>
      <c r="D207" s="456"/>
      <c r="E207" s="456"/>
      <c r="F207" s="456"/>
      <c r="G207" s="456"/>
      <c r="H207" s="456"/>
      <c r="I207" s="456"/>
      <c r="J207" s="456"/>
      <c r="K207" s="456"/>
      <c r="L207" s="456"/>
      <c r="M207" s="456"/>
      <c r="N207" s="456"/>
      <c r="O207" s="456"/>
      <c r="P207" s="456"/>
      <c r="Q207" s="456"/>
      <c r="R207" s="456"/>
      <c r="S207" s="456"/>
      <c r="T207" s="456"/>
      <c r="U207" s="456"/>
      <c r="V207" s="456"/>
      <c r="W207" s="456"/>
      <c r="X207" s="456"/>
      <c r="Y207" s="456"/>
      <c r="Z207" s="456"/>
    </row>
    <row r="208" spans="1:26" ht="11.25" customHeight="1">
      <c r="A208" s="456"/>
      <c r="B208" s="456"/>
      <c r="C208" s="456"/>
      <c r="D208" s="456"/>
      <c r="E208" s="456"/>
      <c r="F208" s="456"/>
      <c r="G208" s="456"/>
      <c r="H208" s="456"/>
      <c r="I208" s="456"/>
      <c r="J208" s="456"/>
      <c r="K208" s="456"/>
      <c r="L208" s="456"/>
      <c r="M208" s="456"/>
      <c r="N208" s="456"/>
      <c r="O208" s="456"/>
      <c r="P208" s="456"/>
      <c r="Q208" s="456"/>
      <c r="R208" s="456"/>
      <c r="S208" s="456"/>
      <c r="T208" s="456"/>
      <c r="U208" s="456"/>
      <c r="V208" s="456"/>
      <c r="W208" s="456"/>
      <c r="X208" s="456"/>
      <c r="Y208" s="456"/>
      <c r="Z208" s="456"/>
    </row>
    <row r="209" spans="1:26" ht="11.25" customHeight="1">
      <c r="A209" s="456"/>
      <c r="B209" s="456"/>
      <c r="C209" s="456"/>
      <c r="D209" s="456"/>
      <c r="E209" s="456"/>
      <c r="F209" s="456"/>
      <c r="G209" s="456"/>
      <c r="H209" s="456"/>
      <c r="I209" s="456"/>
      <c r="J209" s="456"/>
      <c r="K209" s="456"/>
      <c r="L209" s="456"/>
      <c r="M209" s="456"/>
      <c r="N209" s="456"/>
      <c r="O209" s="456"/>
      <c r="P209" s="456"/>
      <c r="Q209" s="456"/>
      <c r="R209" s="456"/>
      <c r="S209" s="456"/>
      <c r="T209" s="456"/>
      <c r="U209" s="456"/>
      <c r="V209" s="456"/>
      <c r="W209" s="456"/>
      <c r="X209" s="456"/>
      <c r="Y209" s="456"/>
      <c r="Z209" s="456"/>
    </row>
    <row r="210" spans="1:26" ht="11.25" customHeight="1">
      <c r="A210" s="456"/>
      <c r="B210" s="456"/>
      <c r="C210" s="456"/>
      <c r="D210" s="456"/>
      <c r="E210" s="456"/>
      <c r="F210" s="456"/>
      <c r="G210" s="456"/>
      <c r="H210" s="456"/>
      <c r="I210" s="456"/>
      <c r="J210" s="456"/>
      <c r="K210" s="456"/>
      <c r="L210" s="456"/>
      <c r="M210" s="456"/>
      <c r="N210" s="456"/>
      <c r="O210" s="456"/>
      <c r="P210" s="456"/>
      <c r="Q210" s="456"/>
      <c r="R210" s="456"/>
      <c r="S210" s="456"/>
      <c r="T210" s="456"/>
      <c r="U210" s="456"/>
      <c r="V210" s="456"/>
      <c r="W210" s="456"/>
      <c r="X210" s="456"/>
      <c r="Y210" s="456"/>
      <c r="Z210" s="456"/>
    </row>
    <row r="211" spans="1:26" ht="11.25" customHeight="1">
      <c r="A211" s="456"/>
      <c r="B211" s="456"/>
      <c r="C211" s="456"/>
      <c r="D211" s="456"/>
      <c r="E211" s="456"/>
      <c r="F211" s="456"/>
      <c r="G211" s="456"/>
      <c r="H211" s="456"/>
      <c r="I211" s="456"/>
      <c r="J211" s="456"/>
      <c r="K211" s="456"/>
      <c r="L211" s="456"/>
      <c r="M211" s="456"/>
      <c r="N211" s="456"/>
      <c r="O211" s="456"/>
      <c r="P211" s="456"/>
      <c r="Q211" s="456"/>
      <c r="R211" s="456"/>
      <c r="S211" s="456"/>
      <c r="T211" s="456"/>
      <c r="U211" s="456"/>
      <c r="V211" s="456"/>
      <c r="W211" s="456"/>
      <c r="X211" s="456"/>
      <c r="Y211" s="456"/>
      <c r="Z211" s="456"/>
    </row>
    <row r="212" spans="1:26" ht="11.25" customHeight="1">
      <c r="A212" s="456"/>
      <c r="B212" s="456"/>
      <c r="C212" s="456"/>
      <c r="D212" s="456"/>
      <c r="E212" s="456"/>
      <c r="F212" s="456"/>
      <c r="G212" s="456"/>
      <c r="H212" s="456"/>
      <c r="I212" s="456"/>
      <c r="J212" s="456"/>
      <c r="K212" s="456"/>
      <c r="L212" s="456"/>
      <c r="M212" s="456"/>
      <c r="N212" s="456"/>
      <c r="O212" s="456"/>
      <c r="P212" s="456"/>
      <c r="Q212" s="456"/>
      <c r="R212" s="456"/>
      <c r="S212" s="456"/>
      <c r="T212" s="456"/>
      <c r="U212" s="456"/>
      <c r="V212" s="456"/>
      <c r="W212" s="456"/>
      <c r="X212" s="456"/>
      <c r="Y212" s="456"/>
      <c r="Z212" s="456"/>
    </row>
    <row r="213" spans="1:26" ht="11.25" customHeight="1">
      <c r="A213" s="456"/>
      <c r="B213" s="456"/>
      <c r="C213" s="456"/>
      <c r="D213" s="456"/>
      <c r="E213" s="456"/>
      <c r="F213" s="456"/>
      <c r="G213" s="456"/>
      <c r="H213" s="456"/>
      <c r="I213" s="456"/>
      <c r="J213" s="456"/>
      <c r="K213" s="456"/>
      <c r="L213" s="456"/>
      <c r="M213" s="456"/>
      <c r="N213" s="456"/>
      <c r="O213" s="456"/>
      <c r="P213" s="456"/>
      <c r="Q213" s="456"/>
      <c r="R213" s="456"/>
      <c r="S213" s="456"/>
      <c r="T213" s="456"/>
      <c r="U213" s="456"/>
      <c r="V213" s="456"/>
      <c r="W213" s="456"/>
      <c r="X213" s="456"/>
      <c r="Y213" s="456"/>
      <c r="Z213" s="456"/>
    </row>
    <row r="214" spans="1:26" ht="11.25" customHeight="1">
      <c r="A214" s="456"/>
      <c r="B214" s="456"/>
      <c r="C214" s="456"/>
      <c r="D214" s="456"/>
      <c r="E214" s="456"/>
      <c r="F214" s="456"/>
      <c r="G214" s="456"/>
      <c r="H214" s="456"/>
      <c r="I214" s="456"/>
      <c r="J214" s="456"/>
      <c r="K214" s="456"/>
      <c r="L214" s="456"/>
      <c r="M214" s="456"/>
      <c r="N214" s="456"/>
      <c r="O214" s="456"/>
      <c r="P214" s="456"/>
      <c r="Q214" s="456"/>
      <c r="R214" s="456"/>
      <c r="S214" s="456"/>
      <c r="T214" s="456"/>
      <c r="U214" s="456"/>
      <c r="V214" s="456"/>
      <c r="W214" s="456"/>
      <c r="X214" s="456"/>
      <c r="Y214" s="456"/>
      <c r="Z214" s="456"/>
    </row>
    <row r="215" spans="1:26" ht="11.25" customHeight="1">
      <c r="A215" s="456"/>
      <c r="B215" s="456"/>
      <c r="C215" s="456"/>
      <c r="D215" s="456"/>
      <c r="E215" s="456"/>
      <c r="F215" s="456"/>
      <c r="G215" s="456"/>
      <c r="H215" s="456"/>
      <c r="I215" s="456"/>
      <c r="J215" s="456"/>
      <c r="K215" s="456"/>
      <c r="L215" s="456"/>
      <c r="M215" s="456"/>
      <c r="N215" s="456"/>
      <c r="O215" s="456"/>
      <c r="P215" s="456"/>
      <c r="Q215" s="456"/>
      <c r="R215" s="456"/>
      <c r="S215" s="456"/>
      <c r="T215" s="456"/>
      <c r="U215" s="456"/>
      <c r="V215" s="456"/>
      <c r="W215" s="456"/>
      <c r="X215" s="456"/>
      <c r="Y215" s="456"/>
      <c r="Z215" s="456"/>
    </row>
    <row r="216" spans="1:26" ht="11.25" customHeight="1">
      <c r="A216" s="456"/>
      <c r="B216" s="456"/>
      <c r="C216" s="456"/>
      <c r="D216" s="456"/>
      <c r="E216" s="456"/>
      <c r="F216" s="456"/>
      <c r="G216" s="456"/>
      <c r="H216" s="456"/>
      <c r="I216" s="456"/>
      <c r="J216" s="456"/>
      <c r="K216" s="456"/>
      <c r="L216" s="456"/>
      <c r="M216" s="456"/>
      <c r="N216" s="456"/>
      <c r="O216" s="456"/>
      <c r="P216" s="456"/>
      <c r="Q216" s="456"/>
      <c r="R216" s="456"/>
      <c r="S216" s="456"/>
      <c r="T216" s="456"/>
      <c r="U216" s="456"/>
      <c r="V216" s="456"/>
      <c r="W216" s="456"/>
      <c r="X216" s="456"/>
      <c r="Y216" s="456"/>
      <c r="Z216" s="456"/>
    </row>
    <row r="217" spans="1:26" ht="11.25" customHeight="1">
      <c r="A217" s="456"/>
      <c r="B217" s="456"/>
      <c r="C217" s="456"/>
      <c r="D217" s="456"/>
      <c r="E217" s="456"/>
      <c r="F217" s="456"/>
      <c r="G217" s="456"/>
      <c r="H217" s="456"/>
      <c r="I217" s="456"/>
      <c r="J217" s="456"/>
      <c r="K217" s="456"/>
      <c r="L217" s="456"/>
      <c r="M217" s="456"/>
      <c r="N217" s="456"/>
      <c r="O217" s="456"/>
      <c r="P217" s="456"/>
      <c r="Q217" s="456"/>
      <c r="R217" s="456"/>
      <c r="S217" s="456"/>
      <c r="T217" s="456"/>
      <c r="U217" s="456"/>
      <c r="V217" s="456"/>
      <c r="W217" s="456"/>
      <c r="X217" s="456"/>
      <c r="Y217" s="456"/>
      <c r="Z217" s="456"/>
    </row>
    <row r="218" spans="1:26" ht="11.25" customHeight="1">
      <c r="A218" s="456"/>
      <c r="B218" s="456"/>
      <c r="C218" s="456"/>
      <c r="D218" s="456"/>
      <c r="E218" s="456"/>
      <c r="F218" s="456"/>
      <c r="G218" s="456"/>
      <c r="H218" s="456"/>
      <c r="I218" s="456"/>
      <c r="J218" s="456"/>
      <c r="K218" s="456"/>
      <c r="L218" s="456"/>
      <c r="M218" s="456"/>
      <c r="N218" s="456"/>
      <c r="O218" s="456"/>
      <c r="P218" s="456"/>
      <c r="Q218" s="456"/>
      <c r="R218" s="456"/>
      <c r="S218" s="456"/>
      <c r="T218" s="456"/>
      <c r="U218" s="456"/>
      <c r="V218" s="456"/>
      <c r="W218" s="456"/>
      <c r="X218" s="456"/>
      <c r="Y218" s="456"/>
      <c r="Z218" s="456"/>
    </row>
    <row r="219" spans="1:26" ht="11.25" customHeight="1">
      <c r="A219" s="456"/>
      <c r="B219" s="456"/>
      <c r="C219" s="456"/>
      <c r="D219" s="456"/>
      <c r="E219" s="456"/>
      <c r="F219" s="456"/>
      <c r="G219" s="456"/>
      <c r="H219" s="456"/>
      <c r="I219" s="456"/>
      <c r="J219" s="456"/>
      <c r="K219" s="456"/>
      <c r="L219" s="456"/>
      <c r="M219" s="456"/>
      <c r="N219" s="456"/>
      <c r="O219" s="456"/>
      <c r="P219" s="456"/>
      <c r="Q219" s="456"/>
      <c r="R219" s="456"/>
      <c r="S219" s="456"/>
      <c r="T219" s="456"/>
      <c r="U219" s="456"/>
      <c r="V219" s="456"/>
      <c r="W219" s="456"/>
      <c r="X219" s="456"/>
      <c r="Y219" s="456"/>
      <c r="Z219" s="456"/>
    </row>
    <row r="220" spans="1:26" ht="11.25" customHeight="1">
      <c r="A220" s="456"/>
      <c r="B220" s="456"/>
      <c r="C220" s="456"/>
      <c r="D220" s="456"/>
      <c r="E220" s="456"/>
      <c r="F220" s="456"/>
      <c r="G220" s="456"/>
      <c r="H220" s="456"/>
      <c r="I220" s="456"/>
      <c r="J220" s="456"/>
      <c r="K220" s="456"/>
      <c r="L220" s="456"/>
      <c r="M220" s="456"/>
      <c r="N220" s="456"/>
      <c r="O220" s="456"/>
      <c r="P220" s="456"/>
      <c r="Q220" s="456"/>
      <c r="R220" s="456"/>
      <c r="S220" s="456"/>
      <c r="T220" s="456"/>
      <c r="U220" s="456"/>
      <c r="V220" s="456"/>
      <c r="W220" s="456"/>
      <c r="X220" s="456"/>
      <c r="Y220" s="456"/>
      <c r="Z220" s="456"/>
    </row>
    <row r="221" spans="1:26" ht="11.25" customHeight="1">
      <c r="A221" s="456"/>
      <c r="B221" s="456"/>
      <c r="C221" s="456"/>
      <c r="D221" s="456"/>
      <c r="E221" s="456"/>
      <c r="F221" s="456"/>
      <c r="G221" s="456"/>
      <c r="H221" s="456"/>
      <c r="I221" s="456"/>
      <c r="J221" s="456"/>
      <c r="K221" s="456"/>
      <c r="L221" s="456"/>
      <c r="M221" s="456"/>
      <c r="N221" s="456"/>
      <c r="O221" s="456"/>
      <c r="P221" s="456"/>
      <c r="Q221" s="456"/>
      <c r="R221" s="456"/>
      <c r="S221" s="456"/>
      <c r="T221" s="456"/>
      <c r="U221" s="456"/>
      <c r="V221" s="456"/>
      <c r="W221" s="456"/>
      <c r="X221" s="456"/>
      <c r="Y221" s="456"/>
      <c r="Z221" s="456"/>
    </row>
    <row r="222" spans="1:26" ht="11.25" customHeight="1">
      <c r="A222" s="456"/>
      <c r="B222" s="456"/>
      <c r="C222" s="456"/>
      <c r="D222" s="456"/>
      <c r="E222" s="456"/>
      <c r="F222" s="456"/>
      <c r="G222" s="456"/>
      <c r="H222" s="456"/>
      <c r="I222" s="456"/>
      <c r="J222" s="456"/>
      <c r="K222" s="456"/>
      <c r="L222" s="456"/>
      <c r="M222" s="456"/>
      <c r="N222" s="456"/>
      <c r="O222" s="456"/>
      <c r="P222" s="456"/>
      <c r="Q222" s="456"/>
      <c r="R222" s="456"/>
      <c r="S222" s="456"/>
      <c r="T222" s="456"/>
      <c r="U222" s="456"/>
      <c r="V222" s="456"/>
      <c r="W222" s="456"/>
      <c r="X222" s="456"/>
      <c r="Y222" s="456"/>
      <c r="Z222" s="456"/>
    </row>
    <row r="223" spans="1:26" ht="11.25" customHeight="1">
      <c r="A223" s="456"/>
      <c r="B223" s="456"/>
      <c r="C223" s="456"/>
      <c r="D223" s="456"/>
      <c r="E223" s="456"/>
      <c r="F223" s="456"/>
      <c r="G223" s="456"/>
      <c r="H223" s="456"/>
      <c r="I223" s="456"/>
      <c r="J223" s="456"/>
      <c r="K223" s="456"/>
      <c r="L223" s="456"/>
      <c r="M223" s="456"/>
      <c r="N223" s="456"/>
      <c r="O223" s="456"/>
      <c r="P223" s="456"/>
      <c r="Q223" s="456"/>
      <c r="R223" s="456"/>
      <c r="S223" s="456"/>
      <c r="T223" s="456"/>
      <c r="U223" s="456"/>
      <c r="V223" s="456"/>
      <c r="W223" s="456"/>
      <c r="X223" s="456"/>
      <c r="Y223" s="456"/>
      <c r="Z223" s="456"/>
    </row>
    <row r="224" spans="1:26" ht="11.25" customHeight="1">
      <c r="A224" s="456"/>
      <c r="B224" s="456"/>
      <c r="C224" s="456"/>
      <c r="D224" s="456"/>
      <c r="E224" s="456"/>
      <c r="F224" s="456"/>
      <c r="G224" s="456"/>
      <c r="H224" s="456"/>
      <c r="I224" s="456"/>
      <c r="J224" s="456"/>
      <c r="K224" s="456"/>
      <c r="L224" s="456"/>
      <c r="M224" s="456"/>
      <c r="N224" s="456"/>
      <c r="O224" s="456"/>
      <c r="P224" s="456"/>
      <c r="Q224" s="456"/>
      <c r="R224" s="456"/>
      <c r="S224" s="456"/>
      <c r="T224" s="456"/>
      <c r="U224" s="456"/>
      <c r="V224" s="456"/>
      <c r="W224" s="456"/>
      <c r="X224" s="456"/>
      <c r="Y224" s="456"/>
      <c r="Z224" s="456"/>
    </row>
    <row r="225" spans="1:26" ht="11.25" customHeight="1">
      <c r="A225" s="456"/>
      <c r="B225" s="456"/>
      <c r="C225" s="456"/>
      <c r="D225" s="456"/>
      <c r="E225" s="456"/>
      <c r="F225" s="456"/>
      <c r="G225" s="456"/>
      <c r="H225" s="456"/>
      <c r="I225" s="456"/>
      <c r="J225" s="456"/>
      <c r="K225" s="456"/>
      <c r="L225" s="456"/>
      <c r="M225" s="456"/>
      <c r="N225" s="456"/>
      <c r="O225" s="456"/>
      <c r="P225" s="456"/>
      <c r="Q225" s="456"/>
      <c r="R225" s="456"/>
      <c r="S225" s="456"/>
      <c r="T225" s="456"/>
      <c r="U225" s="456"/>
      <c r="V225" s="456"/>
      <c r="W225" s="456"/>
      <c r="X225" s="456"/>
      <c r="Y225" s="456"/>
      <c r="Z225" s="456"/>
    </row>
    <row r="226" spans="1:26" ht="11.25" customHeight="1">
      <c r="A226" s="456"/>
      <c r="B226" s="456"/>
      <c r="C226" s="456"/>
      <c r="D226" s="456"/>
      <c r="E226" s="456"/>
      <c r="F226" s="456"/>
      <c r="G226" s="456"/>
      <c r="H226" s="456"/>
      <c r="I226" s="456"/>
      <c r="J226" s="456"/>
      <c r="K226" s="456"/>
      <c r="L226" s="456"/>
      <c r="M226" s="456"/>
      <c r="N226" s="456"/>
      <c r="O226" s="456"/>
      <c r="P226" s="456"/>
      <c r="Q226" s="456"/>
      <c r="R226" s="456"/>
      <c r="S226" s="456"/>
      <c r="T226" s="456"/>
      <c r="U226" s="456"/>
      <c r="V226" s="456"/>
      <c r="W226" s="456"/>
      <c r="X226" s="456"/>
      <c r="Y226" s="456"/>
      <c r="Z226" s="456"/>
    </row>
    <row r="227" spans="1:26" ht="11.25" customHeight="1">
      <c r="A227" s="456"/>
      <c r="B227" s="456"/>
      <c r="C227" s="456"/>
      <c r="D227" s="456"/>
      <c r="E227" s="456"/>
      <c r="F227" s="456"/>
      <c r="G227" s="456"/>
      <c r="H227" s="456"/>
      <c r="I227" s="456"/>
      <c r="J227" s="456"/>
      <c r="K227" s="456"/>
      <c r="L227" s="456"/>
      <c r="M227" s="456"/>
      <c r="N227" s="456"/>
      <c r="O227" s="456"/>
      <c r="P227" s="456"/>
      <c r="Q227" s="456"/>
      <c r="R227" s="456"/>
      <c r="S227" s="456"/>
      <c r="T227" s="456"/>
      <c r="U227" s="456"/>
      <c r="V227" s="456"/>
      <c r="W227" s="456"/>
      <c r="X227" s="456"/>
      <c r="Y227" s="456"/>
      <c r="Z227" s="456"/>
    </row>
    <row r="228" spans="1:26" ht="11.25" customHeight="1">
      <c r="A228" s="456"/>
      <c r="B228" s="456"/>
      <c r="C228" s="456"/>
      <c r="D228" s="456"/>
      <c r="E228" s="456"/>
      <c r="F228" s="456"/>
      <c r="G228" s="456"/>
      <c r="H228" s="456"/>
      <c r="I228" s="456"/>
      <c r="J228" s="456"/>
      <c r="K228" s="456"/>
      <c r="L228" s="456"/>
      <c r="M228" s="456"/>
      <c r="N228" s="456"/>
      <c r="O228" s="456"/>
      <c r="P228" s="456"/>
      <c r="Q228" s="456"/>
      <c r="R228" s="456"/>
      <c r="S228" s="456"/>
      <c r="T228" s="456"/>
      <c r="U228" s="456"/>
      <c r="V228" s="456"/>
      <c r="W228" s="456"/>
      <c r="X228" s="456"/>
      <c r="Y228" s="456"/>
      <c r="Z228" s="456"/>
    </row>
    <row r="229" spans="1:26" ht="11.25" customHeight="1">
      <c r="A229" s="456"/>
      <c r="B229" s="456"/>
      <c r="C229" s="456"/>
      <c r="D229" s="456"/>
      <c r="E229" s="456"/>
      <c r="F229" s="456"/>
      <c r="G229" s="456"/>
      <c r="H229" s="456"/>
      <c r="I229" s="456"/>
      <c r="J229" s="456"/>
      <c r="K229" s="456"/>
      <c r="L229" s="456"/>
      <c r="M229" s="456"/>
      <c r="N229" s="456"/>
      <c r="O229" s="456"/>
      <c r="P229" s="456"/>
      <c r="Q229" s="456"/>
      <c r="R229" s="456"/>
      <c r="S229" s="456"/>
      <c r="T229" s="456"/>
      <c r="U229" s="456"/>
      <c r="V229" s="456"/>
      <c r="W229" s="456"/>
      <c r="X229" s="456"/>
      <c r="Y229" s="456"/>
      <c r="Z229" s="456"/>
    </row>
    <row r="230" spans="1:26" ht="11.25" customHeight="1">
      <c r="A230" s="456"/>
      <c r="B230" s="456"/>
      <c r="C230" s="456"/>
      <c r="D230" s="456"/>
      <c r="E230" s="456"/>
      <c r="F230" s="456"/>
      <c r="G230" s="456"/>
      <c r="H230" s="456"/>
      <c r="I230" s="456"/>
      <c r="J230" s="456"/>
      <c r="K230" s="456"/>
      <c r="L230" s="456"/>
      <c r="M230" s="456"/>
      <c r="N230" s="456"/>
      <c r="O230" s="456"/>
      <c r="P230" s="456"/>
      <c r="Q230" s="456"/>
      <c r="R230" s="456"/>
      <c r="S230" s="456"/>
      <c r="T230" s="456"/>
      <c r="U230" s="456"/>
      <c r="V230" s="456"/>
      <c r="W230" s="456"/>
      <c r="X230" s="456"/>
      <c r="Y230" s="456"/>
      <c r="Z230" s="456"/>
    </row>
    <row r="231" spans="1:26" ht="11.25" customHeight="1">
      <c r="A231" s="456"/>
      <c r="B231" s="456"/>
      <c r="C231" s="456"/>
      <c r="D231" s="456"/>
      <c r="E231" s="456"/>
      <c r="F231" s="456"/>
      <c r="G231" s="456"/>
      <c r="H231" s="456"/>
      <c r="I231" s="456"/>
      <c r="J231" s="456"/>
      <c r="K231" s="456"/>
      <c r="L231" s="456"/>
      <c r="M231" s="456"/>
      <c r="N231" s="456"/>
      <c r="O231" s="456"/>
      <c r="P231" s="456"/>
      <c r="Q231" s="456"/>
      <c r="R231" s="456"/>
      <c r="S231" s="456"/>
      <c r="T231" s="456"/>
      <c r="U231" s="456"/>
      <c r="V231" s="456"/>
      <c r="W231" s="456"/>
      <c r="X231" s="456"/>
      <c r="Y231" s="456"/>
      <c r="Z231" s="456"/>
    </row>
    <row r="232" spans="1:26" ht="11.25" customHeight="1">
      <c r="A232" s="456"/>
      <c r="B232" s="456"/>
      <c r="C232" s="456"/>
      <c r="D232" s="456"/>
      <c r="E232" s="456"/>
      <c r="F232" s="456"/>
      <c r="G232" s="456"/>
      <c r="H232" s="456"/>
      <c r="I232" s="456"/>
      <c r="J232" s="456"/>
      <c r="K232" s="456"/>
      <c r="L232" s="456"/>
      <c r="M232" s="456"/>
      <c r="N232" s="456"/>
      <c r="O232" s="456"/>
      <c r="P232" s="456"/>
      <c r="Q232" s="456"/>
      <c r="R232" s="456"/>
      <c r="S232" s="456"/>
      <c r="T232" s="456"/>
      <c r="U232" s="456"/>
      <c r="V232" s="456"/>
      <c r="W232" s="456"/>
      <c r="X232" s="456"/>
      <c r="Y232" s="456"/>
      <c r="Z232" s="456"/>
    </row>
    <row r="233" spans="1:26" ht="11.25" customHeight="1">
      <c r="A233" s="456"/>
      <c r="B233" s="456"/>
      <c r="C233" s="456"/>
      <c r="D233" s="456"/>
      <c r="E233" s="456"/>
      <c r="F233" s="456"/>
      <c r="G233" s="456"/>
      <c r="H233" s="456"/>
      <c r="I233" s="456"/>
      <c r="J233" s="456"/>
      <c r="K233" s="456"/>
      <c r="L233" s="456"/>
      <c r="M233" s="456"/>
      <c r="N233" s="456"/>
      <c r="O233" s="456"/>
      <c r="P233" s="456"/>
      <c r="Q233" s="456"/>
      <c r="R233" s="456"/>
      <c r="S233" s="456"/>
      <c r="T233" s="456"/>
      <c r="U233" s="456"/>
      <c r="V233" s="456"/>
      <c r="W233" s="456"/>
      <c r="X233" s="456"/>
      <c r="Y233" s="456"/>
      <c r="Z233" s="456"/>
    </row>
    <row r="234" spans="1:26" ht="11.25" customHeight="1">
      <c r="A234" s="456"/>
      <c r="B234" s="456"/>
      <c r="C234" s="456"/>
      <c r="D234" s="456"/>
      <c r="E234" s="456"/>
      <c r="F234" s="456"/>
      <c r="G234" s="456"/>
      <c r="H234" s="456"/>
      <c r="I234" s="456"/>
      <c r="J234" s="456"/>
      <c r="K234" s="456"/>
      <c r="L234" s="456"/>
      <c r="M234" s="456"/>
      <c r="N234" s="456"/>
      <c r="O234" s="456"/>
      <c r="P234" s="456"/>
      <c r="Q234" s="456"/>
      <c r="R234" s="456"/>
      <c r="S234" s="456"/>
      <c r="T234" s="456"/>
      <c r="U234" s="456"/>
      <c r="V234" s="456"/>
      <c r="W234" s="456"/>
      <c r="X234" s="456"/>
      <c r="Y234" s="456"/>
      <c r="Z234" s="456"/>
    </row>
    <row r="235" spans="1:26" ht="11.25" customHeight="1">
      <c r="A235" s="456"/>
      <c r="B235" s="456"/>
      <c r="C235" s="456"/>
      <c r="D235" s="456"/>
      <c r="E235" s="456"/>
      <c r="F235" s="456"/>
      <c r="G235" s="456"/>
      <c r="H235" s="456"/>
      <c r="I235" s="456"/>
      <c r="J235" s="456"/>
      <c r="K235" s="456"/>
      <c r="L235" s="456"/>
      <c r="M235" s="456"/>
      <c r="N235" s="456"/>
      <c r="O235" s="456"/>
      <c r="P235" s="456"/>
      <c r="Q235" s="456"/>
      <c r="R235" s="456"/>
      <c r="S235" s="456"/>
      <c r="T235" s="456"/>
      <c r="U235" s="456"/>
      <c r="V235" s="456"/>
      <c r="W235" s="456"/>
      <c r="X235" s="456"/>
      <c r="Y235" s="456"/>
      <c r="Z235" s="456"/>
    </row>
    <row r="236" spans="1:26" ht="11.25" customHeight="1">
      <c r="A236" s="456"/>
      <c r="B236" s="456"/>
      <c r="C236" s="456"/>
      <c r="D236" s="456"/>
      <c r="E236" s="456"/>
      <c r="F236" s="456"/>
      <c r="G236" s="456"/>
      <c r="H236" s="456"/>
      <c r="I236" s="456"/>
      <c r="J236" s="456"/>
      <c r="K236" s="456"/>
      <c r="L236" s="456"/>
      <c r="M236" s="456"/>
      <c r="N236" s="456"/>
      <c r="O236" s="456"/>
      <c r="P236" s="456"/>
      <c r="Q236" s="456"/>
      <c r="R236" s="456"/>
      <c r="S236" s="456"/>
      <c r="T236" s="456"/>
      <c r="U236" s="456"/>
      <c r="V236" s="456"/>
      <c r="W236" s="456"/>
      <c r="X236" s="456"/>
      <c r="Y236" s="456"/>
      <c r="Z236" s="456"/>
    </row>
    <row r="237" spans="1:26" ht="11.25" customHeight="1">
      <c r="A237" s="456"/>
      <c r="B237" s="456"/>
      <c r="C237" s="456"/>
      <c r="D237" s="456"/>
      <c r="E237" s="456"/>
      <c r="F237" s="456"/>
      <c r="G237" s="456"/>
      <c r="H237" s="456"/>
      <c r="I237" s="456"/>
      <c r="J237" s="456"/>
      <c r="K237" s="456"/>
      <c r="L237" s="456"/>
      <c r="M237" s="456"/>
      <c r="N237" s="456"/>
      <c r="O237" s="456"/>
      <c r="P237" s="456"/>
      <c r="Q237" s="456"/>
      <c r="R237" s="456"/>
      <c r="S237" s="456"/>
      <c r="T237" s="456"/>
      <c r="U237" s="456"/>
      <c r="V237" s="456"/>
      <c r="W237" s="456"/>
      <c r="X237" s="456"/>
      <c r="Y237" s="456"/>
      <c r="Z237" s="456"/>
    </row>
    <row r="238" spans="1:26" ht="11.25" customHeight="1">
      <c r="A238" s="456"/>
      <c r="B238" s="456"/>
      <c r="C238" s="456"/>
      <c r="D238" s="456"/>
      <c r="E238" s="456"/>
      <c r="F238" s="456"/>
      <c r="G238" s="456"/>
      <c r="H238" s="456"/>
      <c r="I238" s="456"/>
      <c r="J238" s="456"/>
      <c r="K238" s="456"/>
      <c r="L238" s="456"/>
      <c r="M238" s="456"/>
      <c r="N238" s="456"/>
      <c r="O238" s="456"/>
      <c r="P238" s="456"/>
      <c r="Q238" s="456"/>
      <c r="R238" s="456"/>
      <c r="S238" s="456"/>
      <c r="T238" s="456"/>
      <c r="U238" s="456"/>
      <c r="V238" s="456"/>
      <c r="W238" s="456"/>
      <c r="X238" s="456"/>
      <c r="Y238" s="456"/>
      <c r="Z238" s="456"/>
    </row>
    <row r="239" spans="1:26" ht="11.25" customHeight="1">
      <c r="A239" s="456"/>
      <c r="B239" s="456"/>
      <c r="C239" s="456"/>
      <c r="D239" s="456"/>
      <c r="E239" s="456"/>
      <c r="F239" s="456"/>
      <c r="G239" s="456"/>
      <c r="H239" s="456"/>
      <c r="I239" s="456"/>
      <c r="J239" s="456"/>
      <c r="K239" s="456"/>
      <c r="L239" s="456"/>
      <c r="M239" s="456"/>
      <c r="N239" s="456"/>
      <c r="O239" s="456"/>
      <c r="P239" s="456"/>
      <c r="Q239" s="456"/>
      <c r="R239" s="456"/>
      <c r="S239" s="456"/>
      <c r="T239" s="456"/>
      <c r="U239" s="456"/>
      <c r="V239" s="456"/>
      <c r="W239" s="456"/>
      <c r="X239" s="456"/>
      <c r="Y239" s="456"/>
      <c r="Z239" s="456"/>
    </row>
    <row r="240" spans="1:26" ht="11.25" customHeight="1">
      <c r="A240" s="456"/>
      <c r="B240" s="456"/>
      <c r="C240" s="456"/>
      <c r="D240" s="456"/>
      <c r="E240" s="456"/>
      <c r="F240" s="456"/>
      <c r="G240" s="456"/>
      <c r="H240" s="456"/>
      <c r="I240" s="456"/>
      <c r="J240" s="456"/>
      <c r="K240" s="456"/>
      <c r="L240" s="456"/>
      <c r="M240" s="456"/>
      <c r="N240" s="456"/>
      <c r="O240" s="456"/>
      <c r="P240" s="456"/>
      <c r="Q240" s="456"/>
      <c r="R240" s="456"/>
      <c r="S240" s="456"/>
      <c r="T240" s="456"/>
      <c r="U240" s="456"/>
      <c r="V240" s="456"/>
      <c r="W240" s="456"/>
      <c r="X240" s="456"/>
      <c r="Y240" s="456"/>
      <c r="Z240" s="456"/>
    </row>
    <row r="241" spans="1:26" ht="11.25" customHeight="1">
      <c r="A241" s="456"/>
      <c r="B241" s="456"/>
      <c r="C241" s="456"/>
      <c r="D241" s="456"/>
      <c r="E241" s="456"/>
      <c r="F241" s="456"/>
      <c r="G241" s="456"/>
      <c r="H241" s="456"/>
      <c r="I241" s="456"/>
      <c r="J241" s="456"/>
      <c r="K241" s="456"/>
      <c r="L241" s="456"/>
      <c r="M241" s="456"/>
      <c r="N241" s="456"/>
      <c r="O241" s="456"/>
      <c r="P241" s="456"/>
      <c r="Q241" s="456"/>
      <c r="R241" s="456"/>
      <c r="S241" s="456"/>
      <c r="T241" s="456"/>
      <c r="U241" s="456"/>
      <c r="V241" s="456"/>
      <c r="W241" s="456"/>
      <c r="X241" s="456"/>
      <c r="Y241" s="456"/>
      <c r="Z241" s="456"/>
    </row>
    <row r="242" spans="1:26" ht="11.25" customHeight="1">
      <c r="A242" s="456"/>
      <c r="B242" s="456"/>
      <c r="C242" s="456"/>
      <c r="D242" s="456"/>
      <c r="E242" s="456"/>
      <c r="F242" s="456"/>
      <c r="G242" s="456"/>
      <c r="H242" s="456"/>
      <c r="I242" s="456"/>
      <c r="J242" s="456"/>
      <c r="K242" s="456"/>
      <c r="L242" s="456"/>
      <c r="M242" s="456"/>
      <c r="N242" s="456"/>
      <c r="O242" s="456"/>
      <c r="P242" s="456"/>
      <c r="Q242" s="456"/>
      <c r="R242" s="456"/>
      <c r="S242" s="456"/>
      <c r="T242" s="456"/>
      <c r="U242" s="456"/>
      <c r="V242" s="456"/>
      <c r="W242" s="456"/>
      <c r="X242" s="456"/>
      <c r="Y242" s="456"/>
      <c r="Z242" s="456"/>
    </row>
    <row r="243" spans="1:26" ht="11.25" customHeight="1">
      <c r="A243" s="456"/>
      <c r="B243" s="456"/>
      <c r="C243" s="456"/>
      <c r="D243" s="456"/>
      <c r="E243" s="456"/>
      <c r="F243" s="456"/>
      <c r="G243" s="456"/>
      <c r="H243" s="456"/>
      <c r="I243" s="456"/>
      <c r="J243" s="456"/>
      <c r="K243" s="456"/>
      <c r="L243" s="456"/>
      <c r="M243" s="456"/>
      <c r="N243" s="456"/>
      <c r="O243" s="456"/>
      <c r="P243" s="456"/>
      <c r="Q243" s="456"/>
      <c r="R243" s="456"/>
      <c r="S243" s="456"/>
      <c r="T243" s="456"/>
      <c r="U243" s="456"/>
      <c r="V243" s="456"/>
      <c r="W243" s="456"/>
      <c r="X243" s="456"/>
      <c r="Y243" s="456"/>
      <c r="Z243" s="456"/>
    </row>
    <row r="244" spans="1:26" ht="11.25" customHeight="1">
      <c r="A244" s="456"/>
      <c r="B244" s="456"/>
      <c r="C244" s="456"/>
      <c r="D244" s="456"/>
      <c r="E244" s="456"/>
      <c r="F244" s="456"/>
      <c r="G244" s="456"/>
      <c r="H244" s="456"/>
      <c r="I244" s="456"/>
      <c r="J244" s="456"/>
      <c r="K244" s="456"/>
      <c r="L244" s="456"/>
      <c r="M244" s="456"/>
      <c r="N244" s="456"/>
      <c r="O244" s="456"/>
      <c r="P244" s="456"/>
      <c r="Q244" s="456"/>
      <c r="R244" s="456"/>
      <c r="S244" s="456"/>
      <c r="T244" s="456"/>
      <c r="U244" s="456"/>
      <c r="V244" s="456"/>
      <c r="W244" s="456"/>
      <c r="X244" s="456"/>
      <c r="Y244" s="456"/>
      <c r="Z244" s="456"/>
    </row>
    <row r="245" spans="1:26" ht="11.25" customHeight="1">
      <c r="A245" s="456"/>
      <c r="B245" s="456"/>
      <c r="C245" s="456"/>
      <c r="D245" s="456"/>
      <c r="E245" s="456"/>
      <c r="F245" s="456"/>
      <c r="G245" s="456"/>
      <c r="H245" s="456"/>
      <c r="I245" s="456"/>
      <c r="J245" s="456"/>
      <c r="K245" s="456"/>
      <c r="L245" s="456"/>
      <c r="M245" s="456"/>
      <c r="N245" s="456"/>
      <c r="O245" s="456"/>
      <c r="P245" s="456"/>
      <c r="Q245" s="456"/>
      <c r="R245" s="456"/>
      <c r="S245" s="456"/>
      <c r="T245" s="456"/>
      <c r="U245" s="456"/>
      <c r="V245" s="456"/>
      <c r="W245" s="456"/>
      <c r="X245" s="456"/>
      <c r="Y245" s="456"/>
      <c r="Z245" s="456"/>
    </row>
    <row r="246" spans="1:26" ht="11.25" customHeight="1">
      <c r="A246" s="456"/>
      <c r="B246" s="456"/>
      <c r="C246" s="456"/>
      <c r="D246" s="456"/>
      <c r="E246" s="456"/>
      <c r="F246" s="456"/>
      <c r="G246" s="456"/>
      <c r="H246" s="456"/>
      <c r="I246" s="456"/>
      <c r="J246" s="456"/>
      <c r="K246" s="456"/>
      <c r="L246" s="456"/>
      <c r="M246" s="456"/>
      <c r="N246" s="456"/>
      <c r="O246" s="456"/>
      <c r="P246" s="456"/>
      <c r="Q246" s="456"/>
      <c r="R246" s="456"/>
      <c r="S246" s="456"/>
      <c r="T246" s="456"/>
      <c r="U246" s="456"/>
      <c r="V246" s="456"/>
      <c r="W246" s="456"/>
      <c r="X246" s="456"/>
      <c r="Y246" s="456"/>
      <c r="Z246" s="456"/>
    </row>
    <row r="247" spans="1:26" ht="11.25" customHeight="1">
      <c r="A247" s="456"/>
      <c r="B247" s="456"/>
      <c r="C247" s="456"/>
      <c r="D247" s="456"/>
      <c r="E247" s="456"/>
      <c r="F247" s="456"/>
      <c r="G247" s="456"/>
      <c r="H247" s="456"/>
      <c r="I247" s="456"/>
      <c r="J247" s="456"/>
      <c r="K247" s="456"/>
      <c r="L247" s="456"/>
      <c r="M247" s="456"/>
      <c r="N247" s="456"/>
      <c r="O247" s="456"/>
      <c r="P247" s="456"/>
      <c r="Q247" s="456"/>
      <c r="R247" s="456"/>
      <c r="S247" s="456"/>
      <c r="T247" s="456"/>
      <c r="U247" s="456"/>
      <c r="V247" s="456"/>
      <c r="W247" s="456"/>
      <c r="X247" s="456"/>
      <c r="Y247" s="456"/>
      <c r="Z247" s="456"/>
    </row>
    <row r="248" spans="1:26" ht="11.25" customHeight="1">
      <c r="A248" s="456"/>
      <c r="B248" s="456"/>
      <c r="C248" s="456"/>
      <c r="D248" s="456"/>
      <c r="E248" s="456"/>
      <c r="F248" s="456"/>
      <c r="G248" s="456"/>
      <c r="H248" s="456"/>
      <c r="I248" s="456"/>
      <c r="J248" s="456"/>
      <c r="K248" s="456"/>
      <c r="L248" s="456"/>
      <c r="M248" s="456"/>
      <c r="N248" s="456"/>
      <c r="O248" s="456"/>
      <c r="P248" s="456"/>
      <c r="Q248" s="456"/>
      <c r="R248" s="456"/>
      <c r="S248" s="456"/>
      <c r="T248" s="456"/>
      <c r="U248" s="456"/>
      <c r="V248" s="456"/>
      <c r="W248" s="456"/>
      <c r="X248" s="456"/>
      <c r="Y248" s="456"/>
      <c r="Z248" s="456"/>
    </row>
    <row r="249" spans="1:26" ht="11.25" customHeight="1">
      <c r="A249" s="456"/>
      <c r="B249" s="456"/>
      <c r="C249" s="456"/>
      <c r="D249" s="456"/>
      <c r="E249" s="456"/>
      <c r="F249" s="456"/>
      <c r="G249" s="456"/>
      <c r="H249" s="456"/>
      <c r="I249" s="456"/>
      <c r="J249" s="456"/>
      <c r="K249" s="456"/>
      <c r="L249" s="456"/>
      <c r="M249" s="456"/>
      <c r="N249" s="456"/>
      <c r="O249" s="456"/>
      <c r="P249" s="456"/>
      <c r="Q249" s="456"/>
      <c r="R249" s="456"/>
      <c r="S249" s="456"/>
      <c r="T249" s="456"/>
      <c r="U249" s="456"/>
      <c r="V249" s="456"/>
      <c r="W249" s="456"/>
      <c r="X249" s="456"/>
      <c r="Y249" s="456"/>
      <c r="Z249" s="456"/>
    </row>
    <row r="250" spans="1:26" ht="11.25" customHeight="1">
      <c r="A250" s="456"/>
      <c r="B250" s="456"/>
      <c r="C250" s="456"/>
      <c r="D250" s="456"/>
      <c r="E250" s="456"/>
      <c r="F250" s="456"/>
      <c r="G250" s="456"/>
      <c r="H250" s="456"/>
      <c r="I250" s="456"/>
      <c r="J250" s="456"/>
      <c r="K250" s="456"/>
      <c r="L250" s="456"/>
      <c r="M250" s="456"/>
      <c r="N250" s="456"/>
      <c r="O250" s="456"/>
      <c r="P250" s="456"/>
      <c r="Q250" s="456"/>
      <c r="R250" s="456"/>
      <c r="S250" s="456"/>
      <c r="T250" s="456"/>
      <c r="U250" s="456"/>
      <c r="V250" s="456"/>
      <c r="W250" s="456"/>
      <c r="X250" s="456"/>
      <c r="Y250" s="456"/>
      <c r="Z250" s="456"/>
    </row>
    <row r="251" spans="1:26" ht="11.25" customHeight="1">
      <c r="A251" s="456"/>
      <c r="B251" s="456"/>
      <c r="C251" s="456"/>
      <c r="D251" s="456"/>
      <c r="E251" s="456"/>
      <c r="F251" s="456"/>
      <c r="G251" s="456"/>
      <c r="H251" s="456"/>
      <c r="I251" s="456"/>
      <c r="J251" s="456"/>
      <c r="K251" s="456"/>
      <c r="L251" s="456"/>
      <c r="M251" s="456"/>
      <c r="N251" s="456"/>
      <c r="O251" s="456"/>
      <c r="P251" s="456"/>
      <c r="Q251" s="456"/>
      <c r="R251" s="456"/>
      <c r="S251" s="456"/>
      <c r="T251" s="456"/>
      <c r="U251" s="456"/>
      <c r="V251" s="456"/>
      <c r="W251" s="456"/>
      <c r="X251" s="456"/>
      <c r="Y251" s="456"/>
      <c r="Z251" s="456"/>
    </row>
    <row r="252" spans="1:26" ht="11.25" customHeight="1">
      <c r="A252" s="456"/>
      <c r="B252" s="456"/>
      <c r="C252" s="456"/>
      <c r="D252" s="456"/>
      <c r="E252" s="456"/>
      <c r="F252" s="456"/>
      <c r="G252" s="456"/>
      <c r="H252" s="456"/>
      <c r="I252" s="456"/>
      <c r="J252" s="456"/>
      <c r="K252" s="456"/>
      <c r="L252" s="456"/>
      <c r="M252" s="456"/>
      <c r="N252" s="456"/>
      <c r="O252" s="456"/>
      <c r="P252" s="456"/>
      <c r="Q252" s="456"/>
      <c r="R252" s="456"/>
      <c r="S252" s="456"/>
      <c r="T252" s="456"/>
      <c r="U252" s="456"/>
      <c r="V252" s="456"/>
      <c r="W252" s="456"/>
      <c r="X252" s="456"/>
      <c r="Y252" s="456"/>
      <c r="Z252" s="456"/>
    </row>
    <row r="253" spans="1:26" ht="11.25" customHeight="1">
      <c r="A253" s="456"/>
      <c r="B253" s="456"/>
      <c r="C253" s="456"/>
      <c r="D253" s="456"/>
      <c r="E253" s="456"/>
      <c r="F253" s="456"/>
      <c r="G253" s="456"/>
      <c r="H253" s="456"/>
      <c r="I253" s="456"/>
      <c r="J253" s="456"/>
      <c r="K253" s="456"/>
      <c r="L253" s="456"/>
      <c r="M253" s="456"/>
      <c r="N253" s="456"/>
      <c r="O253" s="456"/>
      <c r="P253" s="456"/>
      <c r="Q253" s="456"/>
      <c r="R253" s="456"/>
      <c r="S253" s="456"/>
      <c r="T253" s="456"/>
      <c r="U253" s="456"/>
      <c r="V253" s="456"/>
      <c r="W253" s="456"/>
      <c r="X253" s="456"/>
      <c r="Y253" s="456"/>
      <c r="Z253" s="456"/>
    </row>
    <row r="254" spans="1:26" ht="11.25" customHeight="1">
      <c r="A254" s="456"/>
      <c r="B254" s="456"/>
      <c r="C254" s="456"/>
      <c r="D254" s="456"/>
      <c r="E254" s="456"/>
      <c r="F254" s="456"/>
      <c r="G254" s="456"/>
      <c r="H254" s="456"/>
      <c r="I254" s="456"/>
      <c r="J254" s="456"/>
      <c r="K254" s="456"/>
      <c r="L254" s="456"/>
      <c r="M254" s="456"/>
      <c r="N254" s="456"/>
      <c r="O254" s="456"/>
      <c r="P254" s="456"/>
      <c r="Q254" s="456"/>
      <c r="R254" s="456"/>
      <c r="S254" s="456"/>
      <c r="T254" s="456"/>
      <c r="U254" s="456"/>
      <c r="V254" s="456"/>
      <c r="W254" s="456"/>
      <c r="X254" s="456"/>
      <c r="Y254" s="456"/>
      <c r="Z254" s="456"/>
    </row>
    <row r="255" spans="1:26" ht="11.25" customHeight="1">
      <c r="A255" s="456"/>
      <c r="B255" s="456"/>
      <c r="C255" s="456"/>
      <c r="D255" s="456"/>
      <c r="E255" s="456"/>
      <c r="F255" s="456"/>
      <c r="G255" s="456"/>
      <c r="H255" s="456"/>
      <c r="I255" s="456"/>
      <c r="J255" s="456"/>
      <c r="K255" s="456"/>
      <c r="L255" s="456"/>
      <c r="M255" s="456"/>
      <c r="N255" s="456"/>
      <c r="O255" s="456"/>
      <c r="P255" s="456"/>
      <c r="Q255" s="456"/>
      <c r="R255" s="456"/>
      <c r="S255" s="456"/>
      <c r="T255" s="456"/>
      <c r="U255" s="456"/>
      <c r="V255" s="456"/>
      <c r="W255" s="456"/>
      <c r="X255" s="456"/>
      <c r="Y255" s="456"/>
      <c r="Z255" s="456"/>
    </row>
    <row r="256" spans="1:26" ht="11.25" customHeight="1">
      <c r="A256" s="456"/>
      <c r="B256" s="456"/>
      <c r="C256" s="456"/>
      <c r="D256" s="456"/>
      <c r="E256" s="456"/>
      <c r="F256" s="456"/>
      <c r="G256" s="456"/>
      <c r="H256" s="456"/>
      <c r="I256" s="456"/>
      <c r="J256" s="456"/>
      <c r="K256" s="456"/>
      <c r="L256" s="456"/>
      <c r="M256" s="456"/>
      <c r="N256" s="456"/>
      <c r="O256" s="456"/>
      <c r="P256" s="456"/>
      <c r="Q256" s="456"/>
      <c r="R256" s="456"/>
      <c r="S256" s="456"/>
      <c r="T256" s="456"/>
      <c r="U256" s="456"/>
      <c r="V256" s="456"/>
      <c r="W256" s="456"/>
      <c r="X256" s="456"/>
      <c r="Y256" s="456"/>
      <c r="Z256" s="456"/>
    </row>
    <row r="257" spans="1:26" ht="11.25" customHeight="1">
      <c r="A257" s="456"/>
      <c r="B257" s="456"/>
      <c r="C257" s="456"/>
      <c r="D257" s="456"/>
      <c r="E257" s="456"/>
      <c r="F257" s="456"/>
      <c r="G257" s="456"/>
      <c r="H257" s="456"/>
      <c r="I257" s="456"/>
      <c r="J257" s="456"/>
      <c r="K257" s="456"/>
      <c r="L257" s="456"/>
      <c r="M257" s="456"/>
      <c r="N257" s="456"/>
      <c r="O257" s="456"/>
      <c r="P257" s="456"/>
      <c r="Q257" s="456"/>
      <c r="R257" s="456"/>
      <c r="S257" s="456"/>
      <c r="T257" s="456"/>
      <c r="U257" s="456"/>
      <c r="V257" s="456"/>
      <c r="W257" s="456"/>
      <c r="X257" s="456"/>
      <c r="Y257" s="456"/>
      <c r="Z257" s="456"/>
    </row>
    <row r="258" spans="1:26" ht="11.25" customHeight="1">
      <c r="A258" s="456"/>
      <c r="B258" s="456"/>
      <c r="C258" s="456"/>
      <c r="D258" s="456"/>
      <c r="E258" s="456"/>
      <c r="F258" s="456"/>
      <c r="G258" s="456"/>
      <c r="H258" s="456"/>
      <c r="I258" s="456"/>
      <c r="J258" s="456"/>
      <c r="K258" s="456"/>
      <c r="L258" s="456"/>
      <c r="M258" s="456"/>
      <c r="N258" s="456"/>
      <c r="O258" s="456"/>
      <c r="P258" s="456"/>
      <c r="Q258" s="456"/>
      <c r="R258" s="456"/>
      <c r="S258" s="456"/>
      <c r="T258" s="456"/>
      <c r="U258" s="456"/>
      <c r="V258" s="456"/>
      <c r="W258" s="456"/>
      <c r="X258" s="456"/>
      <c r="Y258" s="456"/>
      <c r="Z258" s="456"/>
    </row>
    <row r="259" spans="1:26" ht="11.25" customHeight="1">
      <c r="A259" s="456"/>
      <c r="B259" s="456"/>
      <c r="C259" s="456"/>
      <c r="D259" s="456"/>
      <c r="E259" s="456"/>
      <c r="F259" s="456"/>
      <c r="G259" s="456"/>
      <c r="H259" s="456"/>
      <c r="I259" s="456"/>
      <c r="J259" s="456"/>
      <c r="K259" s="456"/>
      <c r="L259" s="456"/>
      <c r="M259" s="456"/>
      <c r="N259" s="456"/>
      <c r="O259" s="456"/>
      <c r="P259" s="456"/>
      <c r="Q259" s="456"/>
      <c r="R259" s="456"/>
      <c r="S259" s="456"/>
      <c r="T259" s="456"/>
      <c r="U259" s="456"/>
      <c r="V259" s="456"/>
      <c r="W259" s="456"/>
      <c r="X259" s="456"/>
      <c r="Y259" s="456"/>
      <c r="Z259" s="456"/>
    </row>
    <row r="260" spans="1:26" ht="11.25" customHeight="1">
      <c r="A260" s="456"/>
      <c r="B260" s="456"/>
      <c r="C260" s="456"/>
      <c r="D260" s="456"/>
      <c r="E260" s="456"/>
      <c r="F260" s="456"/>
      <c r="G260" s="456"/>
      <c r="H260" s="456"/>
      <c r="I260" s="456"/>
      <c r="J260" s="456"/>
      <c r="K260" s="456"/>
      <c r="L260" s="456"/>
      <c r="M260" s="456"/>
      <c r="N260" s="456"/>
      <c r="O260" s="456"/>
      <c r="P260" s="456"/>
      <c r="Q260" s="456"/>
      <c r="R260" s="456"/>
      <c r="S260" s="456"/>
      <c r="T260" s="456"/>
      <c r="U260" s="456"/>
      <c r="V260" s="456"/>
      <c r="W260" s="456"/>
      <c r="X260" s="456"/>
      <c r="Y260" s="456"/>
      <c r="Z260" s="456"/>
    </row>
    <row r="261" spans="1:26" ht="11.25" customHeight="1">
      <c r="A261" s="456"/>
      <c r="B261" s="456"/>
      <c r="C261" s="456"/>
      <c r="D261" s="456"/>
      <c r="E261" s="456"/>
      <c r="F261" s="456"/>
      <c r="G261" s="456"/>
      <c r="H261" s="456"/>
      <c r="I261" s="456"/>
      <c r="J261" s="456"/>
      <c r="K261" s="456"/>
      <c r="L261" s="456"/>
      <c r="M261" s="456"/>
      <c r="N261" s="456"/>
      <c r="O261" s="456"/>
      <c r="P261" s="456"/>
      <c r="Q261" s="456"/>
      <c r="R261" s="456"/>
      <c r="S261" s="456"/>
      <c r="T261" s="456"/>
      <c r="U261" s="456"/>
      <c r="V261" s="456"/>
      <c r="W261" s="456"/>
      <c r="X261" s="456"/>
      <c r="Y261" s="456"/>
      <c r="Z261" s="456"/>
    </row>
    <row r="262" spans="1:26" ht="11.25" customHeight="1">
      <c r="A262" s="456"/>
      <c r="B262" s="456"/>
      <c r="C262" s="456"/>
      <c r="D262" s="456"/>
      <c r="E262" s="456"/>
      <c r="F262" s="456"/>
      <c r="G262" s="456"/>
      <c r="H262" s="456"/>
      <c r="I262" s="456"/>
      <c r="J262" s="456"/>
      <c r="K262" s="456"/>
      <c r="L262" s="456"/>
      <c r="M262" s="456"/>
      <c r="N262" s="456"/>
      <c r="O262" s="456"/>
      <c r="P262" s="456"/>
      <c r="Q262" s="456"/>
      <c r="R262" s="456"/>
      <c r="S262" s="456"/>
      <c r="T262" s="456"/>
      <c r="U262" s="456"/>
      <c r="V262" s="456"/>
      <c r="W262" s="456"/>
      <c r="X262" s="456"/>
      <c r="Y262" s="456"/>
      <c r="Z262" s="456"/>
    </row>
    <row r="263" spans="1:26" ht="11.25" customHeight="1">
      <c r="A263" s="456"/>
      <c r="B263" s="456"/>
      <c r="C263" s="456"/>
      <c r="D263" s="456"/>
      <c r="E263" s="456"/>
      <c r="F263" s="456"/>
      <c r="G263" s="456"/>
      <c r="H263" s="456"/>
      <c r="I263" s="456"/>
      <c r="J263" s="456"/>
      <c r="K263" s="456"/>
      <c r="L263" s="456"/>
      <c r="M263" s="456"/>
      <c r="N263" s="456"/>
      <c r="O263" s="456"/>
      <c r="P263" s="456"/>
      <c r="Q263" s="456"/>
      <c r="R263" s="456"/>
      <c r="S263" s="456"/>
      <c r="T263" s="456"/>
      <c r="U263" s="456"/>
      <c r="V263" s="456"/>
      <c r="W263" s="456"/>
      <c r="X263" s="456"/>
      <c r="Y263" s="456"/>
      <c r="Z263" s="456"/>
    </row>
    <row r="264" spans="1:26" ht="11.25" customHeight="1">
      <c r="A264" s="456"/>
      <c r="B264" s="456"/>
      <c r="C264" s="456"/>
      <c r="D264" s="456"/>
      <c r="E264" s="456"/>
      <c r="F264" s="456"/>
      <c r="G264" s="456"/>
      <c r="H264" s="456"/>
      <c r="I264" s="456"/>
      <c r="J264" s="456"/>
      <c r="K264" s="456"/>
      <c r="L264" s="456"/>
      <c r="M264" s="456"/>
      <c r="N264" s="456"/>
      <c r="O264" s="456"/>
      <c r="P264" s="456"/>
      <c r="Q264" s="456"/>
      <c r="R264" s="456"/>
      <c r="S264" s="456"/>
      <c r="T264" s="456"/>
      <c r="U264" s="456"/>
      <c r="V264" s="456"/>
      <c r="W264" s="456"/>
      <c r="X264" s="456"/>
      <c r="Y264" s="456"/>
      <c r="Z264" s="456"/>
    </row>
    <row r="265" spans="1:26" ht="11.25" customHeight="1">
      <c r="A265" s="456"/>
      <c r="B265" s="456"/>
      <c r="C265" s="456"/>
      <c r="D265" s="456"/>
      <c r="E265" s="456"/>
      <c r="F265" s="456"/>
      <c r="G265" s="456"/>
      <c r="H265" s="456"/>
      <c r="I265" s="456"/>
      <c r="J265" s="456"/>
      <c r="K265" s="456"/>
      <c r="L265" s="456"/>
      <c r="M265" s="456"/>
      <c r="N265" s="456"/>
      <c r="O265" s="456"/>
      <c r="P265" s="456"/>
      <c r="Q265" s="456"/>
      <c r="R265" s="456"/>
      <c r="S265" s="456"/>
      <c r="T265" s="456"/>
      <c r="U265" s="456"/>
      <c r="V265" s="456"/>
      <c r="W265" s="456"/>
      <c r="X265" s="456"/>
      <c r="Y265" s="456"/>
      <c r="Z265" s="456"/>
    </row>
    <row r="266" spans="1:26" ht="11.25" customHeight="1">
      <c r="A266" s="456"/>
      <c r="B266" s="456"/>
      <c r="C266" s="456"/>
      <c r="D266" s="456"/>
      <c r="E266" s="456"/>
      <c r="F266" s="456"/>
      <c r="G266" s="456"/>
      <c r="H266" s="456"/>
      <c r="I266" s="456"/>
      <c r="J266" s="456"/>
      <c r="K266" s="456"/>
      <c r="L266" s="456"/>
      <c r="M266" s="456"/>
      <c r="N266" s="456"/>
      <c r="O266" s="456"/>
      <c r="P266" s="456"/>
      <c r="Q266" s="456"/>
      <c r="R266" s="456"/>
      <c r="S266" s="456"/>
      <c r="T266" s="456"/>
      <c r="U266" s="456"/>
      <c r="V266" s="456"/>
      <c r="W266" s="456"/>
      <c r="X266" s="456"/>
      <c r="Y266" s="456"/>
      <c r="Z266" s="456"/>
    </row>
    <row r="267" spans="1:26" ht="11.25" customHeight="1">
      <c r="A267" s="456"/>
      <c r="B267" s="456"/>
      <c r="C267" s="456"/>
      <c r="D267" s="456"/>
      <c r="E267" s="456"/>
      <c r="F267" s="456"/>
      <c r="G267" s="456"/>
      <c r="H267" s="456"/>
      <c r="I267" s="456"/>
      <c r="J267" s="456"/>
      <c r="K267" s="456"/>
      <c r="L267" s="456"/>
      <c r="M267" s="456"/>
      <c r="N267" s="456"/>
      <c r="O267" s="456"/>
      <c r="P267" s="456"/>
      <c r="Q267" s="456"/>
      <c r="R267" s="456"/>
      <c r="S267" s="456"/>
      <c r="T267" s="456"/>
      <c r="U267" s="456"/>
      <c r="V267" s="456"/>
      <c r="W267" s="456"/>
      <c r="X267" s="456"/>
      <c r="Y267" s="456"/>
      <c r="Z267" s="456"/>
    </row>
    <row r="268" spans="1:26" ht="11.25" customHeight="1">
      <c r="A268" s="456"/>
      <c r="B268" s="456"/>
      <c r="C268" s="456"/>
      <c r="D268" s="456"/>
      <c r="E268" s="456"/>
      <c r="F268" s="456"/>
      <c r="G268" s="456"/>
      <c r="H268" s="456"/>
      <c r="I268" s="456"/>
      <c r="J268" s="456"/>
      <c r="K268" s="456"/>
      <c r="L268" s="456"/>
      <c r="M268" s="456"/>
      <c r="N268" s="456"/>
      <c r="O268" s="456"/>
      <c r="P268" s="456"/>
      <c r="Q268" s="456"/>
      <c r="R268" s="456"/>
      <c r="S268" s="456"/>
      <c r="T268" s="456"/>
      <c r="U268" s="456"/>
      <c r="V268" s="456"/>
      <c r="W268" s="456"/>
      <c r="X268" s="456"/>
      <c r="Y268" s="456"/>
      <c r="Z268" s="456"/>
    </row>
    <row r="269" spans="1:26" ht="11.25" customHeight="1">
      <c r="A269" s="456"/>
      <c r="B269" s="456"/>
      <c r="C269" s="456"/>
      <c r="D269" s="456"/>
      <c r="E269" s="456"/>
      <c r="F269" s="456"/>
      <c r="G269" s="456"/>
      <c r="H269" s="456"/>
      <c r="I269" s="456"/>
      <c r="J269" s="456"/>
      <c r="K269" s="456"/>
      <c r="L269" s="456"/>
      <c r="M269" s="456"/>
      <c r="N269" s="456"/>
      <c r="O269" s="456"/>
      <c r="P269" s="456"/>
      <c r="Q269" s="456"/>
      <c r="R269" s="456"/>
      <c r="S269" s="456"/>
      <c r="T269" s="456"/>
      <c r="U269" s="456"/>
      <c r="V269" s="456"/>
      <c r="W269" s="456"/>
      <c r="X269" s="456"/>
      <c r="Y269" s="456"/>
      <c r="Z269" s="456"/>
    </row>
    <row r="270" spans="1:26" ht="11.25" customHeight="1">
      <c r="A270" s="456"/>
      <c r="B270" s="456"/>
      <c r="C270" s="456"/>
      <c r="D270" s="456"/>
      <c r="E270" s="456"/>
      <c r="F270" s="456"/>
      <c r="G270" s="456"/>
      <c r="H270" s="456"/>
      <c r="I270" s="456"/>
      <c r="J270" s="456"/>
      <c r="K270" s="456"/>
      <c r="L270" s="456"/>
      <c r="M270" s="456"/>
      <c r="N270" s="456"/>
      <c r="O270" s="456"/>
      <c r="P270" s="456"/>
      <c r="Q270" s="456"/>
      <c r="R270" s="456"/>
      <c r="S270" s="456"/>
      <c r="T270" s="456"/>
      <c r="U270" s="456"/>
      <c r="V270" s="456"/>
      <c r="W270" s="456"/>
      <c r="X270" s="456"/>
      <c r="Y270" s="456"/>
      <c r="Z270" s="456"/>
    </row>
    <row r="271" spans="1:26" ht="11.25" customHeight="1">
      <c r="A271" s="456"/>
      <c r="B271" s="456"/>
      <c r="C271" s="456"/>
      <c r="D271" s="456"/>
      <c r="E271" s="456"/>
      <c r="F271" s="456"/>
      <c r="G271" s="456"/>
      <c r="H271" s="456"/>
      <c r="I271" s="456"/>
      <c r="J271" s="456"/>
      <c r="K271" s="456"/>
      <c r="L271" s="456"/>
      <c r="M271" s="456"/>
      <c r="N271" s="456"/>
      <c r="O271" s="456"/>
      <c r="P271" s="456"/>
      <c r="Q271" s="456"/>
      <c r="R271" s="456"/>
      <c r="S271" s="456"/>
      <c r="T271" s="456"/>
      <c r="U271" s="456"/>
      <c r="V271" s="456"/>
      <c r="W271" s="456"/>
      <c r="X271" s="456"/>
      <c r="Y271" s="456"/>
      <c r="Z271" s="456"/>
    </row>
    <row r="272" spans="1:26" ht="11.25" customHeight="1">
      <c r="A272" s="456"/>
      <c r="B272" s="456"/>
      <c r="C272" s="456"/>
      <c r="D272" s="456"/>
      <c r="E272" s="456"/>
      <c r="F272" s="456"/>
      <c r="G272" s="456"/>
      <c r="H272" s="456"/>
      <c r="I272" s="456"/>
      <c r="J272" s="456"/>
      <c r="K272" s="456"/>
      <c r="L272" s="456"/>
      <c r="M272" s="456"/>
      <c r="N272" s="456"/>
      <c r="O272" s="456"/>
      <c r="P272" s="456"/>
      <c r="Q272" s="456"/>
      <c r="R272" s="456"/>
      <c r="S272" s="456"/>
      <c r="T272" s="456"/>
      <c r="U272" s="456"/>
      <c r="V272" s="456"/>
      <c r="W272" s="456"/>
      <c r="X272" s="456"/>
      <c r="Y272" s="456"/>
      <c r="Z272" s="456"/>
    </row>
    <row r="273" spans="1:26" ht="11.25" customHeight="1">
      <c r="A273" s="456"/>
      <c r="B273" s="456"/>
      <c r="C273" s="456"/>
      <c r="D273" s="456"/>
      <c r="E273" s="456"/>
      <c r="F273" s="456"/>
      <c r="G273" s="456"/>
      <c r="H273" s="456"/>
      <c r="I273" s="456"/>
      <c r="J273" s="456"/>
      <c r="K273" s="456"/>
      <c r="L273" s="456"/>
      <c r="M273" s="456"/>
      <c r="N273" s="456"/>
      <c r="O273" s="456"/>
      <c r="P273" s="456"/>
      <c r="Q273" s="456"/>
      <c r="R273" s="456"/>
      <c r="S273" s="456"/>
      <c r="T273" s="456"/>
      <c r="U273" s="456"/>
      <c r="V273" s="456"/>
      <c r="W273" s="456"/>
      <c r="X273" s="456"/>
      <c r="Y273" s="456"/>
      <c r="Z273" s="456"/>
    </row>
    <row r="274" spans="1:26" ht="11.25" customHeight="1">
      <c r="A274" s="456"/>
      <c r="B274" s="456"/>
      <c r="C274" s="456"/>
      <c r="D274" s="456"/>
      <c r="E274" s="456"/>
      <c r="F274" s="456"/>
      <c r="G274" s="456"/>
      <c r="H274" s="456"/>
      <c r="I274" s="456"/>
      <c r="J274" s="456"/>
      <c r="K274" s="456"/>
      <c r="L274" s="456"/>
      <c r="M274" s="456"/>
      <c r="N274" s="456"/>
      <c r="O274" s="456"/>
      <c r="P274" s="456"/>
      <c r="Q274" s="456"/>
      <c r="R274" s="456"/>
      <c r="S274" s="456"/>
      <c r="T274" s="456"/>
      <c r="U274" s="456"/>
      <c r="V274" s="456"/>
      <c r="W274" s="456"/>
      <c r="X274" s="456"/>
      <c r="Y274" s="456"/>
      <c r="Z274" s="456"/>
    </row>
    <row r="275" spans="1:26" ht="11.25" customHeight="1">
      <c r="A275" s="456"/>
      <c r="B275" s="456"/>
      <c r="C275" s="456"/>
      <c r="D275" s="456"/>
      <c r="E275" s="456"/>
      <c r="F275" s="456"/>
      <c r="G275" s="456"/>
      <c r="H275" s="456"/>
      <c r="I275" s="456"/>
      <c r="J275" s="456"/>
      <c r="K275" s="456"/>
      <c r="L275" s="456"/>
      <c r="M275" s="456"/>
      <c r="N275" s="456"/>
      <c r="O275" s="456"/>
      <c r="P275" s="456"/>
      <c r="Q275" s="456"/>
      <c r="R275" s="456"/>
      <c r="S275" s="456"/>
      <c r="T275" s="456"/>
      <c r="U275" s="456"/>
      <c r="V275" s="456"/>
      <c r="W275" s="456"/>
      <c r="X275" s="456"/>
      <c r="Y275" s="456"/>
      <c r="Z275" s="456"/>
    </row>
    <row r="276" spans="1:26" ht="11.25" customHeight="1">
      <c r="A276" s="456"/>
      <c r="B276" s="456"/>
      <c r="C276" s="456"/>
      <c r="D276" s="456"/>
      <c r="E276" s="456"/>
      <c r="F276" s="456"/>
      <c r="G276" s="456"/>
      <c r="H276" s="456"/>
      <c r="I276" s="456"/>
      <c r="J276" s="456"/>
      <c r="K276" s="456"/>
      <c r="L276" s="456"/>
      <c r="M276" s="456"/>
      <c r="N276" s="456"/>
      <c r="O276" s="456"/>
      <c r="P276" s="456"/>
      <c r="Q276" s="456"/>
      <c r="R276" s="456"/>
      <c r="S276" s="456"/>
      <c r="T276" s="456"/>
      <c r="U276" s="456"/>
      <c r="V276" s="456"/>
      <c r="W276" s="456"/>
      <c r="X276" s="456"/>
      <c r="Y276" s="456"/>
      <c r="Z276" s="456"/>
    </row>
    <row r="277" spans="1:26" ht="11.25" customHeight="1">
      <c r="A277" s="456"/>
      <c r="B277" s="456"/>
      <c r="C277" s="456"/>
      <c r="D277" s="456"/>
      <c r="E277" s="456"/>
      <c r="F277" s="456"/>
      <c r="G277" s="456"/>
      <c r="H277" s="456"/>
      <c r="I277" s="456"/>
      <c r="J277" s="456"/>
      <c r="K277" s="456"/>
      <c r="L277" s="456"/>
      <c r="M277" s="456"/>
      <c r="N277" s="456"/>
      <c r="O277" s="456"/>
      <c r="P277" s="456"/>
      <c r="Q277" s="456"/>
      <c r="R277" s="456"/>
      <c r="S277" s="456"/>
      <c r="T277" s="456"/>
      <c r="U277" s="456"/>
      <c r="V277" s="456"/>
      <c r="W277" s="456"/>
      <c r="X277" s="456"/>
      <c r="Y277" s="456"/>
      <c r="Z277" s="456"/>
    </row>
    <row r="278" spans="1:26" ht="11.25" customHeight="1">
      <c r="A278" s="456"/>
      <c r="B278" s="456"/>
      <c r="C278" s="456"/>
      <c r="D278" s="456"/>
      <c r="E278" s="456"/>
      <c r="F278" s="456"/>
      <c r="G278" s="456"/>
      <c r="H278" s="456"/>
      <c r="I278" s="456"/>
      <c r="J278" s="456"/>
      <c r="K278" s="456"/>
      <c r="L278" s="456"/>
      <c r="M278" s="456"/>
      <c r="N278" s="456"/>
      <c r="O278" s="456"/>
      <c r="P278" s="456"/>
      <c r="Q278" s="456"/>
      <c r="R278" s="456"/>
      <c r="S278" s="456"/>
      <c r="T278" s="456"/>
      <c r="U278" s="456"/>
      <c r="V278" s="456"/>
      <c r="W278" s="456"/>
      <c r="X278" s="456"/>
      <c r="Y278" s="456"/>
      <c r="Z278" s="456"/>
    </row>
    <row r="279" spans="1:26" ht="11.25" customHeight="1">
      <c r="A279" s="456"/>
      <c r="B279" s="456"/>
      <c r="C279" s="456"/>
      <c r="D279" s="456"/>
      <c r="E279" s="456"/>
      <c r="F279" s="456"/>
      <c r="G279" s="456"/>
      <c r="H279" s="456"/>
      <c r="I279" s="456"/>
      <c r="J279" s="456"/>
      <c r="K279" s="456"/>
      <c r="L279" s="456"/>
      <c r="M279" s="456"/>
      <c r="N279" s="456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  <c r="Z279" s="456"/>
    </row>
    <row r="280" spans="1:26" ht="11.25" customHeight="1">
      <c r="A280" s="456"/>
      <c r="B280" s="456"/>
      <c r="C280" s="456"/>
      <c r="D280" s="456"/>
      <c r="E280" s="456"/>
      <c r="F280" s="456"/>
      <c r="G280" s="456"/>
      <c r="H280" s="456"/>
      <c r="I280" s="456"/>
      <c r="J280" s="456"/>
      <c r="K280" s="456"/>
      <c r="L280" s="456"/>
      <c r="M280" s="456"/>
      <c r="N280" s="456"/>
      <c r="O280" s="456"/>
      <c r="P280" s="456"/>
      <c r="Q280" s="456"/>
      <c r="R280" s="456"/>
      <c r="S280" s="456"/>
      <c r="T280" s="456"/>
      <c r="U280" s="456"/>
      <c r="V280" s="456"/>
      <c r="W280" s="456"/>
      <c r="X280" s="456"/>
      <c r="Y280" s="456"/>
      <c r="Z280" s="456"/>
    </row>
    <row r="281" spans="1:26" ht="11.25" customHeight="1">
      <c r="A281" s="456"/>
      <c r="B281" s="456"/>
      <c r="C281" s="456"/>
      <c r="D281" s="456"/>
      <c r="E281" s="456"/>
      <c r="F281" s="456"/>
      <c r="G281" s="456"/>
      <c r="H281" s="456"/>
      <c r="I281" s="456"/>
      <c r="J281" s="456"/>
      <c r="K281" s="456"/>
      <c r="L281" s="456"/>
      <c r="M281" s="456"/>
      <c r="N281" s="456"/>
      <c r="O281" s="456"/>
      <c r="P281" s="456"/>
      <c r="Q281" s="456"/>
      <c r="R281" s="456"/>
      <c r="S281" s="456"/>
      <c r="T281" s="456"/>
      <c r="U281" s="456"/>
      <c r="V281" s="456"/>
      <c r="W281" s="456"/>
      <c r="X281" s="456"/>
      <c r="Y281" s="456"/>
      <c r="Z281" s="456"/>
    </row>
    <row r="282" spans="1:26" ht="11.25" customHeight="1">
      <c r="A282" s="456"/>
      <c r="B282" s="456"/>
      <c r="C282" s="456"/>
      <c r="D282" s="456"/>
      <c r="E282" s="456"/>
      <c r="F282" s="456"/>
      <c r="G282" s="456"/>
      <c r="H282" s="456"/>
      <c r="I282" s="456"/>
      <c r="J282" s="456"/>
      <c r="K282" s="456"/>
      <c r="L282" s="456"/>
      <c r="M282" s="456"/>
      <c r="N282" s="456"/>
      <c r="O282" s="456"/>
      <c r="P282" s="456"/>
      <c r="Q282" s="456"/>
      <c r="R282" s="456"/>
      <c r="S282" s="456"/>
      <c r="T282" s="456"/>
      <c r="U282" s="456"/>
      <c r="V282" s="456"/>
      <c r="W282" s="456"/>
      <c r="X282" s="456"/>
      <c r="Y282" s="456"/>
      <c r="Z282" s="456"/>
    </row>
    <row r="283" spans="1:26" ht="11.25" customHeight="1">
      <c r="A283" s="456"/>
      <c r="B283" s="456"/>
      <c r="C283" s="456"/>
      <c r="D283" s="456"/>
      <c r="E283" s="456"/>
      <c r="F283" s="456"/>
      <c r="G283" s="456"/>
      <c r="H283" s="456"/>
      <c r="I283" s="456"/>
      <c r="J283" s="456"/>
      <c r="K283" s="456"/>
      <c r="L283" s="456"/>
      <c r="M283" s="456"/>
      <c r="N283" s="456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  <c r="Z283" s="456"/>
    </row>
    <row r="284" spans="1:26" ht="11.25" customHeight="1">
      <c r="A284" s="456"/>
      <c r="B284" s="456"/>
      <c r="C284" s="456"/>
      <c r="D284" s="456"/>
      <c r="E284" s="456"/>
      <c r="F284" s="456"/>
      <c r="G284" s="456"/>
      <c r="H284" s="456"/>
      <c r="I284" s="456"/>
      <c r="J284" s="456"/>
      <c r="K284" s="456"/>
      <c r="L284" s="456"/>
      <c r="M284" s="456"/>
      <c r="N284" s="456"/>
      <c r="O284" s="456"/>
      <c r="P284" s="456"/>
      <c r="Q284" s="456"/>
      <c r="R284" s="456"/>
      <c r="S284" s="456"/>
      <c r="T284" s="456"/>
      <c r="U284" s="456"/>
      <c r="V284" s="456"/>
      <c r="W284" s="456"/>
      <c r="X284" s="456"/>
      <c r="Y284" s="456"/>
      <c r="Z284" s="456"/>
    </row>
    <row r="285" spans="1:26" ht="11.25" customHeight="1">
      <c r="A285" s="456"/>
      <c r="B285" s="456"/>
      <c r="C285" s="456"/>
      <c r="D285" s="456"/>
      <c r="E285" s="456"/>
      <c r="F285" s="456"/>
      <c r="G285" s="456"/>
      <c r="H285" s="456"/>
      <c r="I285" s="456"/>
      <c r="J285" s="456"/>
      <c r="K285" s="456"/>
      <c r="L285" s="456"/>
      <c r="M285" s="456"/>
      <c r="N285" s="456"/>
      <c r="O285" s="456"/>
      <c r="P285" s="456"/>
      <c r="Q285" s="456"/>
      <c r="R285" s="456"/>
      <c r="S285" s="456"/>
      <c r="T285" s="456"/>
      <c r="U285" s="456"/>
      <c r="V285" s="456"/>
      <c r="W285" s="456"/>
      <c r="X285" s="456"/>
      <c r="Y285" s="456"/>
      <c r="Z285" s="456"/>
    </row>
    <row r="286" spans="1:26" ht="11.25" customHeight="1">
      <c r="A286" s="456"/>
      <c r="B286" s="456"/>
      <c r="C286" s="456"/>
      <c r="D286" s="456"/>
      <c r="E286" s="456"/>
      <c r="F286" s="456"/>
      <c r="G286" s="456"/>
      <c r="H286" s="456"/>
      <c r="I286" s="456"/>
      <c r="J286" s="456"/>
      <c r="K286" s="456"/>
      <c r="L286" s="456"/>
      <c r="M286" s="456"/>
      <c r="N286" s="456"/>
      <c r="O286" s="456"/>
      <c r="P286" s="456"/>
      <c r="Q286" s="456"/>
      <c r="R286" s="456"/>
      <c r="S286" s="456"/>
      <c r="T286" s="456"/>
      <c r="U286" s="456"/>
      <c r="V286" s="456"/>
      <c r="W286" s="456"/>
      <c r="X286" s="456"/>
      <c r="Y286" s="456"/>
      <c r="Z286" s="456"/>
    </row>
    <row r="287" spans="1:26" ht="11.25" customHeight="1">
      <c r="A287" s="456"/>
      <c r="B287" s="456"/>
      <c r="C287" s="456"/>
      <c r="D287" s="456"/>
      <c r="E287" s="456"/>
      <c r="F287" s="456"/>
      <c r="G287" s="456"/>
      <c r="H287" s="456"/>
      <c r="I287" s="456"/>
      <c r="J287" s="456"/>
      <c r="K287" s="456"/>
      <c r="L287" s="456"/>
      <c r="M287" s="456"/>
      <c r="N287" s="456"/>
      <c r="O287" s="456"/>
      <c r="P287" s="456"/>
      <c r="Q287" s="456"/>
      <c r="R287" s="456"/>
      <c r="S287" s="456"/>
      <c r="T287" s="456"/>
      <c r="U287" s="456"/>
      <c r="V287" s="456"/>
      <c r="W287" s="456"/>
      <c r="X287" s="456"/>
      <c r="Y287" s="456"/>
      <c r="Z287" s="456"/>
    </row>
    <row r="288" spans="1:26" ht="11.25" customHeight="1">
      <c r="A288" s="456"/>
      <c r="B288" s="456"/>
      <c r="C288" s="456"/>
      <c r="D288" s="456"/>
      <c r="E288" s="456"/>
      <c r="F288" s="456"/>
      <c r="G288" s="456"/>
      <c r="H288" s="456"/>
      <c r="I288" s="456"/>
      <c r="J288" s="456"/>
      <c r="K288" s="456"/>
      <c r="L288" s="456"/>
      <c r="M288" s="456"/>
      <c r="N288" s="456"/>
      <c r="O288" s="456"/>
      <c r="P288" s="456"/>
      <c r="Q288" s="456"/>
      <c r="R288" s="456"/>
      <c r="S288" s="456"/>
      <c r="T288" s="456"/>
      <c r="U288" s="456"/>
      <c r="V288" s="456"/>
      <c r="W288" s="456"/>
      <c r="X288" s="456"/>
      <c r="Y288" s="456"/>
      <c r="Z288" s="456"/>
    </row>
    <row r="289" spans="1:26" ht="11.25" customHeight="1">
      <c r="A289" s="456"/>
      <c r="B289" s="456"/>
      <c r="C289" s="456"/>
      <c r="D289" s="456"/>
      <c r="E289" s="456"/>
      <c r="F289" s="456"/>
      <c r="G289" s="456"/>
      <c r="H289" s="456"/>
      <c r="I289" s="456"/>
      <c r="J289" s="456"/>
      <c r="K289" s="456"/>
      <c r="L289" s="456"/>
      <c r="M289" s="456"/>
      <c r="N289" s="456"/>
      <c r="O289" s="456"/>
      <c r="P289" s="456"/>
      <c r="Q289" s="456"/>
      <c r="R289" s="456"/>
      <c r="S289" s="456"/>
      <c r="T289" s="456"/>
      <c r="U289" s="456"/>
      <c r="V289" s="456"/>
      <c r="W289" s="456"/>
      <c r="X289" s="456"/>
      <c r="Y289" s="456"/>
      <c r="Z289" s="456"/>
    </row>
    <row r="290" spans="1:26" ht="11.25" customHeight="1">
      <c r="A290" s="456"/>
      <c r="B290" s="456"/>
      <c r="C290" s="456"/>
      <c r="D290" s="456"/>
      <c r="E290" s="456"/>
      <c r="F290" s="456"/>
      <c r="G290" s="456"/>
      <c r="H290" s="456"/>
      <c r="I290" s="456"/>
      <c r="J290" s="456"/>
      <c r="K290" s="456"/>
      <c r="L290" s="456"/>
      <c r="M290" s="456"/>
      <c r="N290" s="456"/>
      <c r="O290" s="456"/>
      <c r="P290" s="456"/>
      <c r="Q290" s="456"/>
      <c r="R290" s="456"/>
      <c r="S290" s="456"/>
      <c r="T290" s="456"/>
      <c r="U290" s="456"/>
      <c r="V290" s="456"/>
      <c r="W290" s="456"/>
      <c r="X290" s="456"/>
      <c r="Y290" s="456"/>
      <c r="Z290" s="456"/>
    </row>
    <row r="291" spans="1:26" ht="11.25" customHeight="1">
      <c r="A291" s="456"/>
      <c r="B291" s="456"/>
      <c r="C291" s="456"/>
      <c r="D291" s="456"/>
      <c r="E291" s="456"/>
      <c r="F291" s="456"/>
      <c r="G291" s="456"/>
      <c r="H291" s="456"/>
      <c r="I291" s="456"/>
      <c r="J291" s="456"/>
      <c r="K291" s="456"/>
      <c r="L291" s="456"/>
      <c r="M291" s="456"/>
      <c r="N291" s="456"/>
      <c r="O291" s="456"/>
      <c r="P291" s="456"/>
      <c r="Q291" s="456"/>
      <c r="R291" s="456"/>
      <c r="S291" s="456"/>
      <c r="T291" s="456"/>
      <c r="U291" s="456"/>
      <c r="V291" s="456"/>
      <c r="W291" s="456"/>
      <c r="X291" s="456"/>
      <c r="Y291" s="456"/>
      <c r="Z291" s="456"/>
    </row>
    <row r="292" spans="1:26" ht="11.25" customHeight="1">
      <c r="A292" s="456"/>
      <c r="B292" s="456"/>
      <c r="C292" s="456"/>
      <c r="D292" s="456"/>
      <c r="E292" s="456"/>
      <c r="F292" s="456"/>
      <c r="G292" s="456"/>
      <c r="H292" s="456"/>
      <c r="I292" s="456"/>
      <c r="J292" s="456"/>
      <c r="K292" s="456"/>
      <c r="L292" s="456"/>
      <c r="M292" s="456"/>
      <c r="N292" s="456"/>
      <c r="O292" s="456"/>
      <c r="P292" s="456"/>
      <c r="Q292" s="456"/>
      <c r="R292" s="456"/>
      <c r="S292" s="456"/>
      <c r="T292" s="456"/>
      <c r="U292" s="456"/>
      <c r="V292" s="456"/>
      <c r="W292" s="456"/>
      <c r="X292" s="456"/>
      <c r="Y292" s="456"/>
      <c r="Z292" s="456"/>
    </row>
    <row r="293" spans="1:26" ht="11.25" customHeight="1">
      <c r="A293" s="456"/>
      <c r="B293" s="456"/>
      <c r="C293" s="456"/>
      <c r="D293" s="456"/>
      <c r="E293" s="456"/>
      <c r="F293" s="456"/>
      <c r="G293" s="456"/>
      <c r="H293" s="456"/>
      <c r="I293" s="456"/>
      <c r="J293" s="456"/>
      <c r="K293" s="456"/>
      <c r="L293" s="456"/>
      <c r="M293" s="456"/>
      <c r="N293" s="456"/>
      <c r="O293" s="456"/>
      <c r="P293" s="456"/>
      <c r="Q293" s="456"/>
      <c r="R293" s="456"/>
      <c r="S293" s="456"/>
      <c r="T293" s="456"/>
      <c r="U293" s="456"/>
      <c r="V293" s="456"/>
      <c r="W293" s="456"/>
      <c r="X293" s="456"/>
      <c r="Y293" s="456"/>
      <c r="Z293" s="456"/>
    </row>
    <row r="294" spans="1:26" ht="11.25" customHeight="1">
      <c r="A294" s="456"/>
      <c r="B294" s="456"/>
      <c r="C294" s="456"/>
      <c r="D294" s="456"/>
      <c r="E294" s="456"/>
      <c r="F294" s="456"/>
      <c r="G294" s="456"/>
      <c r="H294" s="456"/>
      <c r="I294" s="456"/>
      <c r="J294" s="456"/>
      <c r="K294" s="456"/>
      <c r="L294" s="456"/>
      <c r="M294" s="456"/>
      <c r="N294" s="456"/>
      <c r="O294" s="456"/>
      <c r="P294" s="456"/>
      <c r="Q294" s="456"/>
      <c r="R294" s="456"/>
      <c r="S294" s="456"/>
      <c r="T294" s="456"/>
      <c r="U294" s="456"/>
      <c r="V294" s="456"/>
      <c r="W294" s="456"/>
      <c r="X294" s="456"/>
      <c r="Y294" s="456"/>
      <c r="Z294" s="456"/>
    </row>
    <row r="295" spans="1:26" ht="11.25" customHeight="1">
      <c r="A295" s="456"/>
      <c r="B295" s="456"/>
      <c r="C295" s="456"/>
      <c r="D295" s="456"/>
      <c r="E295" s="456"/>
      <c r="F295" s="456"/>
      <c r="G295" s="456"/>
      <c r="H295" s="456"/>
      <c r="I295" s="456"/>
      <c r="J295" s="456"/>
      <c r="K295" s="456"/>
      <c r="L295" s="456"/>
      <c r="M295" s="456"/>
      <c r="N295" s="456"/>
      <c r="O295" s="456"/>
      <c r="P295" s="456"/>
      <c r="Q295" s="456"/>
      <c r="R295" s="456"/>
      <c r="S295" s="456"/>
      <c r="T295" s="456"/>
      <c r="U295" s="456"/>
      <c r="V295" s="456"/>
      <c r="W295" s="456"/>
      <c r="X295" s="456"/>
      <c r="Y295" s="456"/>
      <c r="Z295" s="456"/>
    </row>
    <row r="296" spans="1:26" ht="11.25" customHeight="1">
      <c r="A296" s="456"/>
      <c r="B296" s="456"/>
      <c r="C296" s="456"/>
      <c r="D296" s="456"/>
      <c r="E296" s="456"/>
      <c r="F296" s="456"/>
      <c r="G296" s="456"/>
      <c r="H296" s="456"/>
      <c r="I296" s="456"/>
      <c r="J296" s="456"/>
      <c r="K296" s="456"/>
      <c r="L296" s="456"/>
      <c r="M296" s="456"/>
      <c r="N296" s="456"/>
      <c r="O296" s="456"/>
      <c r="P296" s="456"/>
      <c r="Q296" s="456"/>
      <c r="R296" s="456"/>
      <c r="S296" s="456"/>
      <c r="T296" s="456"/>
      <c r="U296" s="456"/>
      <c r="V296" s="456"/>
      <c r="W296" s="456"/>
      <c r="X296" s="456"/>
      <c r="Y296" s="456"/>
      <c r="Z296" s="456"/>
    </row>
    <row r="297" spans="1:26" ht="11.25" customHeight="1">
      <c r="A297" s="456"/>
      <c r="B297" s="456"/>
      <c r="C297" s="456"/>
      <c r="D297" s="456"/>
      <c r="E297" s="456"/>
      <c r="F297" s="456"/>
      <c r="G297" s="456"/>
      <c r="H297" s="456"/>
      <c r="I297" s="456"/>
      <c r="J297" s="456"/>
      <c r="K297" s="456"/>
      <c r="L297" s="456"/>
      <c r="M297" s="456"/>
      <c r="N297" s="456"/>
      <c r="O297" s="456"/>
      <c r="P297" s="456"/>
      <c r="Q297" s="456"/>
      <c r="R297" s="456"/>
      <c r="S297" s="456"/>
      <c r="T297" s="456"/>
      <c r="U297" s="456"/>
      <c r="V297" s="456"/>
      <c r="W297" s="456"/>
      <c r="X297" s="456"/>
      <c r="Y297" s="456"/>
      <c r="Z297" s="456"/>
    </row>
    <row r="298" spans="1:26" ht="11.25" customHeight="1">
      <c r="A298" s="456"/>
      <c r="B298" s="456"/>
      <c r="C298" s="456"/>
      <c r="D298" s="456"/>
      <c r="E298" s="456"/>
      <c r="F298" s="456"/>
      <c r="G298" s="456"/>
      <c r="H298" s="456"/>
      <c r="I298" s="456"/>
      <c r="J298" s="456"/>
      <c r="K298" s="456"/>
      <c r="L298" s="456"/>
      <c r="M298" s="456"/>
      <c r="N298" s="456"/>
      <c r="O298" s="456"/>
      <c r="P298" s="456"/>
      <c r="Q298" s="456"/>
      <c r="R298" s="456"/>
      <c r="S298" s="456"/>
      <c r="T298" s="456"/>
      <c r="U298" s="456"/>
      <c r="V298" s="456"/>
      <c r="W298" s="456"/>
      <c r="X298" s="456"/>
      <c r="Y298" s="456"/>
      <c r="Z298" s="456"/>
    </row>
    <row r="299" spans="1:26" ht="11.25" customHeight="1">
      <c r="A299" s="456"/>
      <c r="B299" s="456"/>
      <c r="C299" s="456"/>
      <c r="D299" s="456"/>
      <c r="E299" s="456"/>
      <c r="F299" s="456"/>
      <c r="G299" s="456"/>
      <c r="H299" s="456"/>
      <c r="I299" s="456"/>
      <c r="J299" s="456"/>
      <c r="K299" s="456"/>
      <c r="L299" s="456"/>
      <c r="M299" s="456"/>
      <c r="N299" s="456"/>
      <c r="O299" s="456"/>
      <c r="P299" s="456"/>
      <c r="Q299" s="456"/>
      <c r="R299" s="456"/>
      <c r="S299" s="456"/>
      <c r="T299" s="456"/>
      <c r="U299" s="456"/>
      <c r="V299" s="456"/>
      <c r="W299" s="456"/>
      <c r="X299" s="456"/>
      <c r="Y299" s="456"/>
      <c r="Z299" s="456"/>
    </row>
    <row r="300" spans="1:26" ht="11.25" customHeight="1">
      <c r="A300" s="456"/>
      <c r="B300" s="456"/>
      <c r="C300" s="456"/>
      <c r="D300" s="456"/>
      <c r="E300" s="456"/>
      <c r="F300" s="456"/>
      <c r="G300" s="456"/>
      <c r="H300" s="456"/>
      <c r="I300" s="456"/>
      <c r="J300" s="456"/>
      <c r="K300" s="456"/>
      <c r="L300" s="456"/>
      <c r="M300" s="456"/>
      <c r="N300" s="456"/>
      <c r="O300" s="456"/>
      <c r="P300" s="456"/>
      <c r="Q300" s="456"/>
      <c r="R300" s="456"/>
      <c r="S300" s="456"/>
      <c r="T300" s="456"/>
      <c r="U300" s="456"/>
      <c r="V300" s="456"/>
      <c r="W300" s="456"/>
      <c r="X300" s="456"/>
      <c r="Y300" s="456"/>
      <c r="Z300" s="456"/>
    </row>
    <row r="301" spans="1:26" ht="11.25" customHeight="1">
      <c r="A301" s="456"/>
      <c r="B301" s="456"/>
      <c r="C301" s="456"/>
      <c r="D301" s="456"/>
      <c r="E301" s="456"/>
      <c r="F301" s="456"/>
      <c r="G301" s="456"/>
      <c r="H301" s="456"/>
      <c r="I301" s="456"/>
      <c r="J301" s="456"/>
      <c r="K301" s="456"/>
      <c r="L301" s="456"/>
      <c r="M301" s="456"/>
      <c r="N301" s="456"/>
      <c r="O301" s="456"/>
      <c r="P301" s="456"/>
      <c r="Q301" s="456"/>
      <c r="R301" s="456"/>
      <c r="S301" s="456"/>
      <c r="T301" s="456"/>
      <c r="U301" s="456"/>
      <c r="V301" s="456"/>
      <c r="W301" s="456"/>
      <c r="X301" s="456"/>
      <c r="Y301" s="456"/>
      <c r="Z301" s="456"/>
    </row>
    <row r="302" spans="1:26" ht="11.25" customHeight="1">
      <c r="A302" s="456"/>
      <c r="B302" s="456"/>
      <c r="C302" s="456"/>
      <c r="D302" s="456"/>
      <c r="E302" s="456"/>
      <c r="F302" s="456"/>
      <c r="G302" s="456"/>
      <c r="H302" s="456"/>
      <c r="I302" s="456"/>
      <c r="J302" s="456"/>
      <c r="K302" s="456"/>
      <c r="L302" s="456"/>
      <c r="M302" s="456"/>
      <c r="N302" s="456"/>
      <c r="O302" s="456"/>
      <c r="P302" s="456"/>
      <c r="Q302" s="456"/>
      <c r="R302" s="456"/>
      <c r="S302" s="456"/>
      <c r="T302" s="456"/>
      <c r="U302" s="456"/>
      <c r="V302" s="456"/>
      <c r="W302" s="456"/>
      <c r="X302" s="456"/>
      <c r="Y302" s="456"/>
      <c r="Z302" s="456"/>
    </row>
    <row r="303" spans="1:26" ht="11.25" customHeight="1">
      <c r="A303" s="456"/>
      <c r="B303" s="456"/>
      <c r="C303" s="456"/>
      <c r="D303" s="456"/>
      <c r="E303" s="456"/>
      <c r="F303" s="456"/>
      <c r="G303" s="456"/>
      <c r="H303" s="456"/>
      <c r="I303" s="456"/>
      <c r="J303" s="456"/>
      <c r="K303" s="456"/>
      <c r="L303" s="456"/>
      <c r="M303" s="456"/>
      <c r="N303" s="456"/>
      <c r="O303" s="456"/>
      <c r="P303" s="456"/>
      <c r="Q303" s="456"/>
      <c r="R303" s="456"/>
      <c r="S303" s="456"/>
      <c r="T303" s="456"/>
      <c r="U303" s="456"/>
      <c r="V303" s="456"/>
      <c r="W303" s="456"/>
      <c r="X303" s="456"/>
      <c r="Y303" s="456"/>
      <c r="Z303" s="456"/>
    </row>
    <row r="304" spans="1:26" ht="11.25" customHeight="1">
      <c r="A304" s="456"/>
      <c r="B304" s="456"/>
      <c r="C304" s="456"/>
      <c r="D304" s="456"/>
      <c r="E304" s="456"/>
      <c r="F304" s="456"/>
      <c r="G304" s="456"/>
      <c r="H304" s="456"/>
      <c r="I304" s="456"/>
      <c r="J304" s="456"/>
      <c r="K304" s="456"/>
      <c r="L304" s="456"/>
      <c r="M304" s="456"/>
      <c r="N304" s="456"/>
      <c r="O304" s="456"/>
      <c r="P304" s="456"/>
      <c r="Q304" s="456"/>
      <c r="R304" s="456"/>
      <c r="S304" s="456"/>
      <c r="T304" s="456"/>
      <c r="U304" s="456"/>
      <c r="V304" s="456"/>
      <c r="W304" s="456"/>
      <c r="X304" s="456"/>
      <c r="Y304" s="456"/>
      <c r="Z304" s="456"/>
    </row>
    <row r="305" spans="1:26" ht="11.25" customHeight="1">
      <c r="A305" s="456"/>
      <c r="B305" s="456"/>
      <c r="C305" s="456"/>
      <c r="D305" s="456"/>
      <c r="E305" s="456"/>
      <c r="F305" s="456"/>
      <c r="G305" s="456"/>
      <c r="H305" s="456"/>
      <c r="I305" s="456"/>
      <c r="J305" s="456"/>
      <c r="K305" s="456"/>
      <c r="L305" s="456"/>
      <c r="M305" s="456"/>
      <c r="N305" s="456"/>
      <c r="O305" s="456"/>
      <c r="P305" s="456"/>
      <c r="Q305" s="456"/>
      <c r="R305" s="456"/>
      <c r="S305" s="456"/>
      <c r="T305" s="456"/>
      <c r="U305" s="456"/>
      <c r="V305" s="456"/>
      <c r="W305" s="456"/>
      <c r="X305" s="456"/>
      <c r="Y305" s="456"/>
      <c r="Z305" s="456"/>
    </row>
    <row r="306" spans="1:26" ht="11.25" customHeight="1">
      <c r="A306" s="456"/>
      <c r="B306" s="456"/>
      <c r="C306" s="456"/>
      <c r="D306" s="456"/>
      <c r="E306" s="456"/>
      <c r="F306" s="456"/>
      <c r="G306" s="456"/>
      <c r="H306" s="456"/>
      <c r="I306" s="456"/>
      <c r="J306" s="456"/>
      <c r="K306" s="456"/>
      <c r="L306" s="456"/>
      <c r="M306" s="456"/>
      <c r="N306" s="456"/>
      <c r="O306" s="456"/>
      <c r="P306" s="456"/>
      <c r="Q306" s="456"/>
      <c r="R306" s="456"/>
      <c r="S306" s="456"/>
      <c r="T306" s="456"/>
      <c r="U306" s="456"/>
      <c r="V306" s="456"/>
      <c r="W306" s="456"/>
      <c r="X306" s="456"/>
      <c r="Y306" s="456"/>
      <c r="Z306" s="456"/>
    </row>
    <row r="307" spans="1:26" ht="11.25" customHeight="1">
      <c r="A307" s="456"/>
      <c r="B307" s="456"/>
      <c r="C307" s="456"/>
      <c r="D307" s="456"/>
      <c r="E307" s="456"/>
      <c r="F307" s="456"/>
      <c r="G307" s="456"/>
      <c r="H307" s="456"/>
      <c r="I307" s="456"/>
      <c r="J307" s="456"/>
      <c r="K307" s="456"/>
      <c r="L307" s="456"/>
      <c r="M307" s="456"/>
      <c r="N307" s="456"/>
      <c r="O307" s="456"/>
      <c r="P307" s="456"/>
      <c r="Q307" s="456"/>
      <c r="R307" s="456"/>
      <c r="S307" s="456"/>
      <c r="T307" s="456"/>
      <c r="U307" s="456"/>
      <c r="V307" s="456"/>
      <c r="W307" s="456"/>
      <c r="X307" s="456"/>
      <c r="Y307" s="456"/>
      <c r="Z307" s="456"/>
    </row>
    <row r="308" spans="1:26" ht="11.25" customHeight="1">
      <c r="A308" s="456"/>
      <c r="B308" s="456"/>
      <c r="C308" s="456"/>
      <c r="D308" s="456"/>
      <c r="E308" s="456"/>
      <c r="F308" s="456"/>
      <c r="G308" s="456"/>
      <c r="H308" s="456"/>
      <c r="I308" s="456"/>
      <c r="J308" s="456"/>
      <c r="K308" s="456"/>
      <c r="L308" s="456"/>
      <c r="M308" s="456"/>
      <c r="N308" s="456"/>
      <c r="O308" s="456"/>
      <c r="P308" s="456"/>
      <c r="Q308" s="456"/>
      <c r="R308" s="456"/>
      <c r="S308" s="456"/>
      <c r="T308" s="456"/>
      <c r="U308" s="456"/>
      <c r="V308" s="456"/>
      <c r="W308" s="456"/>
      <c r="X308" s="456"/>
      <c r="Y308" s="456"/>
      <c r="Z308" s="456"/>
    </row>
    <row r="309" spans="1:26" ht="11.25" customHeight="1">
      <c r="A309" s="456"/>
      <c r="B309" s="456"/>
      <c r="C309" s="456"/>
      <c r="D309" s="456"/>
      <c r="E309" s="456"/>
      <c r="F309" s="456"/>
      <c r="G309" s="456"/>
      <c r="H309" s="456"/>
      <c r="I309" s="456"/>
      <c r="J309" s="456"/>
      <c r="K309" s="456"/>
      <c r="L309" s="456"/>
      <c r="M309" s="456"/>
      <c r="N309" s="456"/>
      <c r="O309" s="456"/>
      <c r="P309" s="456"/>
      <c r="Q309" s="456"/>
      <c r="R309" s="456"/>
      <c r="S309" s="456"/>
      <c r="T309" s="456"/>
      <c r="U309" s="456"/>
      <c r="V309" s="456"/>
      <c r="W309" s="456"/>
      <c r="X309" s="456"/>
      <c r="Y309" s="456"/>
      <c r="Z309" s="456"/>
    </row>
    <row r="310" spans="1:26" ht="11.25" customHeight="1">
      <c r="A310" s="456"/>
      <c r="B310" s="456"/>
      <c r="C310" s="456"/>
      <c r="D310" s="456"/>
      <c r="E310" s="456"/>
      <c r="F310" s="456"/>
      <c r="G310" s="456"/>
      <c r="H310" s="456"/>
      <c r="I310" s="456"/>
      <c r="J310" s="456"/>
      <c r="K310" s="456"/>
      <c r="L310" s="456"/>
      <c r="M310" s="456"/>
      <c r="N310" s="456"/>
      <c r="O310" s="456"/>
      <c r="P310" s="456"/>
      <c r="Q310" s="456"/>
      <c r="R310" s="456"/>
      <c r="S310" s="456"/>
      <c r="T310" s="456"/>
      <c r="U310" s="456"/>
      <c r="V310" s="456"/>
      <c r="W310" s="456"/>
      <c r="X310" s="456"/>
      <c r="Y310" s="456"/>
      <c r="Z310" s="456"/>
    </row>
    <row r="311" spans="1:26" ht="11.25" customHeight="1">
      <c r="A311" s="456"/>
      <c r="B311" s="456"/>
      <c r="C311" s="456"/>
      <c r="D311" s="456"/>
      <c r="E311" s="456"/>
      <c r="F311" s="456"/>
      <c r="G311" s="456"/>
      <c r="H311" s="456"/>
      <c r="I311" s="456"/>
      <c r="J311" s="456"/>
      <c r="K311" s="456"/>
      <c r="L311" s="456"/>
      <c r="M311" s="456"/>
      <c r="N311" s="456"/>
      <c r="O311" s="456"/>
      <c r="P311" s="456"/>
      <c r="Q311" s="456"/>
      <c r="R311" s="456"/>
      <c r="S311" s="456"/>
      <c r="T311" s="456"/>
      <c r="U311" s="456"/>
      <c r="V311" s="456"/>
      <c r="W311" s="456"/>
      <c r="X311" s="456"/>
      <c r="Y311" s="456"/>
      <c r="Z311" s="456"/>
    </row>
    <row r="312" spans="1:26" ht="11.25" customHeight="1">
      <c r="A312" s="456"/>
      <c r="B312" s="456"/>
      <c r="C312" s="456"/>
      <c r="D312" s="456"/>
      <c r="E312" s="456"/>
      <c r="F312" s="456"/>
      <c r="G312" s="456"/>
      <c r="H312" s="456"/>
      <c r="I312" s="456"/>
      <c r="J312" s="456"/>
      <c r="K312" s="456"/>
      <c r="L312" s="456"/>
      <c r="M312" s="456"/>
      <c r="N312" s="456"/>
      <c r="O312" s="456"/>
      <c r="P312" s="456"/>
      <c r="Q312" s="456"/>
      <c r="R312" s="456"/>
      <c r="S312" s="456"/>
      <c r="T312" s="456"/>
      <c r="U312" s="456"/>
      <c r="V312" s="456"/>
      <c r="W312" s="456"/>
      <c r="X312" s="456"/>
      <c r="Y312" s="456"/>
      <c r="Z312" s="456"/>
    </row>
    <row r="313" spans="1:26" ht="11.25" customHeight="1">
      <c r="A313" s="456"/>
      <c r="B313" s="456"/>
      <c r="C313" s="456"/>
      <c r="D313" s="456"/>
      <c r="E313" s="456"/>
      <c r="F313" s="456"/>
      <c r="G313" s="456"/>
      <c r="H313" s="456"/>
      <c r="I313" s="456"/>
      <c r="J313" s="456"/>
      <c r="K313" s="456"/>
      <c r="L313" s="456"/>
      <c r="M313" s="456"/>
      <c r="N313" s="456"/>
      <c r="O313" s="456"/>
      <c r="P313" s="456"/>
      <c r="Q313" s="456"/>
      <c r="R313" s="456"/>
      <c r="S313" s="456"/>
      <c r="T313" s="456"/>
      <c r="U313" s="456"/>
      <c r="V313" s="456"/>
      <c r="W313" s="456"/>
      <c r="X313" s="456"/>
      <c r="Y313" s="456"/>
      <c r="Z313" s="456"/>
    </row>
    <row r="314" spans="1:26" ht="11.25" customHeight="1">
      <c r="A314" s="456"/>
      <c r="B314" s="456"/>
      <c r="C314" s="456"/>
      <c r="D314" s="456"/>
      <c r="E314" s="456"/>
      <c r="F314" s="456"/>
      <c r="G314" s="456"/>
      <c r="H314" s="456"/>
      <c r="I314" s="456"/>
      <c r="J314" s="456"/>
      <c r="K314" s="456"/>
      <c r="L314" s="456"/>
      <c r="M314" s="456"/>
      <c r="N314" s="456"/>
      <c r="O314" s="456"/>
      <c r="P314" s="456"/>
      <c r="Q314" s="456"/>
      <c r="R314" s="456"/>
      <c r="S314" s="456"/>
      <c r="T314" s="456"/>
      <c r="U314" s="456"/>
      <c r="V314" s="456"/>
      <c r="W314" s="456"/>
      <c r="X314" s="456"/>
      <c r="Y314" s="456"/>
      <c r="Z314" s="456"/>
    </row>
    <row r="315" spans="1:26" ht="11.25" customHeight="1">
      <c r="A315" s="456"/>
      <c r="B315" s="456"/>
      <c r="C315" s="456"/>
      <c r="D315" s="456"/>
      <c r="E315" s="456"/>
      <c r="F315" s="456"/>
      <c r="G315" s="456"/>
      <c r="H315" s="456"/>
      <c r="I315" s="456"/>
      <c r="J315" s="456"/>
      <c r="K315" s="456"/>
      <c r="L315" s="456"/>
      <c r="M315" s="456"/>
      <c r="N315" s="456"/>
      <c r="O315" s="456"/>
      <c r="P315" s="456"/>
      <c r="Q315" s="456"/>
      <c r="R315" s="456"/>
      <c r="S315" s="456"/>
      <c r="T315" s="456"/>
      <c r="U315" s="456"/>
      <c r="V315" s="456"/>
      <c r="W315" s="456"/>
      <c r="X315" s="456"/>
      <c r="Y315" s="456"/>
      <c r="Z315" s="456"/>
    </row>
    <row r="316" spans="1:26" ht="11.25" customHeight="1">
      <c r="A316" s="456"/>
      <c r="B316" s="456"/>
      <c r="C316" s="456"/>
      <c r="D316" s="456"/>
      <c r="E316" s="456"/>
      <c r="F316" s="456"/>
      <c r="G316" s="456"/>
      <c r="H316" s="456"/>
      <c r="I316" s="456"/>
      <c r="J316" s="456"/>
      <c r="K316" s="456"/>
      <c r="L316" s="456"/>
      <c r="M316" s="456"/>
      <c r="N316" s="456"/>
      <c r="O316" s="456"/>
      <c r="P316" s="456"/>
      <c r="Q316" s="456"/>
      <c r="R316" s="456"/>
      <c r="S316" s="456"/>
      <c r="T316" s="456"/>
      <c r="U316" s="456"/>
      <c r="V316" s="456"/>
      <c r="W316" s="456"/>
      <c r="X316" s="456"/>
      <c r="Y316" s="456"/>
      <c r="Z316" s="456"/>
    </row>
    <row r="317" spans="1:26" ht="11.25" customHeight="1">
      <c r="A317" s="456"/>
      <c r="B317" s="456"/>
      <c r="C317" s="456"/>
      <c r="D317" s="456"/>
      <c r="E317" s="456"/>
      <c r="F317" s="456"/>
      <c r="G317" s="456"/>
      <c r="H317" s="456"/>
      <c r="I317" s="456"/>
      <c r="J317" s="456"/>
      <c r="K317" s="456"/>
      <c r="L317" s="456"/>
      <c r="M317" s="456"/>
      <c r="N317" s="456"/>
      <c r="O317" s="456"/>
      <c r="P317" s="456"/>
      <c r="Q317" s="456"/>
      <c r="R317" s="456"/>
      <c r="S317" s="456"/>
      <c r="T317" s="456"/>
      <c r="U317" s="456"/>
      <c r="V317" s="456"/>
      <c r="W317" s="456"/>
      <c r="X317" s="456"/>
      <c r="Y317" s="456"/>
      <c r="Z317" s="456"/>
    </row>
    <row r="318" spans="1:26" ht="11.25" customHeight="1">
      <c r="A318" s="456"/>
      <c r="B318" s="456"/>
      <c r="C318" s="456"/>
      <c r="D318" s="456"/>
      <c r="E318" s="456"/>
      <c r="F318" s="456"/>
      <c r="G318" s="456"/>
      <c r="H318" s="456"/>
      <c r="I318" s="456"/>
      <c r="J318" s="456"/>
      <c r="K318" s="456"/>
      <c r="L318" s="456"/>
      <c r="M318" s="456"/>
      <c r="N318" s="456"/>
      <c r="O318" s="456"/>
      <c r="P318" s="456"/>
      <c r="Q318" s="456"/>
      <c r="R318" s="456"/>
      <c r="S318" s="456"/>
      <c r="T318" s="456"/>
      <c r="U318" s="456"/>
      <c r="V318" s="456"/>
      <c r="W318" s="456"/>
      <c r="X318" s="456"/>
      <c r="Y318" s="456"/>
      <c r="Z318" s="456"/>
    </row>
    <row r="319" spans="1:26" ht="11.25" customHeight="1">
      <c r="A319" s="456"/>
      <c r="B319" s="456"/>
      <c r="C319" s="456"/>
      <c r="D319" s="456"/>
      <c r="E319" s="456"/>
      <c r="F319" s="456"/>
      <c r="G319" s="456"/>
      <c r="H319" s="456"/>
      <c r="I319" s="456"/>
      <c r="J319" s="456"/>
      <c r="K319" s="456"/>
      <c r="L319" s="456"/>
      <c r="M319" s="456"/>
      <c r="N319" s="456"/>
      <c r="O319" s="456"/>
      <c r="P319" s="456"/>
      <c r="Q319" s="456"/>
      <c r="R319" s="456"/>
      <c r="S319" s="456"/>
      <c r="T319" s="456"/>
      <c r="U319" s="456"/>
      <c r="V319" s="456"/>
      <c r="W319" s="456"/>
      <c r="X319" s="456"/>
      <c r="Y319" s="456"/>
      <c r="Z319" s="456"/>
    </row>
    <row r="320" spans="1:26" ht="11.25" customHeight="1">
      <c r="A320" s="456"/>
      <c r="B320" s="456"/>
      <c r="C320" s="456"/>
      <c r="D320" s="456"/>
      <c r="E320" s="456"/>
      <c r="F320" s="456"/>
      <c r="G320" s="456"/>
      <c r="H320" s="456"/>
      <c r="I320" s="456"/>
      <c r="J320" s="456"/>
      <c r="K320" s="456"/>
      <c r="L320" s="456"/>
      <c r="M320" s="456"/>
      <c r="N320" s="456"/>
      <c r="O320" s="456"/>
      <c r="P320" s="456"/>
      <c r="Q320" s="456"/>
      <c r="R320" s="456"/>
      <c r="S320" s="456"/>
      <c r="T320" s="456"/>
      <c r="U320" s="456"/>
      <c r="V320" s="456"/>
      <c r="W320" s="456"/>
      <c r="X320" s="456"/>
      <c r="Y320" s="456"/>
      <c r="Z320" s="456"/>
    </row>
    <row r="321" spans="1:26" ht="11.25" customHeight="1">
      <c r="A321" s="456"/>
      <c r="B321" s="456"/>
      <c r="C321" s="456"/>
      <c r="D321" s="456"/>
      <c r="E321" s="456"/>
      <c r="F321" s="456"/>
      <c r="G321" s="456"/>
      <c r="H321" s="456"/>
      <c r="I321" s="456"/>
      <c r="J321" s="456"/>
      <c r="K321" s="456"/>
      <c r="L321" s="456"/>
      <c r="M321" s="456"/>
      <c r="N321" s="456"/>
      <c r="O321" s="456"/>
      <c r="P321" s="456"/>
      <c r="Q321" s="456"/>
      <c r="R321" s="456"/>
      <c r="S321" s="456"/>
      <c r="T321" s="456"/>
      <c r="U321" s="456"/>
      <c r="V321" s="456"/>
      <c r="W321" s="456"/>
      <c r="X321" s="456"/>
      <c r="Y321" s="456"/>
      <c r="Z321" s="456"/>
    </row>
    <row r="322" spans="1:26" ht="11.25" customHeight="1">
      <c r="A322" s="456"/>
      <c r="B322" s="456"/>
      <c r="C322" s="456"/>
      <c r="D322" s="456"/>
      <c r="E322" s="456"/>
      <c r="F322" s="456"/>
      <c r="G322" s="456"/>
      <c r="H322" s="456"/>
      <c r="I322" s="456"/>
      <c r="J322" s="456"/>
      <c r="K322" s="456"/>
      <c r="L322" s="456"/>
      <c r="M322" s="456"/>
      <c r="N322" s="456"/>
      <c r="O322" s="456"/>
      <c r="P322" s="456"/>
      <c r="Q322" s="456"/>
      <c r="R322" s="456"/>
      <c r="S322" s="456"/>
      <c r="T322" s="456"/>
      <c r="U322" s="456"/>
      <c r="V322" s="456"/>
      <c r="W322" s="456"/>
      <c r="X322" s="456"/>
      <c r="Y322" s="456"/>
      <c r="Z322" s="456"/>
    </row>
    <row r="323" spans="1:26" ht="11.25" customHeight="1">
      <c r="A323" s="456"/>
      <c r="B323" s="456"/>
      <c r="C323" s="456"/>
      <c r="D323" s="456"/>
      <c r="E323" s="456"/>
      <c r="F323" s="456"/>
      <c r="G323" s="456"/>
      <c r="H323" s="456"/>
      <c r="I323" s="456"/>
      <c r="J323" s="456"/>
      <c r="K323" s="456"/>
      <c r="L323" s="456"/>
      <c r="M323" s="456"/>
      <c r="N323" s="456"/>
      <c r="O323" s="456"/>
      <c r="P323" s="456"/>
      <c r="Q323" s="456"/>
      <c r="R323" s="456"/>
      <c r="S323" s="456"/>
      <c r="T323" s="456"/>
      <c r="U323" s="456"/>
      <c r="V323" s="456"/>
      <c r="W323" s="456"/>
      <c r="X323" s="456"/>
      <c r="Y323" s="456"/>
      <c r="Z323" s="456"/>
    </row>
    <row r="324" spans="1:26" ht="11.25" customHeight="1">
      <c r="A324" s="456"/>
      <c r="B324" s="456"/>
      <c r="C324" s="456"/>
      <c r="D324" s="456"/>
      <c r="E324" s="456"/>
      <c r="F324" s="456"/>
      <c r="G324" s="456"/>
      <c r="H324" s="456"/>
      <c r="I324" s="456"/>
      <c r="J324" s="456"/>
      <c r="K324" s="456"/>
      <c r="L324" s="456"/>
      <c r="M324" s="456"/>
      <c r="N324" s="456"/>
      <c r="O324" s="456"/>
      <c r="P324" s="456"/>
      <c r="Q324" s="456"/>
      <c r="R324" s="456"/>
      <c r="S324" s="456"/>
      <c r="T324" s="456"/>
      <c r="U324" s="456"/>
      <c r="V324" s="456"/>
      <c r="W324" s="456"/>
      <c r="X324" s="456"/>
      <c r="Y324" s="456"/>
      <c r="Z324" s="456"/>
    </row>
    <row r="325" spans="1:26" ht="11.25" customHeight="1">
      <c r="A325" s="456"/>
      <c r="B325" s="456"/>
      <c r="C325" s="456"/>
      <c r="D325" s="456"/>
      <c r="E325" s="456"/>
      <c r="F325" s="456"/>
      <c r="G325" s="456"/>
      <c r="H325" s="456"/>
      <c r="I325" s="456"/>
      <c r="J325" s="456"/>
      <c r="K325" s="456"/>
      <c r="L325" s="456"/>
      <c r="M325" s="456"/>
      <c r="N325" s="456"/>
      <c r="O325" s="456"/>
      <c r="P325" s="456"/>
      <c r="Q325" s="456"/>
      <c r="R325" s="456"/>
      <c r="S325" s="456"/>
      <c r="T325" s="456"/>
      <c r="U325" s="456"/>
      <c r="V325" s="456"/>
      <c r="W325" s="456"/>
      <c r="X325" s="456"/>
      <c r="Y325" s="456"/>
      <c r="Z325" s="456"/>
    </row>
    <row r="326" spans="1:26" ht="11.25" customHeight="1">
      <c r="A326" s="456"/>
      <c r="B326" s="456"/>
      <c r="C326" s="456"/>
      <c r="D326" s="456"/>
      <c r="E326" s="456"/>
      <c r="F326" s="456"/>
      <c r="G326" s="456"/>
      <c r="H326" s="456"/>
      <c r="I326" s="456"/>
      <c r="J326" s="456"/>
      <c r="K326" s="456"/>
      <c r="L326" s="456"/>
      <c r="M326" s="456"/>
      <c r="N326" s="456"/>
      <c r="O326" s="456"/>
      <c r="P326" s="456"/>
      <c r="Q326" s="456"/>
      <c r="R326" s="456"/>
      <c r="S326" s="456"/>
      <c r="T326" s="456"/>
      <c r="U326" s="456"/>
      <c r="V326" s="456"/>
      <c r="W326" s="456"/>
      <c r="X326" s="456"/>
      <c r="Y326" s="456"/>
      <c r="Z326" s="456"/>
    </row>
    <row r="327" spans="1:26" ht="11.25" customHeight="1">
      <c r="A327" s="456"/>
      <c r="B327" s="456"/>
      <c r="C327" s="456"/>
      <c r="D327" s="456"/>
      <c r="E327" s="456"/>
      <c r="F327" s="456"/>
      <c r="G327" s="456"/>
      <c r="H327" s="456"/>
      <c r="I327" s="456"/>
      <c r="J327" s="456"/>
      <c r="K327" s="456"/>
      <c r="L327" s="456"/>
      <c r="M327" s="456"/>
      <c r="N327" s="456"/>
      <c r="O327" s="456"/>
      <c r="P327" s="456"/>
      <c r="Q327" s="456"/>
      <c r="R327" s="456"/>
      <c r="S327" s="456"/>
      <c r="T327" s="456"/>
      <c r="U327" s="456"/>
      <c r="V327" s="456"/>
      <c r="W327" s="456"/>
      <c r="X327" s="456"/>
      <c r="Y327" s="456"/>
      <c r="Z327" s="456"/>
    </row>
    <row r="328" spans="1:26" ht="11.25" customHeight="1">
      <c r="A328" s="456"/>
      <c r="B328" s="456"/>
      <c r="C328" s="456"/>
      <c r="D328" s="456"/>
      <c r="E328" s="456"/>
      <c r="F328" s="456"/>
      <c r="G328" s="456"/>
      <c r="H328" s="456"/>
      <c r="I328" s="456"/>
      <c r="J328" s="456"/>
      <c r="K328" s="456"/>
      <c r="L328" s="456"/>
      <c r="M328" s="456"/>
      <c r="N328" s="456"/>
      <c r="O328" s="456"/>
      <c r="P328" s="456"/>
      <c r="Q328" s="456"/>
      <c r="R328" s="456"/>
      <c r="S328" s="456"/>
      <c r="T328" s="456"/>
      <c r="U328" s="456"/>
      <c r="V328" s="456"/>
      <c r="W328" s="456"/>
      <c r="X328" s="456"/>
      <c r="Y328" s="456"/>
      <c r="Z328" s="456"/>
    </row>
    <row r="329" spans="1:26" ht="11.25" customHeight="1">
      <c r="A329" s="456"/>
      <c r="B329" s="456"/>
      <c r="C329" s="456"/>
      <c r="D329" s="456"/>
      <c r="E329" s="456"/>
      <c r="F329" s="456"/>
      <c r="G329" s="456"/>
      <c r="H329" s="456"/>
      <c r="I329" s="456"/>
      <c r="J329" s="456"/>
      <c r="K329" s="456"/>
      <c r="L329" s="456"/>
      <c r="M329" s="456"/>
      <c r="N329" s="456"/>
      <c r="O329" s="456"/>
      <c r="P329" s="456"/>
      <c r="Q329" s="456"/>
      <c r="R329" s="456"/>
      <c r="S329" s="456"/>
      <c r="T329" s="456"/>
      <c r="U329" s="456"/>
      <c r="V329" s="456"/>
      <c r="W329" s="456"/>
      <c r="X329" s="456"/>
      <c r="Y329" s="456"/>
      <c r="Z329" s="456"/>
    </row>
    <row r="330" spans="1:26" ht="11.25" customHeight="1">
      <c r="A330" s="456"/>
      <c r="B330" s="456"/>
      <c r="C330" s="456"/>
      <c r="D330" s="456"/>
      <c r="E330" s="456"/>
      <c r="F330" s="456"/>
      <c r="G330" s="456"/>
      <c r="H330" s="456"/>
      <c r="I330" s="456"/>
      <c r="J330" s="456"/>
      <c r="K330" s="456"/>
      <c r="L330" s="456"/>
      <c r="M330" s="456"/>
      <c r="N330" s="456"/>
      <c r="O330" s="456"/>
      <c r="P330" s="456"/>
      <c r="Q330" s="456"/>
      <c r="R330" s="456"/>
      <c r="S330" s="456"/>
      <c r="T330" s="456"/>
      <c r="U330" s="456"/>
      <c r="V330" s="456"/>
      <c r="W330" s="456"/>
      <c r="X330" s="456"/>
      <c r="Y330" s="456"/>
      <c r="Z330" s="456"/>
    </row>
    <row r="331" spans="1:26" ht="11.25" customHeight="1">
      <c r="A331" s="456"/>
      <c r="B331" s="456"/>
      <c r="C331" s="456"/>
      <c r="D331" s="456"/>
      <c r="E331" s="456"/>
      <c r="F331" s="456"/>
      <c r="G331" s="456"/>
      <c r="H331" s="456"/>
      <c r="I331" s="456"/>
      <c r="J331" s="456"/>
      <c r="K331" s="456"/>
      <c r="L331" s="456"/>
      <c r="M331" s="456"/>
      <c r="N331" s="456"/>
      <c r="O331" s="456"/>
      <c r="P331" s="456"/>
      <c r="Q331" s="456"/>
      <c r="R331" s="456"/>
      <c r="S331" s="456"/>
      <c r="T331" s="456"/>
      <c r="U331" s="456"/>
      <c r="V331" s="456"/>
      <c r="W331" s="456"/>
      <c r="X331" s="456"/>
      <c r="Y331" s="456"/>
      <c r="Z331" s="456"/>
    </row>
    <row r="332" spans="1:26" ht="11.25" customHeight="1">
      <c r="A332" s="456"/>
      <c r="B332" s="456"/>
      <c r="C332" s="456"/>
      <c r="D332" s="456"/>
      <c r="E332" s="456"/>
      <c r="F332" s="456"/>
      <c r="G332" s="456"/>
      <c r="H332" s="456"/>
      <c r="I332" s="456"/>
      <c r="J332" s="456"/>
      <c r="K332" s="456"/>
      <c r="L332" s="456"/>
      <c r="M332" s="456"/>
      <c r="N332" s="456"/>
      <c r="O332" s="456"/>
      <c r="P332" s="456"/>
      <c r="Q332" s="456"/>
      <c r="R332" s="456"/>
      <c r="S332" s="456"/>
      <c r="T332" s="456"/>
      <c r="U332" s="456"/>
      <c r="V332" s="456"/>
      <c r="W332" s="456"/>
      <c r="X332" s="456"/>
      <c r="Y332" s="456"/>
      <c r="Z332" s="456"/>
    </row>
    <row r="333" spans="1:26" ht="11.25" customHeight="1">
      <c r="A333" s="456"/>
      <c r="B333" s="456"/>
      <c r="C333" s="456"/>
      <c r="D333" s="456"/>
      <c r="E333" s="456"/>
      <c r="F333" s="456"/>
      <c r="G333" s="456"/>
      <c r="H333" s="456"/>
      <c r="I333" s="456"/>
      <c r="J333" s="456"/>
      <c r="K333" s="456"/>
      <c r="L333" s="456"/>
      <c r="M333" s="456"/>
      <c r="N333" s="456"/>
      <c r="O333" s="456"/>
      <c r="P333" s="456"/>
      <c r="Q333" s="456"/>
      <c r="R333" s="456"/>
      <c r="S333" s="456"/>
      <c r="T333" s="456"/>
      <c r="U333" s="456"/>
      <c r="V333" s="456"/>
      <c r="W333" s="456"/>
      <c r="X333" s="456"/>
      <c r="Y333" s="456"/>
      <c r="Z333" s="456"/>
    </row>
    <row r="334" spans="1:26" ht="11.25" customHeight="1">
      <c r="A334" s="456"/>
      <c r="B334" s="456"/>
      <c r="C334" s="456"/>
      <c r="D334" s="456"/>
      <c r="E334" s="456"/>
      <c r="F334" s="456"/>
      <c r="G334" s="456"/>
      <c r="H334" s="456"/>
      <c r="I334" s="456"/>
      <c r="J334" s="456"/>
      <c r="K334" s="456"/>
      <c r="L334" s="456"/>
      <c r="M334" s="456"/>
      <c r="N334" s="456"/>
      <c r="O334" s="456"/>
      <c r="P334" s="456"/>
      <c r="Q334" s="456"/>
      <c r="R334" s="456"/>
      <c r="S334" s="456"/>
      <c r="T334" s="456"/>
      <c r="U334" s="456"/>
      <c r="V334" s="456"/>
      <c r="W334" s="456"/>
      <c r="X334" s="456"/>
      <c r="Y334" s="456"/>
      <c r="Z334" s="456"/>
    </row>
    <row r="335" spans="1:26" ht="11.25" customHeight="1">
      <c r="A335" s="456"/>
      <c r="B335" s="456"/>
      <c r="C335" s="456"/>
      <c r="D335" s="456"/>
      <c r="E335" s="456"/>
      <c r="F335" s="456"/>
      <c r="G335" s="456"/>
      <c r="H335" s="456"/>
      <c r="I335" s="456"/>
      <c r="J335" s="456"/>
      <c r="K335" s="456"/>
      <c r="L335" s="456"/>
      <c r="M335" s="456"/>
      <c r="N335" s="456"/>
      <c r="O335" s="456"/>
      <c r="P335" s="456"/>
      <c r="Q335" s="456"/>
      <c r="R335" s="456"/>
      <c r="S335" s="456"/>
      <c r="T335" s="456"/>
      <c r="U335" s="456"/>
      <c r="V335" s="456"/>
      <c r="W335" s="456"/>
      <c r="X335" s="456"/>
      <c r="Y335" s="456"/>
      <c r="Z335" s="456"/>
    </row>
    <row r="336" spans="1:26" ht="11.25" customHeight="1">
      <c r="A336" s="456"/>
      <c r="B336" s="456"/>
      <c r="C336" s="456"/>
      <c r="D336" s="456"/>
      <c r="E336" s="456"/>
      <c r="F336" s="456"/>
      <c r="G336" s="456"/>
      <c r="H336" s="456"/>
      <c r="I336" s="456"/>
      <c r="J336" s="456"/>
      <c r="K336" s="456"/>
      <c r="L336" s="456"/>
      <c r="M336" s="456"/>
      <c r="N336" s="456"/>
      <c r="O336" s="456"/>
      <c r="P336" s="456"/>
      <c r="Q336" s="456"/>
      <c r="R336" s="456"/>
      <c r="S336" s="456"/>
      <c r="T336" s="456"/>
      <c r="U336" s="456"/>
      <c r="V336" s="456"/>
      <c r="W336" s="456"/>
      <c r="X336" s="456"/>
      <c r="Y336" s="456"/>
      <c r="Z336" s="456"/>
    </row>
    <row r="337" spans="1:26" ht="11.25" customHeight="1">
      <c r="A337" s="456"/>
      <c r="B337" s="456"/>
      <c r="C337" s="456"/>
      <c r="D337" s="456"/>
      <c r="E337" s="456"/>
      <c r="F337" s="456"/>
      <c r="G337" s="456"/>
      <c r="H337" s="456"/>
      <c r="I337" s="456"/>
      <c r="J337" s="456"/>
      <c r="K337" s="456"/>
      <c r="L337" s="456"/>
      <c r="M337" s="456"/>
      <c r="N337" s="456"/>
      <c r="O337" s="456"/>
      <c r="P337" s="456"/>
      <c r="Q337" s="456"/>
      <c r="R337" s="456"/>
      <c r="S337" s="456"/>
      <c r="T337" s="456"/>
      <c r="U337" s="456"/>
      <c r="V337" s="456"/>
      <c r="W337" s="456"/>
      <c r="X337" s="456"/>
      <c r="Y337" s="456"/>
      <c r="Z337" s="456"/>
    </row>
    <row r="338" spans="1:26" ht="11.25" customHeight="1">
      <c r="A338" s="456"/>
      <c r="B338" s="456"/>
      <c r="C338" s="456"/>
      <c r="D338" s="456"/>
      <c r="E338" s="456"/>
      <c r="F338" s="456"/>
      <c r="G338" s="456"/>
      <c r="H338" s="456"/>
      <c r="I338" s="456"/>
      <c r="J338" s="456"/>
      <c r="K338" s="456"/>
      <c r="L338" s="456"/>
      <c r="M338" s="456"/>
      <c r="N338" s="456"/>
      <c r="O338" s="456"/>
      <c r="P338" s="456"/>
      <c r="Q338" s="456"/>
      <c r="R338" s="456"/>
      <c r="S338" s="456"/>
      <c r="T338" s="456"/>
      <c r="U338" s="456"/>
      <c r="V338" s="456"/>
      <c r="W338" s="456"/>
      <c r="X338" s="456"/>
      <c r="Y338" s="456"/>
      <c r="Z338" s="456"/>
    </row>
    <row r="339" spans="1:26" ht="11.25" customHeight="1">
      <c r="A339" s="456"/>
      <c r="B339" s="456"/>
      <c r="C339" s="456"/>
      <c r="D339" s="456"/>
      <c r="E339" s="456"/>
      <c r="F339" s="456"/>
      <c r="G339" s="456"/>
      <c r="H339" s="456"/>
      <c r="I339" s="456"/>
      <c r="J339" s="456"/>
      <c r="K339" s="456"/>
      <c r="L339" s="456"/>
      <c r="M339" s="456"/>
      <c r="N339" s="456"/>
      <c r="O339" s="456"/>
      <c r="P339" s="456"/>
      <c r="Q339" s="456"/>
      <c r="R339" s="456"/>
      <c r="S339" s="456"/>
      <c r="T339" s="456"/>
      <c r="U339" s="456"/>
      <c r="V339" s="456"/>
      <c r="W339" s="456"/>
      <c r="X339" s="456"/>
      <c r="Y339" s="456"/>
      <c r="Z339" s="456"/>
    </row>
    <row r="340" spans="1:26" ht="11.25" customHeight="1">
      <c r="A340" s="456"/>
      <c r="B340" s="456"/>
      <c r="C340" s="456"/>
      <c r="D340" s="456"/>
      <c r="E340" s="456"/>
      <c r="F340" s="456"/>
      <c r="G340" s="456"/>
      <c r="H340" s="456"/>
      <c r="I340" s="456"/>
      <c r="J340" s="456"/>
      <c r="K340" s="456"/>
      <c r="L340" s="456"/>
      <c r="M340" s="456"/>
      <c r="N340" s="456"/>
      <c r="O340" s="456"/>
      <c r="P340" s="456"/>
      <c r="Q340" s="456"/>
      <c r="R340" s="456"/>
      <c r="S340" s="456"/>
      <c r="T340" s="456"/>
      <c r="U340" s="456"/>
      <c r="V340" s="456"/>
      <c r="W340" s="456"/>
      <c r="X340" s="456"/>
      <c r="Y340" s="456"/>
      <c r="Z340" s="456"/>
    </row>
    <row r="341" spans="1:26" ht="11.25" customHeight="1">
      <c r="A341" s="456"/>
      <c r="B341" s="456"/>
      <c r="C341" s="456"/>
      <c r="D341" s="456"/>
      <c r="E341" s="456"/>
      <c r="F341" s="456"/>
      <c r="G341" s="456"/>
      <c r="H341" s="456"/>
      <c r="I341" s="456"/>
      <c r="J341" s="456"/>
      <c r="K341" s="456"/>
      <c r="L341" s="456"/>
      <c r="M341" s="456"/>
      <c r="N341" s="456"/>
      <c r="O341" s="456"/>
      <c r="P341" s="456"/>
      <c r="Q341" s="456"/>
      <c r="R341" s="456"/>
      <c r="S341" s="456"/>
      <c r="T341" s="456"/>
      <c r="U341" s="456"/>
      <c r="V341" s="456"/>
      <c r="W341" s="456"/>
      <c r="X341" s="456"/>
      <c r="Y341" s="456"/>
      <c r="Z341" s="456"/>
    </row>
    <row r="342" spans="1:26" ht="11.25" customHeight="1">
      <c r="A342" s="456"/>
      <c r="B342" s="456"/>
      <c r="C342" s="456"/>
      <c r="D342" s="456"/>
      <c r="E342" s="456"/>
      <c r="F342" s="456"/>
      <c r="G342" s="456"/>
      <c r="H342" s="456"/>
      <c r="I342" s="456"/>
      <c r="J342" s="456"/>
      <c r="K342" s="456"/>
      <c r="L342" s="456"/>
      <c r="M342" s="456"/>
      <c r="N342" s="456"/>
      <c r="O342" s="456"/>
      <c r="P342" s="456"/>
      <c r="Q342" s="456"/>
      <c r="R342" s="456"/>
      <c r="S342" s="456"/>
      <c r="T342" s="456"/>
      <c r="U342" s="456"/>
      <c r="V342" s="456"/>
      <c r="W342" s="456"/>
      <c r="X342" s="456"/>
      <c r="Y342" s="456"/>
      <c r="Z342" s="456"/>
    </row>
    <row r="343" spans="1:26" ht="11.25" customHeight="1">
      <c r="A343" s="456"/>
      <c r="B343" s="456"/>
      <c r="C343" s="456"/>
      <c r="D343" s="456"/>
      <c r="E343" s="456"/>
      <c r="F343" s="456"/>
      <c r="G343" s="456"/>
      <c r="H343" s="456"/>
      <c r="I343" s="456"/>
      <c r="J343" s="456"/>
      <c r="K343" s="456"/>
      <c r="L343" s="456"/>
      <c r="M343" s="456"/>
      <c r="N343" s="456"/>
      <c r="O343" s="456"/>
      <c r="P343" s="456"/>
      <c r="Q343" s="456"/>
      <c r="R343" s="456"/>
      <c r="S343" s="456"/>
      <c r="T343" s="456"/>
      <c r="U343" s="456"/>
      <c r="V343" s="456"/>
      <c r="W343" s="456"/>
      <c r="X343" s="456"/>
      <c r="Y343" s="456"/>
      <c r="Z343" s="456"/>
    </row>
    <row r="344" spans="1:26" ht="11.25" customHeight="1">
      <c r="A344" s="456"/>
      <c r="B344" s="456"/>
      <c r="C344" s="456"/>
      <c r="D344" s="456"/>
      <c r="E344" s="456"/>
      <c r="F344" s="456"/>
      <c r="G344" s="456"/>
      <c r="H344" s="456"/>
      <c r="I344" s="456"/>
      <c r="J344" s="456"/>
      <c r="K344" s="456"/>
      <c r="L344" s="456"/>
      <c r="M344" s="456"/>
      <c r="N344" s="456"/>
      <c r="O344" s="456"/>
      <c r="P344" s="456"/>
      <c r="Q344" s="456"/>
      <c r="R344" s="456"/>
      <c r="S344" s="456"/>
      <c r="T344" s="456"/>
      <c r="U344" s="456"/>
      <c r="V344" s="456"/>
      <c r="W344" s="456"/>
      <c r="X344" s="456"/>
      <c r="Y344" s="456"/>
      <c r="Z344" s="456"/>
    </row>
    <row r="345" spans="1:26" ht="11.25" customHeight="1">
      <c r="A345" s="456"/>
      <c r="B345" s="456"/>
      <c r="C345" s="456"/>
      <c r="D345" s="456"/>
      <c r="E345" s="456"/>
      <c r="F345" s="456"/>
      <c r="G345" s="456"/>
      <c r="H345" s="456"/>
      <c r="I345" s="456"/>
      <c r="J345" s="456"/>
      <c r="K345" s="456"/>
      <c r="L345" s="456"/>
      <c r="M345" s="456"/>
      <c r="N345" s="456"/>
      <c r="O345" s="456"/>
      <c r="P345" s="456"/>
      <c r="Q345" s="456"/>
      <c r="R345" s="456"/>
      <c r="S345" s="456"/>
      <c r="T345" s="456"/>
      <c r="U345" s="456"/>
      <c r="V345" s="456"/>
      <c r="W345" s="456"/>
      <c r="X345" s="456"/>
      <c r="Y345" s="456"/>
      <c r="Z345" s="456"/>
    </row>
    <row r="346" spans="1:26" ht="11.25" customHeight="1">
      <c r="A346" s="456"/>
      <c r="B346" s="456"/>
      <c r="C346" s="456"/>
      <c r="D346" s="456"/>
      <c r="E346" s="456"/>
      <c r="F346" s="456"/>
      <c r="G346" s="456"/>
      <c r="H346" s="456"/>
      <c r="I346" s="456"/>
      <c r="J346" s="456"/>
      <c r="K346" s="456"/>
      <c r="L346" s="456"/>
      <c r="M346" s="456"/>
      <c r="N346" s="456"/>
      <c r="O346" s="456"/>
      <c r="P346" s="456"/>
      <c r="Q346" s="456"/>
      <c r="R346" s="456"/>
      <c r="S346" s="456"/>
      <c r="T346" s="456"/>
      <c r="U346" s="456"/>
      <c r="V346" s="456"/>
      <c r="W346" s="456"/>
      <c r="X346" s="456"/>
      <c r="Y346" s="456"/>
      <c r="Z346" s="456"/>
    </row>
    <row r="347" spans="1:26" ht="11.25" customHeight="1">
      <c r="A347" s="456"/>
      <c r="B347" s="456"/>
      <c r="C347" s="456"/>
      <c r="D347" s="456"/>
      <c r="E347" s="456"/>
      <c r="F347" s="456"/>
      <c r="G347" s="456"/>
      <c r="H347" s="456"/>
      <c r="I347" s="456"/>
      <c r="J347" s="456"/>
      <c r="K347" s="456"/>
      <c r="L347" s="456"/>
      <c r="M347" s="456"/>
      <c r="N347" s="456"/>
      <c r="O347" s="456"/>
      <c r="P347" s="456"/>
      <c r="Q347" s="456"/>
      <c r="R347" s="456"/>
      <c r="S347" s="456"/>
      <c r="T347" s="456"/>
      <c r="U347" s="456"/>
      <c r="V347" s="456"/>
      <c r="W347" s="456"/>
      <c r="X347" s="456"/>
      <c r="Y347" s="456"/>
      <c r="Z347" s="456"/>
    </row>
    <row r="348" spans="1:26" ht="11.25" customHeight="1">
      <c r="A348" s="456"/>
      <c r="B348" s="456"/>
      <c r="C348" s="456"/>
      <c r="D348" s="456"/>
      <c r="E348" s="456"/>
      <c r="F348" s="456"/>
      <c r="G348" s="456"/>
      <c r="H348" s="456"/>
      <c r="I348" s="456"/>
      <c r="J348" s="456"/>
      <c r="K348" s="456"/>
      <c r="L348" s="456"/>
      <c r="M348" s="456"/>
      <c r="N348" s="456"/>
      <c r="O348" s="456"/>
      <c r="P348" s="456"/>
      <c r="Q348" s="456"/>
      <c r="R348" s="456"/>
      <c r="S348" s="456"/>
      <c r="T348" s="456"/>
      <c r="U348" s="456"/>
      <c r="V348" s="456"/>
      <c r="W348" s="456"/>
      <c r="X348" s="456"/>
      <c r="Y348" s="456"/>
      <c r="Z348" s="456"/>
    </row>
    <row r="349" spans="1:26" ht="11.25" customHeight="1">
      <c r="A349" s="456"/>
      <c r="B349" s="456"/>
      <c r="C349" s="456"/>
      <c r="D349" s="456"/>
      <c r="E349" s="456"/>
      <c r="F349" s="456"/>
      <c r="G349" s="456"/>
      <c r="H349" s="456"/>
      <c r="I349" s="456"/>
      <c r="J349" s="456"/>
      <c r="K349" s="456"/>
      <c r="L349" s="456"/>
      <c r="M349" s="456"/>
      <c r="N349" s="456"/>
      <c r="O349" s="456"/>
      <c r="P349" s="456"/>
      <c r="Q349" s="456"/>
      <c r="R349" s="456"/>
      <c r="S349" s="456"/>
      <c r="T349" s="456"/>
      <c r="U349" s="456"/>
      <c r="V349" s="456"/>
      <c r="W349" s="456"/>
      <c r="X349" s="456"/>
      <c r="Y349" s="456"/>
      <c r="Z349" s="456"/>
    </row>
    <row r="350" spans="1:26" ht="11.25" customHeight="1">
      <c r="A350" s="456"/>
      <c r="B350" s="456"/>
      <c r="C350" s="456"/>
      <c r="D350" s="456"/>
      <c r="E350" s="456"/>
      <c r="F350" s="456"/>
      <c r="G350" s="456"/>
      <c r="H350" s="456"/>
      <c r="I350" s="456"/>
      <c r="J350" s="456"/>
      <c r="K350" s="456"/>
      <c r="L350" s="456"/>
      <c r="M350" s="456"/>
      <c r="N350" s="456"/>
      <c r="O350" s="456"/>
      <c r="P350" s="456"/>
      <c r="Q350" s="456"/>
      <c r="R350" s="456"/>
      <c r="S350" s="456"/>
      <c r="T350" s="456"/>
      <c r="U350" s="456"/>
      <c r="V350" s="456"/>
      <c r="W350" s="456"/>
      <c r="X350" s="456"/>
      <c r="Y350" s="456"/>
      <c r="Z350" s="456"/>
    </row>
    <row r="351" spans="1:26" ht="11.25" customHeight="1">
      <c r="A351" s="456"/>
      <c r="B351" s="456"/>
      <c r="C351" s="456"/>
      <c r="D351" s="456"/>
      <c r="E351" s="456"/>
      <c r="F351" s="456"/>
      <c r="G351" s="456"/>
      <c r="H351" s="456"/>
      <c r="I351" s="456"/>
      <c r="J351" s="456"/>
      <c r="K351" s="456"/>
      <c r="L351" s="456"/>
      <c r="M351" s="456"/>
      <c r="N351" s="456"/>
      <c r="O351" s="456"/>
      <c r="P351" s="456"/>
      <c r="Q351" s="456"/>
      <c r="R351" s="456"/>
      <c r="S351" s="456"/>
      <c r="T351" s="456"/>
      <c r="U351" s="456"/>
      <c r="V351" s="456"/>
      <c r="W351" s="456"/>
      <c r="X351" s="456"/>
      <c r="Y351" s="456"/>
      <c r="Z351" s="456"/>
    </row>
    <row r="352" spans="1:26" ht="11.25" customHeight="1">
      <c r="A352" s="456"/>
      <c r="B352" s="456"/>
      <c r="C352" s="456"/>
      <c r="D352" s="456"/>
      <c r="E352" s="456"/>
      <c r="F352" s="456"/>
      <c r="G352" s="456"/>
      <c r="H352" s="456"/>
      <c r="I352" s="456"/>
      <c r="J352" s="456"/>
      <c r="K352" s="456"/>
      <c r="L352" s="456"/>
      <c r="M352" s="456"/>
      <c r="N352" s="456"/>
      <c r="O352" s="456"/>
      <c r="P352" s="456"/>
      <c r="Q352" s="456"/>
      <c r="R352" s="456"/>
      <c r="S352" s="456"/>
      <c r="T352" s="456"/>
      <c r="U352" s="456"/>
      <c r="V352" s="456"/>
      <c r="W352" s="456"/>
      <c r="X352" s="456"/>
      <c r="Y352" s="456"/>
      <c r="Z352" s="456"/>
    </row>
    <row r="353" spans="1:26" ht="11.25" customHeight="1">
      <c r="A353" s="456"/>
      <c r="B353" s="456"/>
      <c r="C353" s="456"/>
      <c r="D353" s="456"/>
      <c r="E353" s="456"/>
      <c r="F353" s="456"/>
      <c r="G353" s="456"/>
      <c r="H353" s="456"/>
      <c r="I353" s="456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  <c r="Z353" s="456"/>
    </row>
    <row r="354" spans="1:26" ht="11.25" customHeight="1">
      <c r="A354" s="456"/>
      <c r="B354" s="456"/>
      <c r="C354" s="456"/>
      <c r="D354" s="456"/>
      <c r="E354" s="456"/>
      <c r="F354" s="456"/>
      <c r="G354" s="456"/>
      <c r="H354" s="456"/>
      <c r="I354" s="456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  <c r="Z354" s="456"/>
    </row>
    <row r="355" spans="1:26" ht="11.25" customHeight="1">
      <c r="A355" s="456"/>
      <c r="B355" s="456"/>
      <c r="C355" s="456"/>
      <c r="D355" s="456"/>
      <c r="E355" s="456"/>
      <c r="F355" s="456"/>
      <c r="G355" s="456"/>
      <c r="H355" s="456"/>
      <c r="I355" s="456"/>
      <c r="J355" s="456"/>
      <c r="K355" s="456"/>
      <c r="L355" s="456"/>
      <c r="M355" s="456"/>
      <c r="N355" s="456"/>
      <c r="O355" s="456"/>
      <c r="P355" s="456"/>
      <c r="Q355" s="456"/>
      <c r="R355" s="456"/>
      <c r="S355" s="456"/>
      <c r="T355" s="456"/>
      <c r="U355" s="456"/>
      <c r="V355" s="456"/>
      <c r="W355" s="456"/>
      <c r="X355" s="456"/>
      <c r="Y355" s="456"/>
      <c r="Z355" s="456"/>
    </row>
    <row r="356" spans="1:26" ht="11.25" customHeight="1">
      <c r="A356" s="456"/>
      <c r="B356" s="456"/>
      <c r="C356" s="456"/>
      <c r="D356" s="456"/>
      <c r="E356" s="456"/>
      <c r="F356" s="456"/>
      <c r="G356" s="456"/>
      <c r="H356" s="456"/>
      <c r="I356" s="456"/>
      <c r="J356" s="456"/>
      <c r="K356" s="456"/>
      <c r="L356" s="456"/>
      <c r="M356" s="456"/>
      <c r="N356" s="456"/>
      <c r="O356" s="456"/>
      <c r="P356" s="456"/>
      <c r="Q356" s="456"/>
      <c r="R356" s="456"/>
      <c r="S356" s="456"/>
      <c r="T356" s="456"/>
      <c r="U356" s="456"/>
      <c r="V356" s="456"/>
      <c r="W356" s="456"/>
      <c r="X356" s="456"/>
      <c r="Y356" s="456"/>
      <c r="Z356" s="456"/>
    </row>
    <row r="357" spans="1:26" ht="11.25" customHeight="1">
      <c r="A357" s="456"/>
      <c r="B357" s="456"/>
      <c r="C357" s="456"/>
      <c r="D357" s="456"/>
      <c r="E357" s="456"/>
      <c r="F357" s="456"/>
      <c r="G357" s="456"/>
      <c r="H357" s="456"/>
      <c r="I357" s="456"/>
      <c r="J357" s="456"/>
      <c r="K357" s="456"/>
      <c r="L357" s="456"/>
      <c r="M357" s="456"/>
      <c r="N357" s="456"/>
      <c r="O357" s="456"/>
      <c r="P357" s="456"/>
      <c r="Q357" s="456"/>
      <c r="R357" s="456"/>
      <c r="S357" s="456"/>
      <c r="T357" s="456"/>
      <c r="U357" s="456"/>
      <c r="V357" s="456"/>
      <c r="W357" s="456"/>
      <c r="X357" s="456"/>
      <c r="Y357" s="456"/>
      <c r="Z357" s="456"/>
    </row>
    <row r="358" spans="1:26" ht="11.25" customHeight="1">
      <c r="A358" s="456"/>
      <c r="B358" s="456"/>
      <c r="C358" s="456"/>
      <c r="D358" s="456"/>
      <c r="E358" s="456"/>
      <c r="F358" s="456"/>
      <c r="G358" s="456"/>
      <c r="H358" s="456"/>
      <c r="I358" s="456"/>
      <c r="J358" s="456"/>
      <c r="K358" s="456"/>
      <c r="L358" s="456"/>
      <c r="M358" s="456"/>
      <c r="N358" s="456"/>
      <c r="O358" s="456"/>
      <c r="P358" s="456"/>
      <c r="Q358" s="456"/>
      <c r="R358" s="456"/>
      <c r="S358" s="456"/>
      <c r="T358" s="456"/>
      <c r="U358" s="456"/>
      <c r="V358" s="456"/>
      <c r="W358" s="456"/>
      <c r="X358" s="456"/>
      <c r="Y358" s="456"/>
      <c r="Z358" s="456"/>
    </row>
    <row r="359" spans="1:26" ht="11.25" customHeight="1">
      <c r="A359" s="456"/>
      <c r="B359" s="456"/>
      <c r="C359" s="456"/>
      <c r="D359" s="456"/>
      <c r="E359" s="456"/>
      <c r="F359" s="456"/>
      <c r="G359" s="456"/>
      <c r="H359" s="456"/>
      <c r="I359" s="456"/>
      <c r="J359" s="456"/>
      <c r="K359" s="456"/>
      <c r="L359" s="456"/>
      <c r="M359" s="456"/>
      <c r="N359" s="456"/>
      <c r="O359" s="456"/>
      <c r="P359" s="456"/>
      <c r="Q359" s="456"/>
      <c r="R359" s="456"/>
      <c r="S359" s="456"/>
      <c r="T359" s="456"/>
      <c r="U359" s="456"/>
      <c r="V359" s="456"/>
      <c r="W359" s="456"/>
      <c r="X359" s="456"/>
      <c r="Y359" s="456"/>
      <c r="Z359" s="456"/>
    </row>
    <row r="360" spans="1:26" ht="11.25" customHeight="1">
      <c r="A360" s="456"/>
      <c r="B360" s="456"/>
      <c r="C360" s="456"/>
      <c r="D360" s="456"/>
      <c r="E360" s="456"/>
      <c r="F360" s="456"/>
      <c r="G360" s="456"/>
      <c r="H360" s="456"/>
      <c r="I360" s="456"/>
      <c r="J360" s="456"/>
      <c r="K360" s="456"/>
      <c r="L360" s="456"/>
      <c r="M360" s="456"/>
      <c r="N360" s="456"/>
      <c r="O360" s="456"/>
      <c r="P360" s="456"/>
      <c r="Q360" s="456"/>
      <c r="R360" s="456"/>
      <c r="S360" s="456"/>
      <c r="T360" s="456"/>
      <c r="U360" s="456"/>
      <c r="V360" s="456"/>
      <c r="W360" s="456"/>
      <c r="X360" s="456"/>
      <c r="Y360" s="456"/>
      <c r="Z360" s="456"/>
    </row>
    <row r="361" spans="1:26" ht="11.25" customHeight="1">
      <c r="A361" s="456"/>
      <c r="B361" s="456"/>
      <c r="C361" s="456"/>
      <c r="D361" s="456"/>
      <c r="E361" s="456"/>
      <c r="F361" s="456"/>
      <c r="G361" s="456"/>
      <c r="H361" s="456"/>
      <c r="I361" s="456"/>
      <c r="J361" s="456"/>
      <c r="K361" s="456"/>
      <c r="L361" s="456"/>
      <c r="M361" s="456"/>
      <c r="N361" s="456"/>
      <c r="O361" s="456"/>
      <c r="P361" s="456"/>
      <c r="Q361" s="456"/>
      <c r="R361" s="456"/>
      <c r="S361" s="456"/>
      <c r="T361" s="456"/>
      <c r="U361" s="456"/>
      <c r="V361" s="456"/>
      <c r="W361" s="456"/>
      <c r="X361" s="456"/>
      <c r="Y361" s="456"/>
      <c r="Z361" s="456"/>
    </row>
    <row r="362" spans="1:26" ht="11.25" customHeight="1">
      <c r="A362" s="456"/>
      <c r="B362" s="456"/>
      <c r="C362" s="456"/>
      <c r="D362" s="456"/>
      <c r="E362" s="456"/>
      <c r="F362" s="456"/>
      <c r="G362" s="456"/>
      <c r="H362" s="456"/>
      <c r="I362" s="456"/>
      <c r="J362" s="456"/>
      <c r="K362" s="456"/>
      <c r="L362" s="456"/>
      <c r="M362" s="456"/>
      <c r="N362" s="456"/>
      <c r="O362" s="456"/>
      <c r="P362" s="456"/>
      <c r="Q362" s="456"/>
      <c r="R362" s="456"/>
      <c r="S362" s="456"/>
      <c r="T362" s="456"/>
      <c r="U362" s="456"/>
      <c r="V362" s="456"/>
      <c r="W362" s="456"/>
      <c r="X362" s="456"/>
      <c r="Y362" s="456"/>
      <c r="Z362" s="456"/>
    </row>
    <row r="363" spans="1:26" ht="11.25" customHeight="1">
      <c r="A363" s="456"/>
      <c r="B363" s="456"/>
      <c r="C363" s="456"/>
      <c r="D363" s="456"/>
      <c r="E363" s="456"/>
      <c r="F363" s="456"/>
      <c r="G363" s="456"/>
      <c r="H363" s="456"/>
      <c r="I363" s="456"/>
      <c r="J363" s="456"/>
      <c r="K363" s="456"/>
      <c r="L363" s="456"/>
      <c r="M363" s="456"/>
      <c r="N363" s="456"/>
      <c r="O363" s="456"/>
      <c r="P363" s="456"/>
      <c r="Q363" s="456"/>
      <c r="R363" s="456"/>
      <c r="S363" s="456"/>
      <c r="T363" s="456"/>
      <c r="U363" s="456"/>
      <c r="V363" s="456"/>
      <c r="W363" s="456"/>
      <c r="X363" s="456"/>
      <c r="Y363" s="456"/>
      <c r="Z363" s="456"/>
    </row>
    <row r="364" spans="1:26" ht="11.25" customHeight="1">
      <c r="A364" s="456"/>
      <c r="B364" s="456"/>
      <c r="C364" s="456"/>
      <c r="D364" s="456"/>
      <c r="E364" s="456"/>
      <c r="F364" s="456"/>
      <c r="G364" s="456"/>
      <c r="H364" s="456"/>
      <c r="I364" s="456"/>
      <c r="J364" s="456"/>
      <c r="K364" s="456"/>
      <c r="L364" s="456"/>
      <c r="M364" s="456"/>
      <c r="N364" s="456"/>
      <c r="O364" s="456"/>
      <c r="P364" s="456"/>
      <c r="Q364" s="456"/>
      <c r="R364" s="456"/>
      <c r="S364" s="456"/>
      <c r="T364" s="456"/>
      <c r="U364" s="456"/>
      <c r="V364" s="456"/>
      <c r="W364" s="456"/>
      <c r="X364" s="456"/>
      <c r="Y364" s="456"/>
      <c r="Z364" s="456"/>
    </row>
    <row r="365" spans="1:26" ht="11.25" customHeight="1">
      <c r="A365" s="456"/>
      <c r="B365" s="456"/>
      <c r="C365" s="456"/>
      <c r="D365" s="456"/>
      <c r="E365" s="456"/>
      <c r="F365" s="456"/>
      <c r="G365" s="456"/>
      <c r="H365" s="456"/>
      <c r="I365" s="456"/>
      <c r="J365" s="456"/>
      <c r="K365" s="456"/>
      <c r="L365" s="456"/>
      <c r="M365" s="456"/>
      <c r="N365" s="456"/>
      <c r="O365" s="456"/>
      <c r="P365" s="456"/>
      <c r="Q365" s="456"/>
      <c r="R365" s="456"/>
      <c r="S365" s="456"/>
      <c r="T365" s="456"/>
      <c r="U365" s="456"/>
      <c r="V365" s="456"/>
      <c r="W365" s="456"/>
      <c r="X365" s="456"/>
      <c r="Y365" s="456"/>
      <c r="Z365" s="456"/>
    </row>
    <row r="366" spans="1:26" ht="11.25" customHeight="1">
      <c r="A366" s="456"/>
      <c r="B366" s="456"/>
      <c r="C366" s="456"/>
      <c r="D366" s="456"/>
      <c r="E366" s="456"/>
      <c r="F366" s="456"/>
      <c r="G366" s="456"/>
      <c r="H366" s="456"/>
      <c r="I366" s="456"/>
      <c r="J366" s="456"/>
      <c r="K366" s="456"/>
      <c r="L366" s="456"/>
      <c r="M366" s="456"/>
      <c r="N366" s="456"/>
      <c r="O366" s="456"/>
      <c r="P366" s="456"/>
      <c r="Q366" s="456"/>
      <c r="R366" s="456"/>
      <c r="S366" s="456"/>
      <c r="T366" s="456"/>
      <c r="U366" s="456"/>
      <c r="V366" s="456"/>
      <c r="W366" s="456"/>
      <c r="X366" s="456"/>
      <c r="Y366" s="456"/>
      <c r="Z366" s="456"/>
    </row>
    <row r="367" spans="1:26" ht="11.25" customHeight="1">
      <c r="A367" s="456"/>
      <c r="B367" s="456"/>
      <c r="C367" s="456"/>
      <c r="D367" s="456"/>
      <c r="E367" s="456"/>
      <c r="F367" s="456"/>
      <c r="G367" s="456"/>
      <c r="H367" s="456"/>
      <c r="I367" s="456"/>
      <c r="J367" s="456"/>
      <c r="K367" s="456"/>
      <c r="L367" s="456"/>
      <c r="M367" s="456"/>
      <c r="N367" s="456"/>
      <c r="O367" s="456"/>
      <c r="P367" s="456"/>
      <c r="Q367" s="456"/>
      <c r="R367" s="456"/>
      <c r="S367" s="456"/>
      <c r="T367" s="456"/>
      <c r="U367" s="456"/>
      <c r="V367" s="456"/>
      <c r="W367" s="456"/>
      <c r="X367" s="456"/>
      <c r="Y367" s="456"/>
      <c r="Z367" s="456"/>
    </row>
    <row r="368" spans="1:26" ht="11.25" customHeight="1">
      <c r="A368" s="456"/>
      <c r="B368" s="456"/>
      <c r="C368" s="456"/>
      <c r="D368" s="456"/>
      <c r="E368" s="456"/>
      <c r="F368" s="456"/>
      <c r="G368" s="456"/>
      <c r="H368" s="456"/>
      <c r="I368" s="456"/>
      <c r="J368" s="456"/>
      <c r="K368" s="456"/>
      <c r="L368" s="456"/>
      <c r="M368" s="456"/>
      <c r="N368" s="456"/>
      <c r="O368" s="456"/>
      <c r="P368" s="456"/>
      <c r="Q368" s="456"/>
      <c r="R368" s="456"/>
      <c r="S368" s="456"/>
      <c r="T368" s="456"/>
      <c r="U368" s="456"/>
      <c r="V368" s="456"/>
      <c r="W368" s="456"/>
      <c r="X368" s="456"/>
      <c r="Y368" s="456"/>
      <c r="Z368" s="456"/>
    </row>
    <row r="369" spans="1:26" ht="11.25" customHeight="1">
      <c r="A369" s="456"/>
      <c r="B369" s="456"/>
      <c r="C369" s="456"/>
      <c r="D369" s="456"/>
      <c r="E369" s="456"/>
      <c r="F369" s="456"/>
      <c r="G369" s="456"/>
      <c r="H369" s="456"/>
      <c r="I369" s="456"/>
      <c r="J369" s="456"/>
      <c r="K369" s="456"/>
      <c r="L369" s="456"/>
      <c r="M369" s="456"/>
      <c r="N369" s="456"/>
      <c r="O369" s="456"/>
      <c r="P369" s="456"/>
      <c r="Q369" s="456"/>
      <c r="R369" s="456"/>
      <c r="S369" s="456"/>
      <c r="T369" s="456"/>
      <c r="U369" s="456"/>
      <c r="V369" s="456"/>
      <c r="W369" s="456"/>
      <c r="X369" s="456"/>
      <c r="Y369" s="456"/>
      <c r="Z369" s="456"/>
    </row>
    <row r="370" spans="1:26" ht="11.25" customHeight="1">
      <c r="A370" s="456"/>
      <c r="B370" s="456"/>
      <c r="C370" s="456"/>
      <c r="D370" s="456"/>
      <c r="E370" s="456"/>
      <c r="F370" s="456"/>
      <c r="G370" s="456"/>
      <c r="H370" s="456"/>
      <c r="I370" s="456"/>
      <c r="J370" s="456"/>
      <c r="K370" s="456"/>
      <c r="L370" s="456"/>
      <c r="M370" s="456"/>
      <c r="N370" s="456"/>
      <c r="O370" s="456"/>
      <c r="P370" s="456"/>
      <c r="Q370" s="456"/>
      <c r="R370" s="456"/>
      <c r="S370" s="456"/>
      <c r="T370" s="456"/>
      <c r="U370" s="456"/>
      <c r="V370" s="456"/>
      <c r="W370" s="456"/>
      <c r="X370" s="456"/>
      <c r="Y370" s="456"/>
      <c r="Z370" s="456"/>
    </row>
    <row r="371" spans="1:26" ht="11.25" customHeight="1">
      <c r="A371" s="456"/>
      <c r="B371" s="456"/>
      <c r="C371" s="456"/>
      <c r="D371" s="456"/>
      <c r="E371" s="456"/>
      <c r="F371" s="456"/>
      <c r="G371" s="456"/>
      <c r="H371" s="456"/>
      <c r="I371" s="456"/>
      <c r="J371" s="456"/>
      <c r="K371" s="456"/>
      <c r="L371" s="456"/>
      <c r="M371" s="456"/>
      <c r="N371" s="456"/>
      <c r="O371" s="456"/>
      <c r="P371" s="456"/>
      <c r="Q371" s="456"/>
      <c r="R371" s="456"/>
      <c r="S371" s="456"/>
      <c r="T371" s="456"/>
      <c r="U371" s="456"/>
      <c r="V371" s="456"/>
      <c r="W371" s="456"/>
      <c r="X371" s="456"/>
      <c r="Y371" s="456"/>
      <c r="Z371" s="456"/>
    </row>
    <row r="372" spans="1:26" ht="11.25" customHeight="1">
      <c r="A372" s="456"/>
      <c r="B372" s="456"/>
      <c r="C372" s="456"/>
      <c r="D372" s="456"/>
      <c r="E372" s="456"/>
      <c r="F372" s="456"/>
      <c r="G372" s="456"/>
      <c r="H372" s="456"/>
      <c r="I372" s="456"/>
      <c r="J372" s="456"/>
      <c r="K372" s="456"/>
      <c r="L372" s="456"/>
      <c r="M372" s="456"/>
      <c r="N372" s="456"/>
      <c r="O372" s="456"/>
      <c r="P372" s="456"/>
      <c r="Q372" s="456"/>
      <c r="R372" s="456"/>
      <c r="S372" s="456"/>
      <c r="T372" s="456"/>
      <c r="U372" s="456"/>
      <c r="V372" s="456"/>
      <c r="W372" s="456"/>
      <c r="X372" s="456"/>
      <c r="Y372" s="456"/>
      <c r="Z372" s="456"/>
    </row>
    <row r="373" spans="1:26" ht="11.25" customHeight="1">
      <c r="A373" s="456"/>
      <c r="B373" s="456"/>
      <c r="C373" s="456"/>
      <c r="D373" s="456"/>
      <c r="E373" s="456"/>
      <c r="F373" s="456"/>
      <c r="G373" s="456"/>
      <c r="H373" s="456"/>
      <c r="I373" s="456"/>
      <c r="J373" s="456"/>
      <c r="K373" s="456"/>
      <c r="L373" s="456"/>
      <c r="M373" s="456"/>
      <c r="N373" s="456"/>
      <c r="O373" s="456"/>
      <c r="P373" s="456"/>
      <c r="Q373" s="456"/>
      <c r="R373" s="456"/>
      <c r="S373" s="456"/>
      <c r="T373" s="456"/>
      <c r="U373" s="456"/>
      <c r="V373" s="456"/>
      <c r="W373" s="456"/>
      <c r="X373" s="456"/>
      <c r="Y373" s="456"/>
      <c r="Z373" s="456"/>
    </row>
    <row r="374" spans="1:26" ht="11.25" customHeight="1">
      <c r="A374" s="456"/>
      <c r="B374" s="456"/>
      <c r="C374" s="456"/>
      <c r="D374" s="456"/>
      <c r="E374" s="456"/>
      <c r="F374" s="456"/>
      <c r="G374" s="456"/>
      <c r="H374" s="456"/>
      <c r="I374" s="456"/>
      <c r="J374" s="456"/>
      <c r="K374" s="456"/>
      <c r="L374" s="456"/>
      <c r="M374" s="456"/>
      <c r="N374" s="456"/>
      <c r="O374" s="456"/>
      <c r="P374" s="456"/>
      <c r="Q374" s="456"/>
      <c r="R374" s="456"/>
      <c r="S374" s="456"/>
      <c r="T374" s="456"/>
      <c r="U374" s="456"/>
      <c r="V374" s="456"/>
      <c r="W374" s="456"/>
      <c r="X374" s="456"/>
      <c r="Y374" s="456"/>
      <c r="Z374" s="456"/>
    </row>
    <row r="375" spans="1:26" ht="11.25" customHeight="1">
      <c r="A375" s="456"/>
      <c r="B375" s="456"/>
      <c r="C375" s="456"/>
      <c r="D375" s="456"/>
      <c r="E375" s="456"/>
      <c r="F375" s="456"/>
      <c r="G375" s="456"/>
      <c r="H375" s="456"/>
      <c r="I375" s="456"/>
      <c r="J375" s="456"/>
      <c r="K375" s="456"/>
      <c r="L375" s="456"/>
      <c r="M375" s="456"/>
      <c r="N375" s="456"/>
      <c r="O375" s="456"/>
      <c r="P375" s="456"/>
      <c r="Q375" s="456"/>
      <c r="R375" s="456"/>
      <c r="S375" s="456"/>
      <c r="T375" s="456"/>
      <c r="U375" s="456"/>
      <c r="V375" s="456"/>
      <c r="W375" s="456"/>
      <c r="X375" s="456"/>
      <c r="Y375" s="456"/>
      <c r="Z375" s="456"/>
    </row>
    <row r="376" spans="1:26" ht="11.25" customHeight="1">
      <c r="A376" s="456"/>
      <c r="B376" s="456"/>
      <c r="C376" s="456"/>
      <c r="D376" s="456"/>
      <c r="E376" s="456"/>
      <c r="F376" s="456"/>
      <c r="G376" s="456"/>
      <c r="H376" s="456"/>
      <c r="I376" s="456"/>
      <c r="J376" s="456"/>
      <c r="K376" s="456"/>
      <c r="L376" s="456"/>
      <c r="M376" s="456"/>
      <c r="N376" s="456"/>
      <c r="O376" s="456"/>
      <c r="P376" s="456"/>
      <c r="Q376" s="456"/>
      <c r="R376" s="456"/>
      <c r="S376" s="456"/>
      <c r="T376" s="456"/>
      <c r="U376" s="456"/>
      <c r="V376" s="456"/>
      <c r="W376" s="456"/>
      <c r="X376" s="456"/>
      <c r="Y376" s="456"/>
      <c r="Z376" s="456"/>
    </row>
    <row r="377" spans="1:26" ht="11.25" customHeight="1">
      <c r="A377" s="456"/>
      <c r="B377" s="456"/>
      <c r="C377" s="456"/>
      <c r="D377" s="456"/>
      <c r="E377" s="456"/>
      <c r="F377" s="456"/>
      <c r="G377" s="456"/>
      <c r="H377" s="456"/>
      <c r="I377" s="456"/>
      <c r="J377" s="456"/>
      <c r="K377" s="456"/>
      <c r="L377" s="456"/>
      <c r="M377" s="456"/>
      <c r="N377" s="456"/>
      <c r="O377" s="456"/>
      <c r="P377" s="456"/>
      <c r="Q377" s="456"/>
      <c r="R377" s="456"/>
      <c r="S377" s="456"/>
      <c r="T377" s="456"/>
      <c r="U377" s="456"/>
      <c r="V377" s="456"/>
      <c r="W377" s="456"/>
      <c r="X377" s="456"/>
      <c r="Y377" s="456"/>
      <c r="Z377" s="456"/>
    </row>
    <row r="378" spans="1:26" ht="11.25" customHeight="1">
      <c r="A378" s="456"/>
      <c r="B378" s="456"/>
      <c r="C378" s="456"/>
      <c r="D378" s="456"/>
      <c r="E378" s="456"/>
      <c r="F378" s="456"/>
      <c r="G378" s="456"/>
      <c r="H378" s="456"/>
      <c r="I378" s="456"/>
      <c r="J378" s="456"/>
      <c r="K378" s="456"/>
      <c r="L378" s="456"/>
      <c r="M378" s="456"/>
      <c r="N378" s="456"/>
      <c r="O378" s="456"/>
      <c r="P378" s="456"/>
      <c r="Q378" s="456"/>
      <c r="R378" s="456"/>
      <c r="S378" s="456"/>
      <c r="T378" s="456"/>
      <c r="U378" s="456"/>
      <c r="V378" s="456"/>
      <c r="W378" s="456"/>
      <c r="X378" s="456"/>
      <c r="Y378" s="456"/>
      <c r="Z378" s="456"/>
    </row>
    <row r="379" spans="1:26" ht="11.25" customHeight="1">
      <c r="A379" s="456"/>
      <c r="B379" s="456"/>
      <c r="C379" s="456"/>
      <c r="D379" s="456"/>
      <c r="E379" s="456"/>
      <c r="F379" s="456"/>
      <c r="G379" s="456"/>
      <c r="H379" s="456"/>
      <c r="I379" s="456"/>
      <c r="J379" s="456"/>
      <c r="K379" s="456"/>
      <c r="L379" s="456"/>
      <c r="M379" s="456"/>
      <c r="N379" s="456"/>
      <c r="O379" s="456"/>
      <c r="P379" s="456"/>
      <c r="Q379" s="456"/>
      <c r="R379" s="456"/>
      <c r="S379" s="456"/>
      <c r="T379" s="456"/>
      <c r="U379" s="456"/>
      <c r="V379" s="456"/>
      <c r="W379" s="456"/>
      <c r="X379" s="456"/>
      <c r="Y379" s="456"/>
      <c r="Z379" s="456"/>
    </row>
    <row r="380" spans="1:26" ht="11.25" customHeight="1">
      <c r="A380" s="456"/>
      <c r="B380" s="456"/>
      <c r="C380" s="456"/>
      <c r="D380" s="456"/>
      <c r="E380" s="456"/>
      <c r="F380" s="456"/>
      <c r="G380" s="456"/>
      <c r="H380" s="456"/>
      <c r="I380" s="456"/>
      <c r="J380" s="456"/>
      <c r="K380" s="456"/>
      <c r="L380" s="456"/>
      <c r="M380" s="456"/>
      <c r="N380" s="456"/>
      <c r="O380" s="456"/>
      <c r="P380" s="456"/>
      <c r="Q380" s="456"/>
      <c r="R380" s="456"/>
      <c r="S380" s="456"/>
      <c r="T380" s="456"/>
      <c r="U380" s="456"/>
      <c r="V380" s="456"/>
      <c r="W380" s="456"/>
      <c r="X380" s="456"/>
      <c r="Y380" s="456"/>
      <c r="Z380" s="456"/>
    </row>
    <row r="381" spans="1:26" ht="11.25" customHeight="1">
      <c r="A381" s="456"/>
      <c r="B381" s="456"/>
      <c r="C381" s="456"/>
      <c r="D381" s="456"/>
      <c r="E381" s="456"/>
      <c r="F381" s="456"/>
      <c r="G381" s="456"/>
      <c r="H381" s="456"/>
      <c r="I381" s="456"/>
      <c r="J381" s="456"/>
      <c r="K381" s="456"/>
      <c r="L381" s="456"/>
      <c r="M381" s="456"/>
      <c r="N381" s="456"/>
      <c r="O381" s="456"/>
      <c r="P381" s="456"/>
      <c r="Q381" s="456"/>
      <c r="R381" s="456"/>
      <c r="S381" s="456"/>
      <c r="T381" s="456"/>
      <c r="U381" s="456"/>
      <c r="V381" s="456"/>
      <c r="W381" s="456"/>
      <c r="X381" s="456"/>
      <c r="Y381" s="456"/>
      <c r="Z381" s="456"/>
    </row>
    <row r="382" spans="1:26" ht="11.25" customHeight="1">
      <c r="A382" s="456"/>
      <c r="B382" s="456"/>
      <c r="C382" s="456"/>
      <c r="D382" s="456"/>
      <c r="E382" s="456"/>
      <c r="F382" s="456"/>
      <c r="G382" s="456"/>
      <c r="H382" s="456"/>
      <c r="I382" s="456"/>
      <c r="J382" s="456"/>
      <c r="K382" s="456"/>
      <c r="L382" s="456"/>
      <c r="M382" s="456"/>
      <c r="N382" s="456"/>
      <c r="O382" s="456"/>
      <c r="P382" s="456"/>
      <c r="Q382" s="456"/>
      <c r="R382" s="456"/>
      <c r="S382" s="456"/>
      <c r="T382" s="456"/>
      <c r="U382" s="456"/>
      <c r="V382" s="456"/>
      <c r="W382" s="456"/>
      <c r="X382" s="456"/>
      <c r="Y382" s="456"/>
      <c r="Z382" s="456"/>
    </row>
    <row r="383" spans="1:26" ht="11.25" customHeight="1">
      <c r="A383" s="456"/>
      <c r="B383" s="456"/>
      <c r="C383" s="456"/>
      <c r="D383" s="456"/>
      <c r="E383" s="456"/>
      <c r="F383" s="456"/>
      <c r="G383" s="456"/>
      <c r="H383" s="456"/>
      <c r="I383" s="456"/>
      <c r="J383" s="456"/>
      <c r="K383" s="456"/>
      <c r="L383" s="456"/>
      <c r="M383" s="456"/>
      <c r="N383" s="456"/>
      <c r="O383" s="456"/>
      <c r="P383" s="456"/>
      <c r="Q383" s="456"/>
      <c r="R383" s="456"/>
      <c r="S383" s="456"/>
      <c r="T383" s="456"/>
      <c r="U383" s="456"/>
      <c r="V383" s="456"/>
      <c r="W383" s="456"/>
      <c r="X383" s="456"/>
      <c r="Y383" s="456"/>
      <c r="Z383" s="456"/>
    </row>
    <row r="384" spans="1:26" ht="11.25" customHeight="1">
      <c r="A384" s="456"/>
      <c r="B384" s="456"/>
      <c r="C384" s="456"/>
      <c r="D384" s="456"/>
      <c r="E384" s="456"/>
      <c r="F384" s="456"/>
      <c r="G384" s="456"/>
      <c r="H384" s="456"/>
      <c r="I384" s="456"/>
      <c r="J384" s="456"/>
      <c r="K384" s="456"/>
      <c r="L384" s="456"/>
      <c r="M384" s="456"/>
      <c r="N384" s="456"/>
      <c r="O384" s="456"/>
      <c r="P384" s="456"/>
      <c r="Q384" s="456"/>
      <c r="R384" s="456"/>
      <c r="S384" s="456"/>
      <c r="T384" s="456"/>
      <c r="U384" s="456"/>
      <c r="V384" s="456"/>
      <c r="W384" s="456"/>
      <c r="X384" s="456"/>
      <c r="Y384" s="456"/>
      <c r="Z384" s="456"/>
    </row>
    <row r="385" spans="1:26" ht="11.25" customHeight="1">
      <c r="A385" s="456"/>
      <c r="B385" s="456"/>
      <c r="C385" s="456"/>
      <c r="D385" s="456"/>
      <c r="E385" s="456"/>
      <c r="F385" s="456"/>
      <c r="G385" s="456"/>
      <c r="H385" s="456"/>
      <c r="I385" s="456"/>
      <c r="J385" s="456"/>
      <c r="K385" s="456"/>
      <c r="L385" s="456"/>
      <c r="M385" s="456"/>
      <c r="N385" s="456"/>
      <c r="O385" s="456"/>
      <c r="P385" s="456"/>
      <c r="Q385" s="456"/>
      <c r="R385" s="456"/>
      <c r="S385" s="456"/>
      <c r="T385" s="456"/>
      <c r="U385" s="456"/>
      <c r="V385" s="456"/>
      <c r="W385" s="456"/>
      <c r="X385" s="456"/>
      <c r="Y385" s="456"/>
      <c r="Z385" s="456"/>
    </row>
    <row r="386" spans="1:26" ht="11.25" customHeight="1">
      <c r="A386" s="456"/>
      <c r="B386" s="456"/>
      <c r="C386" s="456"/>
      <c r="D386" s="456"/>
      <c r="E386" s="456"/>
      <c r="F386" s="456"/>
      <c r="G386" s="456"/>
      <c r="H386" s="456"/>
      <c r="I386" s="456"/>
      <c r="J386" s="456"/>
      <c r="K386" s="456"/>
      <c r="L386" s="456"/>
      <c r="M386" s="456"/>
      <c r="N386" s="456"/>
      <c r="O386" s="456"/>
      <c r="P386" s="456"/>
      <c r="Q386" s="456"/>
      <c r="R386" s="456"/>
      <c r="S386" s="456"/>
      <c r="T386" s="456"/>
      <c r="U386" s="456"/>
      <c r="V386" s="456"/>
      <c r="W386" s="456"/>
      <c r="X386" s="456"/>
      <c r="Y386" s="456"/>
      <c r="Z386" s="456"/>
    </row>
    <row r="387" spans="1:26" ht="11.25" customHeight="1">
      <c r="A387" s="456"/>
      <c r="B387" s="456"/>
      <c r="C387" s="456"/>
      <c r="D387" s="456"/>
      <c r="E387" s="456"/>
      <c r="F387" s="456"/>
      <c r="G387" s="456"/>
      <c r="H387" s="456"/>
      <c r="I387" s="456"/>
      <c r="J387" s="456"/>
      <c r="K387" s="456"/>
      <c r="L387" s="456"/>
      <c r="M387" s="456"/>
      <c r="N387" s="456"/>
      <c r="O387" s="456"/>
      <c r="P387" s="456"/>
      <c r="Q387" s="456"/>
      <c r="R387" s="456"/>
      <c r="S387" s="456"/>
      <c r="T387" s="456"/>
      <c r="U387" s="456"/>
      <c r="V387" s="456"/>
      <c r="W387" s="456"/>
      <c r="X387" s="456"/>
      <c r="Y387" s="456"/>
      <c r="Z387" s="456"/>
    </row>
    <row r="388" spans="1:26" ht="11.25" customHeight="1">
      <c r="A388" s="456"/>
      <c r="B388" s="456"/>
      <c r="C388" s="456"/>
      <c r="D388" s="456"/>
      <c r="E388" s="456"/>
      <c r="F388" s="456"/>
      <c r="G388" s="456"/>
      <c r="H388" s="456"/>
      <c r="I388" s="456"/>
      <c r="J388" s="456"/>
      <c r="K388" s="456"/>
      <c r="L388" s="456"/>
      <c r="M388" s="456"/>
      <c r="N388" s="456"/>
      <c r="O388" s="456"/>
      <c r="P388" s="456"/>
      <c r="Q388" s="456"/>
      <c r="R388" s="456"/>
      <c r="S388" s="456"/>
      <c r="T388" s="456"/>
      <c r="U388" s="456"/>
      <c r="V388" s="456"/>
      <c r="W388" s="456"/>
      <c r="X388" s="456"/>
      <c r="Y388" s="456"/>
      <c r="Z388" s="456"/>
    </row>
    <row r="389" spans="1:26" ht="11.25" customHeight="1">
      <c r="A389" s="456"/>
      <c r="B389" s="456"/>
      <c r="C389" s="456"/>
      <c r="D389" s="456"/>
      <c r="E389" s="456"/>
      <c r="F389" s="456"/>
      <c r="G389" s="456"/>
      <c r="H389" s="456"/>
      <c r="I389" s="456"/>
      <c r="J389" s="456"/>
      <c r="K389" s="456"/>
      <c r="L389" s="456"/>
      <c r="M389" s="456"/>
      <c r="N389" s="456"/>
      <c r="O389" s="456"/>
      <c r="P389" s="456"/>
      <c r="Q389" s="456"/>
      <c r="R389" s="456"/>
      <c r="S389" s="456"/>
      <c r="T389" s="456"/>
      <c r="U389" s="456"/>
      <c r="V389" s="456"/>
      <c r="W389" s="456"/>
      <c r="X389" s="456"/>
      <c r="Y389" s="456"/>
      <c r="Z389" s="456"/>
    </row>
    <row r="390" spans="1:26" ht="11.25" customHeight="1">
      <c r="A390" s="456"/>
      <c r="B390" s="456"/>
      <c r="C390" s="456"/>
      <c r="D390" s="456"/>
      <c r="E390" s="456"/>
      <c r="F390" s="456"/>
      <c r="G390" s="456"/>
      <c r="H390" s="456"/>
      <c r="I390" s="456"/>
      <c r="J390" s="456"/>
      <c r="K390" s="456"/>
      <c r="L390" s="456"/>
      <c r="M390" s="456"/>
      <c r="N390" s="456"/>
      <c r="O390" s="456"/>
      <c r="P390" s="456"/>
      <c r="Q390" s="456"/>
      <c r="R390" s="456"/>
      <c r="S390" s="456"/>
      <c r="T390" s="456"/>
      <c r="U390" s="456"/>
      <c r="V390" s="456"/>
      <c r="W390" s="456"/>
      <c r="X390" s="456"/>
      <c r="Y390" s="456"/>
      <c r="Z390" s="456"/>
    </row>
    <row r="391" spans="1:26" ht="11.25" customHeight="1">
      <c r="A391" s="456"/>
      <c r="B391" s="456"/>
      <c r="C391" s="456"/>
      <c r="D391" s="456"/>
      <c r="E391" s="456"/>
      <c r="F391" s="456"/>
      <c r="G391" s="456"/>
      <c r="H391" s="456"/>
      <c r="I391" s="456"/>
      <c r="J391" s="456"/>
      <c r="K391" s="456"/>
      <c r="L391" s="456"/>
      <c r="M391" s="456"/>
      <c r="N391" s="456"/>
      <c r="O391" s="456"/>
      <c r="P391" s="456"/>
      <c r="Q391" s="456"/>
      <c r="R391" s="456"/>
      <c r="S391" s="456"/>
      <c r="T391" s="456"/>
      <c r="U391" s="456"/>
      <c r="V391" s="456"/>
      <c r="W391" s="456"/>
      <c r="X391" s="456"/>
      <c r="Y391" s="456"/>
      <c r="Z391" s="456"/>
    </row>
    <row r="392" spans="1:26" ht="11.25" customHeight="1">
      <c r="A392" s="456"/>
      <c r="B392" s="456"/>
      <c r="C392" s="456"/>
      <c r="D392" s="456"/>
      <c r="E392" s="456"/>
      <c r="F392" s="456"/>
      <c r="G392" s="456"/>
      <c r="H392" s="456"/>
      <c r="I392" s="456"/>
      <c r="J392" s="456"/>
      <c r="K392" s="456"/>
      <c r="L392" s="456"/>
      <c r="M392" s="456"/>
      <c r="N392" s="456"/>
      <c r="O392" s="456"/>
      <c r="P392" s="456"/>
      <c r="Q392" s="456"/>
      <c r="R392" s="456"/>
      <c r="S392" s="456"/>
      <c r="T392" s="456"/>
      <c r="U392" s="456"/>
      <c r="V392" s="456"/>
      <c r="W392" s="456"/>
      <c r="X392" s="456"/>
      <c r="Y392" s="456"/>
      <c r="Z392" s="456"/>
    </row>
    <row r="393" spans="1:26" ht="11.25" customHeight="1">
      <c r="A393" s="456"/>
      <c r="B393" s="456"/>
      <c r="C393" s="456"/>
      <c r="D393" s="456"/>
      <c r="E393" s="456"/>
      <c r="F393" s="456"/>
      <c r="G393" s="456"/>
      <c r="H393" s="456"/>
      <c r="I393" s="456"/>
      <c r="J393" s="456"/>
      <c r="K393" s="456"/>
      <c r="L393" s="456"/>
      <c r="M393" s="456"/>
      <c r="N393" s="456"/>
      <c r="O393" s="456"/>
      <c r="P393" s="456"/>
      <c r="Q393" s="456"/>
      <c r="R393" s="456"/>
      <c r="S393" s="456"/>
      <c r="T393" s="456"/>
      <c r="U393" s="456"/>
      <c r="V393" s="456"/>
      <c r="W393" s="456"/>
      <c r="X393" s="456"/>
      <c r="Y393" s="456"/>
      <c r="Z393" s="456"/>
    </row>
    <row r="394" spans="1:26" ht="11.25" customHeight="1">
      <c r="A394" s="456"/>
      <c r="B394" s="456"/>
      <c r="C394" s="456"/>
      <c r="D394" s="456"/>
      <c r="E394" s="456"/>
      <c r="F394" s="456"/>
      <c r="G394" s="456"/>
      <c r="H394" s="456"/>
      <c r="I394" s="456"/>
      <c r="J394" s="456"/>
      <c r="K394" s="456"/>
      <c r="L394" s="456"/>
      <c r="M394" s="456"/>
      <c r="N394" s="456"/>
      <c r="O394" s="456"/>
      <c r="P394" s="456"/>
      <c r="Q394" s="456"/>
      <c r="R394" s="456"/>
      <c r="S394" s="456"/>
      <c r="T394" s="456"/>
      <c r="U394" s="456"/>
      <c r="V394" s="456"/>
      <c r="W394" s="456"/>
      <c r="X394" s="456"/>
      <c r="Y394" s="456"/>
      <c r="Z394" s="456"/>
    </row>
    <row r="395" spans="1:26" ht="11.25" customHeight="1">
      <c r="A395" s="456"/>
      <c r="B395" s="456"/>
      <c r="C395" s="456"/>
      <c r="D395" s="456"/>
      <c r="E395" s="456"/>
      <c r="F395" s="456"/>
      <c r="G395" s="456"/>
      <c r="H395" s="456"/>
      <c r="I395" s="456"/>
      <c r="J395" s="456"/>
      <c r="K395" s="456"/>
      <c r="L395" s="456"/>
      <c r="M395" s="456"/>
      <c r="N395" s="456"/>
      <c r="O395" s="456"/>
      <c r="P395" s="456"/>
      <c r="Q395" s="456"/>
      <c r="R395" s="456"/>
      <c r="S395" s="456"/>
      <c r="T395" s="456"/>
      <c r="U395" s="456"/>
      <c r="V395" s="456"/>
      <c r="W395" s="456"/>
      <c r="X395" s="456"/>
      <c r="Y395" s="456"/>
      <c r="Z395" s="456"/>
    </row>
    <row r="396" spans="1:26" ht="11.25" customHeight="1">
      <c r="A396" s="456"/>
      <c r="B396" s="456"/>
      <c r="C396" s="456"/>
      <c r="D396" s="456"/>
      <c r="E396" s="456"/>
      <c r="F396" s="456"/>
      <c r="G396" s="456"/>
      <c r="H396" s="456"/>
      <c r="I396" s="456"/>
      <c r="J396" s="456"/>
      <c r="K396" s="456"/>
      <c r="L396" s="456"/>
      <c r="M396" s="456"/>
      <c r="N396" s="456"/>
      <c r="O396" s="456"/>
      <c r="P396" s="456"/>
      <c r="Q396" s="456"/>
      <c r="R396" s="456"/>
      <c r="S396" s="456"/>
      <c r="T396" s="456"/>
      <c r="U396" s="456"/>
      <c r="V396" s="456"/>
      <c r="W396" s="456"/>
      <c r="X396" s="456"/>
      <c r="Y396" s="456"/>
      <c r="Z396" s="456"/>
    </row>
    <row r="397" spans="1:26" ht="11.25" customHeight="1">
      <c r="A397" s="456"/>
      <c r="B397" s="456"/>
      <c r="C397" s="456"/>
      <c r="D397" s="456"/>
      <c r="E397" s="456"/>
      <c r="F397" s="456"/>
      <c r="G397" s="456"/>
      <c r="H397" s="456"/>
      <c r="I397" s="456"/>
      <c r="J397" s="456"/>
      <c r="K397" s="456"/>
      <c r="L397" s="456"/>
      <c r="M397" s="456"/>
      <c r="N397" s="456"/>
      <c r="O397" s="456"/>
      <c r="P397" s="456"/>
      <c r="Q397" s="456"/>
      <c r="R397" s="456"/>
      <c r="S397" s="456"/>
      <c r="T397" s="456"/>
      <c r="U397" s="456"/>
      <c r="V397" s="456"/>
      <c r="W397" s="456"/>
      <c r="X397" s="456"/>
      <c r="Y397" s="456"/>
      <c r="Z397" s="456"/>
    </row>
    <row r="398" spans="1:26" ht="11.25" customHeight="1">
      <c r="A398" s="456"/>
      <c r="B398" s="456"/>
      <c r="C398" s="456"/>
      <c r="D398" s="456"/>
      <c r="E398" s="456"/>
      <c r="F398" s="456"/>
      <c r="G398" s="456"/>
      <c r="H398" s="456"/>
      <c r="I398" s="456"/>
      <c r="J398" s="456"/>
      <c r="K398" s="456"/>
      <c r="L398" s="456"/>
      <c r="M398" s="456"/>
      <c r="N398" s="456"/>
      <c r="O398" s="456"/>
      <c r="P398" s="456"/>
      <c r="Q398" s="456"/>
      <c r="R398" s="456"/>
      <c r="S398" s="456"/>
      <c r="T398" s="456"/>
      <c r="U398" s="456"/>
      <c r="V398" s="456"/>
      <c r="W398" s="456"/>
      <c r="X398" s="456"/>
      <c r="Y398" s="456"/>
      <c r="Z398" s="456"/>
    </row>
    <row r="399" spans="1:26" ht="11.25" customHeight="1">
      <c r="A399" s="456"/>
      <c r="B399" s="456"/>
      <c r="C399" s="456"/>
      <c r="D399" s="456"/>
      <c r="E399" s="456"/>
      <c r="F399" s="456"/>
      <c r="G399" s="456"/>
      <c r="H399" s="456"/>
      <c r="I399" s="456"/>
      <c r="J399" s="456"/>
      <c r="K399" s="456"/>
      <c r="L399" s="456"/>
      <c r="M399" s="456"/>
      <c r="N399" s="456"/>
      <c r="O399" s="456"/>
      <c r="P399" s="456"/>
      <c r="Q399" s="456"/>
      <c r="R399" s="456"/>
      <c r="S399" s="456"/>
      <c r="T399" s="456"/>
      <c r="U399" s="456"/>
      <c r="V399" s="456"/>
      <c r="W399" s="456"/>
      <c r="X399" s="456"/>
      <c r="Y399" s="456"/>
      <c r="Z399" s="456"/>
    </row>
    <row r="400" spans="1:26" ht="11.25" customHeight="1">
      <c r="A400" s="456"/>
      <c r="B400" s="456"/>
      <c r="C400" s="456"/>
      <c r="D400" s="456"/>
      <c r="E400" s="456"/>
      <c r="F400" s="456"/>
      <c r="G400" s="456"/>
      <c r="H400" s="456"/>
      <c r="I400" s="456"/>
      <c r="J400" s="456"/>
      <c r="K400" s="456"/>
      <c r="L400" s="456"/>
      <c r="M400" s="456"/>
      <c r="N400" s="456"/>
      <c r="O400" s="456"/>
      <c r="P400" s="456"/>
      <c r="Q400" s="456"/>
      <c r="R400" s="456"/>
      <c r="S400" s="456"/>
      <c r="T400" s="456"/>
      <c r="U400" s="456"/>
      <c r="V400" s="456"/>
      <c r="W400" s="456"/>
      <c r="X400" s="456"/>
      <c r="Y400" s="456"/>
      <c r="Z400" s="456"/>
    </row>
    <row r="401" spans="1:26" ht="11.25" customHeight="1">
      <c r="A401" s="456"/>
      <c r="B401" s="456"/>
      <c r="C401" s="456"/>
      <c r="D401" s="456"/>
      <c r="E401" s="456"/>
      <c r="F401" s="456"/>
      <c r="G401" s="456"/>
      <c r="H401" s="456"/>
      <c r="I401" s="456"/>
      <c r="J401" s="456"/>
      <c r="K401" s="456"/>
      <c r="L401" s="456"/>
      <c r="M401" s="456"/>
      <c r="N401" s="456"/>
      <c r="O401" s="456"/>
      <c r="P401" s="456"/>
      <c r="Q401" s="456"/>
      <c r="R401" s="456"/>
      <c r="S401" s="456"/>
      <c r="T401" s="456"/>
      <c r="U401" s="456"/>
      <c r="V401" s="456"/>
      <c r="W401" s="456"/>
      <c r="X401" s="456"/>
      <c r="Y401" s="456"/>
      <c r="Z401" s="456"/>
    </row>
    <row r="402" spans="1:26" ht="11.25" customHeight="1">
      <c r="A402" s="456"/>
      <c r="B402" s="456"/>
      <c r="C402" s="456"/>
      <c r="D402" s="456"/>
      <c r="E402" s="456"/>
      <c r="F402" s="456"/>
      <c r="G402" s="456"/>
      <c r="H402" s="456"/>
      <c r="I402" s="456"/>
      <c r="J402" s="456"/>
      <c r="K402" s="456"/>
      <c r="L402" s="456"/>
      <c r="M402" s="456"/>
      <c r="N402" s="456"/>
      <c r="O402" s="456"/>
      <c r="P402" s="456"/>
      <c r="Q402" s="456"/>
      <c r="R402" s="456"/>
      <c r="S402" s="456"/>
      <c r="T402" s="456"/>
      <c r="U402" s="456"/>
      <c r="V402" s="456"/>
      <c r="W402" s="456"/>
      <c r="X402" s="456"/>
      <c r="Y402" s="456"/>
      <c r="Z402" s="456"/>
    </row>
    <row r="403" spans="1:26" ht="11.25" customHeight="1">
      <c r="A403" s="456"/>
      <c r="B403" s="456"/>
      <c r="C403" s="456"/>
      <c r="D403" s="456"/>
      <c r="E403" s="456"/>
      <c r="F403" s="456"/>
      <c r="G403" s="456"/>
      <c r="H403" s="456"/>
      <c r="I403" s="456"/>
      <c r="J403" s="456"/>
      <c r="K403" s="456"/>
      <c r="L403" s="456"/>
      <c r="M403" s="456"/>
      <c r="N403" s="456"/>
      <c r="O403" s="456"/>
      <c r="P403" s="456"/>
      <c r="Q403" s="456"/>
      <c r="R403" s="456"/>
      <c r="S403" s="456"/>
      <c r="T403" s="456"/>
      <c r="U403" s="456"/>
      <c r="V403" s="456"/>
      <c r="W403" s="456"/>
      <c r="X403" s="456"/>
      <c r="Y403" s="456"/>
      <c r="Z403" s="456"/>
    </row>
    <row r="404" spans="1:26" ht="11.25" customHeight="1">
      <c r="A404" s="456"/>
      <c r="B404" s="456"/>
      <c r="C404" s="456"/>
      <c r="D404" s="456"/>
      <c r="E404" s="456"/>
      <c r="F404" s="456"/>
      <c r="G404" s="456"/>
      <c r="H404" s="456"/>
      <c r="I404" s="456"/>
      <c r="J404" s="456"/>
      <c r="K404" s="456"/>
      <c r="L404" s="456"/>
      <c r="M404" s="456"/>
      <c r="N404" s="456"/>
      <c r="O404" s="456"/>
      <c r="P404" s="456"/>
      <c r="Q404" s="456"/>
      <c r="R404" s="456"/>
      <c r="S404" s="456"/>
      <c r="T404" s="456"/>
      <c r="U404" s="456"/>
      <c r="V404" s="456"/>
      <c r="W404" s="456"/>
      <c r="X404" s="456"/>
      <c r="Y404" s="456"/>
      <c r="Z404" s="456"/>
    </row>
    <row r="405" spans="1:26" ht="11.25" customHeight="1">
      <c r="A405" s="456"/>
      <c r="B405" s="456"/>
      <c r="C405" s="456"/>
      <c r="D405" s="456"/>
      <c r="E405" s="456"/>
      <c r="F405" s="456"/>
      <c r="G405" s="456"/>
      <c r="H405" s="456"/>
      <c r="I405" s="456"/>
      <c r="J405" s="456"/>
      <c r="K405" s="456"/>
      <c r="L405" s="456"/>
      <c r="M405" s="456"/>
      <c r="N405" s="456"/>
      <c r="O405" s="456"/>
      <c r="P405" s="456"/>
      <c r="Q405" s="456"/>
      <c r="R405" s="456"/>
      <c r="S405" s="456"/>
      <c r="T405" s="456"/>
      <c r="U405" s="456"/>
      <c r="V405" s="456"/>
      <c r="W405" s="456"/>
      <c r="X405" s="456"/>
      <c r="Y405" s="456"/>
      <c r="Z405" s="456"/>
    </row>
    <row r="406" spans="1:26" ht="11.25" customHeight="1">
      <c r="A406" s="456"/>
      <c r="B406" s="456"/>
      <c r="C406" s="456"/>
      <c r="D406" s="456"/>
      <c r="E406" s="456"/>
      <c r="F406" s="456"/>
      <c r="G406" s="456"/>
      <c r="H406" s="456"/>
      <c r="I406" s="456"/>
      <c r="J406" s="456"/>
      <c r="K406" s="456"/>
      <c r="L406" s="456"/>
      <c r="M406" s="456"/>
      <c r="N406" s="456"/>
      <c r="O406" s="456"/>
      <c r="P406" s="456"/>
      <c r="Q406" s="456"/>
      <c r="R406" s="456"/>
      <c r="S406" s="456"/>
      <c r="T406" s="456"/>
      <c r="U406" s="456"/>
      <c r="V406" s="456"/>
      <c r="W406" s="456"/>
      <c r="X406" s="456"/>
      <c r="Y406" s="456"/>
      <c r="Z406" s="456"/>
    </row>
    <row r="407" spans="1:26" ht="11.25" customHeight="1">
      <c r="A407" s="456"/>
      <c r="B407" s="456"/>
      <c r="C407" s="456"/>
      <c r="D407" s="456"/>
      <c r="E407" s="456"/>
      <c r="F407" s="456"/>
      <c r="G407" s="456"/>
      <c r="H407" s="456"/>
      <c r="I407" s="456"/>
      <c r="J407" s="456"/>
      <c r="K407" s="456"/>
      <c r="L407" s="456"/>
      <c r="M407" s="456"/>
      <c r="N407" s="456"/>
      <c r="O407" s="456"/>
      <c r="P407" s="456"/>
      <c r="Q407" s="456"/>
      <c r="R407" s="456"/>
      <c r="S407" s="456"/>
      <c r="T407" s="456"/>
      <c r="U407" s="456"/>
      <c r="V407" s="456"/>
      <c r="W407" s="456"/>
      <c r="X407" s="456"/>
      <c r="Y407" s="456"/>
      <c r="Z407" s="456"/>
    </row>
    <row r="408" spans="1:26" ht="11.25" customHeight="1">
      <c r="A408" s="456"/>
      <c r="B408" s="456"/>
      <c r="C408" s="456"/>
      <c r="D408" s="456"/>
      <c r="E408" s="456"/>
      <c r="F408" s="456"/>
      <c r="G408" s="456"/>
      <c r="H408" s="456"/>
      <c r="I408" s="456"/>
      <c r="J408" s="456"/>
      <c r="K408" s="456"/>
      <c r="L408" s="456"/>
      <c r="M408" s="456"/>
      <c r="N408" s="456"/>
      <c r="O408" s="456"/>
      <c r="P408" s="456"/>
      <c r="Q408" s="456"/>
      <c r="R408" s="456"/>
      <c r="S408" s="456"/>
      <c r="T408" s="456"/>
      <c r="U408" s="456"/>
      <c r="V408" s="456"/>
      <c r="W408" s="456"/>
      <c r="X408" s="456"/>
      <c r="Y408" s="456"/>
      <c r="Z408" s="456"/>
    </row>
    <row r="409" spans="1:26" ht="11.25" customHeight="1">
      <c r="A409" s="456"/>
      <c r="B409" s="456"/>
      <c r="C409" s="456"/>
      <c r="D409" s="456"/>
      <c r="E409" s="456"/>
      <c r="F409" s="456"/>
      <c r="G409" s="456"/>
      <c r="H409" s="456"/>
      <c r="I409" s="456"/>
      <c r="J409" s="456"/>
      <c r="K409" s="456"/>
      <c r="L409" s="456"/>
      <c r="M409" s="456"/>
      <c r="N409" s="456"/>
      <c r="O409" s="456"/>
      <c r="P409" s="456"/>
      <c r="Q409" s="456"/>
      <c r="R409" s="456"/>
      <c r="S409" s="456"/>
      <c r="T409" s="456"/>
      <c r="U409" s="456"/>
      <c r="V409" s="456"/>
      <c r="W409" s="456"/>
      <c r="X409" s="456"/>
      <c r="Y409" s="456"/>
      <c r="Z409" s="456"/>
    </row>
    <row r="410" spans="1:26" ht="11.25" customHeight="1">
      <c r="A410" s="456"/>
      <c r="B410" s="456"/>
      <c r="C410" s="456"/>
      <c r="D410" s="456"/>
      <c r="E410" s="456"/>
      <c r="F410" s="456"/>
      <c r="G410" s="456"/>
      <c r="H410" s="456"/>
      <c r="I410" s="456"/>
      <c r="J410" s="456"/>
      <c r="K410" s="456"/>
      <c r="L410" s="456"/>
      <c r="M410" s="456"/>
      <c r="N410" s="456"/>
      <c r="O410" s="456"/>
      <c r="P410" s="456"/>
      <c r="Q410" s="456"/>
      <c r="R410" s="456"/>
      <c r="S410" s="456"/>
      <c r="T410" s="456"/>
      <c r="U410" s="456"/>
      <c r="V410" s="456"/>
      <c r="W410" s="456"/>
      <c r="X410" s="456"/>
      <c r="Y410" s="456"/>
      <c r="Z410" s="456"/>
    </row>
    <row r="411" spans="1:26" ht="11.25" customHeight="1">
      <c r="A411" s="456"/>
      <c r="B411" s="456"/>
      <c r="C411" s="456"/>
      <c r="D411" s="456"/>
      <c r="E411" s="456"/>
      <c r="F411" s="456"/>
      <c r="G411" s="456"/>
      <c r="H411" s="456"/>
      <c r="I411" s="456"/>
      <c r="J411" s="456"/>
      <c r="K411" s="456"/>
      <c r="L411" s="456"/>
      <c r="M411" s="456"/>
      <c r="N411" s="456"/>
      <c r="O411" s="456"/>
      <c r="P411" s="456"/>
      <c r="Q411" s="456"/>
      <c r="R411" s="456"/>
      <c r="S411" s="456"/>
      <c r="T411" s="456"/>
      <c r="U411" s="456"/>
      <c r="V411" s="456"/>
      <c r="W411" s="456"/>
      <c r="X411" s="456"/>
      <c r="Y411" s="456"/>
      <c r="Z411" s="456"/>
    </row>
    <row r="412" spans="1:26" ht="11.25" customHeight="1">
      <c r="A412" s="456"/>
      <c r="B412" s="456"/>
      <c r="C412" s="456"/>
      <c r="D412" s="456"/>
      <c r="E412" s="456"/>
      <c r="F412" s="456"/>
      <c r="G412" s="456"/>
      <c r="H412" s="456"/>
      <c r="I412" s="456"/>
      <c r="J412" s="456"/>
      <c r="K412" s="456"/>
      <c r="L412" s="456"/>
      <c r="M412" s="456"/>
      <c r="N412" s="456"/>
      <c r="O412" s="456"/>
      <c r="P412" s="456"/>
      <c r="Q412" s="456"/>
      <c r="R412" s="456"/>
      <c r="S412" s="456"/>
      <c r="T412" s="456"/>
      <c r="U412" s="456"/>
      <c r="V412" s="456"/>
      <c r="W412" s="456"/>
      <c r="X412" s="456"/>
      <c r="Y412" s="456"/>
      <c r="Z412" s="456"/>
    </row>
    <row r="413" spans="1:26" ht="11.25" customHeight="1">
      <c r="A413" s="456"/>
      <c r="B413" s="456"/>
      <c r="C413" s="456"/>
      <c r="D413" s="456"/>
      <c r="E413" s="456"/>
      <c r="F413" s="456"/>
      <c r="G413" s="456"/>
      <c r="H413" s="456"/>
      <c r="I413" s="456"/>
      <c r="J413" s="456"/>
      <c r="K413" s="456"/>
      <c r="L413" s="456"/>
      <c r="M413" s="456"/>
      <c r="N413" s="456"/>
      <c r="O413" s="456"/>
      <c r="P413" s="456"/>
      <c r="Q413" s="456"/>
      <c r="R413" s="456"/>
      <c r="S413" s="456"/>
      <c r="T413" s="456"/>
      <c r="U413" s="456"/>
      <c r="V413" s="456"/>
      <c r="W413" s="456"/>
      <c r="X413" s="456"/>
      <c r="Y413" s="456"/>
      <c r="Z413" s="456"/>
    </row>
    <row r="414" spans="1:26" ht="11.25" customHeight="1">
      <c r="A414" s="456"/>
      <c r="B414" s="456"/>
      <c r="C414" s="456"/>
      <c r="D414" s="456"/>
      <c r="E414" s="456"/>
      <c r="F414" s="456"/>
      <c r="G414" s="456"/>
      <c r="H414" s="456"/>
      <c r="I414" s="456"/>
      <c r="J414" s="456"/>
      <c r="K414" s="456"/>
      <c r="L414" s="456"/>
      <c r="M414" s="456"/>
      <c r="N414" s="456"/>
      <c r="O414" s="456"/>
      <c r="P414" s="456"/>
      <c r="Q414" s="456"/>
      <c r="R414" s="456"/>
      <c r="S414" s="456"/>
      <c r="T414" s="456"/>
      <c r="U414" s="456"/>
      <c r="V414" s="456"/>
      <c r="W414" s="456"/>
      <c r="X414" s="456"/>
      <c r="Y414" s="456"/>
      <c r="Z414" s="456"/>
    </row>
    <row r="415" spans="1:26" ht="11.25" customHeight="1">
      <c r="A415" s="456"/>
      <c r="B415" s="456"/>
      <c r="C415" s="456"/>
      <c r="D415" s="456"/>
      <c r="E415" s="456"/>
      <c r="F415" s="456"/>
      <c r="G415" s="456"/>
      <c r="H415" s="456"/>
      <c r="I415" s="456"/>
      <c r="J415" s="456"/>
      <c r="K415" s="456"/>
      <c r="L415" s="456"/>
      <c r="M415" s="456"/>
      <c r="N415" s="456"/>
      <c r="O415" s="456"/>
      <c r="P415" s="456"/>
      <c r="Q415" s="456"/>
      <c r="R415" s="456"/>
      <c r="S415" s="456"/>
      <c r="T415" s="456"/>
      <c r="U415" s="456"/>
      <c r="V415" s="456"/>
      <c r="W415" s="456"/>
      <c r="X415" s="456"/>
      <c r="Y415" s="456"/>
      <c r="Z415" s="456"/>
    </row>
    <row r="416" spans="1:26" ht="11.25" customHeight="1">
      <c r="A416" s="456"/>
      <c r="B416" s="456"/>
      <c r="C416" s="456"/>
      <c r="D416" s="456"/>
      <c r="E416" s="456"/>
      <c r="F416" s="456"/>
      <c r="G416" s="456"/>
      <c r="H416" s="456"/>
      <c r="I416" s="456"/>
      <c r="J416" s="456"/>
      <c r="K416" s="456"/>
      <c r="L416" s="456"/>
      <c r="M416" s="456"/>
      <c r="N416" s="456"/>
      <c r="O416" s="456"/>
      <c r="P416" s="456"/>
      <c r="Q416" s="456"/>
      <c r="R416" s="456"/>
      <c r="S416" s="456"/>
      <c r="T416" s="456"/>
      <c r="U416" s="456"/>
      <c r="V416" s="456"/>
      <c r="W416" s="456"/>
      <c r="X416" s="456"/>
      <c r="Y416" s="456"/>
      <c r="Z416" s="456"/>
    </row>
    <row r="417" spans="1:26" ht="11.25" customHeight="1">
      <c r="A417" s="456"/>
      <c r="B417" s="456"/>
      <c r="C417" s="456"/>
      <c r="D417" s="456"/>
      <c r="E417" s="456"/>
      <c r="F417" s="456"/>
      <c r="G417" s="456"/>
      <c r="H417" s="456"/>
      <c r="I417" s="456"/>
      <c r="J417" s="456"/>
      <c r="K417" s="456"/>
      <c r="L417" s="456"/>
      <c r="M417" s="456"/>
      <c r="N417" s="456"/>
      <c r="O417" s="456"/>
      <c r="P417" s="456"/>
      <c r="Q417" s="456"/>
      <c r="R417" s="456"/>
      <c r="S417" s="456"/>
      <c r="T417" s="456"/>
      <c r="U417" s="456"/>
      <c r="V417" s="456"/>
      <c r="W417" s="456"/>
      <c r="X417" s="456"/>
      <c r="Y417" s="456"/>
      <c r="Z417" s="456"/>
    </row>
    <row r="418" spans="1:26" ht="11.25" customHeight="1">
      <c r="A418" s="456"/>
      <c r="B418" s="456"/>
      <c r="C418" s="456"/>
      <c r="D418" s="456"/>
      <c r="E418" s="456"/>
      <c r="F418" s="456"/>
      <c r="G418" s="456"/>
      <c r="H418" s="456"/>
      <c r="I418" s="456"/>
      <c r="J418" s="456"/>
      <c r="K418" s="456"/>
      <c r="L418" s="456"/>
      <c r="M418" s="456"/>
      <c r="N418" s="456"/>
      <c r="O418" s="456"/>
      <c r="P418" s="456"/>
      <c r="Q418" s="456"/>
      <c r="R418" s="456"/>
      <c r="S418" s="456"/>
      <c r="T418" s="456"/>
      <c r="U418" s="456"/>
      <c r="V418" s="456"/>
      <c r="W418" s="456"/>
      <c r="X418" s="456"/>
      <c r="Y418" s="456"/>
      <c r="Z418" s="456"/>
    </row>
    <row r="419" spans="1:26" ht="11.25" customHeight="1">
      <c r="A419" s="456"/>
      <c r="B419" s="456"/>
      <c r="C419" s="456"/>
      <c r="D419" s="456"/>
      <c r="E419" s="456"/>
      <c r="F419" s="456"/>
      <c r="G419" s="456"/>
      <c r="H419" s="456"/>
      <c r="I419" s="456"/>
      <c r="J419" s="456"/>
      <c r="K419" s="456"/>
      <c r="L419" s="456"/>
      <c r="M419" s="456"/>
      <c r="N419" s="456"/>
      <c r="O419" s="456"/>
      <c r="P419" s="456"/>
      <c r="Q419" s="456"/>
      <c r="R419" s="456"/>
      <c r="S419" s="456"/>
      <c r="T419" s="456"/>
      <c r="U419" s="456"/>
      <c r="V419" s="456"/>
      <c r="W419" s="456"/>
      <c r="X419" s="456"/>
      <c r="Y419" s="456"/>
      <c r="Z419" s="456"/>
    </row>
    <row r="420" spans="1:26" ht="11.25" customHeight="1">
      <c r="A420" s="456"/>
      <c r="B420" s="456"/>
      <c r="C420" s="456"/>
      <c r="D420" s="456"/>
      <c r="E420" s="456"/>
      <c r="F420" s="456"/>
      <c r="G420" s="456"/>
      <c r="H420" s="456"/>
      <c r="I420" s="456"/>
      <c r="J420" s="456"/>
      <c r="K420" s="456"/>
      <c r="L420" s="456"/>
      <c r="M420" s="456"/>
      <c r="N420" s="456"/>
      <c r="O420" s="456"/>
      <c r="P420" s="456"/>
      <c r="Q420" s="456"/>
      <c r="R420" s="456"/>
      <c r="S420" s="456"/>
      <c r="T420" s="456"/>
      <c r="U420" s="456"/>
      <c r="V420" s="456"/>
      <c r="W420" s="456"/>
      <c r="X420" s="456"/>
      <c r="Y420" s="456"/>
      <c r="Z420" s="456"/>
    </row>
    <row r="421" spans="1:26" ht="11.25" customHeight="1">
      <c r="A421" s="456"/>
      <c r="B421" s="456"/>
      <c r="C421" s="456"/>
      <c r="D421" s="456"/>
      <c r="E421" s="456"/>
      <c r="F421" s="456"/>
      <c r="G421" s="456"/>
      <c r="H421" s="456"/>
      <c r="I421" s="456"/>
      <c r="J421" s="456"/>
      <c r="K421" s="456"/>
      <c r="L421" s="456"/>
      <c r="M421" s="456"/>
      <c r="N421" s="456"/>
      <c r="O421" s="456"/>
      <c r="P421" s="456"/>
      <c r="Q421" s="456"/>
      <c r="R421" s="456"/>
      <c r="S421" s="456"/>
      <c r="T421" s="456"/>
      <c r="U421" s="456"/>
      <c r="V421" s="456"/>
      <c r="W421" s="456"/>
      <c r="X421" s="456"/>
      <c r="Y421" s="456"/>
      <c r="Z421" s="456"/>
    </row>
    <row r="422" spans="1:26" ht="11.25" customHeight="1">
      <c r="A422" s="456"/>
      <c r="B422" s="456"/>
      <c r="C422" s="456"/>
      <c r="D422" s="456"/>
      <c r="E422" s="456"/>
      <c r="F422" s="456"/>
      <c r="G422" s="456"/>
      <c r="H422" s="456"/>
      <c r="I422" s="456"/>
      <c r="J422" s="456"/>
      <c r="K422" s="456"/>
      <c r="L422" s="456"/>
      <c r="M422" s="456"/>
      <c r="N422" s="456"/>
      <c r="O422" s="456"/>
      <c r="P422" s="456"/>
      <c r="Q422" s="456"/>
      <c r="R422" s="456"/>
      <c r="S422" s="456"/>
      <c r="T422" s="456"/>
      <c r="U422" s="456"/>
      <c r="V422" s="456"/>
      <c r="W422" s="456"/>
      <c r="X422" s="456"/>
      <c r="Y422" s="456"/>
      <c r="Z422" s="456"/>
    </row>
    <row r="423" spans="1:26" ht="11.25" customHeight="1">
      <c r="A423" s="456"/>
      <c r="B423" s="456"/>
      <c r="C423" s="456"/>
      <c r="D423" s="456"/>
      <c r="E423" s="456"/>
      <c r="F423" s="456"/>
      <c r="G423" s="456"/>
      <c r="H423" s="456"/>
      <c r="I423" s="456"/>
      <c r="J423" s="456"/>
      <c r="K423" s="456"/>
      <c r="L423" s="456"/>
      <c r="M423" s="456"/>
      <c r="N423" s="456"/>
      <c r="O423" s="456"/>
      <c r="P423" s="456"/>
      <c r="Q423" s="456"/>
      <c r="R423" s="456"/>
      <c r="S423" s="456"/>
      <c r="T423" s="456"/>
      <c r="U423" s="456"/>
      <c r="V423" s="456"/>
      <c r="W423" s="456"/>
      <c r="X423" s="456"/>
      <c r="Y423" s="456"/>
      <c r="Z423" s="456"/>
    </row>
    <row r="424" spans="1:26" ht="11.25" customHeight="1">
      <c r="A424" s="456"/>
      <c r="B424" s="456"/>
      <c r="C424" s="456"/>
      <c r="D424" s="456"/>
      <c r="E424" s="456"/>
      <c r="F424" s="456"/>
      <c r="G424" s="456"/>
      <c r="H424" s="456"/>
      <c r="I424" s="456"/>
      <c r="J424" s="456"/>
      <c r="K424" s="456"/>
      <c r="L424" s="456"/>
      <c r="M424" s="456"/>
      <c r="N424" s="456"/>
      <c r="O424" s="456"/>
      <c r="P424" s="456"/>
      <c r="Q424" s="456"/>
      <c r="R424" s="456"/>
      <c r="S424" s="456"/>
      <c r="T424" s="456"/>
      <c r="U424" s="456"/>
      <c r="V424" s="456"/>
      <c r="W424" s="456"/>
      <c r="X424" s="456"/>
      <c r="Y424" s="456"/>
      <c r="Z424" s="456"/>
    </row>
    <row r="425" spans="1:26" ht="11.25" customHeight="1">
      <c r="A425" s="456"/>
      <c r="B425" s="456"/>
      <c r="C425" s="456"/>
      <c r="D425" s="456"/>
      <c r="E425" s="456"/>
      <c r="F425" s="456"/>
      <c r="G425" s="456"/>
      <c r="H425" s="456"/>
      <c r="I425" s="456"/>
      <c r="J425" s="456"/>
      <c r="K425" s="456"/>
      <c r="L425" s="456"/>
      <c r="M425" s="456"/>
      <c r="N425" s="456"/>
      <c r="O425" s="456"/>
      <c r="P425" s="456"/>
      <c r="Q425" s="456"/>
      <c r="R425" s="456"/>
      <c r="S425" s="456"/>
      <c r="T425" s="456"/>
      <c r="U425" s="456"/>
      <c r="V425" s="456"/>
      <c r="W425" s="456"/>
      <c r="X425" s="456"/>
      <c r="Y425" s="456"/>
      <c r="Z425" s="456"/>
    </row>
    <row r="426" spans="1:26" ht="11.25" customHeight="1">
      <c r="A426" s="456"/>
      <c r="B426" s="456"/>
      <c r="C426" s="456"/>
      <c r="D426" s="456"/>
      <c r="E426" s="456"/>
      <c r="F426" s="456"/>
      <c r="G426" s="456"/>
      <c r="H426" s="456"/>
      <c r="I426" s="456"/>
      <c r="J426" s="456"/>
      <c r="K426" s="456"/>
      <c r="L426" s="456"/>
      <c r="M426" s="456"/>
      <c r="N426" s="456"/>
      <c r="O426" s="456"/>
      <c r="P426" s="456"/>
      <c r="Q426" s="456"/>
      <c r="R426" s="456"/>
      <c r="S426" s="456"/>
      <c r="T426" s="456"/>
      <c r="U426" s="456"/>
      <c r="V426" s="456"/>
      <c r="W426" s="456"/>
      <c r="X426" s="456"/>
      <c r="Y426" s="456"/>
      <c r="Z426" s="456"/>
    </row>
    <row r="427" spans="1:26" ht="11.25" customHeight="1">
      <c r="A427" s="456"/>
      <c r="B427" s="456"/>
      <c r="C427" s="456"/>
      <c r="D427" s="456"/>
      <c r="E427" s="456"/>
      <c r="F427" s="456"/>
      <c r="G427" s="456"/>
      <c r="H427" s="456"/>
      <c r="I427" s="456"/>
      <c r="J427" s="456"/>
      <c r="K427" s="456"/>
      <c r="L427" s="456"/>
      <c r="M427" s="456"/>
      <c r="N427" s="456"/>
      <c r="O427" s="456"/>
      <c r="P427" s="456"/>
      <c r="Q427" s="456"/>
      <c r="R427" s="456"/>
      <c r="S427" s="456"/>
      <c r="T427" s="456"/>
      <c r="U427" s="456"/>
      <c r="V427" s="456"/>
      <c r="W427" s="456"/>
      <c r="X427" s="456"/>
      <c r="Y427" s="456"/>
      <c r="Z427" s="456"/>
    </row>
    <row r="428" spans="1:26" ht="11.25" customHeight="1">
      <c r="A428" s="456"/>
      <c r="B428" s="456"/>
      <c r="C428" s="456"/>
      <c r="D428" s="456"/>
      <c r="E428" s="456"/>
      <c r="F428" s="456"/>
      <c r="G428" s="456"/>
      <c r="H428" s="456"/>
      <c r="I428" s="456"/>
      <c r="J428" s="456"/>
      <c r="K428" s="456"/>
      <c r="L428" s="456"/>
      <c r="M428" s="456"/>
      <c r="N428" s="456"/>
      <c r="O428" s="456"/>
      <c r="P428" s="456"/>
      <c r="Q428" s="456"/>
      <c r="R428" s="456"/>
      <c r="S428" s="456"/>
      <c r="T428" s="456"/>
      <c r="U428" s="456"/>
      <c r="V428" s="456"/>
      <c r="W428" s="456"/>
      <c r="X428" s="456"/>
      <c r="Y428" s="456"/>
      <c r="Z428" s="456"/>
    </row>
    <row r="429" spans="1:26" ht="11.25" customHeight="1">
      <c r="A429" s="456"/>
      <c r="B429" s="456"/>
      <c r="C429" s="456"/>
      <c r="D429" s="456"/>
      <c r="E429" s="456"/>
      <c r="F429" s="456"/>
      <c r="G429" s="456"/>
      <c r="H429" s="456"/>
      <c r="I429" s="456"/>
      <c r="J429" s="456"/>
      <c r="K429" s="456"/>
      <c r="L429" s="456"/>
      <c r="M429" s="456"/>
      <c r="N429" s="456"/>
      <c r="O429" s="456"/>
      <c r="P429" s="456"/>
      <c r="Q429" s="456"/>
      <c r="R429" s="456"/>
      <c r="S429" s="456"/>
      <c r="T429" s="456"/>
      <c r="U429" s="456"/>
      <c r="V429" s="456"/>
      <c r="W429" s="456"/>
      <c r="X429" s="456"/>
      <c r="Y429" s="456"/>
      <c r="Z429" s="456"/>
    </row>
    <row r="430" spans="1:26" ht="11.25" customHeight="1">
      <c r="A430" s="456"/>
      <c r="B430" s="456"/>
      <c r="C430" s="456"/>
      <c r="D430" s="456"/>
      <c r="E430" s="456"/>
      <c r="F430" s="456"/>
      <c r="G430" s="456"/>
      <c r="H430" s="456"/>
      <c r="I430" s="456"/>
      <c r="J430" s="456"/>
      <c r="K430" s="456"/>
      <c r="L430" s="456"/>
      <c r="M430" s="456"/>
      <c r="N430" s="456"/>
      <c r="O430" s="456"/>
      <c r="P430" s="456"/>
      <c r="Q430" s="456"/>
      <c r="R430" s="456"/>
      <c r="S430" s="456"/>
      <c r="T430" s="456"/>
      <c r="U430" s="456"/>
      <c r="V430" s="456"/>
      <c r="W430" s="456"/>
      <c r="X430" s="456"/>
      <c r="Y430" s="456"/>
      <c r="Z430" s="456"/>
    </row>
    <row r="431" spans="1:26" ht="11.25" customHeight="1">
      <c r="A431" s="456"/>
      <c r="B431" s="456"/>
      <c r="C431" s="456"/>
      <c r="D431" s="456"/>
      <c r="E431" s="456"/>
      <c r="F431" s="456"/>
      <c r="G431" s="456"/>
      <c r="H431" s="456"/>
      <c r="I431" s="456"/>
      <c r="J431" s="456"/>
      <c r="K431" s="456"/>
      <c r="L431" s="456"/>
      <c r="M431" s="456"/>
      <c r="N431" s="456"/>
      <c r="O431" s="456"/>
      <c r="P431" s="456"/>
      <c r="Q431" s="456"/>
      <c r="R431" s="456"/>
      <c r="S431" s="456"/>
      <c r="T431" s="456"/>
      <c r="U431" s="456"/>
      <c r="V431" s="456"/>
      <c r="W431" s="456"/>
      <c r="X431" s="456"/>
      <c r="Y431" s="456"/>
      <c r="Z431" s="456"/>
    </row>
    <row r="432" spans="1:26" ht="11.25" customHeight="1">
      <c r="A432" s="456"/>
      <c r="B432" s="456"/>
      <c r="C432" s="456"/>
      <c r="D432" s="456"/>
      <c r="E432" s="456"/>
      <c r="F432" s="456"/>
      <c r="G432" s="456"/>
      <c r="H432" s="456"/>
      <c r="I432" s="456"/>
      <c r="J432" s="456"/>
      <c r="K432" s="456"/>
      <c r="L432" s="456"/>
      <c r="M432" s="456"/>
      <c r="N432" s="456"/>
      <c r="O432" s="456"/>
      <c r="P432" s="456"/>
      <c r="Q432" s="456"/>
      <c r="R432" s="456"/>
      <c r="S432" s="456"/>
      <c r="T432" s="456"/>
      <c r="U432" s="456"/>
      <c r="V432" s="456"/>
      <c r="W432" s="456"/>
      <c r="X432" s="456"/>
      <c r="Y432" s="456"/>
      <c r="Z432" s="456"/>
    </row>
    <row r="433" spans="1:26" ht="11.25" customHeight="1">
      <c r="A433" s="456"/>
      <c r="B433" s="456"/>
      <c r="C433" s="456"/>
      <c r="D433" s="456"/>
      <c r="E433" s="456"/>
      <c r="F433" s="456"/>
      <c r="G433" s="456"/>
      <c r="H433" s="456"/>
      <c r="I433" s="456"/>
      <c r="J433" s="456"/>
      <c r="K433" s="456"/>
      <c r="L433" s="456"/>
      <c r="M433" s="456"/>
      <c r="N433" s="456"/>
      <c r="O433" s="456"/>
      <c r="P433" s="456"/>
      <c r="Q433" s="456"/>
      <c r="R433" s="456"/>
      <c r="S433" s="456"/>
      <c r="T433" s="456"/>
      <c r="U433" s="456"/>
      <c r="V433" s="456"/>
      <c r="W433" s="456"/>
      <c r="X433" s="456"/>
      <c r="Y433" s="456"/>
      <c r="Z433" s="456"/>
    </row>
    <row r="434" spans="1:26" ht="11.25" customHeight="1">
      <c r="A434" s="456"/>
      <c r="B434" s="456"/>
      <c r="C434" s="456"/>
      <c r="D434" s="456"/>
      <c r="E434" s="456"/>
      <c r="F434" s="456"/>
      <c r="G434" s="456"/>
      <c r="H434" s="456"/>
      <c r="I434" s="456"/>
      <c r="J434" s="456"/>
      <c r="K434" s="456"/>
      <c r="L434" s="456"/>
      <c r="M434" s="456"/>
      <c r="N434" s="456"/>
      <c r="O434" s="456"/>
      <c r="P434" s="456"/>
      <c r="Q434" s="456"/>
      <c r="R434" s="456"/>
      <c r="S434" s="456"/>
      <c r="T434" s="456"/>
      <c r="U434" s="456"/>
      <c r="V434" s="456"/>
      <c r="W434" s="456"/>
      <c r="X434" s="456"/>
      <c r="Y434" s="456"/>
      <c r="Z434" s="456"/>
    </row>
    <row r="435" spans="1:26" ht="11.25" customHeight="1">
      <c r="A435" s="456"/>
      <c r="B435" s="456"/>
      <c r="C435" s="456"/>
      <c r="D435" s="456"/>
      <c r="E435" s="456"/>
      <c r="F435" s="456"/>
      <c r="G435" s="456"/>
      <c r="H435" s="456"/>
      <c r="I435" s="456"/>
      <c r="J435" s="456"/>
      <c r="K435" s="456"/>
      <c r="L435" s="456"/>
      <c r="M435" s="456"/>
      <c r="N435" s="456"/>
      <c r="O435" s="456"/>
      <c r="P435" s="456"/>
      <c r="Q435" s="456"/>
      <c r="R435" s="456"/>
      <c r="S435" s="456"/>
      <c r="T435" s="456"/>
      <c r="U435" s="456"/>
      <c r="V435" s="456"/>
      <c r="W435" s="456"/>
      <c r="X435" s="456"/>
      <c r="Y435" s="456"/>
      <c r="Z435" s="456"/>
    </row>
    <row r="436" spans="1:26" ht="11.25" customHeight="1">
      <c r="A436" s="456"/>
      <c r="B436" s="456"/>
      <c r="C436" s="456"/>
      <c r="D436" s="456"/>
      <c r="E436" s="456"/>
      <c r="F436" s="456"/>
      <c r="G436" s="456"/>
      <c r="H436" s="456"/>
      <c r="I436" s="456"/>
      <c r="J436" s="456"/>
      <c r="K436" s="456"/>
      <c r="L436" s="456"/>
      <c r="M436" s="456"/>
      <c r="N436" s="456"/>
      <c r="O436" s="456"/>
      <c r="P436" s="456"/>
      <c r="Q436" s="456"/>
      <c r="R436" s="456"/>
      <c r="S436" s="456"/>
      <c r="T436" s="456"/>
      <c r="U436" s="456"/>
      <c r="V436" s="456"/>
      <c r="W436" s="456"/>
      <c r="X436" s="456"/>
      <c r="Y436" s="456"/>
      <c r="Z436" s="456"/>
    </row>
    <row r="437" spans="1:26" ht="11.25" customHeight="1">
      <c r="A437" s="456"/>
      <c r="B437" s="456"/>
      <c r="C437" s="456"/>
      <c r="D437" s="456"/>
      <c r="E437" s="456"/>
      <c r="F437" s="456"/>
      <c r="G437" s="456"/>
      <c r="H437" s="456"/>
      <c r="I437" s="456"/>
      <c r="J437" s="456"/>
      <c r="K437" s="456"/>
      <c r="L437" s="456"/>
      <c r="M437" s="456"/>
      <c r="N437" s="456"/>
      <c r="O437" s="456"/>
      <c r="P437" s="456"/>
      <c r="Q437" s="456"/>
      <c r="R437" s="456"/>
      <c r="S437" s="456"/>
      <c r="T437" s="456"/>
      <c r="U437" s="456"/>
      <c r="V437" s="456"/>
      <c r="W437" s="456"/>
      <c r="X437" s="456"/>
      <c r="Y437" s="456"/>
      <c r="Z437" s="456"/>
    </row>
    <row r="438" spans="1:26" ht="11.25" customHeight="1">
      <c r="A438" s="456"/>
      <c r="B438" s="456"/>
      <c r="C438" s="456"/>
      <c r="D438" s="456"/>
      <c r="E438" s="456"/>
      <c r="F438" s="456"/>
      <c r="G438" s="456"/>
      <c r="H438" s="456"/>
      <c r="I438" s="456"/>
      <c r="J438" s="456"/>
      <c r="K438" s="456"/>
      <c r="L438" s="456"/>
      <c r="M438" s="456"/>
      <c r="N438" s="456"/>
      <c r="O438" s="456"/>
      <c r="P438" s="456"/>
      <c r="Q438" s="456"/>
      <c r="R438" s="456"/>
      <c r="S438" s="456"/>
      <c r="T438" s="456"/>
      <c r="U438" s="456"/>
      <c r="V438" s="456"/>
      <c r="W438" s="456"/>
      <c r="X438" s="456"/>
      <c r="Y438" s="456"/>
      <c r="Z438" s="456"/>
    </row>
    <row r="439" spans="1:26" ht="11.25" customHeight="1">
      <c r="A439" s="456"/>
      <c r="B439" s="456"/>
      <c r="C439" s="456"/>
      <c r="D439" s="456"/>
      <c r="E439" s="456"/>
      <c r="F439" s="456"/>
      <c r="G439" s="456"/>
      <c r="H439" s="456"/>
      <c r="I439" s="456"/>
      <c r="J439" s="456"/>
      <c r="K439" s="456"/>
      <c r="L439" s="456"/>
      <c r="M439" s="456"/>
      <c r="N439" s="456"/>
      <c r="O439" s="456"/>
      <c r="P439" s="456"/>
      <c r="Q439" s="456"/>
      <c r="R439" s="456"/>
      <c r="S439" s="456"/>
      <c r="T439" s="456"/>
      <c r="U439" s="456"/>
      <c r="V439" s="456"/>
      <c r="W439" s="456"/>
      <c r="X439" s="456"/>
      <c r="Y439" s="456"/>
      <c r="Z439" s="456"/>
    </row>
    <row r="440" spans="1:26" ht="11.25" customHeight="1">
      <c r="A440" s="456"/>
      <c r="B440" s="456"/>
      <c r="C440" s="456"/>
      <c r="D440" s="456"/>
      <c r="E440" s="456"/>
      <c r="F440" s="456"/>
      <c r="G440" s="456"/>
      <c r="H440" s="456"/>
      <c r="I440" s="456"/>
      <c r="J440" s="456"/>
      <c r="K440" s="456"/>
      <c r="L440" s="456"/>
      <c r="M440" s="456"/>
      <c r="N440" s="456"/>
      <c r="O440" s="456"/>
      <c r="P440" s="456"/>
      <c r="Q440" s="456"/>
      <c r="R440" s="456"/>
      <c r="S440" s="456"/>
      <c r="T440" s="456"/>
      <c r="U440" s="456"/>
      <c r="V440" s="456"/>
      <c r="W440" s="456"/>
      <c r="X440" s="456"/>
      <c r="Y440" s="456"/>
      <c r="Z440" s="456"/>
    </row>
    <row r="441" spans="1:26" ht="11.25" customHeight="1">
      <c r="A441" s="456"/>
      <c r="B441" s="456"/>
      <c r="C441" s="456"/>
      <c r="D441" s="456"/>
      <c r="E441" s="456"/>
      <c r="F441" s="456"/>
      <c r="G441" s="456"/>
      <c r="H441" s="456"/>
      <c r="I441" s="456"/>
      <c r="J441" s="456"/>
      <c r="K441" s="456"/>
      <c r="L441" s="456"/>
      <c r="M441" s="456"/>
      <c r="N441" s="456"/>
      <c r="O441" s="456"/>
      <c r="P441" s="456"/>
      <c r="Q441" s="456"/>
      <c r="R441" s="456"/>
      <c r="S441" s="456"/>
      <c r="T441" s="456"/>
      <c r="U441" s="456"/>
      <c r="V441" s="456"/>
      <c r="W441" s="456"/>
      <c r="X441" s="456"/>
      <c r="Y441" s="456"/>
      <c r="Z441" s="456"/>
    </row>
    <row r="442" spans="1:26" ht="11.25" customHeight="1">
      <c r="A442" s="456"/>
      <c r="B442" s="456"/>
      <c r="C442" s="456"/>
      <c r="D442" s="456"/>
      <c r="E442" s="456"/>
      <c r="F442" s="456"/>
      <c r="G442" s="456"/>
      <c r="H442" s="456"/>
      <c r="I442" s="456"/>
      <c r="J442" s="456"/>
      <c r="K442" s="456"/>
      <c r="L442" s="456"/>
      <c r="M442" s="456"/>
      <c r="N442" s="456"/>
      <c r="O442" s="456"/>
      <c r="P442" s="456"/>
      <c r="Q442" s="456"/>
      <c r="R442" s="456"/>
      <c r="S442" s="456"/>
      <c r="T442" s="456"/>
      <c r="U442" s="456"/>
      <c r="V442" s="456"/>
      <c r="W442" s="456"/>
      <c r="X442" s="456"/>
      <c r="Y442" s="456"/>
      <c r="Z442" s="456"/>
    </row>
    <row r="443" spans="1:26" ht="11.25" customHeight="1">
      <c r="A443" s="456"/>
      <c r="B443" s="456"/>
      <c r="C443" s="456"/>
      <c r="D443" s="456"/>
      <c r="E443" s="456"/>
      <c r="F443" s="456"/>
      <c r="G443" s="456"/>
      <c r="H443" s="456"/>
      <c r="I443" s="456"/>
      <c r="J443" s="456"/>
      <c r="K443" s="456"/>
      <c r="L443" s="456"/>
      <c r="M443" s="456"/>
      <c r="N443" s="456"/>
      <c r="O443" s="456"/>
      <c r="P443" s="456"/>
      <c r="Q443" s="456"/>
      <c r="R443" s="456"/>
      <c r="S443" s="456"/>
      <c r="T443" s="456"/>
      <c r="U443" s="456"/>
      <c r="V443" s="456"/>
      <c r="W443" s="456"/>
      <c r="X443" s="456"/>
      <c r="Y443" s="456"/>
      <c r="Z443" s="456"/>
    </row>
    <row r="444" spans="1:26" ht="11.25" customHeight="1">
      <c r="A444" s="456"/>
      <c r="B444" s="456"/>
      <c r="C444" s="456"/>
      <c r="D444" s="456"/>
      <c r="E444" s="456"/>
      <c r="F444" s="456"/>
      <c r="G444" s="456"/>
      <c r="H444" s="456"/>
      <c r="I444" s="456"/>
      <c r="J444" s="456"/>
      <c r="K444" s="456"/>
      <c r="L444" s="456"/>
      <c r="M444" s="456"/>
      <c r="N444" s="456"/>
      <c r="O444" s="456"/>
      <c r="P444" s="456"/>
      <c r="Q444" s="456"/>
      <c r="R444" s="456"/>
      <c r="S444" s="456"/>
      <c r="T444" s="456"/>
      <c r="U444" s="456"/>
      <c r="V444" s="456"/>
      <c r="W444" s="456"/>
      <c r="X444" s="456"/>
      <c r="Y444" s="456"/>
      <c r="Z444" s="456"/>
    </row>
    <row r="445" spans="1:26" ht="11.25" customHeight="1">
      <c r="A445" s="456"/>
      <c r="B445" s="456"/>
      <c r="C445" s="456"/>
      <c r="D445" s="456"/>
      <c r="E445" s="456"/>
      <c r="F445" s="456"/>
      <c r="G445" s="456"/>
      <c r="H445" s="456"/>
      <c r="I445" s="456"/>
      <c r="J445" s="456"/>
      <c r="K445" s="456"/>
      <c r="L445" s="456"/>
      <c r="M445" s="456"/>
      <c r="N445" s="456"/>
      <c r="O445" s="456"/>
      <c r="P445" s="456"/>
      <c r="Q445" s="456"/>
      <c r="R445" s="456"/>
      <c r="S445" s="456"/>
      <c r="T445" s="456"/>
      <c r="U445" s="456"/>
      <c r="V445" s="456"/>
      <c r="W445" s="456"/>
      <c r="X445" s="456"/>
      <c r="Y445" s="456"/>
      <c r="Z445" s="456"/>
    </row>
    <row r="446" spans="1:26" ht="11.25" customHeight="1">
      <c r="A446" s="456"/>
      <c r="B446" s="456"/>
      <c r="C446" s="456"/>
      <c r="D446" s="456"/>
      <c r="E446" s="456"/>
      <c r="F446" s="456"/>
      <c r="G446" s="456"/>
      <c r="H446" s="456"/>
      <c r="I446" s="456"/>
      <c r="J446" s="456"/>
      <c r="K446" s="456"/>
      <c r="L446" s="456"/>
      <c r="M446" s="456"/>
      <c r="N446" s="456"/>
      <c r="O446" s="456"/>
      <c r="P446" s="456"/>
      <c r="Q446" s="456"/>
      <c r="R446" s="456"/>
      <c r="S446" s="456"/>
      <c r="T446" s="456"/>
      <c r="U446" s="456"/>
      <c r="V446" s="456"/>
      <c r="W446" s="456"/>
      <c r="X446" s="456"/>
      <c r="Y446" s="456"/>
      <c r="Z446" s="456"/>
    </row>
    <row r="447" spans="1:26" ht="11.25" customHeight="1">
      <c r="A447" s="456"/>
      <c r="B447" s="456"/>
      <c r="C447" s="456"/>
      <c r="D447" s="456"/>
      <c r="E447" s="456"/>
      <c r="F447" s="456"/>
      <c r="G447" s="456"/>
      <c r="H447" s="456"/>
      <c r="I447" s="456"/>
      <c r="J447" s="456"/>
      <c r="K447" s="456"/>
      <c r="L447" s="456"/>
      <c r="M447" s="456"/>
      <c r="N447" s="456"/>
      <c r="O447" s="456"/>
      <c r="P447" s="456"/>
      <c r="Q447" s="456"/>
      <c r="R447" s="456"/>
      <c r="S447" s="456"/>
      <c r="T447" s="456"/>
      <c r="U447" s="456"/>
      <c r="V447" s="456"/>
      <c r="W447" s="456"/>
      <c r="X447" s="456"/>
      <c r="Y447" s="456"/>
      <c r="Z447" s="456"/>
    </row>
    <row r="448" spans="1:26" ht="11.25" customHeight="1">
      <c r="A448" s="456"/>
      <c r="B448" s="456"/>
      <c r="C448" s="456"/>
      <c r="D448" s="456"/>
      <c r="E448" s="456"/>
      <c r="F448" s="456"/>
      <c r="G448" s="456"/>
      <c r="H448" s="456"/>
      <c r="I448" s="456"/>
      <c r="J448" s="456"/>
      <c r="K448" s="456"/>
      <c r="L448" s="456"/>
      <c r="M448" s="456"/>
      <c r="N448" s="456"/>
      <c r="O448" s="456"/>
      <c r="P448" s="456"/>
      <c r="Q448" s="456"/>
      <c r="R448" s="456"/>
      <c r="S448" s="456"/>
      <c r="T448" s="456"/>
      <c r="U448" s="456"/>
      <c r="V448" s="456"/>
      <c r="W448" s="456"/>
      <c r="X448" s="456"/>
      <c r="Y448" s="456"/>
      <c r="Z448" s="456"/>
    </row>
    <row r="449" spans="1:26" ht="11.25" customHeight="1">
      <c r="A449" s="456"/>
      <c r="B449" s="456"/>
      <c r="C449" s="456"/>
      <c r="D449" s="456"/>
      <c r="E449" s="456"/>
      <c r="F449" s="456"/>
      <c r="G449" s="456"/>
      <c r="H449" s="456"/>
      <c r="I449" s="456"/>
      <c r="J449" s="456"/>
      <c r="K449" s="456"/>
      <c r="L449" s="456"/>
      <c r="M449" s="456"/>
      <c r="N449" s="456"/>
      <c r="O449" s="456"/>
      <c r="P449" s="456"/>
      <c r="Q449" s="456"/>
      <c r="R449" s="456"/>
      <c r="S449" s="456"/>
      <c r="T449" s="456"/>
      <c r="U449" s="456"/>
      <c r="V449" s="456"/>
      <c r="W449" s="456"/>
      <c r="X449" s="456"/>
      <c r="Y449" s="456"/>
      <c r="Z449" s="456"/>
    </row>
    <row r="450" spans="1:26" ht="11.25" customHeight="1">
      <c r="A450" s="456"/>
      <c r="B450" s="456"/>
      <c r="C450" s="456"/>
      <c r="D450" s="456"/>
      <c r="E450" s="456"/>
      <c r="F450" s="456"/>
      <c r="G450" s="456"/>
      <c r="H450" s="456"/>
      <c r="I450" s="456"/>
      <c r="J450" s="456"/>
      <c r="K450" s="456"/>
      <c r="L450" s="456"/>
      <c r="M450" s="456"/>
      <c r="N450" s="456"/>
      <c r="O450" s="456"/>
      <c r="P450" s="456"/>
      <c r="Q450" s="456"/>
      <c r="R450" s="456"/>
      <c r="S450" s="456"/>
      <c r="T450" s="456"/>
      <c r="U450" s="456"/>
      <c r="V450" s="456"/>
      <c r="W450" s="456"/>
      <c r="X450" s="456"/>
      <c r="Y450" s="456"/>
      <c r="Z450" s="456"/>
    </row>
    <row r="451" spans="1:26" ht="11.25" customHeight="1">
      <c r="A451" s="456"/>
      <c r="B451" s="456"/>
      <c r="C451" s="456"/>
      <c r="D451" s="456"/>
      <c r="E451" s="456"/>
      <c r="F451" s="456"/>
      <c r="G451" s="456"/>
      <c r="H451" s="456"/>
      <c r="I451" s="456"/>
      <c r="J451" s="456"/>
      <c r="K451" s="456"/>
      <c r="L451" s="456"/>
      <c r="M451" s="456"/>
      <c r="N451" s="456"/>
      <c r="O451" s="456"/>
      <c r="P451" s="456"/>
      <c r="Q451" s="456"/>
      <c r="R451" s="456"/>
      <c r="S451" s="456"/>
      <c r="T451" s="456"/>
      <c r="U451" s="456"/>
      <c r="V451" s="456"/>
      <c r="W451" s="456"/>
      <c r="X451" s="456"/>
      <c r="Y451" s="456"/>
      <c r="Z451" s="456"/>
    </row>
    <row r="452" spans="1:26" ht="11.25" customHeight="1">
      <c r="A452" s="456"/>
      <c r="B452" s="456"/>
      <c r="C452" s="456"/>
      <c r="D452" s="456"/>
      <c r="E452" s="456"/>
      <c r="F452" s="456"/>
      <c r="G452" s="456"/>
      <c r="H452" s="456"/>
      <c r="I452" s="456"/>
      <c r="J452" s="456"/>
      <c r="K452" s="456"/>
      <c r="L452" s="456"/>
      <c r="M452" s="456"/>
      <c r="N452" s="456"/>
      <c r="O452" s="456"/>
      <c r="P452" s="456"/>
      <c r="Q452" s="456"/>
      <c r="R452" s="456"/>
      <c r="S452" s="456"/>
      <c r="T452" s="456"/>
      <c r="U452" s="456"/>
      <c r="V452" s="456"/>
      <c r="W452" s="456"/>
      <c r="X452" s="456"/>
      <c r="Y452" s="456"/>
      <c r="Z452" s="456"/>
    </row>
    <row r="453" spans="1:26" ht="11.25" customHeight="1">
      <c r="A453" s="456"/>
      <c r="B453" s="456"/>
      <c r="C453" s="456"/>
      <c r="D453" s="456"/>
      <c r="E453" s="456"/>
      <c r="F453" s="456"/>
      <c r="G453" s="456"/>
      <c r="H453" s="456"/>
      <c r="I453" s="456"/>
      <c r="J453" s="456"/>
      <c r="K453" s="456"/>
      <c r="L453" s="456"/>
      <c r="M453" s="456"/>
      <c r="N453" s="456"/>
      <c r="O453" s="456"/>
      <c r="P453" s="456"/>
      <c r="Q453" s="456"/>
      <c r="R453" s="456"/>
      <c r="S453" s="456"/>
      <c r="T453" s="456"/>
      <c r="U453" s="456"/>
      <c r="V453" s="456"/>
      <c r="W453" s="456"/>
      <c r="X453" s="456"/>
      <c r="Y453" s="456"/>
      <c r="Z453" s="456"/>
    </row>
    <row r="454" spans="1:26" ht="11.25" customHeight="1">
      <c r="A454" s="456"/>
      <c r="B454" s="456"/>
      <c r="C454" s="456"/>
      <c r="D454" s="456"/>
      <c r="E454" s="456"/>
      <c r="F454" s="456"/>
      <c r="G454" s="456"/>
      <c r="H454" s="456"/>
      <c r="I454" s="456"/>
      <c r="J454" s="456"/>
      <c r="K454" s="456"/>
      <c r="L454" s="456"/>
      <c r="M454" s="456"/>
      <c r="N454" s="456"/>
      <c r="O454" s="456"/>
      <c r="P454" s="456"/>
      <c r="Q454" s="456"/>
      <c r="R454" s="456"/>
      <c r="S454" s="456"/>
      <c r="T454" s="456"/>
      <c r="U454" s="456"/>
      <c r="V454" s="456"/>
      <c r="W454" s="456"/>
      <c r="X454" s="456"/>
      <c r="Y454" s="456"/>
      <c r="Z454" s="456"/>
    </row>
    <row r="455" spans="1:26" ht="11.25" customHeight="1">
      <c r="A455" s="456"/>
      <c r="B455" s="456"/>
      <c r="C455" s="456"/>
      <c r="D455" s="456"/>
      <c r="E455" s="456"/>
      <c r="F455" s="456"/>
      <c r="G455" s="456"/>
      <c r="H455" s="456"/>
      <c r="I455" s="456"/>
      <c r="J455" s="456"/>
      <c r="K455" s="456"/>
      <c r="L455" s="456"/>
      <c r="M455" s="456"/>
      <c r="N455" s="456"/>
      <c r="O455" s="456"/>
      <c r="P455" s="456"/>
      <c r="Q455" s="456"/>
      <c r="R455" s="456"/>
      <c r="S455" s="456"/>
      <c r="T455" s="456"/>
      <c r="U455" s="456"/>
      <c r="V455" s="456"/>
      <c r="W455" s="456"/>
      <c r="X455" s="456"/>
      <c r="Y455" s="456"/>
      <c r="Z455" s="456"/>
    </row>
    <row r="456" spans="1:26" ht="11.25" customHeight="1">
      <c r="A456" s="456"/>
      <c r="B456" s="456"/>
      <c r="C456" s="456"/>
      <c r="D456" s="456"/>
      <c r="E456" s="456"/>
      <c r="F456" s="456"/>
      <c r="G456" s="456"/>
      <c r="H456" s="456"/>
      <c r="I456" s="456"/>
      <c r="J456" s="456"/>
      <c r="K456" s="456"/>
      <c r="L456" s="456"/>
      <c r="M456" s="456"/>
      <c r="N456" s="456"/>
      <c r="O456" s="456"/>
      <c r="P456" s="456"/>
      <c r="Q456" s="456"/>
      <c r="R456" s="456"/>
      <c r="S456" s="456"/>
      <c r="T456" s="456"/>
      <c r="U456" s="456"/>
      <c r="V456" s="456"/>
      <c r="W456" s="456"/>
      <c r="X456" s="456"/>
      <c r="Y456" s="456"/>
      <c r="Z456" s="456"/>
    </row>
    <row r="457" spans="1:26" ht="11.25" customHeight="1">
      <c r="A457" s="456"/>
      <c r="B457" s="456"/>
      <c r="C457" s="456"/>
      <c r="D457" s="456"/>
      <c r="E457" s="456"/>
      <c r="F457" s="456"/>
      <c r="G457" s="456"/>
      <c r="H457" s="456"/>
      <c r="I457" s="456"/>
      <c r="J457" s="456"/>
      <c r="K457" s="456"/>
      <c r="L457" s="456"/>
      <c r="M457" s="456"/>
      <c r="N457" s="456"/>
      <c r="O457" s="456"/>
      <c r="P457" s="456"/>
      <c r="Q457" s="456"/>
      <c r="R457" s="456"/>
      <c r="S457" s="456"/>
      <c r="T457" s="456"/>
      <c r="U457" s="456"/>
      <c r="V457" s="456"/>
      <c r="W457" s="456"/>
      <c r="X457" s="456"/>
      <c r="Y457" s="456"/>
      <c r="Z457" s="456"/>
    </row>
    <row r="458" spans="1:26" ht="11.25" customHeight="1">
      <c r="A458" s="456"/>
      <c r="B458" s="456"/>
      <c r="C458" s="456"/>
      <c r="D458" s="456"/>
      <c r="E458" s="456"/>
      <c r="F458" s="456"/>
      <c r="G458" s="456"/>
      <c r="H458" s="456"/>
      <c r="I458" s="456"/>
      <c r="J458" s="456"/>
      <c r="K458" s="456"/>
      <c r="L458" s="456"/>
      <c r="M458" s="456"/>
      <c r="N458" s="456"/>
      <c r="O458" s="456"/>
      <c r="P458" s="456"/>
      <c r="Q458" s="456"/>
      <c r="R458" s="456"/>
      <c r="S458" s="456"/>
      <c r="T458" s="456"/>
      <c r="U458" s="456"/>
      <c r="V458" s="456"/>
      <c r="W458" s="456"/>
      <c r="X458" s="456"/>
      <c r="Y458" s="456"/>
      <c r="Z458" s="456"/>
    </row>
    <row r="459" spans="1:26" ht="11.25" customHeight="1">
      <c r="A459" s="456"/>
      <c r="B459" s="456"/>
      <c r="C459" s="456"/>
      <c r="D459" s="456"/>
      <c r="E459" s="456"/>
      <c r="F459" s="456"/>
      <c r="G459" s="456"/>
      <c r="H459" s="456"/>
      <c r="I459" s="456"/>
      <c r="J459" s="456"/>
      <c r="K459" s="456"/>
      <c r="L459" s="456"/>
      <c r="M459" s="456"/>
      <c r="N459" s="456"/>
      <c r="O459" s="456"/>
      <c r="P459" s="456"/>
      <c r="Q459" s="456"/>
      <c r="R459" s="456"/>
      <c r="S459" s="456"/>
      <c r="T459" s="456"/>
      <c r="U459" s="456"/>
      <c r="V459" s="456"/>
      <c r="W459" s="456"/>
      <c r="X459" s="456"/>
      <c r="Y459" s="456"/>
      <c r="Z459" s="456"/>
    </row>
    <row r="460" spans="1:26" ht="11.25" customHeight="1">
      <c r="A460" s="456"/>
      <c r="B460" s="456"/>
      <c r="C460" s="456"/>
      <c r="D460" s="456"/>
      <c r="E460" s="456"/>
      <c r="F460" s="456"/>
      <c r="G460" s="456"/>
      <c r="H460" s="456"/>
      <c r="I460" s="456"/>
      <c r="J460" s="456"/>
      <c r="K460" s="456"/>
      <c r="L460" s="456"/>
      <c r="M460" s="456"/>
      <c r="N460" s="456"/>
      <c r="O460" s="456"/>
      <c r="P460" s="456"/>
      <c r="Q460" s="456"/>
      <c r="R460" s="456"/>
      <c r="S460" s="456"/>
      <c r="T460" s="456"/>
      <c r="U460" s="456"/>
      <c r="V460" s="456"/>
      <c r="W460" s="456"/>
      <c r="X460" s="456"/>
      <c r="Y460" s="456"/>
      <c r="Z460" s="456"/>
    </row>
    <row r="461" spans="1:26" ht="11.25" customHeight="1">
      <c r="A461" s="456"/>
      <c r="B461" s="456"/>
      <c r="C461" s="456"/>
      <c r="D461" s="456"/>
      <c r="E461" s="456"/>
      <c r="F461" s="456"/>
      <c r="G461" s="456"/>
      <c r="H461" s="456"/>
      <c r="I461" s="456"/>
      <c r="J461" s="456"/>
      <c r="K461" s="456"/>
      <c r="L461" s="456"/>
      <c r="M461" s="456"/>
      <c r="N461" s="456"/>
      <c r="O461" s="456"/>
      <c r="P461" s="456"/>
      <c r="Q461" s="456"/>
      <c r="R461" s="456"/>
      <c r="S461" s="456"/>
      <c r="T461" s="456"/>
      <c r="U461" s="456"/>
      <c r="V461" s="456"/>
      <c r="W461" s="456"/>
      <c r="X461" s="456"/>
      <c r="Y461" s="456"/>
      <c r="Z461" s="456"/>
    </row>
    <row r="462" spans="1:26" ht="11.25" customHeight="1">
      <c r="A462" s="456"/>
      <c r="B462" s="456"/>
      <c r="C462" s="456"/>
      <c r="D462" s="456"/>
      <c r="E462" s="456"/>
      <c r="F462" s="456"/>
      <c r="G462" s="456"/>
      <c r="H462" s="456"/>
      <c r="I462" s="456"/>
      <c r="J462" s="456"/>
      <c r="K462" s="456"/>
      <c r="L462" s="456"/>
      <c r="M462" s="456"/>
      <c r="N462" s="456"/>
      <c r="O462" s="456"/>
      <c r="P462" s="456"/>
      <c r="Q462" s="456"/>
      <c r="R462" s="456"/>
      <c r="S462" s="456"/>
      <c r="T462" s="456"/>
      <c r="U462" s="456"/>
      <c r="V462" s="456"/>
      <c r="W462" s="456"/>
      <c r="X462" s="456"/>
      <c r="Y462" s="456"/>
      <c r="Z462" s="456"/>
    </row>
    <row r="463" spans="1:26" ht="11.25" customHeight="1">
      <c r="A463" s="456"/>
      <c r="B463" s="456"/>
      <c r="C463" s="456"/>
      <c r="D463" s="456"/>
      <c r="E463" s="456"/>
      <c r="F463" s="456"/>
      <c r="G463" s="456"/>
      <c r="H463" s="456"/>
      <c r="I463" s="456"/>
      <c r="J463" s="456"/>
      <c r="K463" s="456"/>
      <c r="L463" s="456"/>
      <c r="M463" s="456"/>
      <c r="N463" s="456"/>
      <c r="O463" s="456"/>
      <c r="P463" s="456"/>
      <c r="Q463" s="456"/>
      <c r="R463" s="456"/>
      <c r="S463" s="456"/>
      <c r="T463" s="456"/>
      <c r="U463" s="456"/>
      <c r="V463" s="456"/>
      <c r="W463" s="456"/>
      <c r="X463" s="456"/>
      <c r="Y463" s="456"/>
      <c r="Z463" s="456"/>
    </row>
    <row r="464" spans="1:26" ht="11.25" customHeight="1">
      <c r="A464" s="456"/>
      <c r="B464" s="456"/>
      <c r="C464" s="456"/>
      <c r="D464" s="456"/>
      <c r="E464" s="456"/>
      <c r="F464" s="456"/>
      <c r="G464" s="456"/>
      <c r="H464" s="456"/>
      <c r="I464" s="456"/>
      <c r="J464" s="456"/>
      <c r="K464" s="456"/>
      <c r="L464" s="456"/>
      <c r="M464" s="456"/>
      <c r="N464" s="456"/>
      <c r="O464" s="456"/>
      <c r="P464" s="456"/>
      <c r="Q464" s="456"/>
      <c r="R464" s="456"/>
      <c r="S464" s="456"/>
      <c r="T464" s="456"/>
      <c r="U464" s="456"/>
      <c r="V464" s="456"/>
      <c r="W464" s="456"/>
      <c r="X464" s="456"/>
      <c r="Y464" s="456"/>
      <c r="Z464" s="456"/>
    </row>
    <row r="465" spans="1:26" ht="11.25" customHeight="1">
      <c r="A465" s="456"/>
      <c r="B465" s="456"/>
      <c r="C465" s="456"/>
      <c r="D465" s="456"/>
      <c r="E465" s="456"/>
      <c r="F465" s="456"/>
      <c r="G465" s="456"/>
      <c r="H465" s="456"/>
      <c r="I465" s="456"/>
      <c r="J465" s="456"/>
      <c r="K465" s="456"/>
      <c r="L465" s="456"/>
      <c r="M465" s="456"/>
      <c r="N465" s="456"/>
      <c r="O465" s="456"/>
      <c r="P465" s="456"/>
      <c r="Q465" s="456"/>
      <c r="R465" s="456"/>
      <c r="S465" s="456"/>
      <c r="T465" s="456"/>
      <c r="U465" s="456"/>
      <c r="V465" s="456"/>
      <c r="W465" s="456"/>
      <c r="X465" s="456"/>
      <c r="Y465" s="456"/>
      <c r="Z465" s="456"/>
    </row>
    <row r="466" spans="1:26" ht="11.25" customHeight="1">
      <c r="A466" s="456"/>
      <c r="B466" s="456"/>
      <c r="C466" s="456"/>
      <c r="D466" s="456"/>
      <c r="E466" s="456"/>
      <c r="F466" s="456"/>
      <c r="G466" s="456"/>
      <c r="H466" s="456"/>
      <c r="I466" s="456"/>
      <c r="J466" s="456"/>
      <c r="K466" s="456"/>
      <c r="L466" s="456"/>
      <c r="M466" s="456"/>
      <c r="N466" s="456"/>
      <c r="O466" s="456"/>
      <c r="P466" s="456"/>
      <c r="Q466" s="456"/>
      <c r="R466" s="456"/>
      <c r="S466" s="456"/>
      <c r="T466" s="456"/>
      <c r="U466" s="456"/>
      <c r="V466" s="456"/>
      <c r="W466" s="456"/>
      <c r="X466" s="456"/>
      <c r="Y466" s="456"/>
      <c r="Z466" s="456"/>
    </row>
    <row r="467" spans="1:26" ht="11.25" customHeight="1">
      <c r="A467" s="456"/>
      <c r="B467" s="456"/>
      <c r="C467" s="456"/>
      <c r="D467" s="456"/>
      <c r="E467" s="456"/>
      <c r="F467" s="456"/>
      <c r="G467" s="456"/>
      <c r="H467" s="456"/>
      <c r="I467" s="456"/>
      <c r="J467" s="456"/>
      <c r="K467" s="456"/>
      <c r="L467" s="456"/>
      <c r="M467" s="456"/>
      <c r="N467" s="456"/>
      <c r="O467" s="456"/>
      <c r="P467" s="456"/>
      <c r="Q467" s="456"/>
      <c r="R467" s="456"/>
      <c r="S467" s="456"/>
      <c r="T467" s="456"/>
      <c r="U467" s="456"/>
      <c r="V467" s="456"/>
      <c r="W467" s="456"/>
      <c r="X467" s="456"/>
      <c r="Y467" s="456"/>
      <c r="Z467" s="456"/>
    </row>
    <row r="468" spans="1:26" ht="11.25" customHeight="1">
      <c r="A468" s="456"/>
      <c r="B468" s="456"/>
      <c r="C468" s="456"/>
      <c r="D468" s="456"/>
      <c r="E468" s="456"/>
      <c r="F468" s="456"/>
      <c r="G468" s="456"/>
      <c r="H468" s="456"/>
      <c r="I468" s="456"/>
      <c r="J468" s="456"/>
      <c r="K468" s="456"/>
      <c r="L468" s="456"/>
      <c r="M468" s="456"/>
      <c r="N468" s="456"/>
      <c r="O468" s="456"/>
      <c r="P468" s="456"/>
      <c r="Q468" s="456"/>
      <c r="R468" s="456"/>
      <c r="S468" s="456"/>
      <c r="T468" s="456"/>
      <c r="U468" s="456"/>
      <c r="V468" s="456"/>
      <c r="W468" s="456"/>
      <c r="X468" s="456"/>
      <c r="Y468" s="456"/>
      <c r="Z468" s="456"/>
    </row>
    <row r="469" spans="1:26" ht="11.25" customHeight="1">
      <c r="A469" s="456"/>
      <c r="B469" s="456"/>
      <c r="C469" s="456"/>
      <c r="D469" s="456"/>
      <c r="E469" s="456"/>
      <c r="F469" s="456"/>
      <c r="G469" s="456"/>
      <c r="H469" s="456"/>
      <c r="I469" s="456"/>
      <c r="J469" s="456"/>
      <c r="K469" s="456"/>
      <c r="L469" s="456"/>
      <c r="M469" s="456"/>
      <c r="N469" s="456"/>
      <c r="O469" s="456"/>
      <c r="P469" s="456"/>
      <c r="Q469" s="456"/>
      <c r="R469" s="456"/>
      <c r="S469" s="456"/>
      <c r="T469" s="456"/>
      <c r="U469" s="456"/>
      <c r="V469" s="456"/>
      <c r="W469" s="456"/>
      <c r="X469" s="456"/>
      <c r="Y469" s="456"/>
      <c r="Z469" s="456"/>
    </row>
    <row r="470" spans="1:26" ht="11.25" customHeight="1">
      <c r="A470" s="456"/>
      <c r="B470" s="456"/>
      <c r="C470" s="456"/>
      <c r="D470" s="456"/>
      <c r="E470" s="456"/>
      <c r="F470" s="456"/>
      <c r="G470" s="456"/>
      <c r="H470" s="456"/>
      <c r="I470" s="456"/>
      <c r="J470" s="456"/>
      <c r="K470" s="456"/>
      <c r="L470" s="456"/>
      <c r="M470" s="456"/>
      <c r="N470" s="456"/>
      <c r="O470" s="456"/>
      <c r="P470" s="456"/>
      <c r="Q470" s="456"/>
      <c r="R470" s="456"/>
      <c r="S470" s="456"/>
      <c r="T470" s="456"/>
      <c r="U470" s="456"/>
      <c r="V470" s="456"/>
      <c r="W470" s="456"/>
      <c r="X470" s="456"/>
      <c r="Y470" s="456"/>
      <c r="Z470" s="456"/>
    </row>
    <row r="471" spans="1:26" ht="11.25" customHeight="1">
      <c r="A471" s="456"/>
      <c r="B471" s="456"/>
      <c r="C471" s="456"/>
      <c r="D471" s="456"/>
      <c r="E471" s="456"/>
      <c r="F471" s="456"/>
      <c r="G471" s="456"/>
      <c r="H471" s="456"/>
      <c r="I471" s="456"/>
      <c r="J471" s="456"/>
      <c r="K471" s="456"/>
      <c r="L471" s="456"/>
      <c r="M471" s="456"/>
      <c r="N471" s="456"/>
      <c r="O471" s="456"/>
      <c r="P471" s="456"/>
      <c r="Q471" s="456"/>
      <c r="R471" s="456"/>
      <c r="S471" s="456"/>
      <c r="T471" s="456"/>
      <c r="U471" s="456"/>
      <c r="V471" s="456"/>
      <c r="W471" s="456"/>
      <c r="X471" s="456"/>
      <c r="Y471" s="456"/>
      <c r="Z471" s="456"/>
    </row>
    <row r="472" spans="1:26" ht="11.25" customHeight="1">
      <c r="A472" s="456"/>
      <c r="B472" s="456"/>
      <c r="C472" s="456"/>
      <c r="D472" s="456"/>
      <c r="E472" s="456"/>
      <c r="F472" s="456"/>
      <c r="G472" s="456"/>
      <c r="H472" s="456"/>
      <c r="I472" s="456"/>
      <c r="J472" s="456"/>
      <c r="K472" s="456"/>
      <c r="L472" s="456"/>
      <c r="M472" s="456"/>
      <c r="N472" s="456"/>
      <c r="O472" s="456"/>
      <c r="P472" s="456"/>
      <c r="Q472" s="456"/>
      <c r="R472" s="456"/>
      <c r="S472" s="456"/>
      <c r="T472" s="456"/>
      <c r="U472" s="456"/>
      <c r="V472" s="456"/>
      <c r="W472" s="456"/>
      <c r="X472" s="456"/>
      <c r="Y472" s="456"/>
      <c r="Z472" s="456"/>
    </row>
    <row r="473" spans="1:26" ht="11.25" customHeight="1">
      <c r="A473" s="456"/>
      <c r="B473" s="456"/>
      <c r="C473" s="456"/>
      <c r="D473" s="456"/>
      <c r="E473" s="456"/>
      <c r="F473" s="456"/>
      <c r="G473" s="456"/>
      <c r="H473" s="456"/>
      <c r="I473" s="456"/>
      <c r="J473" s="456"/>
      <c r="K473" s="456"/>
      <c r="L473" s="456"/>
      <c r="M473" s="456"/>
      <c r="N473" s="456"/>
      <c r="O473" s="456"/>
      <c r="P473" s="456"/>
      <c r="Q473" s="456"/>
      <c r="R473" s="456"/>
      <c r="S473" s="456"/>
      <c r="T473" s="456"/>
      <c r="U473" s="456"/>
      <c r="V473" s="456"/>
      <c r="W473" s="456"/>
      <c r="X473" s="456"/>
      <c r="Y473" s="456"/>
      <c r="Z473" s="456"/>
    </row>
    <row r="474" spans="1:26" ht="11.25" customHeight="1">
      <c r="A474" s="456"/>
      <c r="B474" s="456"/>
      <c r="C474" s="456"/>
      <c r="D474" s="456"/>
      <c r="E474" s="456"/>
      <c r="F474" s="456"/>
      <c r="G474" s="456"/>
      <c r="H474" s="456"/>
      <c r="I474" s="456"/>
      <c r="J474" s="456"/>
      <c r="K474" s="456"/>
      <c r="L474" s="456"/>
      <c r="M474" s="456"/>
      <c r="N474" s="456"/>
      <c r="O474" s="456"/>
      <c r="P474" s="456"/>
      <c r="Q474" s="456"/>
      <c r="R474" s="456"/>
      <c r="S474" s="456"/>
      <c r="T474" s="456"/>
      <c r="U474" s="456"/>
      <c r="V474" s="456"/>
      <c r="W474" s="456"/>
      <c r="X474" s="456"/>
      <c r="Y474" s="456"/>
      <c r="Z474" s="456"/>
    </row>
    <row r="475" spans="1:26" ht="11.25" customHeight="1">
      <c r="A475" s="456"/>
      <c r="B475" s="456"/>
      <c r="C475" s="456"/>
      <c r="D475" s="456"/>
      <c r="E475" s="456"/>
      <c r="F475" s="456"/>
      <c r="G475" s="456"/>
      <c r="H475" s="456"/>
      <c r="I475" s="456"/>
      <c r="J475" s="456"/>
      <c r="K475" s="456"/>
      <c r="L475" s="456"/>
      <c r="M475" s="456"/>
      <c r="N475" s="456"/>
      <c r="O475" s="456"/>
      <c r="P475" s="456"/>
      <c r="Q475" s="456"/>
      <c r="R475" s="456"/>
      <c r="S475" s="456"/>
      <c r="T475" s="456"/>
      <c r="U475" s="456"/>
      <c r="V475" s="456"/>
      <c r="W475" s="456"/>
      <c r="X475" s="456"/>
      <c r="Y475" s="456"/>
      <c r="Z475" s="456"/>
    </row>
    <row r="476" spans="1:26" ht="11.25" customHeight="1">
      <c r="A476" s="456"/>
      <c r="B476" s="456"/>
      <c r="C476" s="456"/>
      <c r="D476" s="456"/>
      <c r="E476" s="456"/>
      <c r="F476" s="456"/>
      <c r="G476" s="456"/>
      <c r="H476" s="456"/>
      <c r="I476" s="456"/>
      <c r="J476" s="456"/>
      <c r="K476" s="456"/>
      <c r="L476" s="456"/>
      <c r="M476" s="456"/>
      <c r="N476" s="456"/>
      <c r="O476" s="456"/>
      <c r="P476" s="456"/>
      <c r="Q476" s="456"/>
      <c r="R476" s="456"/>
      <c r="S476" s="456"/>
      <c r="T476" s="456"/>
      <c r="U476" s="456"/>
      <c r="V476" s="456"/>
      <c r="W476" s="456"/>
      <c r="X476" s="456"/>
      <c r="Y476" s="456"/>
      <c r="Z476" s="456"/>
    </row>
    <row r="477" spans="1:26" ht="11.25" customHeight="1">
      <c r="A477" s="456"/>
      <c r="B477" s="456"/>
      <c r="C477" s="456"/>
      <c r="D477" s="456"/>
      <c r="E477" s="456"/>
      <c r="F477" s="456"/>
      <c r="G477" s="456"/>
      <c r="H477" s="456"/>
      <c r="I477" s="456"/>
      <c r="J477" s="456"/>
      <c r="K477" s="456"/>
      <c r="L477" s="456"/>
      <c r="M477" s="456"/>
      <c r="N477" s="456"/>
      <c r="O477" s="456"/>
      <c r="P477" s="456"/>
      <c r="Q477" s="456"/>
      <c r="R477" s="456"/>
      <c r="S477" s="456"/>
      <c r="T477" s="456"/>
      <c r="U477" s="456"/>
      <c r="V477" s="456"/>
      <c r="W477" s="456"/>
      <c r="X477" s="456"/>
      <c r="Y477" s="456"/>
      <c r="Z477" s="456"/>
    </row>
    <row r="478" spans="1:26" ht="11.25" customHeight="1">
      <c r="A478" s="456"/>
      <c r="B478" s="456"/>
      <c r="C478" s="456"/>
      <c r="D478" s="456"/>
      <c r="E478" s="456"/>
      <c r="F478" s="456"/>
      <c r="G478" s="456"/>
      <c r="H478" s="456"/>
      <c r="I478" s="456"/>
      <c r="J478" s="456"/>
      <c r="K478" s="456"/>
      <c r="L478" s="456"/>
      <c r="M478" s="456"/>
      <c r="N478" s="456"/>
      <c r="O478" s="456"/>
      <c r="P478" s="456"/>
      <c r="Q478" s="456"/>
      <c r="R478" s="456"/>
      <c r="S478" s="456"/>
      <c r="T478" s="456"/>
      <c r="U478" s="456"/>
      <c r="V478" s="456"/>
      <c r="W478" s="456"/>
      <c r="X478" s="456"/>
      <c r="Y478" s="456"/>
      <c r="Z478" s="456"/>
    </row>
    <row r="479" spans="1:26" ht="11.25" customHeight="1">
      <c r="A479" s="456"/>
      <c r="B479" s="456"/>
      <c r="C479" s="456"/>
      <c r="D479" s="456"/>
      <c r="E479" s="456"/>
      <c r="F479" s="456"/>
      <c r="G479" s="456"/>
      <c r="H479" s="456"/>
      <c r="I479" s="456"/>
      <c r="J479" s="456"/>
      <c r="K479" s="456"/>
      <c r="L479" s="456"/>
      <c r="M479" s="456"/>
      <c r="N479" s="456"/>
      <c r="O479" s="456"/>
      <c r="P479" s="456"/>
      <c r="Q479" s="456"/>
      <c r="R479" s="456"/>
      <c r="S479" s="456"/>
      <c r="T479" s="456"/>
      <c r="U479" s="456"/>
      <c r="V479" s="456"/>
      <c r="W479" s="456"/>
      <c r="X479" s="456"/>
      <c r="Y479" s="456"/>
      <c r="Z479" s="456"/>
    </row>
    <row r="480" spans="1:26" ht="11.25" customHeight="1">
      <c r="A480" s="456"/>
      <c r="B480" s="456"/>
      <c r="C480" s="456"/>
      <c r="D480" s="456"/>
      <c r="E480" s="456"/>
      <c r="F480" s="456"/>
      <c r="G480" s="456"/>
      <c r="H480" s="456"/>
      <c r="I480" s="456"/>
      <c r="J480" s="456"/>
      <c r="K480" s="456"/>
      <c r="L480" s="456"/>
      <c r="M480" s="456"/>
      <c r="N480" s="456"/>
      <c r="O480" s="456"/>
      <c r="P480" s="456"/>
      <c r="Q480" s="456"/>
      <c r="R480" s="456"/>
      <c r="S480" s="456"/>
      <c r="T480" s="456"/>
      <c r="U480" s="456"/>
      <c r="V480" s="456"/>
      <c r="W480" s="456"/>
      <c r="X480" s="456"/>
      <c r="Y480" s="456"/>
      <c r="Z480" s="456"/>
    </row>
    <row r="481" spans="1:26" ht="11.25" customHeight="1">
      <c r="A481" s="456"/>
      <c r="B481" s="456"/>
      <c r="C481" s="456"/>
      <c r="D481" s="456"/>
      <c r="E481" s="456"/>
      <c r="F481" s="456"/>
      <c r="G481" s="456"/>
      <c r="H481" s="456"/>
      <c r="I481" s="456"/>
      <c r="J481" s="456"/>
      <c r="K481" s="456"/>
      <c r="L481" s="456"/>
      <c r="M481" s="456"/>
      <c r="N481" s="456"/>
      <c r="O481" s="456"/>
      <c r="P481" s="456"/>
      <c r="Q481" s="456"/>
      <c r="R481" s="456"/>
      <c r="S481" s="456"/>
      <c r="T481" s="456"/>
      <c r="U481" s="456"/>
      <c r="V481" s="456"/>
      <c r="W481" s="456"/>
      <c r="X481" s="456"/>
      <c r="Y481" s="456"/>
      <c r="Z481" s="456"/>
    </row>
    <row r="482" spans="1:26" ht="11.25" customHeight="1">
      <c r="A482" s="456"/>
      <c r="B482" s="456"/>
      <c r="C482" s="456"/>
      <c r="D482" s="456"/>
      <c r="E482" s="456"/>
      <c r="F482" s="456"/>
      <c r="G482" s="456"/>
      <c r="H482" s="456"/>
      <c r="I482" s="456"/>
      <c r="J482" s="456"/>
      <c r="K482" s="456"/>
      <c r="L482" s="456"/>
      <c r="M482" s="456"/>
      <c r="N482" s="456"/>
      <c r="O482" s="456"/>
      <c r="P482" s="456"/>
      <c r="Q482" s="456"/>
      <c r="R482" s="456"/>
      <c r="S482" s="456"/>
      <c r="T482" s="456"/>
      <c r="U482" s="456"/>
      <c r="V482" s="456"/>
      <c r="W482" s="456"/>
      <c r="X482" s="456"/>
      <c r="Y482" s="456"/>
      <c r="Z482" s="456"/>
    </row>
    <row r="483" spans="1:26" ht="11.25" customHeight="1">
      <c r="A483" s="456"/>
      <c r="B483" s="456"/>
      <c r="C483" s="456"/>
      <c r="D483" s="456"/>
      <c r="E483" s="456"/>
      <c r="F483" s="456"/>
      <c r="G483" s="456"/>
      <c r="H483" s="456"/>
      <c r="I483" s="456"/>
      <c r="J483" s="456"/>
      <c r="K483" s="456"/>
      <c r="L483" s="456"/>
      <c r="M483" s="456"/>
      <c r="N483" s="456"/>
      <c r="O483" s="456"/>
      <c r="P483" s="456"/>
      <c r="Q483" s="456"/>
      <c r="R483" s="456"/>
      <c r="S483" s="456"/>
      <c r="T483" s="456"/>
      <c r="U483" s="456"/>
      <c r="V483" s="456"/>
      <c r="W483" s="456"/>
      <c r="X483" s="456"/>
      <c r="Y483" s="456"/>
      <c r="Z483" s="456"/>
    </row>
    <row r="484" spans="1:26" ht="11.25" customHeight="1">
      <c r="A484" s="456"/>
      <c r="B484" s="456"/>
      <c r="C484" s="456"/>
      <c r="D484" s="456"/>
      <c r="E484" s="456"/>
      <c r="F484" s="456"/>
      <c r="G484" s="456"/>
      <c r="H484" s="456"/>
      <c r="I484" s="456"/>
      <c r="J484" s="456"/>
      <c r="K484" s="456"/>
      <c r="L484" s="456"/>
      <c r="M484" s="456"/>
      <c r="N484" s="456"/>
      <c r="O484" s="456"/>
      <c r="P484" s="456"/>
      <c r="Q484" s="456"/>
      <c r="R484" s="456"/>
      <c r="S484" s="456"/>
      <c r="T484" s="456"/>
      <c r="U484" s="456"/>
      <c r="V484" s="456"/>
      <c r="W484" s="456"/>
      <c r="X484" s="456"/>
      <c r="Y484" s="456"/>
      <c r="Z484" s="456"/>
    </row>
    <row r="485" spans="1:26" ht="11.25" customHeight="1">
      <c r="A485" s="456"/>
      <c r="B485" s="456"/>
      <c r="C485" s="456"/>
      <c r="D485" s="456"/>
      <c r="E485" s="456"/>
      <c r="F485" s="456"/>
      <c r="G485" s="456"/>
      <c r="H485" s="456"/>
      <c r="I485" s="456"/>
      <c r="J485" s="456"/>
      <c r="K485" s="456"/>
      <c r="L485" s="456"/>
      <c r="M485" s="456"/>
      <c r="N485" s="456"/>
      <c r="O485" s="456"/>
      <c r="P485" s="456"/>
      <c r="Q485" s="456"/>
      <c r="R485" s="456"/>
      <c r="S485" s="456"/>
      <c r="T485" s="456"/>
      <c r="U485" s="456"/>
      <c r="V485" s="456"/>
      <c r="W485" s="456"/>
      <c r="X485" s="456"/>
      <c r="Y485" s="456"/>
      <c r="Z485" s="456"/>
    </row>
    <row r="486" spans="1:26" ht="11.25" customHeight="1">
      <c r="A486" s="456"/>
      <c r="B486" s="456"/>
      <c r="C486" s="456"/>
      <c r="D486" s="456"/>
      <c r="E486" s="456"/>
      <c r="F486" s="456"/>
      <c r="G486" s="456"/>
      <c r="H486" s="456"/>
      <c r="I486" s="456"/>
      <c r="J486" s="456"/>
      <c r="K486" s="456"/>
      <c r="L486" s="456"/>
      <c r="M486" s="456"/>
      <c r="N486" s="456"/>
      <c r="O486" s="456"/>
      <c r="P486" s="456"/>
      <c r="Q486" s="456"/>
      <c r="R486" s="456"/>
      <c r="S486" s="456"/>
      <c r="T486" s="456"/>
      <c r="U486" s="456"/>
      <c r="V486" s="456"/>
      <c r="W486" s="456"/>
      <c r="X486" s="456"/>
      <c r="Y486" s="456"/>
      <c r="Z486" s="456"/>
    </row>
    <row r="487" spans="1:26" ht="11.25" customHeight="1">
      <c r="A487" s="456"/>
      <c r="B487" s="456"/>
      <c r="C487" s="456"/>
      <c r="D487" s="456"/>
      <c r="E487" s="456"/>
      <c r="F487" s="456"/>
      <c r="G487" s="456"/>
      <c r="H487" s="456"/>
      <c r="I487" s="456"/>
      <c r="J487" s="456"/>
      <c r="K487" s="456"/>
      <c r="L487" s="456"/>
      <c r="M487" s="456"/>
      <c r="N487" s="456"/>
      <c r="O487" s="456"/>
      <c r="P487" s="456"/>
      <c r="Q487" s="456"/>
      <c r="R487" s="456"/>
      <c r="S487" s="456"/>
      <c r="T487" s="456"/>
      <c r="U487" s="456"/>
      <c r="V487" s="456"/>
      <c r="W487" s="456"/>
      <c r="X487" s="456"/>
      <c r="Y487" s="456"/>
      <c r="Z487" s="456"/>
    </row>
    <row r="488" spans="1:26" ht="11.25" customHeight="1">
      <c r="A488" s="456"/>
      <c r="B488" s="456"/>
      <c r="C488" s="456"/>
      <c r="D488" s="456"/>
      <c r="E488" s="456"/>
      <c r="F488" s="456"/>
      <c r="G488" s="456"/>
      <c r="H488" s="456"/>
      <c r="I488" s="456"/>
      <c r="J488" s="456"/>
      <c r="K488" s="456"/>
      <c r="L488" s="456"/>
      <c r="M488" s="456"/>
      <c r="N488" s="456"/>
      <c r="O488" s="456"/>
      <c r="P488" s="456"/>
      <c r="Q488" s="456"/>
      <c r="R488" s="456"/>
      <c r="S488" s="456"/>
      <c r="T488" s="456"/>
      <c r="U488" s="456"/>
      <c r="V488" s="456"/>
      <c r="W488" s="456"/>
      <c r="X488" s="456"/>
      <c r="Y488" s="456"/>
      <c r="Z488" s="456"/>
    </row>
    <row r="489" spans="1:26" ht="11.25" customHeight="1">
      <c r="A489" s="456"/>
      <c r="B489" s="456"/>
      <c r="C489" s="456"/>
      <c r="D489" s="456"/>
      <c r="E489" s="456"/>
      <c r="F489" s="456"/>
      <c r="G489" s="456"/>
      <c r="H489" s="456"/>
      <c r="I489" s="456"/>
      <c r="J489" s="456"/>
      <c r="K489" s="456"/>
      <c r="L489" s="456"/>
      <c r="M489" s="456"/>
      <c r="N489" s="456"/>
      <c r="O489" s="456"/>
      <c r="P489" s="456"/>
      <c r="Q489" s="456"/>
      <c r="R489" s="456"/>
      <c r="S489" s="456"/>
      <c r="T489" s="456"/>
      <c r="U489" s="456"/>
      <c r="V489" s="456"/>
      <c r="W489" s="456"/>
      <c r="X489" s="456"/>
      <c r="Y489" s="456"/>
      <c r="Z489" s="456"/>
    </row>
    <row r="490" spans="1:26" ht="11.25" customHeight="1">
      <c r="A490" s="456"/>
      <c r="B490" s="456"/>
      <c r="C490" s="456"/>
      <c r="D490" s="456"/>
      <c r="E490" s="456"/>
      <c r="F490" s="456"/>
      <c r="G490" s="456"/>
      <c r="H490" s="456"/>
      <c r="I490" s="456"/>
      <c r="J490" s="456"/>
      <c r="K490" s="456"/>
      <c r="L490" s="456"/>
      <c r="M490" s="456"/>
      <c r="N490" s="456"/>
      <c r="O490" s="456"/>
      <c r="P490" s="456"/>
      <c r="Q490" s="456"/>
      <c r="R490" s="456"/>
      <c r="S490" s="456"/>
      <c r="T490" s="456"/>
      <c r="U490" s="456"/>
      <c r="V490" s="456"/>
      <c r="W490" s="456"/>
      <c r="X490" s="456"/>
      <c r="Y490" s="456"/>
      <c r="Z490" s="456"/>
    </row>
    <row r="491" spans="1:26" ht="11.25" customHeight="1">
      <c r="A491" s="456"/>
      <c r="B491" s="456"/>
      <c r="C491" s="456"/>
      <c r="D491" s="456"/>
      <c r="E491" s="456"/>
      <c r="F491" s="456"/>
      <c r="G491" s="456"/>
      <c r="H491" s="456"/>
      <c r="I491" s="456"/>
      <c r="J491" s="456"/>
      <c r="K491" s="456"/>
      <c r="L491" s="456"/>
      <c r="M491" s="456"/>
      <c r="N491" s="456"/>
      <c r="O491" s="456"/>
      <c r="P491" s="456"/>
      <c r="Q491" s="456"/>
      <c r="R491" s="456"/>
      <c r="S491" s="456"/>
      <c r="T491" s="456"/>
      <c r="U491" s="456"/>
      <c r="V491" s="456"/>
      <c r="W491" s="456"/>
      <c r="X491" s="456"/>
      <c r="Y491" s="456"/>
      <c r="Z491" s="456"/>
    </row>
    <row r="492" spans="1:26" ht="11.25" customHeight="1">
      <c r="A492" s="456"/>
      <c r="B492" s="456"/>
      <c r="C492" s="456"/>
      <c r="D492" s="456"/>
      <c r="E492" s="456"/>
      <c r="F492" s="456"/>
      <c r="G492" s="456"/>
      <c r="H492" s="456"/>
      <c r="I492" s="456"/>
      <c r="J492" s="456"/>
      <c r="K492" s="456"/>
      <c r="L492" s="456"/>
      <c r="M492" s="456"/>
      <c r="N492" s="456"/>
      <c r="O492" s="456"/>
      <c r="P492" s="456"/>
      <c r="Q492" s="456"/>
      <c r="R492" s="456"/>
      <c r="S492" s="456"/>
      <c r="T492" s="456"/>
      <c r="U492" s="456"/>
      <c r="V492" s="456"/>
      <c r="W492" s="456"/>
      <c r="X492" s="456"/>
      <c r="Y492" s="456"/>
      <c r="Z492" s="456"/>
    </row>
    <row r="493" spans="1:26" ht="11.25" customHeight="1">
      <c r="A493" s="456"/>
      <c r="B493" s="456"/>
      <c r="C493" s="456"/>
      <c r="D493" s="456"/>
      <c r="E493" s="456"/>
      <c r="F493" s="456"/>
      <c r="G493" s="456"/>
      <c r="H493" s="456"/>
      <c r="I493" s="456"/>
      <c r="J493" s="456"/>
      <c r="K493" s="456"/>
      <c r="L493" s="456"/>
      <c r="M493" s="456"/>
      <c r="N493" s="456"/>
      <c r="O493" s="456"/>
      <c r="P493" s="456"/>
      <c r="Q493" s="456"/>
      <c r="R493" s="456"/>
      <c r="S493" s="456"/>
      <c r="T493" s="456"/>
      <c r="U493" s="456"/>
      <c r="V493" s="456"/>
      <c r="W493" s="456"/>
      <c r="X493" s="456"/>
      <c r="Y493" s="456"/>
      <c r="Z493" s="456"/>
    </row>
    <row r="494" spans="1:26" ht="11.25" customHeight="1">
      <c r="A494" s="456"/>
      <c r="B494" s="456"/>
      <c r="C494" s="456"/>
      <c r="D494" s="456"/>
      <c r="E494" s="456"/>
      <c r="F494" s="456"/>
      <c r="G494" s="456"/>
      <c r="H494" s="456"/>
      <c r="I494" s="456"/>
      <c r="J494" s="456"/>
      <c r="K494" s="456"/>
      <c r="L494" s="456"/>
      <c r="M494" s="456"/>
      <c r="N494" s="456"/>
      <c r="O494" s="456"/>
      <c r="P494" s="456"/>
      <c r="Q494" s="456"/>
      <c r="R494" s="456"/>
      <c r="S494" s="456"/>
      <c r="T494" s="456"/>
      <c r="U494" s="456"/>
      <c r="V494" s="456"/>
      <c r="W494" s="456"/>
      <c r="X494" s="456"/>
      <c r="Y494" s="456"/>
      <c r="Z494" s="456"/>
    </row>
    <row r="495" spans="1:26" ht="11.25" customHeight="1">
      <c r="A495" s="456"/>
      <c r="B495" s="456"/>
      <c r="C495" s="456"/>
      <c r="D495" s="456"/>
      <c r="E495" s="456"/>
      <c r="F495" s="456"/>
      <c r="G495" s="456"/>
      <c r="H495" s="456"/>
      <c r="I495" s="456"/>
      <c r="J495" s="456"/>
      <c r="K495" s="456"/>
      <c r="L495" s="456"/>
      <c r="M495" s="456"/>
      <c r="N495" s="456"/>
      <c r="O495" s="456"/>
      <c r="P495" s="456"/>
      <c r="Q495" s="456"/>
      <c r="R495" s="456"/>
      <c r="S495" s="456"/>
      <c r="T495" s="456"/>
      <c r="U495" s="456"/>
      <c r="V495" s="456"/>
      <c r="W495" s="456"/>
      <c r="X495" s="456"/>
      <c r="Y495" s="456"/>
      <c r="Z495" s="456"/>
    </row>
    <row r="496" spans="1:26" ht="11.25" customHeight="1">
      <c r="A496" s="456"/>
      <c r="B496" s="456"/>
      <c r="C496" s="456"/>
      <c r="D496" s="456"/>
      <c r="E496" s="456"/>
      <c r="F496" s="456"/>
      <c r="G496" s="456"/>
      <c r="H496" s="456"/>
      <c r="I496" s="456"/>
      <c r="J496" s="456"/>
      <c r="K496" s="456"/>
      <c r="L496" s="456"/>
      <c r="M496" s="456"/>
      <c r="N496" s="456"/>
      <c r="O496" s="456"/>
      <c r="P496" s="456"/>
      <c r="Q496" s="456"/>
      <c r="R496" s="456"/>
      <c r="S496" s="456"/>
      <c r="T496" s="456"/>
      <c r="U496" s="456"/>
      <c r="V496" s="456"/>
      <c r="W496" s="456"/>
      <c r="X496" s="456"/>
      <c r="Y496" s="456"/>
      <c r="Z496" s="456"/>
    </row>
    <row r="497" spans="1:26" ht="11.25" customHeight="1">
      <c r="A497" s="456"/>
      <c r="B497" s="456"/>
      <c r="C497" s="456"/>
      <c r="D497" s="456"/>
      <c r="E497" s="456"/>
      <c r="F497" s="456"/>
      <c r="G497" s="456"/>
      <c r="H497" s="456"/>
      <c r="I497" s="456"/>
      <c r="J497" s="456"/>
      <c r="K497" s="456"/>
      <c r="L497" s="456"/>
      <c r="M497" s="456"/>
      <c r="N497" s="456"/>
      <c r="O497" s="456"/>
      <c r="P497" s="456"/>
      <c r="Q497" s="456"/>
      <c r="R497" s="456"/>
      <c r="S497" s="456"/>
      <c r="T497" s="456"/>
      <c r="U497" s="456"/>
      <c r="V497" s="456"/>
      <c r="W497" s="456"/>
      <c r="X497" s="456"/>
      <c r="Y497" s="456"/>
      <c r="Z497" s="456"/>
    </row>
    <row r="498" spans="1:26" ht="11.25" customHeight="1">
      <c r="A498" s="456"/>
      <c r="B498" s="456"/>
      <c r="C498" s="456"/>
      <c r="D498" s="456"/>
      <c r="E498" s="456"/>
      <c r="F498" s="456"/>
      <c r="G498" s="456"/>
      <c r="H498" s="456"/>
      <c r="I498" s="456"/>
      <c r="J498" s="456"/>
      <c r="K498" s="456"/>
      <c r="L498" s="456"/>
      <c r="M498" s="456"/>
      <c r="N498" s="456"/>
      <c r="O498" s="456"/>
      <c r="P498" s="456"/>
      <c r="Q498" s="456"/>
      <c r="R498" s="456"/>
      <c r="S498" s="456"/>
      <c r="T498" s="456"/>
      <c r="U498" s="456"/>
      <c r="V498" s="456"/>
      <c r="W498" s="456"/>
      <c r="X498" s="456"/>
      <c r="Y498" s="456"/>
      <c r="Z498" s="456"/>
    </row>
    <row r="499" spans="1:26" ht="11.25" customHeight="1">
      <c r="A499" s="456"/>
      <c r="B499" s="456"/>
      <c r="C499" s="456"/>
      <c r="D499" s="456"/>
      <c r="E499" s="456"/>
      <c r="F499" s="456"/>
      <c r="G499" s="456"/>
      <c r="H499" s="456"/>
      <c r="I499" s="456"/>
      <c r="J499" s="456"/>
      <c r="K499" s="456"/>
      <c r="L499" s="456"/>
      <c r="M499" s="456"/>
      <c r="N499" s="456"/>
      <c r="O499" s="456"/>
      <c r="P499" s="456"/>
      <c r="Q499" s="456"/>
      <c r="R499" s="456"/>
      <c r="S499" s="456"/>
      <c r="T499" s="456"/>
      <c r="U499" s="456"/>
      <c r="V499" s="456"/>
      <c r="W499" s="456"/>
      <c r="X499" s="456"/>
      <c r="Y499" s="456"/>
      <c r="Z499" s="456"/>
    </row>
    <row r="500" spans="1:26" ht="11.25" customHeight="1">
      <c r="A500" s="456"/>
      <c r="B500" s="456"/>
      <c r="C500" s="456"/>
      <c r="D500" s="456"/>
      <c r="E500" s="456"/>
      <c r="F500" s="456"/>
      <c r="G500" s="456"/>
      <c r="H500" s="456"/>
      <c r="I500" s="456"/>
      <c r="J500" s="456"/>
      <c r="K500" s="456"/>
      <c r="L500" s="456"/>
      <c r="M500" s="456"/>
      <c r="N500" s="456"/>
      <c r="O500" s="456"/>
      <c r="P500" s="456"/>
      <c r="Q500" s="456"/>
      <c r="R500" s="456"/>
      <c r="S500" s="456"/>
      <c r="T500" s="456"/>
      <c r="U500" s="456"/>
      <c r="V500" s="456"/>
      <c r="W500" s="456"/>
      <c r="X500" s="456"/>
      <c r="Y500" s="456"/>
      <c r="Z500" s="456"/>
    </row>
    <row r="501" spans="1:26" ht="11.25" customHeight="1">
      <c r="A501" s="456"/>
      <c r="B501" s="456"/>
      <c r="C501" s="456"/>
      <c r="D501" s="456"/>
      <c r="E501" s="456"/>
      <c r="F501" s="456"/>
      <c r="G501" s="456"/>
      <c r="H501" s="456"/>
      <c r="I501" s="456"/>
      <c r="J501" s="456"/>
      <c r="K501" s="456"/>
      <c r="L501" s="456"/>
      <c r="M501" s="456"/>
      <c r="N501" s="456"/>
      <c r="O501" s="456"/>
      <c r="P501" s="456"/>
      <c r="Q501" s="456"/>
      <c r="R501" s="456"/>
      <c r="S501" s="456"/>
      <c r="T501" s="456"/>
      <c r="U501" s="456"/>
      <c r="V501" s="456"/>
      <c r="W501" s="456"/>
      <c r="X501" s="456"/>
      <c r="Y501" s="456"/>
      <c r="Z501" s="456"/>
    </row>
    <row r="502" spans="1:26" ht="11.25" customHeight="1">
      <c r="A502" s="456"/>
      <c r="B502" s="456"/>
      <c r="C502" s="456"/>
      <c r="D502" s="456"/>
      <c r="E502" s="456"/>
      <c r="F502" s="456"/>
      <c r="G502" s="456"/>
      <c r="H502" s="456"/>
      <c r="I502" s="456"/>
      <c r="J502" s="456"/>
      <c r="K502" s="456"/>
      <c r="L502" s="456"/>
      <c r="M502" s="456"/>
      <c r="N502" s="456"/>
      <c r="O502" s="456"/>
      <c r="P502" s="456"/>
      <c r="Q502" s="456"/>
      <c r="R502" s="456"/>
      <c r="S502" s="456"/>
      <c r="T502" s="456"/>
      <c r="U502" s="456"/>
      <c r="V502" s="456"/>
      <c r="W502" s="456"/>
      <c r="X502" s="456"/>
      <c r="Y502" s="456"/>
      <c r="Z502" s="456"/>
    </row>
    <row r="503" spans="1:26" ht="11.25" customHeight="1">
      <c r="A503" s="456"/>
      <c r="B503" s="456"/>
      <c r="C503" s="456"/>
      <c r="D503" s="456"/>
      <c r="E503" s="456"/>
      <c r="F503" s="456"/>
      <c r="G503" s="456"/>
      <c r="H503" s="456"/>
      <c r="I503" s="456"/>
      <c r="J503" s="456"/>
      <c r="K503" s="456"/>
      <c r="L503" s="456"/>
      <c r="M503" s="456"/>
      <c r="N503" s="456"/>
      <c r="O503" s="456"/>
      <c r="P503" s="456"/>
      <c r="Q503" s="456"/>
      <c r="R503" s="456"/>
      <c r="S503" s="456"/>
      <c r="T503" s="456"/>
      <c r="U503" s="456"/>
      <c r="V503" s="456"/>
      <c r="W503" s="456"/>
      <c r="X503" s="456"/>
      <c r="Y503" s="456"/>
      <c r="Z503" s="456"/>
    </row>
    <row r="504" spans="1:26" ht="11.25" customHeight="1">
      <c r="A504" s="456"/>
      <c r="B504" s="456"/>
      <c r="C504" s="456"/>
      <c r="D504" s="456"/>
      <c r="E504" s="456"/>
      <c r="F504" s="456"/>
      <c r="G504" s="456"/>
      <c r="H504" s="456"/>
      <c r="I504" s="456"/>
      <c r="J504" s="456"/>
      <c r="K504" s="456"/>
      <c r="L504" s="456"/>
      <c r="M504" s="456"/>
      <c r="N504" s="456"/>
      <c r="O504" s="456"/>
      <c r="P504" s="456"/>
      <c r="Q504" s="456"/>
      <c r="R504" s="456"/>
      <c r="S504" s="456"/>
      <c r="T504" s="456"/>
      <c r="U504" s="456"/>
      <c r="V504" s="456"/>
      <c r="W504" s="456"/>
      <c r="X504" s="456"/>
      <c r="Y504" s="456"/>
      <c r="Z504" s="456"/>
    </row>
    <row r="505" spans="1:26" ht="11.25" customHeight="1">
      <c r="A505" s="456"/>
      <c r="B505" s="456"/>
      <c r="C505" s="456"/>
      <c r="D505" s="456"/>
      <c r="E505" s="456"/>
      <c r="F505" s="456"/>
      <c r="G505" s="456"/>
      <c r="H505" s="456"/>
      <c r="I505" s="456"/>
      <c r="J505" s="456"/>
      <c r="K505" s="456"/>
      <c r="L505" s="456"/>
      <c r="M505" s="456"/>
      <c r="N505" s="456"/>
      <c r="O505" s="456"/>
      <c r="P505" s="456"/>
      <c r="Q505" s="456"/>
      <c r="R505" s="456"/>
      <c r="S505" s="456"/>
      <c r="T505" s="456"/>
      <c r="U505" s="456"/>
      <c r="V505" s="456"/>
      <c r="W505" s="456"/>
      <c r="X505" s="456"/>
      <c r="Y505" s="456"/>
      <c r="Z505" s="456"/>
    </row>
    <row r="506" spans="1:26" ht="11.25" customHeight="1">
      <c r="A506" s="456"/>
      <c r="B506" s="456"/>
      <c r="C506" s="456"/>
      <c r="D506" s="456"/>
      <c r="E506" s="456"/>
      <c r="F506" s="456"/>
      <c r="G506" s="456"/>
      <c r="H506" s="456"/>
      <c r="I506" s="456"/>
      <c r="J506" s="456"/>
      <c r="K506" s="456"/>
      <c r="L506" s="456"/>
      <c r="M506" s="456"/>
      <c r="N506" s="456"/>
      <c r="O506" s="456"/>
      <c r="P506" s="456"/>
      <c r="Q506" s="456"/>
      <c r="R506" s="456"/>
      <c r="S506" s="456"/>
      <c r="T506" s="456"/>
      <c r="U506" s="456"/>
      <c r="V506" s="456"/>
      <c r="W506" s="456"/>
      <c r="X506" s="456"/>
      <c r="Y506" s="456"/>
      <c r="Z506" s="456"/>
    </row>
    <row r="507" spans="1:26" ht="11.25" customHeight="1">
      <c r="A507" s="456"/>
      <c r="B507" s="456"/>
      <c r="C507" s="456"/>
      <c r="D507" s="456"/>
      <c r="E507" s="456"/>
      <c r="F507" s="456"/>
      <c r="G507" s="456"/>
      <c r="H507" s="456"/>
      <c r="I507" s="456"/>
      <c r="J507" s="456"/>
      <c r="K507" s="456"/>
      <c r="L507" s="456"/>
      <c r="M507" s="456"/>
      <c r="N507" s="456"/>
      <c r="O507" s="456"/>
      <c r="P507" s="456"/>
      <c r="Q507" s="456"/>
      <c r="R507" s="456"/>
      <c r="S507" s="456"/>
      <c r="T507" s="456"/>
      <c r="U507" s="456"/>
      <c r="V507" s="456"/>
      <c r="W507" s="456"/>
      <c r="X507" s="456"/>
      <c r="Y507" s="456"/>
      <c r="Z507" s="456"/>
    </row>
    <row r="508" spans="1:26" ht="11.25" customHeight="1">
      <c r="A508" s="456"/>
      <c r="B508" s="456"/>
      <c r="C508" s="456"/>
      <c r="D508" s="456"/>
      <c r="E508" s="456"/>
      <c r="F508" s="456"/>
      <c r="G508" s="456"/>
      <c r="H508" s="456"/>
      <c r="I508" s="456"/>
      <c r="J508" s="456"/>
      <c r="K508" s="456"/>
      <c r="L508" s="456"/>
      <c r="M508" s="456"/>
      <c r="N508" s="456"/>
      <c r="O508" s="456"/>
      <c r="P508" s="456"/>
      <c r="Q508" s="456"/>
      <c r="R508" s="456"/>
      <c r="S508" s="456"/>
      <c r="T508" s="456"/>
      <c r="U508" s="456"/>
      <c r="V508" s="456"/>
      <c r="W508" s="456"/>
      <c r="X508" s="456"/>
      <c r="Y508" s="456"/>
      <c r="Z508" s="456"/>
    </row>
    <row r="509" spans="1:26" ht="11.25" customHeight="1">
      <c r="A509" s="456"/>
      <c r="B509" s="456"/>
      <c r="C509" s="456"/>
      <c r="D509" s="456"/>
      <c r="E509" s="456"/>
      <c r="F509" s="456"/>
      <c r="G509" s="456"/>
      <c r="H509" s="456"/>
      <c r="I509" s="456"/>
      <c r="J509" s="456"/>
      <c r="K509" s="456"/>
      <c r="L509" s="456"/>
      <c r="M509" s="456"/>
      <c r="N509" s="456"/>
      <c r="O509" s="456"/>
      <c r="P509" s="456"/>
      <c r="Q509" s="456"/>
      <c r="R509" s="456"/>
      <c r="S509" s="456"/>
      <c r="T509" s="456"/>
      <c r="U509" s="456"/>
      <c r="V509" s="456"/>
      <c r="W509" s="456"/>
      <c r="X509" s="456"/>
      <c r="Y509" s="456"/>
      <c r="Z509" s="456"/>
    </row>
    <row r="510" spans="1:26" ht="11.25" customHeight="1">
      <c r="A510" s="456"/>
      <c r="B510" s="456"/>
      <c r="C510" s="456"/>
      <c r="D510" s="456"/>
      <c r="E510" s="456"/>
      <c r="F510" s="456"/>
      <c r="G510" s="456"/>
      <c r="H510" s="456"/>
      <c r="I510" s="456"/>
      <c r="J510" s="456"/>
      <c r="K510" s="456"/>
      <c r="L510" s="456"/>
      <c r="M510" s="456"/>
      <c r="N510" s="456"/>
      <c r="O510" s="456"/>
      <c r="P510" s="456"/>
      <c r="Q510" s="456"/>
      <c r="R510" s="456"/>
      <c r="S510" s="456"/>
      <c r="T510" s="456"/>
      <c r="U510" s="456"/>
      <c r="V510" s="456"/>
      <c r="W510" s="456"/>
      <c r="X510" s="456"/>
      <c r="Y510" s="456"/>
      <c r="Z510" s="456"/>
    </row>
    <row r="511" spans="1:26" ht="11.25" customHeight="1">
      <c r="A511" s="456"/>
      <c r="B511" s="456"/>
      <c r="C511" s="456"/>
      <c r="D511" s="456"/>
      <c r="E511" s="456"/>
      <c r="F511" s="456"/>
      <c r="G511" s="456"/>
      <c r="H511" s="456"/>
      <c r="I511" s="456"/>
      <c r="J511" s="456"/>
      <c r="K511" s="456"/>
      <c r="L511" s="456"/>
      <c r="M511" s="456"/>
      <c r="N511" s="456"/>
      <c r="O511" s="456"/>
      <c r="P511" s="456"/>
      <c r="Q511" s="456"/>
      <c r="R511" s="456"/>
      <c r="S511" s="456"/>
      <c r="T511" s="456"/>
      <c r="U511" s="456"/>
      <c r="V511" s="456"/>
      <c r="W511" s="456"/>
      <c r="X511" s="456"/>
      <c r="Y511" s="456"/>
      <c r="Z511" s="456"/>
    </row>
    <row r="512" spans="1:26" ht="11.25" customHeight="1">
      <c r="A512" s="456"/>
      <c r="B512" s="456"/>
      <c r="C512" s="456"/>
      <c r="D512" s="456"/>
      <c r="E512" s="456"/>
      <c r="F512" s="456"/>
      <c r="G512" s="456"/>
      <c r="H512" s="456"/>
      <c r="I512" s="456"/>
      <c r="J512" s="456"/>
      <c r="K512" s="456"/>
      <c r="L512" s="456"/>
      <c r="M512" s="456"/>
      <c r="N512" s="456"/>
      <c r="O512" s="456"/>
      <c r="P512" s="456"/>
      <c r="Q512" s="456"/>
      <c r="R512" s="456"/>
      <c r="S512" s="456"/>
      <c r="T512" s="456"/>
      <c r="U512" s="456"/>
      <c r="V512" s="456"/>
      <c r="W512" s="456"/>
      <c r="X512" s="456"/>
      <c r="Y512" s="456"/>
      <c r="Z512" s="456"/>
    </row>
    <row r="513" spans="1:26" ht="11.25" customHeight="1">
      <c r="A513" s="456"/>
      <c r="B513" s="456"/>
      <c r="C513" s="456"/>
      <c r="D513" s="456"/>
      <c r="E513" s="456"/>
      <c r="F513" s="456"/>
      <c r="G513" s="456"/>
      <c r="H513" s="456"/>
      <c r="I513" s="456"/>
      <c r="J513" s="456"/>
      <c r="K513" s="456"/>
      <c r="L513" s="456"/>
      <c r="M513" s="456"/>
      <c r="N513" s="456"/>
      <c r="O513" s="456"/>
      <c r="P513" s="456"/>
      <c r="Q513" s="456"/>
      <c r="R513" s="456"/>
      <c r="S513" s="456"/>
      <c r="T513" s="456"/>
      <c r="U513" s="456"/>
      <c r="V513" s="456"/>
      <c r="W513" s="456"/>
      <c r="X513" s="456"/>
      <c r="Y513" s="456"/>
      <c r="Z513" s="456"/>
    </row>
    <row r="514" spans="1:26" ht="11.25" customHeight="1">
      <c r="A514" s="456"/>
      <c r="B514" s="456"/>
      <c r="C514" s="456"/>
      <c r="D514" s="456"/>
      <c r="E514" s="456"/>
      <c r="F514" s="456"/>
      <c r="G514" s="456"/>
      <c r="H514" s="456"/>
      <c r="I514" s="456"/>
      <c r="J514" s="456"/>
      <c r="K514" s="456"/>
      <c r="L514" s="456"/>
      <c r="M514" s="456"/>
      <c r="N514" s="456"/>
      <c r="O514" s="456"/>
      <c r="P514" s="456"/>
      <c r="Q514" s="456"/>
      <c r="R514" s="456"/>
      <c r="S514" s="456"/>
      <c r="T514" s="456"/>
      <c r="U514" s="456"/>
      <c r="V514" s="456"/>
      <c r="W514" s="456"/>
      <c r="X514" s="456"/>
      <c r="Y514" s="456"/>
      <c r="Z514" s="456"/>
    </row>
    <row r="515" spans="1:26" ht="11.25" customHeight="1">
      <c r="A515" s="456"/>
      <c r="B515" s="456"/>
      <c r="C515" s="456"/>
      <c r="D515" s="456"/>
      <c r="E515" s="456"/>
      <c r="F515" s="456"/>
      <c r="G515" s="456"/>
      <c r="H515" s="456"/>
      <c r="I515" s="456"/>
      <c r="J515" s="456"/>
      <c r="K515" s="456"/>
      <c r="L515" s="456"/>
      <c r="M515" s="456"/>
      <c r="N515" s="456"/>
      <c r="O515" s="456"/>
      <c r="P515" s="456"/>
      <c r="Q515" s="456"/>
      <c r="R515" s="456"/>
      <c r="S515" s="456"/>
      <c r="T515" s="456"/>
      <c r="U515" s="456"/>
      <c r="V515" s="456"/>
      <c r="W515" s="456"/>
      <c r="X515" s="456"/>
      <c r="Y515" s="456"/>
      <c r="Z515" s="456"/>
    </row>
    <row r="516" spans="1:26" ht="11.25" customHeight="1">
      <c r="A516" s="456"/>
      <c r="B516" s="456"/>
      <c r="C516" s="456"/>
      <c r="D516" s="456"/>
      <c r="E516" s="456"/>
      <c r="F516" s="456"/>
      <c r="G516" s="456"/>
      <c r="H516" s="456"/>
      <c r="I516" s="456"/>
      <c r="J516" s="456"/>
      <c r="K516" s="456"/>
      <c r="L516" s="456"/>
      <c r="M516" s="456"/>
      <c r="N516" s="456"/>
      <c r="O516" s="456"/>
      <c r="P516" s="456"/>
      <c r="Q516" s="456"/>
      <c r="R516" s="456"/>
      <c r="S516" s="456"/>
      <c r="T516" s="456"/>
      <c r="U516" s="456"/>
      <c r="V516" s="456"/>
      <c r="W516" s="456"/>
      <c r="X516" s="456"/>
      <c r="Y516" s="456"/>
      <c r="Z516" s="456"/>
    </row>
    <row r="517" spans="1:26" ht="11.25" customHeight="1">
      <c r="A517" s="456"/>
      <c r="B517" s="456"/>
      <c r="C517" s="456"/>
      <c r="D517" s="456"/>
      <c r="E517" s="456"/>
      <c r="F517" s="456"/>
      <c r="G517" s="456"/>
      <c r="H517" s="456"/>
      <c r="I517" s="456"/>
      <c r="J517" s="456"/>
      <c r="K517" s="456"/>
      <c r="L517" s="456"/>
      <c r="M517" s="456"/>
      <c r="N517" s="456"/>
      <c r="O517" s="456"/>
      <c r="P517" s="456"/>
      <c r="Q517" s="456"/>
      <c r="R517" s="456"/>
      <c r="S517" s="456"/>
      <c r="T517" s="456"/>
      <c r="U517" s="456"/>
      <c r="V517" s="456"/>
      <c r="W517" s="456"/>
      <c r="X517" s="456"/>
      <c r="Y517" s="456"/>
      <c r="Z517" s="456"/>
    </row>
    <row r="518" spans="1:26" ht="11.25" customHeight="1">
      <c r="A518" s="456"/>
      <c r="B518" s="456"/>
      <c r="C518" s="456"/>
      <c r="D518" s="456"/>
      <c r="E518" s="456"/>
      <c r="F518" s="456"/>
      <c r="G518" s="456"/>
      <c r="H518" s="456"/>
      <c r="I518" s="456"/>
      <c r="J518" s="456"/>
      <c r="K518" s="456"/>
      <c r="L518" s="456"/>
      <c r="M518" s="456"/>
      <c r="N518" s="456"/>
      <c r="O518" s="456"/>
      <c r="P518" s="456"/>
      <c r="Q518" s="456"/>
      <c r="R518" s="456"/>
      <c r="S518" s="456"/>
      <c r="T518" s="456"/>
      <c r="U518" s="456"/>
      <c r="V518" s="456"/>
      <c r="W518" s="456"/>
      <c r="X518" s="456"/>
      <c r="Y518" s="456"/>
      <c r="Z518" s="456"/>
    </row>
    <row r="519" spans="1:26" ht="11.25" customHeight="1">
      <c r="A519" s="456"/>
      <c r="B519" s="456"/>
      <c r="C519" s="456"/>
      <c r="D519" s="456"/>
      <c r="E519" s="456"/>
      <c r="F519" s="456"/>
      <c r="G519" s="456"/>
      <c r="H519" s="456"/>
      <c r="I519" s="456"/>
      <c r="J519" s="456"/>
      <c r="K519" s="456"/>
      <c r="L519" s="456"/>
      <c r="M519" s="456"/>
      <c r="N519" s="456"/>
      <c r="O519" s="456"/>
      <c r="P519" s="456"/>
      <c r="Q519" s="456"/>
      <c r="R519" s="456"/>
      <c r="S519" s="456"/>
      <c r="T519" s="456"/>
      <c r="U519" s="456"/>
      <c r="V519" s="456"/>
      <c r="W519" s="456"/>
      <c r="X519" s="456"/>
      <c r="Y519" s="456"/>
      <c r="Z519" s="456"/>
    </row>
    <row r="520" spans="1:26" ht="11.25" customHeight="1">
      <c r="A520" s="456"/>
      <c r="B520" s="456"/>
      <c r="C520" s="456"/>
      <c r="D520" s="456"/>
      <c r="E520" s="456"/>
      <c r="F520" s="456"/>
      <c r="G520" s="456"/>
      <c r="H520" s="456"/>
      <c r="I520" s="456"/>
      <c r="J520" s="456"/>
      <c r="K520" s="456"/>
      <c r="L520" s="456"/>
      <c r="M520" s="456"/>
      <c r="N520" s="456"/>
      <c r="O520" s="456"/>
      <c r="P520" s="456"/>
      <c r="Q520" s="456"/>
      <c r="R520" s="456"/>
      <c r="S520" s="456"/>
      <c r="T520" s="456"/>
      <c r="U520" s="456"/>
      <c r="V520" s="456"/>
      <c r="W520" s="456"/>
      <c r="X520" s="456"/>
      <c r="Y520" s="456"/>
      <c r="Z520" s="456"/>
    </row>
    <row r="521" spans="1:26" ht="11.25" customHeight="1">
      <c r="A521" s="456"/>
      <c r="B521" s="456"/>
      <c r="C521" s="456"/>
      <c r="D521" s="456"/>
      <c r="E521" s="456"/>
      <c r="F521" s="456"/>
      <c r="G521" s="456"/>
      <c r="H521" s="456"/>
      <c r="I521" s="456"/>
      <c r="J521" s="456"/>
      <c r="K521" s="456"/>
      <c r="L521" s="456"/>
      <c r="M521" s="456"/>
      <c r="N521" s="456"/>
      <c r="O521" s="456"/>
      <c r="P521" s="456"/>
      <c r="Q521" s="456"/>
      <c r="R521" s="456"/>
      <c r="S521" s="456"/>
      <c r="T521" s="456"/>
      <c r="U521" s="456"/>
      <c r="V521" s="456"/>
      <c r="W521" s="456"/>
      <c r="X521" s="456"/>
      <c r="Y521" s="456"/>
      <c r="Z521" s="456"/>
    </row>
    <row r="522" spans="1:26" ht="11.25" customHeight="1">
      <c r="A522" s="456"/>
      <c r="B522" s="456"/>
      <c r="C522" s="456"/>
      <c r="D522" s="456"/>
      <c r="E522" s="456"/>
      <c r="F522" s="456"/>
      <c r="G522" s="456"/>
      <c r="H522" s="456"/>
      <c r="I522" s="456"/>
      <c r="J522" s="456"/>
      <c r="K522" s="456"/>
      <c r="L522" s="456"/>
      <c r="M522" s="456"/>
      <c r="N522" s="456"/>
      <c r="O522" s="456"/>
      <c r="P522" s="456"/>
      <c r="Q522" s="456"/>
      <c r="R522" s="456"/>
      <c r="S522" s="456"/>
      <c r="T522" s="456"/>
      <c r="U522" s="456"/>
      <c r="V522" s="456"/>
      <c r="W522" s="456"/>
      <c r="X522" s="456"/>
      <c r="Y522" s="456"/>
      <c r="Z522" s="456"/>
    </row>
    <row r="523" spans="1:26" ht="11.25" customHeight="1">
      <c r="A523" s="456"/>
      <c r="B523" s="456"/>
      <c r="C523" s="456"/>
      <c r="D523" s="456"/>
      <c r="E523" s="456"/>
      <c r="F523" s="456"/>
      <c r="G523" s="456"/>
      <c r="H523" s="456"/>
      <c r="I523" s="456"/>
      <c r="J523" s="456"/>
      <c r="K523" s="456"/>
      <c r="L523" s="456"/>
      <c r="M523" s="456"/>
      <c r="N523" s="456"/>
      <c r="O523" s="456"/>
      <c r="P523" s="456"/>
      <c r="Q523" s="456"/>
      <c r="R523" s="456"/>
      <c r="S523" s="456"/>
      <c r="T523" s="456"/>
      <c r="U523" s="456"/>
      <c r="V523" s="456"/>
      <c r="W523" s="456"/>
      <c r="X523" s="456"/>
      <c r="Y523" s="456"/>
      <c r="Z523" s="456"/>
    </row>
    <row r="524" spans="1:26" ht="11.25" customHeight="1">
      <c r="A524" s="456"/>
      <c r="B524" s="456"/>
      <c r="C524" s="456"/>
      <c r="D524" s="456"/>
      <c r="E524" s="456"/>
      <c r="F524" s="456"/>
      <c r="G524" s="456"/>
      <c r="H524" s="456"/>
      <c r="I524" s="456"/>
      <c r="J524" s="456"/>
      <c r="K524" s="456"/>
      <c r="L524" s="456"/>
      <c r="M524" s="456"/>
      <c r="N524" s="456"/>
      <c r="O524" s="456"/>
      <c r="P524" s="456"/>
      <c r="Q524" s="456"/>
      <c r="R524" s="456"/>
      <c r="S524" s="456"/>
      <c r="T524" s="456"/>
      <c r="U524" s="456"/>
      <c r="V524" s="456"/>
      <c r="W524" s="456"/>
      <c r="X524" s="456"/>
      <c r="Y524" s="456"/>
      <c r="Z524" s="456"/>
    </row>
    <row r="525" spans="1:26" ht="11.25" customHeight="1">
      <c r="A525" s="456"/>
      <c r="B525" s="456"/>
      <c r="C525" s="456"/>
      <c r="D525" s="456"/>
      <c r="E525" s="456"/>
      <c r="F525" s="456"/>
      <c r="G525" s="456"/>
      <c r="H525" s="456"/>
      <c r="I525" s="456"/>
      <c r="J525" s="456"/>
      <c r="K525" s="456"/>
      <c r="L525" s="456"/>
      <c r="M525" s="456"/>
      <c r="N525" s="456"/>
      <c r="O525" s="456"/>
      <c r="P525" s="456"/>
      <c r="Q525" s="456"/>
      <c r="R525" s="456"/>
      <c r="S525" s="456"/>
      <c r="T525" s="456"/>
      <c r="U525" s="456"/>
      <c r="V525" s="456"/>
      <c r="W525" s="456"/>
      <c r="X525" s="456"/>
      <c r="Y525" s="456"/>
      <c r="Z525" s="456"/>
    </row>
    <row r="526" spans="1:26" ht="11.25" customHeight="1">
      <c r="A526" s="456"/>
      <c r="B526" s="456"/>
      <c r="C526" s="456"/>
      <c r="D526" s="456"/>
      <c r="E526" s="456"/>
      <c r="F526" s="456"/>
      <c r="G526" s="456"/>
      <c r="H526" s="456"/>
      <c r="I526" s="456"/>
      <c r="J526" s="456"/>
      <c r="K526" s="456"/>
      <c r="L526" s="456"/>
      <c r="M526" s="456"/>
      <c r="N526" s="456"/>
      <c r="O526" s="456"/>
      <c r="P526" s="456"/>
      <c r="Q526" s="456"/>
      <c r="R526" s="456"/>
      <c r="S526" s="456"/>
      <c r="T526" s="456"/>
      <c r="U526" s="456"/>
      <c r="V526" s="456"/>
      <c r="W526" s="456"/>
      <c r="X526" s="456"/>
      <c r="Y526" s="456"/>
      <c r="Z526" s="456"/>
    </row>
    <row r="527" spans="1:26" ht="11.25" customHeight="1">
      <c r="A527" s="456"/>
      <c r="B527" s="456"/>
      <c r="C527" s="456"/>
      <c r="D527" s="456"/>
      <c r="E527" s="456"/>
      <c r="F527" s="456"/>
      <c r="G527" s="456"/>
      <c r="H527" s="456"/>
      <c r="I527" s="456"/>
      <c r="J527" s="456"/>
      <c r="K527" s="456"/>
      <c r="L527" s="456"/>
      <c r="M527" s="456"/>
      <c r="N527" s="456"/>
      <c r="O527" s="456"/>
      <c r="P527" s="456"/>
      <c r="Q527" s="456"/>
      <c r="R527" s="456"/>
      <c r="S527" s="456"/>
      <c r="T527" s="456"/>
      <c r="U527" s="456"/>
      <c r="V527" s="456"/>
      <c r="W527" s="456"/>
      <c r="X527" s="456"/>
      <c r="Y527" s="456"/>
      <c r="Z527" s="456"/>
    </row>
    <row r="528" spans="1:26" ht="11.25" customHeight="1">
      <c r="A528" s="456"/>
      <c r="B528" s="456"/>
      <c r="C528" s="456"/>
      <c r="D528" s="456"/>
      <c r="E528" s="456"/>
      <c r="F528" s="456"/>
      <c r="G528" s="456"/>
      <c r="H528" s="456"/>
      <c r="I528" s="456"/>
      <c r="J528" s="456"/>
      <c r="K528" s="456"/>
      <c r="L528" s="456"/>
      <c r="M528" s="456"/>
      <c r="N528" s="456"/>
      <c r="O528" s="456"/>
      <c r="P528" s="456"/>
      <c r="Q528" s="456"/>
      <c r="R528" s="456"/>
      <c r="S528" s="456"/>
      <c r="T528" s="456"/>
      <c r="U528" s="456"/>
      <c r="V528" s="456"/>
      <c r="W528" s="456"/>
      <c r="X528" s="456"/>
      <c r="Y528" s="456"/>
      <c r="Z528" s="456"/>
    </row>
    <row r="529" spans="1:26" ht="11.25" customHeight="1">
      <c r="A529" s="456"/>
      <c r="B529" s="456"/>
      <c r="C529" s="456"/>
      <c r="D529" s="456"/>
      <c r="E529" s="456"/>
      <c r="F529" s="456"/>
      <c r="G529" s="456"/>
      <c r="H529" s="456"/>
      <c r="I529" s="456"/>
      <c r="J529" s="456"/>
      <c r="K529" s="456"/>
      <c r="L529" s="456"/>
      <c r="M529" s="456"/>
      <c r="N529" s="456"/>
      <c r="O529" s="456"/>
      <c r="P529" s="456"/>
      <c r="Q529" s="456"/>
      <c r="R529" s="456"/>
      <c r="S529" s="456"/>
      <c r="T529" s="456"/>
      <c r="U529" s="456"/>
      <c r="V529" s="456"/>
      <c r="W529" s="456"/>
      <c r="X529" s="456"/>
      <c r="Y529" s="456"/>
      <c r="Z529" s="456"/>
    </row>
    <row r="530" spans="1:26" ht="11.25" customHeight="1">
      <c r="A530" s="456"/>
      <c r="B530" s="456"/>
      <c r="C530" s="456"/>
      <c r="D530" s="456"/>
      <c r="E530" s="456"/>
      <c r="F530" s="456"/>
      <c r="G530" s="456"/>
      <c r="H530" s="456"/>
      <c r="I530" s="456"/>
      <c r="J530" s="456"/>
      <c r="K530" s="456"/>
      <c r="L530" s="456"/>
      <c r="M530" s="456"/>
      <c r="N530" s="456"/>
      <c r="O530" s="456"/>
      <c r="P530" s="456"/>
      <c r="Q530" s="456"/>
      <c r="R530" s="456"/>
      <c r="S530" s="456"/>
      <c r="T530" s="456"/>
      <c r="U530" s="456"/>
      <c r="V530" s="456"/>
      <c r="W530" s="456"/>
      <c r="X530" s="456"/>
      <c r="Y530" s="456"/>
      <c r="Z530" s="456"/>
    </row>
    <row r="531" spans="1:26" ht="11.25" customHeight="1">
      <c r="A531" s="456"/>
      <c r="B531" s="456"/>
      <c r="C531" s="456"/>
      <c r="D531" s="456"/>
      <c r="E531" s="456"/>
      <c r="F531" s="456"/>
      <c r="G531" s="456"/>
      <c r="H531" s="456"/>
      <c r="I531" s="456"/>
      <c r="J531" s="456"/>
      <c r="K531" s="456"/>
      <c r="L531" s="456"/>
      <c r="M531" s="456"/>
      <c r="N531" s="456"/>
      <c r="O531" s="456"/>
      <c r="P531" s="456"/>
      <c r="Q531" s="456"/>
      <c r="R531" s="456"/>
      <c r="S531" s="456"/>
      <c r="T531" s="456"/>
      <c r="U531" s="456"/>
      <c r="V531" s="456"/>
      <c r="W531" s="456"/>
      <c r="X531" s="456"/>
      <c r="Y531" s="456"/>
      <c r="Z531" s="456"/>
    </row>
    <row r="532" spans="1:26" ht="11.25" customHeight="1">
      <c r="A532" s="456"/>
      <c r="B532" s="456"/>
      <c r="C532" s="456"/>
      <c r="D532" s="456"/>
      <c r="E532" s="456"/>
      <c r="F532" s="456"/>
      <c r="G532" s="456"/>
      <c r="H532" s="456"/>
      <c r="I532" s="456"/>
      <c r="J532" s="456"/>
      <c r="K532" s="456"/>
      <c r="L532" s="456"/>
      <c r="M532" s="456"/>
      <c r="N532" s="456"/>
      <c r="O532" s="456"/>
      <c r="P532" s="456"/>
      <c r="Q532" s="456"/>
      <c r="R532" s="456"/>
      <c r="S532" s="456"/>
      <c r="T532" s="456"/>
      <c r="U532" s="456"/>
      <c r="V532" s="456"/>
      <c r="W532" s="456"/>
      <c r="X532" s="456"/>
      <c r="Y532" s="456"/>
      <c r="Z532" s="456"/>
    </row>
    <row r="533" spans="1:26" ht="11.25" customHeight="1">
      <c r="A533" s="456"/>
      <c r="B533" s="456"/>
      <c r="C533" s="456"/>
      <c r="D533" s="456"/>
      <c r="E533" s="456"/>
      <c r="F533" s="456"/>
      <c r="G533" s="456"/>
      <c r="H533" s="456"/>
      <c r="I533" s="456"/>
      <c r="J533" s="456"/>
      <c r="K533" s="456"/>
      <c r="L533" s="456"/>
      <c r="M533" s="456"/>
      <c r="N533" s="456"/>
      <c r="O533" s="456"/>
      <c r="P533" s="456"/>
      <c r="Q533" s="456"/>
      <c r="R533" s="456"/>
      <c r="S533" s="456"/>
      <c r="T533" s="456"/>
      <c r="U533" s="456"/>
      <c r="V533" s="456"/>
      <c r="W533" s="456"/>
      <c r="X533" s="456"/>
      <c r="Y533" s="456"/>
      <c r="Z533" s="456"/>
    </row>
    <row r="534" spans="1:26" ht="11.25" customHeight="1">
      <c r="A534" s="456"/>
      <c r="B534" s="456"/>
      <c r="C534" s="456"/>
      <c r="D534" s="456"/>
      <c r="E534" s="456"/>
      <c r="F534" s="456"/>
      <c r="G534" s="456"/>
      <c r="H534" s="456"/>
      <c r="I534" s="456"/>
      <c r="J534" s="456"/>
      <c r="K534" s="456"/>
      <c r="L534" s="456"/>
      <c r="M534" s="456"/>
      <c r="N534" s="456"/>
      <c r="O534" s="456"/>
      <c r="P534" s="456"/>
      <c r="Q534" s="456"/>
      <c r="R534" s="456"/>
      <c r="S534" s="456"/>
      <c r="T534" s="456"/>
      <c r="U534" s="456"/>
      <c r="V534" s="456"/>
      <c r="W534" s="456"/>
      <c r="X534" s="456"/>
      <c r="Y534" s="456"/>
      <c r="Z534" s="456"/>
    </row>
    <row r="535" spans="1:26" ht="11.25" customHeight="1">
      <c r="A535" s="456"/>
      <c r="B535" s="456"/>
      <c r="C535" s="456"/>
      <c r="D535" s="456"/>
      <c r="E535" s="456"/>
      <c r="F535" s="456"/>
      <c r="G535" s="456"/>
      <c r="H535" s="456"/>
      <c r="I535" s="456"/>
      <c r="J535" s="456"/>
      <c r="K535" s="456"/>
      <c r="L535" s="456"/>
      <c r="M535" s="456"/>
      <c r="N535" s="456"/>
      <c r="O535" s="456"/>
      <c r="P535" s="456"/>
      <c r="Q535" s="456"/>
      <c r="R535" s="456"/>
      <c r="S535" s="456"/>
      <c r="T535" s="456"/>
      <c r="U535" s="456"/>
      <c r="V535" s="456"/>
      <c r="W535" s="456"/>
      <c r="X535" s="456"/>
      <c r="Y535" s="456"/>
      <c r="Z535" s="456"/>
    </row>
    <row r="536" spans="1:26" ht="11.25" customHeight="1">
      <c r="A536" s="456"/>
      <c r="B536" s="456"/>
      <c r="C536" s="456"/>
      <c r="D536" s="456"/>
      <c r="E536" s="456"/>
      <c r="F536" s="456"/>
      <c r="G536" s="456"/>
      <c r="H536" s="456"/>
      <c r="I536" s="456"/>
      <c r="J536" s="456"/>
      <c r="K536" s="456"/>
      <c r="L536" s="456"/>
      <c r="M536" s="456"/>
      <c r="N536" s="456"/>
      <c r="O536" s="456"/>
      <c r="P536" s="456"/>
      <c r="Q536" s="456"/>
      <c r="R536" s="456"/>
      <c r="S536" s="456"/>
      <c r="T536" s="456"/>
      <c r="U536" s="456"/>
      <c r="V536" s="456"/>
      <c r="W536" s="456"/>
      <c r="X536" s="456"/>
      <c r="Y536" s="456"/>
      <c r="Z536" s="456"/>
    </row>
    <row r="537" spans="1:26" ht="11.25" customHeight="1">
      <c r="A537" s="456"/>
      <c r="B537" s="456"/>
      <c r="C537" s="456"/>
      <c r="D537" s="456"/>
      <c r="E537" s="456"/>
      <c r="F537" s="456"/>
      <c r="G537" s="456"/>
      <c r="H537" s="456"/>
      <c r="I537" s="456"/>
      <c r="J537" s="456"/>
      <c r="K537" s="456"/>
      <c r="L537" s="456"/>
      <c r="M537" s="456"/>
      <c r="N537" s="456"/>
      <c r="O537" s="456"/>
      <c r="P537" s="456"/>
      <c r="Q537" s="456"/>
      <c r="R537" s="456"/>
      <c r="S537" s="456"/>
      <c r="T537" s="456"/>
      <c r="U537" s="456"/>
      <c r="V537" s="456"/>
      <c r="W537" s="456"/>
      <c r="X537" s="456"/>
      <c r="Y537" s="456"/>
      <c r="Z537" s="456"/>
    </row>
    <row r="538" spans="1:26" ht="11.25" customHeight="1">
      <c r="A538" s="456"/>
      <c r="B538" s="456"/>
      <c r="C538" s="456"/>
      <c r="D538" s="456"/>
      <c r="E538" s="456"/>
      <c r="F538" s="456"/>
      <c r="G538" s="456"/>
      <c r="H538" s="456"/>
      <c r="I538" s="456"/>
      <c r="J538" s="456"/>
      <c r="K538" s="456"/>
      <c r="L538" s="456"/>
      <c r="M538" s="456"/>
      <c r="N538" s="456"/>
      <c r="O538" s="456"/>
      <c r="P538" s="456"/>
      <c r="Q538" s="456"/>
      <c r="R538" s="456"/>
      <c r="S538" s="456"/>
      <c r="T538" s="456"/>
      <c r="U538" s="456"/>
      <c r="V538" s="456"/>
      <c r="W538" s="456"/>
      <c r="X538" s="456"/>
      <c r="Y538" s="456"/>
      <c r="Z538" s="456"/>
    </row>
    <row r="539" spans="1:26" ht="11.25" customHeight="1">
      <c r="A539" s="456"/>
      <c r="B539" s="456"/>
      <c r="C539" s="456"/>
      <c r="D539" s="456"/>
      <c r="E539" s="456"/>
      <c r="F539" s="456"/>
      <c r="G539" s="456"/>
      <c r="H539" s="456"/>
      <c r="I539" s="456"/>
      <c r="J539" s="456"/>
      <c r="K539" s="456"/>
      <c r="L539" s="456"/>
      <c r="M539" s="456"/>
      <c r="N539" s="456"/>
      <c r="O539" s="456"/>
      <c r="P539" s="456"/>
      <c r="Q539" s="456"/>
      <c r="R539" s="456"/>
      <c r="S539" s="456"/>
      <c r="T539" s="456"/>
      <c r="U539" s="456"/>
      <c r="V539" s="456"/>
      <c r="W539" s="456"/>
      <c r="X539" s="456"/>
      <c r="Y539" s="456"/>
      <c r="Z539" s="456"/>
    </row>
    <row r="540" spans="1:26" ht="11.25" customHeight="1">
      <c r="A540" s="456"/>
      <c r="B540" s="456"/>
      <c r="C540" s="456"/>
      <c r="D540" s="456"/>
      <c r="E540" s="456"/>
      <c r="F540" s="456"/>
      <c r="G540" s="456"/>
      <c r="H540" s="456"/>
      <c r="I540" s="456"/>
      <c r="J540" s="456"/>
      <c r="K540" s="456"/>
      <c r="L540" s="456"/>
      <c r="M540" s="456"/>
      <c r="N540" s="456"/>
      <c r="O540" s="456"/>
      <c r="P540" s="456"/>
      <c r="Q540" s="456"/>
      <c r="R540" s="456"/>
      <c r="S540" s="456"/>
      <c r="T540" s="456"/>
      <c r="U540" s="456"/>
      <c r="V540" s="456"/>
      <c r="W540" s="456"/>
      <c r="X540" s="456"/>
      <c r="Y540" s="456"/>
      <c r="Z540" s="456"/>
    </row>
    <row r="541" spans="1:26" ht="11.25" customHeight="1">
      <c r="A541" s="456"/>
      <c r="B541" s="456"/>
      <c r="C541" s="456"/>
      <c r="D541" s="456"/>
      <c r="E541" s="456"/>
      <c r="F541" s="456"/>
      <c r="G541" s="456"/>
      <c r="H541" s="456"/>
      <c r="I541" s="456"/>
      <c r="J541" s="456"/>
      <c r="K541" s="456"/>
      <c r="L541" s="456"/>
      <c r="M541" s="456"/>
      <c r="N541" s="456"/>
      <c r="O541" s="456"/>
      <c r="P541" s="456"/>
      <c r="Q541" s="456"/>
      <c r="R541" s="456"/>
      <c r="S541" s="456"/>
      <c r="T541" s="456"/>
      <c r="U541" s="456"/>
      <c r="V541" s="456"/>
      <c r="W541" s="456"/>
      <c r="X541" s="456"/>
      <c r="Y541" s="456"/>
      <c r="Z541" s="456"/>
    </row>
    <row r="542" spans="1:26" ht="11.25" customHeight="1">
      <c r="A542" s="456"/>
      <c r="B542" s="456"/>
      <c r="C542" s="456"/>
      <c r="D542" s="456"/>
      <c r="E542" s="456"/>
      <c r="F542" s="456"/>
      <c r="G542" s="456"/>
      <c r="H542" s="456"/>
      <c r="I542" s="456"/>
      <c r="J542" s="456"/>
      <c r="K542" s="456"/>
      <c r="L542" s="456"/>
      <c r="M542" s="456"/>
      <c r="N542" s="456"/>
      <c r="O542" s="456"/>
      <c r="P542" s="456"/>
      <c r="Q542" s="456"/>
      <c r="R542" s="456"/>
      <c r="S542" s="456"/>
      <c r="T542" s="456"/>
      <c r="U542" s="456"/>
      <c r="V542" s="456"/>
      <c r="W542" s="456"/>
      <c r="X542" s="456"/>
      <c r="Y542" s="456"/>
      <c r="Z542" s="456"/>
    </row>
    <row r="543" spans="1:26" ht="11.25" customHeight="1">
      <c r="A543" s="456"/>
      <c r="B543" s="456"/>
      <c r="C543" s="456"/>
      <c r="D543" s="456"/>
      <c r="E543" s="456"/>
      <c r="F543" s="456"/>
      <c r="G543" s="456"/>
      <c r="H543" s="456"/>
      <c r="I543" s="456"/>
      <c r="J543" s="456"/>
      <c r="K543" s="456"/>
      <c r="L543" s="456"/>
      <c r="M543" s="456"/>
      <c r="N543" s="456"/>
      <c r="O543" s="456"/>
      <c r="P543" s="456"/>
      <c r="Q543" s="456"/>
      <c r="R543" s="456"/>
      <c r="S543" s="456"/>
      <c r="T543" s="456"/>
      <c r="U543" s="456"/>
      <c r="V543" s="456"/>
      <c r="W543" s="456"/>
      <c r="X543" s="456"/>
      <c r="Y543" s="456"/>
      <c r="Z543" s="456"/>
    </row>
    <row r="544" spans="1:26" ht="11.25" customHeight="1">
      <c r="A544" s="456"/>
      <c r="B544" s="456"/>
      <c r="C544" s="456"/>
      <c r="D544" s="456"/>
      <c r="E544" s="456"/>
      <c r="F544" s="456"/>
      <c r="G544" s="456"/>
      <c r="H544" s="456"/>
      <c r="I544" s="456"/>
      <c r="J544" s="456"/>
      <c r="K544" s="456"/>
      <c r="L544" s="456"/>
      <c r="M544" s="456"/>
      <c r="N544" s="456"/>
      <c r="O544" s="456"/>
      <c r="P544" s="456"/>
      <c r="Q544" s="456"/>
      <c r="R544" s="456"/>
      <c r="S544" s="456"/>
      <c r="T544" s="456"/>
      <c r="U544" s="456"/>
      <c r="V544" s="456"/>
      <c r="W544" s="456"/>
      <c r="X544" s="456"/>
      <c r="Y544" s="456"/>
      <c r="Z544" s="456"/>
    </row>
    <row r="545" spans="1:26" ht="11.25" customHeight="1">
      <c r="A545" s="456"/>
      <c r="B545" s="456"/>
      <c r="C545" s="456"/>
      <c r="D545" s="456"/>
      <c r="E545" s="456"/>
      <c r="F545" s="456"/>
      <c r="G545" s="456"/>
      <c r="H545" s="456"/>
      <c r="I545" s="456"/>
      <c r="J545" s="456"/>
      <c r="K545" s="456"/>
      <c r="L545" s="456"/>
      <c r="M545" s="456"/>
      <c r="N545" s="456"/>
      <c r="O545" s="456"/>
      <c r="P545" s="456"/>
      <c r="Q545" s="456"/>
      <c r="R545" s="456"/>
      <c r="S545" s="456"/>
      <c r="T545" s="456"/>
      <c r="U545" s="456"/>
      <c r="V545" s="456"/>
      <c r="W545" s="456"/>
      <c r="X545" s="456"/>
      <c r="Y545" s="456"/>
      <c r="Z545" s="456"/>
    </row>
    <row r="546" spans="1:26" ht="11.25" customHeight="1">
      <c r="A546" s="456"/>
      <c r="B546" s="456"/>
      <c r="C546" s="456"/>
      <c r="D546" s="456"/>
      <c r="E546" s="456"/>
      <c r="F546" s="456"/>
      <c r="G546" s="456"/>
      <c r="H546" s="456"/>
      <c r="I546" s="456"/>
      <c r="J546" s="456"/>
      <c r="K546" s="456"/>
      <c r="L546" s="456"/>
      <c r="M546" s="456"/>
      <c r="N546" s="456"/>
      <c r="O546" s="456"/>
      <c r="P546" s="456"/>
      <c r="Q546" s="456"/>
      <c r="R546" s="456"/>
      <c r="S546" s="456"/>
      <c r="T546" s="456"/>
      <c r="U546" s="456"/>
      <c r="V546" s="456"/>
      <c r="W546" s="456"/>
      <c r="X546" s="456"/>
      <c r="Y546" s="456"/>
      <c r="Z546" s="456"/>
    </row>
    <row r="547" spans="1:26" ht="11.25" customHeight="1">
      <c r="A547" s="456"/>
      <c r="B547" s="456"/>
      <c r="C547" s="456"/>
      <c r="D547" s="456"/>
      <c r="E547" s="456"/>
      <c r="F547" s="456"/>
      <c r="G547" s="456"/>
      <c r="H547" s="456"/>
      <c r="I547" s="456"/>
      <c r="J547" s="456"/>
      <c r="K547" s="456"/>
      <c r="L547" s="456"/>
      <c r="M547" s="456"/>
      <c r="N547" s="456"/>
      <c r="O547" s="456"/>
      <c r="P547" s="456"/>
      <c r="Q547" s="456"/>
      <c r="R547" s="456"/>
      <c r="S547" s="456"/>
      <c r="T547" s="456"/>
      <c r="U547" s="456"/>
      <c r="V547" s="456"/>
      <c r="W547" s="456"/>
      <c r="X547" s="456"/>
      <c r="Y547" s="456"/>
      <c r="Z547" s="456"/>
    </row>
    <row r="548" spans="1:26" ht="11.25" customHeight="1">
      <c r="A548" s="456"/>
      <c r="B548" s="456"/>
      <c r="C548" s="456"/>
      <c r="D548" s="456"/>
      <c r="E548" s="456"/>
      <c r="F548" s="456"/>
      <c r="G548" s="456"/>
      <c r="H548" s="456"/>
      <c r="I548" s="456"/>
      <c r="J548" s="456"/>
      <c r="K548" s="456"/>
      <c r="L548" s="456"/>
      <c r="M548" s="456"/>
      <c r="N548" s="456"/>
      <c r="O548" s="456"/>
      <c r="P548" s="456"/>
      <c r="Q548" s="456"/>
      <c r="R548" s="456"/>
      <c r="S548" s="456"/>
      <c r="T548" s="456"/>
      <c r="U548" s="456"/>
      <c r="V548" s="456"/>
      <c r="W548" s="456"/>
      <c r="X548" s="456"/>
      <c r="Y548" s="456"/>
      <c r="Z548" s="456"/>
    </row>
    <row r="549" spans="1:26" ht="11.25" customHeight="1">
      <c r="A549" s="456"/>
      <c r="B549" s="456"/>
      <c r="C549" s="456"/>
      <c r="D549" s="456"/>
      <c r="E549" s="456"/>
      <c r="F549" s="456"/>
      <c r="G549" s="456"/>
      <c r="H549" s="456"/>
      <c r="I549" s="456"/>
      <c r="J549" s="456"/>
      <c r="K549" s="456"/>
      <c r="L549" s="456"/>
      <c r="M549" s="456"/>
      <c r="N549" s="456"/>
      <c r="O549" s="456"/>
      <c r="P549" s="456"/>
      <c r="Q549" s="456"/>
      <c r="R549" s="456"/>
      <c r="S549" s="456"/>
      <c r="T549" s="456"/>
      <c r="U549" s="456"/>
      <c r="V549" s="456"/>
      <c r="W549" s="456"/>
      <c r="X549" s="456"/>
      <c r="Y549" s="456"/>
      <c r="Z549" s="456"/>
    </row>
    <row r="550" spans="1:26" ht="11.25" customHeight="1">
      <c r="A550" s="456"/>
      <c r="B550" s="456"/>
      <c r="C550" s="456"/>
      <c r="D550" s="456"/>
      <c r="E550" s="456"/>
      <c r="F550" s="456"/>
      <c r="G550" s="456"/>
      <c r="H550" s="456"/>
      <c r="I550" s="456"/>
      <c r="J550" s="456"/>
      <c r="K550" s="456"/>
      <c r="L550" s="456"/>
      <c r="M550" s="456"/>
      <c r="N550" s="456"/>
      <c r="O550" s="456"/>
      <c r="P550" s="456"/>
      <c r="Q550" s="456"/>
      <c r="R550" s="456"/>
      <c r="S550" s="456"/>
      <c r="T550" s="456"/>
      <c r="U550" s="456"/>
      <c r="V550" s="456"/>
      <c r="W550" s="456"/>
      <c r="X550" s="456"/>
      <c r="Y550" s="456"/>
      <c r="Z550" s="456"/>
    </row>
    <row r="551" spans="1:26" ht="11.25" customHeight="1">
      <c r="A551" s="456"/>
      <c r="B551" s="456"/>
      <c r="C551" s="456"/>
      <c r="D551" s="456"/>
      <c r="E551" s="456"/>
      <c r="F551" s="456"/>
      <c r="G551" s="456"/>
      <c r="H551" s="456"/>
      <c r="I551" s="456"/>
      <c r="J551" s="456"/>
      <c r="K551" s="456"/>
      <c r="L551" s="456"/>
      <c r="M551" s="456"/>
      <c r="N551" s="456"/>
      <c r="O551" s="456"/>
      <c r="P551" s="456"/>
      <c r="Q551" s="456"/>
      <c r="R551" s="456"/>
      <c r="S551" s="456"/>
      <c r="T551" s="456"/>
      <c r="U551" s="456"/>
      <c r="V551" s="456"/>
      <c r="W551" s="456"/>
      <c r="X551" s="456"/>
      <c r="Y551" s="456"/>
      <c r="Z551" s="456"/>
    </row>
    <row r="552" spans="1:26" ht="11.25" customHeight="1">
      <c r="A552" s="456"/>
      <c r="B552" s="456"/>
      <c r="C552" s="456"/>
      <c r="D552" s="456"/>
      <c r="E552" s="456"/>
      <c r="F552" s="456"/>
      <c r="G552" s="456"/>
      <c r="H552" s="456"/>
      <c r="I552" s="456"/>
      <c r="J552" s="456"/>
      <c r="K552" s="456"/>
      <c r="L552" s="456"/>
      <c r="M552" s="456"/>
      <c r="N552" s="456"/>
      <c r="O552" s="456"/>
      <c r="P552" s="456"/>
      <c r="Q552" s="456"/>
      <c r="R552" s="456"/>
      <c r="S552" s="456"/>
      <c r="T552" s="456"/>
      <c r="U552" s="456"/>
      <c r="V552" s="456"/>
      <c r="W552" s="456"/>
      <c r="X552" s="456"/>
      <c r="Y552" s="456"/>
      <c r="Z552" s="456"/>
    </row>
    <row r="553" spans="1:26" ht="11.25" customHeight="1">
      <c r="A553" s="456"/>
      <c r="B553" s="456"/>
      <c r="C553" s="456"/>
      <c r="D553" s="456"/>
      <c r="E553" s="456"/>
      <c r="F553" s="456"/>
      <c r="G553" s="456"/>
      <c r="H553" s="456"/>
      <c r="I553" s="456"/>
      <c r="J553" s="456"/>
      <c r="K553" s="456"/>
      <c r="L553" s="456"/>
      <c r="M553" s="456"/>
      <c r="N553" s="456"/>
      <c r="O553" s="456"/>
      <c r="P553" s="456"/>
      <c r="Q553" s="456"/>
      <c r="R553" s="456"/>
      <c r="S553" s="456"/>
      <c r="T553" s="456"/>
      <c r="U553" s="456"/>
      <c r="V553" s="456"/>
      <c r="W553" s="456"/>
      <c r="X553" s="456"/>
      <c r="Y553" s="456"/>
      <c r="Z553" s="456"/>
    </row>
    <row r="554" spans="1:26" ht="11.25" customHeight="1">
      <c r="A554" s="456"/>
      <c r="B554" s="456"/>
      <c r="C554" s="456"/>
      <c r="D554" s="456"/>
      <c r="E554" s="456"/>
      <c r="F554" s="456"/>
      <c r="G554" s="456"/>
      <c r="H554" s="456"/>
      <c r="I554" s="456"/>
      <c r="J554" s="456"/>
      <c r="K554" s="456"/>
      <c r="L554" s="456"/>
      <c r="M554" s="456"/>
      <c r="N554" s="456"/>
      <c r="O554" s="456"/>
      <c r="P554" s="456"/>
      <c r="Q554" s="456"/>
      <c r="R554" s="456"/>
      <c r="S554" s="456"/>
      <c r="T554" s="456"/>
      <c r="U554" s="456"/>
      <c r="V554" s="456"/>
      <c r="W554" s="456"/>
      <c r="X554" s="456"/>
      <c r="Y554" s="456"/>
      <c r="Z554" s="456"/>
    </row>
    <row r="555" spans="1:26" ht="11.25" customHeight="1">
      <c r="A555" s="456"/>
      <c r="B555" s="456"/>
      <c r="C555" s="456"/>
      <c r="D555" s="456"/>
      <c r="E555" s="456"/>
      <c r="F555" s="456"/>
      <c r="G555" s="456"/>
      <c r="H555" s="456"/>
      <c r="I555" s="456"/>
      <c r="J555" s="456"/>
      <c r="K555" s="456"/>
      <c r="L555" s="456"/>
      <c r="M555" s="456"/>
      <c r="N555" s="456"/>
      <c r="O555" s="456"/>
      <c r="P555" s="456"/>
      <c r="Q555" s="456"/>
      <c r="R555" s="456"/>
      <c r="S555" s="456"/>
      <c r="T555" s="456"/>
      <c r="U555" s="456"/>
      <c r="V555" s="456"/>
      <c r="W555" s="456"/>
      <c r="X555" s="456"/>
      <c r="Y555" s="456"/>
      <c r="Z555" s="456"/>
    </row>
    <row r="556" spans="1:26" ht="11.25" customHeight="1">
      <c r="A556" s="456"/>
      <c r="B556" s="456"/>
      <c r="C556" s="456"/>
      <c r="D556" s="456"/>
      <c r="E556" s="456"/>
      <c r="F556" s="456"/>
      <c r="G556" s="456"/>
      <c r="H556" s="456"/>
      <c r="I556" s="456"/>
      <c r="J556" s="456"/>
      <c r="K556" s="456"/>
      <c r="L556" s="456"/>
      <c r="M556" s="456"/>
      <c r="N556" s="456"/>
      <c r="O556" s="456"/>
      <c r="P556" s="456"/>
      <c r="Q556" s="456"/>
      <c r="R556" s="456"/>
      <c r="S556" s="456"/>
      <c r="T556" s="456"/>
      <c r="U556" s="456"/>
      <c r="V556" s="456"/>
      <c r="W556" s="456"/>
      <c r="X556" s="456"/>
      <c r="Y556" s="456"/>
      <c r="Z556" s="456"/>
    </row>
    <row r="557" spans="1:26" ht="11.25" customHeight="1">
      <c r="A557" s="456"/>
      <c r="B557" s="456"/>
      <c r="C557" s="456"/>
      <c r="D557" s="456"/>
      <c r="E557" s="456"/>
      <c r="F557" s="456"/>
      <c r="G557" s="456"/>
      <c r="H557" s="456"/>
      <c r="I557" s="456"/>
      <c r="J557" s="456"/>
      <c r="K557" s="456"/>
      <c r="L557" s="456"/>
      <c r="M557" s="456"/>
      <c r="N557" s="456"/>
      <c r="O557" s="456"/>
      <c r="P557" s="456"/>
      <c r="Q557" s="456"/>
      <c r="R557" s="456"/>
      <c r="S557" s="456"/>
      <c r="T557" s="456"/>
      <c r="U557" s="456"/>
      <c r="V557" s="456"/>
      <c r="W557" s="456"/>
      <c r="X557" s="456"/>
      <c r="Y557" s="456"/>
      <c r="Z557" s="456"/>
    </row>
    <row r="558" spans="1:26" ht="11.25" customHeight="1">
      <c r="A558" s="456"/>
      <c r="B558" s="456"/>
      <c r="C558" s="456"/>
      <c r="D558" s="456"/>
      <c r="E558" s="456"/>
      <c r="F558" s="456"/>
      <c r="G558" s="456"/>
      <c r="H558" s="456"/>
      <c r="I558" s="456"/>
      <c r="J558" s="456"/>
      <c r="K558" s="456"/>
      <c r="L558" s="456"/>
      <c r="M558" s="456"/>
      <c r="N558" s="456"/>
      <c r="O558" s="456"/>
      <c r="P558" s="456"/>
      <c r="Q558" s="456"/>
      <c r="R558" s="456"/>
      <c r="S558" s="456"/>
      <c r="T558" s="456"/>
      <c r="U558" s="456"/>
      <c r="V558" s="456"/>
      <c r="W558" s="456"/>
      <c r="X558" s="456"/>
      <c r="Y558" s="456"/>
      <c r="Z558" s="456"/>
    </row>
    <row r="559" spans="1:26" ht="11.25" customHeight="1">
      <c r="A559" s="456"/>
      <c r="B559" s="456"/>
      <c r="C559" s="456"/>
      <c r="D559" s="456"/>
      <c r="E559" s="456"/>
      <c r="F559" s="456"/>
      <c r="G559" s="456"/>
      <c r="H559" s="456"/>
      <c r="I559" s="456"/>
      <c r="J559" s="456"/>
      <c r="K559" s="456"/>
      <c r="L559" s="456"/>
      <c r="M559" s="456"/>
      <c r="N559" s="456"/>
      <c r="O559" s="456"/>
      <c r="P559" s="456"/>
      <c r="Q559" s="456"/>
      <c r="R559" s="456"/>
      <c r="S559" s="456"/>
      <c r="T559" s="456"/>
      <c r="U559" s="456"/>
      <c r="V559" s="456"/>
      <c r="W559" s="456"/>
      <c r="X559" s="456"/>
      <c r="Y559" s="456"/>
      <c r="Z559" s="456"/>
    </row>
    <row r="560" spans="1:26" ht="11.25" customHeight="1">
      <c r="A560" s="456"/>
      <c r="B560" s="456"/>
      <c r="C560" s="456"/>
      <c r="D560" s="456"/>
      <c r="E560" s="456"/>
      <c r="F560" s="456"/>
      <c r="G560" s="456"/>
      <c r="H560" s="456"/>
      <c r="I560" s="456"/>
      <c r="J560" s="456"/>
      <c r="K560" s="456"/>
      <c r="L560" s="456"/>
      <c r="M560" s="456"/>
      <c r="N560" s="456"/>
      <c r="O560" s="456"/>
      <c r="P560" s="456"/>
      <c r="Q560" s="456"/>
      <c r="R560" s="456"/>
      <c r="S560" s="456"/>
      <c r="T560" s="456"/>
      <c r="U560" s="456"/>
      <c r="V560" s="456"/>
      <c r="W560" s="456"/>
      <c r="X560" s="456"/>
      <c r="Y560" s="456"/>
      <c r="Z560" s="456"/>
    </row>
    <row r="561" spans="1:26" ht="11.25" customHeight="1">
      <c r="A561" s="456"/>
      <c r="B561" s="456"/>
      <c r="C561" s="456"/>
      <c r="D561" s="456"/>
      <c r="E561" s="456"/>
      <c r="F561" s="456"/>
      <c r="G561" s="456"/>
      <c r="H561" s="456"/>
      <c r="I561" s="456"/>
      <c r="J561" s="456"/>
      <c r="K561" s="456"/>
      <c r="L561" s="456"/>
      <c r="M561" s="456"/>
      <c r="N561" s="456"/>
      <c r="O561" s="456"/>
      <c r="P561" s="456"/>
      <c r="Q561" s="456"/>
      <c r="R561" s="456"/>
      <c r="S561" s="456"/>
      <c r="T561" s="456"/>
      <c r="U561" s="456"/>
      <c r="V561" s="456"/>
      <c r="W561" s="456"/>
      <c r="X561" s="456"/>
      <c r="Y561" s="456"/>
      <c r="Z561" s="456"/>
    </row>
    <row r="562" spans="1:26" ht="11.25" customHeight="1">
      <c r="A562" s="456"/>
      <c r="B562" s="456"/>
      <c r="C562" s="456"/>
      <c r="D562" s="456"/>
      <c r="E562" s="456"/>
      <c r="F562" s="456"/>
      <c r="G562" s="456"/>
      <c r="H562" s="456"/>
      <c r="I562" s="456"/>
      <c r="J562" s="456"/>
      <c r="K562" s="456"/>
      <c r="L562" s="456"/>
      <c r="M562" s="456"/>
      <c r="N562" s="456"/>
      <c r="O562" s="456"/>
      <c r="P562" s="456"/>
      <c r="Q562" s="456"/>
      <c r="R562" s="456"/>
      <c r="S562" s="456"/>
      <c r="T562" s="456"/>
      <c r="U562" s="456"/>
      <c r="V562" s="456"/>
      <c r="W562" s="456"/>
      <c r="X562" s="456"/>
      <c r="Y562" s="456"/>
      <c r="Z562" s="456"/>
    </row>
    <row r="563" spans="1:26" ht="11.25" customHeight="1">
      <c r="A563" s="456"/>
      <c r="B563" s="456"/>
      <c r="C563" s="456"/>
      <c r="D563" s="456"/>
      <c r="E563" s="456"/>
      <c r="F563" s="456"/>
      <c r="G563" s="456"/>
      <c r="H563" s="456"/>
      <c r="I563" s="456"/>
      <c r="J563" s="456"/>
      <c r="K563" s="456"/>
      <c r="L563" s="456"/>
      <c r="M563" s="456"/>
      <c r="N563" s="456"/>
      <c r="O563" s="456"/>
      <c r="P563" s="456"/>
      <c r="Q563" s="456"/>
      <c r="R563" s="456"/>
      <c r="S563" s="456"/>
      <c r="T563" s="456"/>
      <c r="U563" s="456"/>
      <c r="V563" s="456"/>
      <c r="W563" s="456"/>
      <c r="X563" s="456"/>
      <c r="Y563" s="456"/>
      <c r="Z563" s="456"/>
    </row>
    <row r="564" spans="1:26" ht="11.25" customHeight="1">
      <c r="A564" s="456"/>
      <c r="B564" s="456"/>
      <c r="C564" s="456"/>
      <c r="D564" s="456"/>
      <c r="E564" s="456"/>
      <c r="F564" s="456"/>
      <c r="G564" s="456"/>
      <c r="H564" s="456"/>
      <c r="I564" s="456"/>
      <c r="J564" s="456"/>
      <c r="K564" s="456"/>
      <c r="L564" s="456"/>
      <c r="M564" s="456"/>
      <c r="N564" s="456"/>
      <c r="O564" s="456"/>
      <c r="P564" s="456"/>
      <c r="Q564" s="456"/>
      <c r="R564" s="456"/>
      <c r="S564" s="456"/>
      <c r="T564" s="456"/>
      <c r="U564" s="456"/>
      <c r="V564" s="456"/>
      <c r="W564" s="456"/>
      <c r="X564" s="456"/>
      <c r="Y564" s="456"/>
      <c r="Z564" s="456"/>
    </row>
    <row r="565" spans="1:26" ht="11.25" customHeight="1">
      <c r="A565" s="456"/>
      <c r="B565" s="456"/>
      <c r="C565" s="456"/>
      <c r="D565" s="456"/>
      <c r="E565" s="456"/>
      <c r="F565" s="456"/>
      <c r="G565" s="456"/>
      <c r="H565" s="456"/>
      <c r="I565" s="456"/>
      <c r="J565" s="456"/>
      <c r="K565" s="456"/>
      <c r="L565" s="456"/>
      <c r="M565" s="456"/>
      <c r="N565" s="456"/>
      <c r="O565" s="456"/>
      <c r="P565" s="456"/>
      <c r="Q565" s="456"/>
      <c r="R565" s="456"/>
      <c r="S565" s="456"/>
      <c r="T565" s="456"/>
      <c r="U565" s="456"/>
      <c r="V565" s="456"/>
      <c r="W565" s="456"/>
      <c r="X565" s="456"/>
      <c r="Y565" s="456"/>
      <c r="Z565" s="456"/>
    </row>
    <row r="566" spans="1:26" ht="11.25" customHeight="1">
      <c r="A566" s="456"/>
      <c r="B566" s="456"/>
      <c r="C566" s="456"/>
      <c r="D566" s="456"/>
      <c r="E566" s="456"/>
      <c r="F566" s="456"/>
      <c r="G566" s="456"/>
      <c r="H566" s="456"/>
      <c r="I566" s="456"/>
      <c r="J566" s="456"/>
      <c r="K566" s="456"/>
      <c r="L566" s="456"/>
      <c r="M566" s="456"/>
      <c r="N566" s="456"/>
      <c r="O566" s="456"/>
      <c r="P566" s="456"/>
      <c r="Q566" s="456"/>
      <c r="R566" s="456"/>
      <c r="S566" s="456"/>
      <c r="T566" s="456"/>
      <c r="U566" s="456"/>
      <c r="V566" s="456"/>
      <c r="W566" s="456"/>
      <c r="X566" s="456"/>
      <c r="Y566" s="456"/>
      <c r="Z566" s="456"/>
    </row>
    <row r="567" spans="1:26" ht="11.25" customHeight="1">
      <c r="A567" s="456"/>
      <c r="B567" s="456"/>
      <c r="C567" s="456"/>
      <c r="D567" s="456"/>
      <c r="E567" s="456"/>
      <c r="F567" s="456"/>
      <c r="G567" s="456"/>
      <c r="H567" s="456"/>
      <c r="I567" s="456"/>
      <c r="J567" s="456"/>
      <c r="K567" s="456"/>
      <c r="L567" s="456"/>
      <c r="M567" s="456"/>
      <c r="N567" s="456"/>
      <c r="O567" s="456"/>
      <c r="P567" s="456"/>
      <c r="Q567" s="456"/>
      <c r="R567" s="456"/>
      <c r="S567" s="456"/>
      <c r="T567" s="456"/>
      <c r="U567" s="456"/>
      <c r="V567" s="456"/>
      <c r="W567" s="456"/>
      <c r="X567" s="456"/>
      <c r="Y567" s="456"/>
      <c r="Z567" s="456"/>
    </row>
    <row r="568" spans="1:26" ht="11.25" customHeight="1">
      <c r="A568" s="456"/>
      <c r="B568" s="456"/>
      <c r="C568" s="456"/>
      <c r="D568" s="456"/>
      <c r="E568" s="456"/>
      <c r="F568" s="456"/>
      <c r="G568" s="456"/>
      <c r="H568" s="456"/>
      <c r="I568" s="456"/>
      <c r="J568" s="456"/>
      <c r="K568" s="456"/>
      <c r="L568" s="456"/>
      <c r="M568" s="456"/>
      <c r="N568" s="456"/>
      <c r="O568" s="456"/>
      <c r="P568" s="456"/>
      <c r="Q568" s="456"/>
      <c r="R568" s="456"/>
      <c r="S568" s="456"/>
      <c r="T568" s="456"/>
      <c r="U568" s="456"/>
      <c r="V568" s="456"/>
      <c r="W568" s="456"/>
      <c r="X568" s="456"/>
      <c r="Y568" s="456"/>
      <c r="Z568" s="456"/>
    </row>
    <row r="569" spans="1:26" ht="11.25" customHeight="1">
      <c r="A569" s="456"/>
      <c r="B569" s="456"/>
      <c r="C569" s="456"/>
      <c r="D569" s="456"/>
      <c r="E569" s="456"/>
      <c r="F569" s="456"/>
      <c r="G569" s="456"/>
      <c r="H569" s="456"/>
      <c r="I569" s="456"/>
      <c r="J569" s="456"/>
      <c r="K569" s="456"/>
      <c r="L569" s="456"/>
      <c r="M569" s="456"/>
      <c r="N569" s="456"/>
      <c r="O569" s="456"/>
      <c r="P569" s="456"/>
      <c r="Q569" s="456"/>
      <c r="R569" s="456"/>
      <c r="S569" s="456"/>
      <c r="T569" s="456"/>
      <c r="U569" s="456"/>
      <c r="V569" s="456"/>
      <c r="W569" s="456"/>
      <c r="X569" s="456"/>
      <c r="Y569" s="456"/>
      <c r="Z569" s="456"/>
    </row>
    <row r="570" spans="1:26" ht="11.25" customHeight="1">
      <c r="A570" s="456"/>
      <c r="B570" s="456"/>
      <c r="C570" s="456"/>
      <c r="D570" s="456"/>
      <c r="E570" s="456"/>
      <c r="F570" s="456"/>
      <c r="G570" s="456"/>
      <c r="H570" s="456"/>
      <c r="I570" s="456"/>
      <c r="J570" s="456"/>
      <c r="K570" s="456"/>
      <c r="L570" s="456"/>
      <c r="M570" s="456"/>
      <c r="N570" s="456"/>
      <c r="O570" s="456"/>
      <c r="P570" s="456"/>
      <c r="Q570" s="456"/>
      <c r="R570" s="456"/>
      <c r="S570" s="456"/>
      <c r="T570" s="456"/>
      <c r="U570" s="456"/>
      <c r="V570" s="456"/>
      <c r="W570" s="456"/>
      <c r="X570" s="456"/>
      <c r="Y570" s="456"/>
      <c r="Z570" s="456"/>
    </row>
    <row r="571" spans="1:26" ht="11.25" customHeight="1">
      <c r="A571" s="456"/>
      <c r="B571" s="456"/>
      <c r="C571" s="456"/>
      <c r="D571" s="456"/>
      <c r="E571" s="456"/>
      <c r="F571" s="456"/>
      <c r="G571" s="456"/>
      <c r="H571" s="456"/>
      <c r="I571" s="456"/>
      <c r="J571" s="456"/>
      <c r="K571" s="456"/>
      <c r="L571" s="456"/>
      <c r="M571" s="456"/>
      <c r="N571" s="456"/>
      <c r="O571" s="456"/>
      <c r="P571" s="456"/>
      <c r="Q571" s="456"/>
      <c r="R571" s="456"/>
      <c r="S571" s="456"/>
      <c r="T571" s="456"/>
      <c r="U571" s="456"/>
      <c r="V571" s="456"/>
      <c r="W571" s="456"/>
      <c r="X571" s="456"/>
      <c r="Y571" s="456"/>
      <c r="Z571" s="456"/>
    </row>
    <row r="572" spans="1:26" ht="11.25" customHeight="1">
      <c r="A572" s="456"/>
      <c r="B572" s="456"/>
      <c r="C572" s="456"/>
      <c r="D572" s="456"/>
      <c r="E572" s="456"/>
      <c r="F572" s="456"/>
      <c r="G572" s="456"/>
      <c r="H572" s="456"/>
      <c r="I572" s="456"/>
      <c r="J572" s="456"/>
      <c r="K572" s="456"/>
      <c r="L572" s="456"/>
      <c r="M572" s="456"/>
      <c r="N572" s="456"/>
      <c r="O572" s="456"/>
      <c r="P572" s="456"/>
      <c r="Q572" s="456"/>
      <c r="R572" s="456"/>
      <c r="S572" s="456"/>
      <c r="T572" s="456"/>
      <c r="U572" s="456"/>
      <c r="V572" s="456"/>
      <c r="W572" s="456"/>
      <c r="X572" s="456"/>
      <c r="Y572" s="456"/>
      <c r="Z572" s="456"/>
    </row>
    <row r="573" spans="1:26" ht="11.25" customHeight="1">
      <c r="A573" s="456"/>
      <c r="B573" s="456"/>
      <c r="C573" s="456"/>
      <c r="D573" s="456"/>
      <c r="E573" s="456"/>
      <c r="F573" s="456"/>
      <c r="G573" s="456"/>
      <c r="H573" s="456"/>
      <c r="I573" s="456"/>
      <c r="J573" s="456"/>
      <c r="K573" s="456"/>
      <c r="L573" s="456"/>
      <c r="M573" s="456"/>
      <c r="N573" s="456"/>
      <c r="O573" s="456"/>
      <c r="P573" s="456"/>
      <c r="Q573" s="456"/>
      <c r="R573" s="456"/>
      <c r="S573" s="456"/>
      <c r="T573" s="456"/>
      <c r="U573" s="456"/>
      <c r="V573" s="456"/>
      <c r="W573" s="456"/>
      <c r="X573" s="456"/>
      <c r="Y573" s="456"/>
      <c r="Z573" s="456"/>
    </row>
    <row r="574" spans="1:26" ht="11.25" customHeight="1">
      <c r="A574" s="456"/>
      <c r="B574" s="456"/>
      <c r="C574" s="456"/>
      <c r="D574" s="456"/>
      <c r="E574" s="456"/>
      <c r="F574" s="456"/>
      <c r="G574" s="456"/>
      <c r="H574" s="456"/>
      <c r="I574" s="456"/>
      <c r="J574" s="456"/>
      <c r="K574" s="456"/>
      <c r="L574" s="456"/>
      <c r="M574" s="456"/>
      <c r="N574" s="456"/>
      <c r="O574" s="456"/>
      <c r="P574" s="456"/>
      <c r="Q574" s="456"/>
      <c r="R574" s="456"/>
      <c r="S574" s="456"/>
      <c r="T574" s="456"/>
      <c r="U574" s="456"/>
      <c r="V574" s="456"/>
      <c r="W574" s="456"/>
      <c r="X574" s="456"/>
      <c r="Y574" s="456"/>
      <c r="Z574" s="456"/>
    </row>
    <row r="575" spans="1:26" ht="11.25" customHeight="1">
      <c r="A575" s="456"/>
      <c r="B575" s="456"/>
      <c r="C575" s="456"/>
      <c r="D575" s="456"/>
      <c r="E575" s="456"/>
      <c r="F575" s="456"/>
      <c r="G575" s="456"/>
      <c r="H575" s="456"/>
      <c r="I575" s="456"/>
      <c r="J575" s="456"/>
      <c r="K575" s="456"/>
      <c r="L575" s="456"/>
      <c r="M575" s="456"/>
      <c r="N575" s="456"/>
      <c r="O575" s="456"/>
      <c r="P575" s="456"/>
      <c r="Q575" s="456"/>
      <c r="R575" s="456"/>
      <c r="S575" s="456"/>
      <c r="T575" s="456"/>
      <c r="U575" s="456"/>
      <c r="V575" s="456"/>
      <c r="W575" s="456"/>
      <c r="X575" s="456"/>
      <c r="Y575" s="456"/>
      <c r="Z575" s="456"/>
    </row>
    <row r="576" spans="1:26" ht="11.25" customHeight="1">
      <c r="A576" s="456"/>
      <c r="B576" s="456"/>
      <c r="C576" s="456"/>
      <c r="D576" s="456"/>
      <c r="E576" s="456"/>
      <c r="F576" s="456"/>
      <c r="G576" s="456"/>
      <c r="H576" s="456"/>
      <c r="I576" s="456"/>
      <c r="J576" s="456"/>
      <c r="K576" s="456"/>
      <c r="L576" s="456"/>
      <c r="M576" s="456"/>
      <c r="N576" s="456"/>
      <c r="O576" s="456"/>
      <c r="P576" s="456"/>
      <c r="Q576" s="456"/>
      <c r="R576" s="456"/>
      <c r="S576" s="456"/>
      <c r="T576" s="456"/>
      <c r="U576" s="456"/>
      <c r="V576" s="456"/>
      <c r="W576" s="456"/>
      <c r="X576" s="456"/>
      <c r="Y576" s="456"/>
      <c r="Z576" s="456"/>
    </row>
    <row r="577" spans="1:26" ht="11.25" customHeight="1">
      <c r="A577" s="456"/>
      <c r="B577" s="456"/>
      <c r="C577" s="456"/>
      <c r="D577" s="456"/>
      <c r="E577" s="456"/>
      <c r="F577" s="456"/>
      <c r="G577" s="456"/>
      <c r="H577" s="456"/>
      <c r="I577" s="456"/>
      <c r="J577" s="456"/>
      <c r="K577" s="456"/>
      <c r="L577" s="456"/>
      <c r="M577" s="456"/>
      <c r="N577" s="456"/>
      <c r="O577" s="456"/>
      <c r="P577" s="456"/>
      <c r="Q577" s="456"/>
      <c r="R577" s="456"/>
      <c r="S577" s="456"/>
      <c r="T577" s="456"/>
      <c r="U577" s="456"/>
      <c r="V577" s="456"/>
      <c r="W577" s="456"/>
      <c r="X577" s="456"/>
      <c r="Y577" s="456"/>
      <c r="Z577" s="456"/>
    </row>
    <row r="578" spans="1:26" ht="11.25" customHeight="1">
      <c r="A578" s="456"/>
      <c r="B578" s="456"/>
      <c r="C578" s="456"/>
      <c r="D578" s="456"/>
      <c r="E578" s="456"/>
      <c r="F578" s="456"/>
      <c r="G578" s="456"/>
      <c r="H578" s="456"/>
      <c r="I578" s="456"/>
      <c r="J578" s="456"/>
      <c r="K578" s="456"/>
      <c r="L578" s="456"/>
      <c r="M578" s="456"/>
      <c r="N578" s="456"/>
      <c r="O578" s="456"/>
      <c r="P578" s="456"/>
      <c r="Q578" s="456"/>
      <c r="R578" s="456"/>
      <c r="S578" s="456"/>
      <c r="T578" s="456"/>
      <c r="U578" s="456"/>
      <c r="V578" s="456"/>
      <c r="W578" s="456"/>
      <c r="X578" s="456"/>
      <c r="Y578" s="456"/>
      <c r="Z578" s="456"/>
    </row>
    <row r="579" spans="1:26" ht="11.25" customHeight="1">
      <c r="A579" s="456"/>
      <c r="B579" s="456"/>
      <c r="C579" s="456"/>
      <c r="D579" s="456"/>
      <c r="E579" s="456"/>
      <c r="F579" s="456"/>
      <c r="G579" s="456"/>
      <c r="H579" s="456"/>
      <c r="I579" s="456"/>
      <c r="J579" s="456"/>
      <c r="K579" s="456"/>
      <c r="L579" s="456"/>
      <c r="M579" s="456"/>
      <c r="N579" s="456"/>
      <c r="O579" s="456"/>
      <c r="P579" s="456"/>
      <c r="Q579" s="456"/>
      <c r="R579" s="456"/>
      <c r="S579" s="456"/>
      <c r="T579" s="456"/>
      <c r="U579" s="456"/>
      <c r="V579" s="456"/>
      <c r="W579" s="456"/>
      <c r="X579" s="456"/>
      <c r="Y579" s="456"/>
      <c r="Z579" s="456"/>
    </row>
    <row r="580" spans="1:26" ht="11.25" customHeight="1">
      <c r="A580" s="456"/>
      <c r="B580" s="456"/>
      <c r="C580" s="456"/>
      <c r="D580" s="456"/>
      <c r="E580" s="456"/>
      <c r="F580" s="456"/>
      <c r="G580" s="456"/>
      <c r="H580" s="456"/>
      <c r="I580" s="456"/>
      <c r="J580" s="456"/>
      <c r="K580" s="456"/>
      <c r="L580" s="456"/>
      <c r="M580" s="456"/>
      <c r="N580" s="456"/>
      <c r="O580" s="456"/>
      <c r="P580" s="456"/>
      <c r="Q580" s="456"/>
      <c r="R580" s="456"/>
      <c r="S580" s="456"/>
      <c r="T580" s="456"/>
      <c r="U580" s="456"/>
      <c r="V580" s="456"/>
      <c r="W580" s="456"/>
      <c r="X580" s="456"/>
      <c r="Y580" s="456"/>
      <c r="Z580" s="456"/>
    </row>
    <row r="581" spans="1:26" ht="11.25" customHeight="1">
      <c r="A581" s="456"/>
      <c r="B581" s="456"/>
      <c r="C581" s="456"/>
      <c r="D581" s="456"/>
      <c r="E581" s="456"/>
      <c r="F581" s="456"/>
      <c r="G581" s="456"/>
      <c r="H581" s="456"/>
      <c r="I581" s="456"/>
      <c r="J581" s="456"/>
      <c r="K581" s="456"/>
      <c r="L581" s="456"/>
      <c r="M581" s="456"/>
      <c r="N581" s="456"/>
      <c r="O581" s="456"/>
      <c r="P581" s="456"/>
      <c r="Q581" s="456"/>
      <c r="R581" s="456"/>
      <c r="S581" s="456"/>
      <c r="T581" s="456"/>
      <c r="U581" s="456"/>
      <c r="V581" s="456"/>
      <c r="W581" s="456"/>
      <c r="X581" s="456"/>
      <c r="Y581" s="456"/>
      <c r="Z581" s="456"/>
    </row>
    <row r="582" spans="1:26" ht="11.25" customHeight="1">
      <c r="A582" s="456"/>
      <c r="B582" s="456"/>
      <c r="C582" s="456"/>
      <c r="D582" s="456"/>
      <c r="E582" s="456"/>
      <c r="F582" s="456"/>
      <c r="G582" s="456"/>
      <c r="H582" s="456"/>
      <c r="I582" s="456"/>
      <c r="J582" s="456"/>
      <c r="K582" s="456"/>
      <c r="L582" s="456"/>
      <c r="M582" s="456"/>
      <c r="N582" s="456"/>
      <c r="O582" s="456"/>
      <c r="P582" s="456"/>
      <c r="Q582" s="456"/>
      <c r="R582" s="456"/>
      <c r="S582" s="456"/>
      <c r="T582" s="456"/>
      <c r="U582" s="456"/>
      <c r="V582" s="456"/>
      <c r="W582" s="456"/>
      <c r="X582" s="456"/>
      <c r="Y582" s="456"/>
      <c r="Z582" s="456"/>
    </row>
    <row r="583" spans="1:26" ht="11.25" customHeight="1">
      <c r="A583" s="456"/>
      <c r="B583" s="456"/>
      <c r="C583" s="456"/>
      <c r="D583" s="456"/>
      <c r="E583" s="456"/>
      <c r="F583" s="456"/>
      <c r="G583" s="456"/>
      <c r="H583" s="456"/>
      <c r="I583" s="456"/>
      <c r="J583" s="456"/>
      <c r="K583" s="456"/>
      <c r="L583" s="456"/>
      <c r="M583" s="456"/>
      <c r="N583" s="456"/>
      <c r="O583" s="456"/>
      <c r="P583" s="456"/>
      <c r="Q583" s="456"/>
      <c r="R583" s="456"/>
      <c r="S583" s="456"/>
      <c r="T583" s="456"/>
      <c r="U583" s="456"/>
      <c r="V583" s="456"/>
      <c r="W583" s="456"/>
      <c r="X583" s="456"/>
      <c r="Y583" s="456"/>
      <c r="Z583" s="456"/>
    </row>
    <row r="584" spans="1:26" ht="11.25" customHeight="1">
      <c r="A584" s="456"/>
      <c r="B584" s="456"/>
      <c r="C584" s="456"/>
      <c r="D584" s="456"/>
      <c r="E584" s="456"/>
      <c r="F584" s="456"/>
      <c r="G584" s="456"/>
      <c r="H584" s="456"/>
      <c r="I584" s="456"/>
      <c r="J584" s="456"/>
      <c r="K584" s="456"/>
      <c r="L584" s="456"/>
      <c r="M584" s="456"/>
      <c r="N584" s="456"/>
      <c r="O584" s="456"/>
      <c r="P584" s="456"/>
      <c r="Q584" s="456"/>
      <c r="R584" s="456"/>
      <c r="S584" s="456"/>
      <c r="T584" s="456"/>
      <c r="U584" s="456"/>
      <c r="V584" s="456"/>
      <c r="W584" s="456"/>
      <c r="X584" s="456"/>
      <c r="Y584" s="456"/>
      <c r="Z584" s="456"/>
    </row>
    <row r="585" spans="1:26" ht="11.25" customHeight="1">
      <c r="A585" s="456"/>
      <c r="B585" s="456"/>
      <c r="C585" s="456"/>
      <c r="D585" s="456"/>
      <c r="E585" s="456"/>
      <c r="F585" s="456"/>
      <c r="G585" s="456"/>
      <c r="H585" s="456"/>
      <c r="I585" s="456"/>
      <c r="J585" s="456"/>
      <c r="K585" s="456"/>
      <c r="L585" s="456"/>
      <c r="M585" s="456"/>
      <c r="N585" s="456"/>
      <c r="O585" s="456"/>
      <c r="P585" s="456"/>
      <c r="Q585" s="456"/>
      <c r="R585" s="456"/>
      <c r="S585" s="456"/>
      <c r="T585" s="456"/>
      <c r="U585" s="456"/>
      <c r="V585" s="456"/>
      <c r="W585" s="456"/>
      <c r="X585" s="456"/>
      <c r="Y585" s="456"/>
      <c r="Z585" s="456"/>
    </row>
    <row r="586" spans="1:26" ht="11.25" customHeight="1">
      <c r="A586" s="456"/>
      <c r="B586" s="456"/>
      <c r="C586" s="456"/>
      <c r="D586" s="456"/>
      <c r="E586" s="456"/>
      <c r="F586" s="456"/>
      <c r="G586" s="456"/>
      <c r="H586" s="456"/>
      <c r="I586" s="456"/>
      <c r="J586" s="456"/>
      <c r="K586" s="456"/>
      <c r="L586" s="456"/>
      <c r="M586" s="456"/>
      <c r="N586" s="456"/>
      <c r="O586" s="456"/>
      <c r="P586" s="456"/>
      <c r="Q586" s="456"/>
      <c r="R586" s="456"/>
      <c r="S586" s="456"/>
      <c r="T586" s="456"/>
      <c r="U586" s="456"/>
      <c r="V586" s="456"/>
      <c r="W586" s="456"/>
      <c r="X586" s="456"/>
      <c r="Y586" s="456"/>
      <c r="Z586" s="456"/>
    </row>
    <row r="587" spans="1:26" ht="11.25" customHeight="1">
      <c r="A587" s="456"/>
      <c r="B587" s="456"/>
      <c r="C587" s="456"/>
      <c r="D587" s="456"/>
      <c r="E587" s="456"/>
      <c r="F587" s="456"/>
      <c r="G587" s="456"/>
      <c r="H587" s="456"/>
      <c r="I587" s="456"/>
      <c r="J587" s="456"/>
      <c r="K587" s="456"/>
      <c r="L587" s="456"/>
      <c r="M587" s="456"/>
      <c r="N587" s="456"/>
      <c r="O587" s="456"/>
      <c r="P587" s="456"/>
      <c r="Q587" s="456"/>
      <c r="R587" s="456"/>
      <c r="S587" s="456"/>
      <c r="T587" s="456"/>
      <c r="U587" s="456"/>
      <c r="V587" s="456"/>
      <c r="W587" s="456"/>
      <c r="X587" s="456"/>
      <c r="Y587" s="456"/>
      <c r="Z587" s="456"/>
    </row>
    <row r="588" spans="1:26" ht="11.25" customHeight="1">
      <c r="A588" s="456"/>
      <c r="B588" s="456"/>
      <c r="C588" s="456"/>
      <c r="D588" s="456"/>
      <c r="E588" s="456"/>
      <c r="F588" s="456"/>
      <c r="G588" s="456"/>
      <c r="H588" s="456"/>
      <c r="I588" s="456"/>
      <c r="J588" s="456"/>
      <c r="K588" s="456"/>
      <c r="L588" s="456"/>
      <c r="M588" s="456"/>
      <c r="N588" s="456"/>
      <c r="O588" s="456"/>
      <c r="P588" s="456"/>
      <c r="Q588" s="456"/>
      <c r="R588" s="456"/>
      <c r="S588" s="456"/>
      <c r="T588" s="456"/>
      <c r="U588" s="456"/>
      <c r="V588" s="456"/>
      <c r="W588" s="456"/>
      <c r="X588" s="456"/>
      <c r="Y588" s="456"/>
      <c r="Z588" s="456"/>
    </row>
    <row r="589" spans="1:26" ht="11.25" customHeight="1">
      <c r="A589" s="456"/>
      <c r="B589" s="456"/>
      <c r="C589" s="456"/>
      <c r="D589" s="456"/>
      <c r="E589" s="456"/>
      <c r="F589" s="456"/>
      <c r="G589" s="456"/>
      <c r="H589" s="456"/>
      <c r="I589" s="456"/>
      <c r="J589" s="456"/>
      <c r="K589" s="456"/>
      <c r="L589" s="456"/>
      <c r="M589" s="456"/>
      <c r="N589" s="456"/>
      <c r="O589" s="456"/>
      <c r="P589" s="456"/>
      <c r="Q589" s="456"/>
      <c r="R589" s="456"/>
      <c r="S589" s="456"/>
      <c r="T589" s="456"/>
      <c r="U589" s="456"/>
      <c r="V589" s="456"/>
      <c r="W589" s="456"/>
      <c r="X589" s="456"/>
      <c r="Y589" s="456"/>
      <c r="Z589" s="456"/>
    </row>
    <row r="590" spans="1:26" ht="11.25" customHeight="1">
      <c r="A590" s="456"/>
      <c r="B590" s="456"/>
      <c r="C590" s="456"/>
      <c r="D590" s="456"/>
      <c r="E590" s="456"/>
      <c r="F590" s="456"/>
      <c r="G590" s="456"/>
      <c r="H590" s="456"/>
      <c r="I590" s="456"/>
      <c r="J590" s="456"/>
      <c r="K590" s="456"/>
      <c r="L590" s="456"/>
      <c r="M590" s="456"/>
      <c r="N590" s="456"/>
      <c r="O590" s="456"/>
      <c r="P590" s="456"/>
      <c r="Q590" s="456"/>
      <c r="R590" s="456"/>
      <c r="S590" s="456"/>
      <c r="T590" s="456"/>
      <c r="U590" s="456"/>
      <c r="V590" s="456"/>
      <c r="W590" s="456"/>
      <c r="X590" s="456"/>
      <c r="Y590" s="456"/>
      <c r="Z590" s="456"/>
    </row>
    <row r="591" spans="1:26" ht="11.25" customHeight="1">
      <c r="A591" s="456"/>
      <c r="B591" s="456"/>
      <c r="C591" s="456"/>
      <c r="D591" s="456"/>
      <c r="E591" s="456"/>
      <c r="F591" s="456"/>
      <c r="G591" s="456"/>
      <c r="H591" s="456"/>
      <c r="I591" s="456"/>
      <c r="J591" s="456"/>
      <c r="K591" s="456"/>
      <c r="L591" s="456"/>
      <c r="M591" s="456"/>
      <c r="N591" s="456"/>
      <c r="O591" s="456"/>
      <c r="P591" s="456"/>
      <c r="Q591" s="456"/>
      <c r="R591" s="456"/>
      <c r="S591" s="456"/>
      <c r="T591" s="456"/>
      <c r="U591" s="456"/>
      <c r="V591" s="456"/>
      <c r="W591" s="456"/>
      <c r="X591" s="456"/>
      <c r="Y591" s="456"/>
      <c r="Z591" s="456"/>
    </row>
    <row r="592" spans="1:26" ht="11.25" customHeight="1">
      <c r="A592" s="456"/>
      <c r="B592" s="456"/>
      <c r="C592" s="456"/>
      <c r="D592" s="456"/>
      <c r="E592" s="456"/>
      <c r="F592" s="456"/>
      <c r="G592" s="456"/>
      <c r="H592" s="456"/>
      <c r="I592" s="456"/>
      <c r="J592" s="456"/>
      <c r="K592" s="456"/>
      <c r="L592" s="456"/>
      <c r="M592" s="456"/>
      <c r="N592" s="456"/>
      <c r="O592" s="456"/>
      <c r="P592" s="456"/>
      <c r="Q592" s="456"/>
      <c r="R592" s="456"/>
      <c r="S592" s="456"/>
      <c r="T592" s="456"/>
      <c r="U592" s="456"/>
      <c r="V592" s="456"/>
      <c r="W592" s="456"/>
      <c r="X592" s="456"/>
      <c r="Y592" s="456"/>
      <c r="Z592" s="456"/>
    </row>
    <row r="593" spans="1:26" ht="11.25" customHeight="1">
      <c r="A593" s="456"/>
      <c r="B593" s="456"/>
      <c r="C593" s="456"/>
      <c r="D593" s="456"/>
      <c r="E593" s="456"/>
      <c r="F593" s="456"/>
      <c r="G593" s="456"/>
      <c r="H593" s="456"/>
      <c r="I593" s="456"/>
      <c r="J593" s="456"/>
      <c r="K593" s="456"/>
      <c r="L593" s="456"/>
      <c r="M593" s="456"/>
      <c r="N593" s="456"/>
      <c r="O593" s="456"/>
      <c r="P593" s="456"/>
      <c r="Q593" s="456"/>
      <c r="R593" s="456"/>
      <c r="S593" s="456"/>
      <c r="T593" s="456"/>
      <c r="U593" s="456"/>
      <c r="V593" s="456"/>
      <c r="W593" s="456"/>
      <c r="X593" s="456"/>
      <c r="Y593" s="456"/>
      <c r="Z593" s="456"/>
    </row>
    <row r="594" spans="1:26" ht="11.25" customHeight="1">
      <c r="A594" s="456"/>
      <c r="B594" s="456"/>
      <c r="C594" s="456"/>
      <c r="D594" s="456"/>
      <c r="E594" s="456"/>
      <c r="F594" s="456"/>
      <c r="G594" s="456"/>
      <c r="H594" s="456"/>
      <c r="I594" s="456"/>
      <c r="J594" s="456"/>
      <c r="K594" s="456"/>
      <c r="L594" s="456"/>
      <c r="M594" s="456"/>
      <c r="N594" s="456"/>
      <c r="O594" s="456"/>
      <c r="P594" s="456"/>
      <c r="Q594" s="456"/>
      <c r="R594" s="456"/>
      <c r="S594" s="456"/>
      <c r="T594" s="456"/>
      <c r="U594" s="456"/>
      <c r="V594" s="456"/>
      <c r="W594" s="456"/>
      <c r="X594" s="456"/>
      <c r="Y594" s="456"/>
      <c r="Z594" s="456"/>
    </row>
    <row r="595" spans="1:26" ht="11.25" customHeight="1">
      <c r="A595" s="456"/>
      <c r="B595" s="456"/>
      <c r="C595" s="456"/>
      <c r="D595" s="456"/>
      <c r="E595" s="456"/>
      <c r="F595" s="456"/>
      <c r="G595" s="456"/>
      <c r="H595" s="456"/>
      <c r="I595" s="456"/>
      <c r="J595" s="456"/>
      <c r="K595" s="456"/>
      <c r="L595" s="456"/>
      <c r="M595" s="456"/>
      <c r="N595" s="456"/>
      <c r="O595" s="456"/>
      <c r="P595" s="456"/>
      <c r="Q595" s="456"/>
      <c r="R595" s="456"/>
      <c r="S595" s="456"/>
      <c r="T595" s="456"/>
      <c r="U595" s="456"/>
      <c r="V595" s="456"/>
      <c r="W595" s="456"/>
      <c r="X595" s="456"/>
      <c r="Y595" s="456"/>
      <c r="Z595" s="456"/>
    </row>
    <row r="596" spans="1:26" ht="11.25" customHeight="1">
      <c r="A596" s="456"/>
      <c r="B596" s="456"/>
      <c r="C596" s="456"/>
      <c r="D596" s="456"/>
      <c r="E596" s="456"/>
      <c r="F596" s="456"/>
      <c r="G596" s="456"/>
      <c r="H596" s="456"/>
      <c r="I596" s="456"/>
      <c r="J596" s="456"/>
      <c r="K596" s="456"/>
      <c r="L596" s="456"/>
      <c r="M596" s="456"/>
      <c r="N596" s="456"/>
      <c r="O596" s="456"/>
      <c r="P596" s="456"/>
      <c r="Q596" s="456"/>
      <c r="R596" s="456"/>
      <c r="S596" s="456"/>
      <c r="T596" s="456"/>
      <c r="U596" s="456"/>
      <c r="V596" s="456"/>
      <c r="W596" s="456"/>
      <c r="X596" s="456"/>
      <c r="Y596" s="456"/>
      <c r="Z596" s="456"/>
    </row>
    <row r="597" spans="1:26" ht="11.25" customHeight="1">
      <c r="A597" s="456"/>
      <c r="B597" s="456"/>
      <c r="C597" s="456"/>
      <c r="D597" s="456"/>
      <c r="E597" s="456"/>
      <c r="F597" s="456"/>
      <c r="G597" s="456"/>
      <c r="H597" s="456"/>
      <c r="I597" s="456"/>
      <c r="J597" s="456"/>
      <c r="K597" s="456"/>
      <c r="L597" s="456"/>
      <c r="M597" s="456"/>
      <c r="N597" s="456"/>
      <c r="O597" s="456"/>
      <c r="P597" s="456"/>
      <c r="Q597" s="456"/>
      <c r="R597" s="456"/>
      <c r="S597" s="456"/>
      <c r="T597" s="456"/>
      <c r="U597" s="456"/>
      <c r="V597" s="456"/>
      <c r="W597" s="456"/>
      <c r="X597" s="456"/>
      <c r="Y597" s="456"/>
      <c r="Z597" s="456"/>
    </row>
    <row r="598" spans="1:26" ht="11.25" customHeight="1">
      <c r="A598" s="456"/>
      <c r="B598" s="456"/>
      <c r="C598" s="456"/>
      <c r="D598" s="456"/>
      <c r="E598" s="456"/>
      <c r="F598" s="456"/>
      <c r="G598" s="456"/>
      <c r="H598" s="456"/>
      <c r="I598" s="456"/>
      <c r="J598" s="456"/>
      <c r="K598" s="456"/>
      <c r="L598" s="456"/>
      <c r="M598" s="456"/>
      <c r="N598" s="456"/>
      <c r="O598" s="456"/>
      <c r="P598" s="456"/>
      <c r="Q598" s="456"/>
      <c r="R598" s="456"/>
      <c r="S598" s="456"/>
      <c r="T598" s="456"/>
      <c r="U598" s="456"/>
      <c r="V598" s="456"/>
      <c r="W598" s="456"/>
      <c r="X598" s="456"/>
      <c r="Y598" s="456"/>
      <c r="Z598" s="456"/>
    </row>
    <row r="599" spans="1:26" ht="11.25" customHeight="1">
      <c r="A599" s="456"/>
      <c r="B599" s="456"/>
      <c r="C599" s="456"/>
      <c r="D599" s="456"/>
      <c r="E599" s="456"/>
      <c r="F599" s="456"/>
      <c r="G599" s="456"/>
      <c r="H599" s="456"/>
      <c r="I599" s="456"/>
      <c r="J599" s="456"/>
      <c r="K599" s="456"/>
      <c r="L599" s="456"/>
      <c r="M599" s="456"/>
      <c r="N599" s="456"/>
      <c r="O599" s="456"/>
      <c r="P599" s="456"/>
      <c r="Q599" s="456"/>
      <c r="R599" s="456"/>
      <c r="S599" s="456"/>
      <c r="T599" s="456"/>
      <c r="U599" s="456"/>
      <c r="V599" s="456"/>
      <c r="W599" s="456"/>
      <c r="X599" s="456"/>
      <c r="Y599" s="456"/>
      <c r="Z599" s="456"/>
    </row>
    <row r="600" spans="1:26" ht="11.25" customHeight="1">
      <c r="A600" s="456"/>
      <c r="B600" s="456"/>
      <c r="C600" s="456"/>
      <c r="D600" s="456"/>
      <c r="E600" s="456"/>
      <c r="F600" s="456"/>
      <c r="G600" s="456"/>
      <c r="H600" s="456"/>
      <c r="I600" s="456"/>
      <c r="J600" s="456"/>
      <c r="K600" s="456"/>
      <c r="L600" s="456"/>
      <c r="M600" s="456"/>
      <c r="N600" s="456"/>
      <c r="O600" s="456"/>
      <c r="P600" s="456"/>
      <c r="Q600" s="456"/>
      <c r="R600" s="456"/>
      <c r="S600" s="456"/>
      <c r="T600" s="456"/>
      <c r="U600" s="456"/>
      <c r="V600" s="456"/>
      <c r="W600" s="456"/>
      <c r="X600" s="456"/>
      <c r="Y600" s="456"/>
      <c r="Z600" s="456"/>
    </row>
    <row r="601" spans="1:26" ht="11.25" customHeight="1">
      <c r="A601" s="456"/>
      <c r="B601" s="456"/>
      <c r="C601" s="456"/>
      <c r="D601" s="456"/>
      <c r="E601" s="456"/>
      <c r="F601" s="456"/>
      <c r="G601" s="456"/>
      <c r="H601" s="456"/>
      <c r="I601" s="456"/>
      <c r="J601" s="456"/>
      <c r="K601" s="456"/>
      <c r="L601" s="456"/>
      <c r="M601" s="456"/>
      <c r="N601" s="456"/>
      <c r="O601" s="456"/>
      <c r="P601" s="456"/>
      <c r="Q601" s="456"/>
      <c r="R601" s="456"/>
      <c r="S601" s="456"/>
      <c r="T601" s="456"/>
      <c r="U601" s="456"/>
      <c r="V601" s="456"/>
      <c r="W601" s="456"/>
      <c r="X601" s="456"/>
      <c r="Y601" s="456"/>
      <c r="Z601" s="456"/>
    </row>
    <row r="602" spans="1:26" ht="11.25" customHeight="1">
      <c r="A602" s="456"/>
      <c r="B602" s="456"/>
      <c r="C602" s="456"/>
      <c r="D602" s="456"/>
      <c r="E602" s="456"/>
      <c r="F602" s="456"/>
      <c r="G602" s="456"/>
      <c r="H602" s="456"/>
      <c r="I602" s="456"/>
      <c r="J602" s="456"/>
      <c r="K602" s="456"/>
      <c r="L602" s="456"/>
      <c r="M602" s="456"/>
      <c r="N602" s="456"/>
      <c r="O602" s="456"/>
      <c r="P602" s="456"/>
      <c r="Q602" s="456"/>
      <c r="R602" s="456"/>
      <c r="S602" s="456"/>
      <c r="T602" s="456"/>
      <c r="U602" s="456"/>
      <c r="V602" s="456"/>
      <c r="W602" s="456"/>
      <c r="X602" s="456"/>
      <c r="Y602" s="456"/>
      <c r="Z602" s="456"/>
    </row>
    <row r="603" spans="1:26" ht="11.25" customHeight="1">
      <c r="A603" s="456"/>
      <c r="B603" s="456"/>
      <c r="C603" s="456"/>
      <c r="D603" s="456"/>
      <c r="E603" s="456"/>
      <c r="F603" s="456"/>
      <c r="G603" s="456"/>
      <c r="H603" s="456"/>
      <c r="I603" s="456"/>
      <c r="J603" s="456"/>
      <c r="K603" s="456"/>
      <c r="L603" s="456"/>
      <c r="M603" s="456"/>
      <c r="N603" s="456"/>
      <c r="O603" s="456"/>
      <c r="P603" s="456"/>
      <c r="Q603" s="456"/>
      <c r="R603" s="456"/>
      <c r="S603" s="456"/>
      <c r="T603" s="456"/>
      <c r="U603" s="456"/>
      <c r="V603" s="456"/>
      <c r="W603" s="456"/>
      <c r="X603" s="456"/>
      <c r="Y603" s="456"/>
      <c r="Z603" s="456"/>
    </row>
    <row r="604" spans="1:26" ht="11.25" customHeight="1">
      <c r="A604" s="456"/>
      <c r="B604" s="456"/>
      <c r="C604" s="456"/>
      <c r="D604" s="456"/>
      <c r="E604" s="456"/>
      <c r="F604" s="456"/>
      <c r="G604" s="456"/>
      <c r="H604" s="456"/>
      <c r="I604" s="456"/>
      <c r="J604" s="456"/>
      <c r="K604" s="456"/>
      <c r="L604" s="456"/>
      <c r="M604" s="456"/>
      <c r="N604" s="456"/>
      <c r="O604" s="456"/>
      <c r="P604" s="456"/>
      <c r="Q604" s="456"/>
      <c r="R604" s="456"/>
      <c r="S604" s="456"/>
      <c r="T604" s="456"/>
      <c r="U604" s="456"/>
      <c r="V604" s="456"/>
      <c r="W604" s="456"/>
      <c r="X604" s="456"/>
      <c r="Y604" s="456"/>
      <c r="Z604" s="456"/>
    </row>
    <row r="605" spans="1:26" ht="11.25" customHeight="1">
      <c r="A605" s="456"/>
      <c r="B605" s="456"/>
      <c r="C605" s="456"/>
      <c r="D605" s="456"/>
      <c r="E605" s="456"/>
      <c r="F605" s="456"/>
      <c r="G605" s="456"/>
      <c r="H605" s="456"/>
      <c r="I605" s="456"/>
      <c r="J605" s="456"/>
      <c r="K605" s="456"/>
      <c r="L605" s="456"/>
      <c r="M605" s="456"/>
      <c r="N605" s="456"/>
      <c r="O605" s="456"/>
      <c r="P605" s="456"/>
      <c r="Q605" s="456"/>
      <c r="R605" s="456"/>
      <c r="S605" s="456"/>
      <c r="T605" s="456"/>
      <c r="U605" s="456"/>
      <c r="V605" s="456"/>
      <c r="W605" s="456"/>
      <c r="X605" s="456"/>
      <c r="Y605" s="456"/>
      <c r="Z605" s="456"/>
    </row>
    <row r="606" spans="1:26" ht="11.25" customHeight="1">
      <c r="A606" s="456"/>
      <c r="B606" s="456"/>
      <c r="C606" s="456"/>
      <c r="D606" s="456"/>
      <c r="E606" s="456"/>
      <c r="F606" s="456"/>
      <c r="G606" s="456"/>
      <c r="H606" s="456"/>
      <c r="I606" s="456"/>
      <c r="J606" s="456"/>
      <c r="K606" s="456"/>
      <c r="L606" s="456"/>
      <c r="M606" s="456"/>
      <c r="N606" s="456"/>
      <c r="O606" s="456"/>
      <c r="P606" s="456"/>
      <c r="Q606" s="456"/>
      <c r="R606" s="456"/>
      <c r="S606" s="456"/>
      <c r="T606" s="456"/>
      <c r="U606" s="456"/>
      <c r="V606" s="456"/>
      <c r="W606" s="456"/>
      <c r="X606" s="456"/>
      <c r="Y606" s="456"/>
      <c r="Z606" s="456"/>
    </row>
    <row r="607" spans="1:26" ht="11.25" customHeight="1">
      <c r="A607" s="456"/>
      <c r="B607" s="456"/>
      <c r="C607" s="456"/>
      <c r="D607" s="456"/>
      <c r="E607" s="456"/>
      <c r="F607" s="456"/>
      <c r="G607" s="456"/>
      <c r="H607" s="456"/>
      <c r="I607" s="456"/>
      <c r="J607" s="456"/>
      <c r="K607" s="456"/>
      <c r="L607" s="456"/>
      <c r="M607" s="456"/>
      <c r="N607" s="456"/>
      <c r="O607" s="456"/>
      <c r="P607" s="456"/>
      <c r="Q607" s="456"/>
      <c r="R607" s="456"/>
      <c r="S607" s="456"/>
      <c r="T607" s="456"/>
      <c r="U607" s="456"/>
      <c r="V607" s="456"/>
      <c r="W607" s="456"/>
      <c r="X607" s="456"/>
      <c r="Y607" s="456"/>
      <c r="Z607" s="456"/>
    </row>
    <row r="608" spans="1:26" ht="11.25" customHeight="1">
      <c r="A608" s="456"/>
      <c r="B608" s="456"/>
      <c r="C608" s="456"/>
      <c r="D608" s="456"/>
      <c r="E608" s="456"/>
      <c r="F608" s="456"/>
      <c r="G608" s="456"/>
      <c r="H608" s="456"/>
      <c r="I608" s="456"/>
      <c r="J608" s="456"/>
      <c r="K608" s="456"/>
      <c r="L608" s="456"/>
      <c r="M608" s="456"/>
      <c r="N608" s="456"/>
      <c r="O608" s="456"/>
      <c r="P608" s="456"/>
      <c r="Q608" s="456"/>
      <c r="R608" s="456"/>
      <c r="S608" s="456"/>
      <c r="T608" s="456"/>
      <c r="U608" s="456"/>
      <c r="V608" s="456"/>
      <c r="W608" s="456"/>
      <c r="X608" s="456"/>
      <c r="Y608" s="456"/>
      <c r="Z608" s="456"/>
    </row>
    <row r="609" spans="1:26" ht="11.25" customHeight="1">
      <c r="A609" s="456"/>
      <c r="B609" s="456"/>
      <c r="C609" s="456"/>
      <c r="D609" s="456"/>
      <c r="E609" s="456"/>
      <c r="F609" s="456"/>
      <c r="G609" s="456"/>
      <c r="H609" s="456"/>
      <c r="I609" s="456"/>
      <c r="J609" s="456"/>
      <c r="K609" s="456"/>
      <c r="L609" s="456"/>
      <c r="M609" s="456"/>
      <c r="N609" s="456"/>
      <c r="O609" s="456"/>
      <c r="P609" s="456"/>
      <c r="Q609" s="456"/>
      <c r="R609" s="456"/>
      <c r="S609" s="456"/>
      <c r="T609" s="456"/>
      <c r="U609" s="456"/>
      <c r="V609" s="456"/>
      <c r="W609" s="456"/>
      <c r="X609" s="456"/>
      <c r="Y609" s="456"/>
      <c r="Z609" s="456"/>
    </row>
    <row r="610" spans="1:26" ht="11.25" customHeight="1">
      <c r="A610" s="456"/>
      <c r="B610" s="456"/>
      <c r="C610" s="456"/>
      <c r="D610" s="456"/>
      <c r="E610" s="456"/>
      <c r="F610" s="456"/>
      <c r="G610" s="456"/>
      <c r="H610" s="456"/>
      <c r="I610" s="456"/>
      <c r="J610" s="456"/>
      <c r="K610" s="456"/>
      <c r="L610" s="456"/>
      <c r="M610" s="456"/>
      <c r="N610" s="456"/>
      <c r="O610" s="456"/>
      <c r="P610" s="456"/>
      <c r="Q610" s="456"/>
      <c r="R610" s="456"/>
      <c r="S610" s="456"/>
      <c r="T610" s="456"/>
      <c r="U610" s="456"/>
      <c r="V610" s="456"/>
      <c r="W610" s="456"/>
      <c r="X610" s="456"/>
      <c r="Y610" s="456"/>
      <c r="Z610" s="456"/>
    </row>
    <row r="611" spans="1:26" ht="11.25" customHeight="1">
      <c r="A611" s="456"/>
      <c r="B611" s="456"/>
      <c r="C611" s="456"/>
      <c r="D611" s="456"/>
      <c r="E611" s="456"/>
      <c r="F611" s="456"/>
      <c r="G611" s="456"/>
      <c r="H611" s="456"/>
      <c r="I611" s="456"/>
      <c r="J611" s="456"/>
      <c r="K611" s="456"/>
      <c r="L611" s="456"/>
      <c r="M611" s="456"/>
      <c r="N611" s="456"/>
      <c r="O611" s="456"/>
      <c r="P611" s="456"/>
      <c r="Q611" s="456"/>
      <c r="R611" s="456"/>
      <c r="S611" s="456"/>
      <c r="T611" s="456"/>
      <c r="U611" s="456"/>
      <c r="V611" s="456"/>
      <c r="W611" s="456"/>
      <c r="X611" s="456"/>
      <c r="Y611" s="456"/>
      <c r="Z611" s="456"/>
    </row>
    <row r="612" spans="1:26" ht="11.25" customHeight="1">
      <c r="A612" s="456"/>
      <c r="B612" s="456"/>
      <c r="C612" s="456"/>
      <c r="D612" s="456"/>
      <c r="E612" s="456"/>
      <c r="F612" s="456"/>
      <c r="G612" s="456"/>
      <c r="H612" s="456"/>
      <c r="I612" s="456"/>
      <c r="J612" s="456"/>
      <c r="K612" s="456"/>
      <c r="L612" s="456"/>
      <c r="M612" s="456"/>
      <c r="N612" s="456"/>
      <c r="O612" s="456"/>
      <c r="P612" s="456"/>
      <c r="Q612" s="456"/>
      <c r="R612" s="456"/>
      <c r="S612" s="456"/>
      <c r="T612" s="456"/>
      <c r="U612" s="456"/>
      <c r="V612" s="456"/>
      <c r="W612" s="456"/>
      <c r="X612" s="456"/>
      <c r="Y612" s="456"/>
      <c r="Z612" s="456"/>
    </row>
    <row r="613" spans="1:26" ht="11.25" customHeight="1">
      <c r="A613" s="456"/>
      <c r="B613" s="456"/>
      <c r="C613" s="456"/>
      <c r="D613" s="456"/>
      <c r="E613" s="456"/>
      <c r="F613" s="456"/>
      <c r="G613" s="456"/>
      <c r="H613" s="456"/>
      <c r="I613" s="456"/>
      <c r="J613" s="456"/>
      <c r="K613" s="456"/>
      <c r="L613" s="456"/>
      <c r="M613" s="456"/>
      <c r="N613" s="456"/>
      <c r="O613" s="456"/>
      <c r="P613" s="456"/>
      <c r="Q613" s="456"/>
      <c r="R613" s="456"/>
      <c r="S613" s="456"/>
      <c r="T613" s="456"/>
      <c r="U613" s="456"/>
      <c r="V613" s="456"/>
      <c r="W613" s="456"/>
      <c r="X613" s="456"/>
      <c r="Y613" s="456"/>
      <c r="Z613" s="456"/>
    </row>
    <row r="614" spans="1:26" ht="11.25" customHeight="1">
      <c r="A614" s="456"/>
      <c r="B614" s="456"/>
      <c r="C614" s="456"/>
      <c r="D614" s="456"/>
      <c r="E614" s="456"/>
      <c r="F614" s="456"/>
      <c r="G614" s="456"/>
      <c r="H614" s="456"/>
      <c r="I614" s="456"/>
      <c r="J614" s="456"/>
      <c r="K614" s="456"/>
      <c r="L614" s="456"/>
      <c r="M614" s="456"/>
      <c r="N614" s="456"/>
      <c r="O614" s="456"/>
      <c r="P614" s="456"/>
      <c r="Q614" s="456"/>
      <c r="R614" s="456"/>
      <c r="S614" s="456"/>
      <c r="T614" s="456"/>
      <c r="U614" s="456"/>
      <c r="V614" s="456"/>
      <c r="W614" s="456"/>
      <c r="X614" s="456"/>
      <c r="Y614" s="456"/>
      <c r="Z614" s="456"/>
    </row>
    <row r="615" spans="1:26" ht="11.25" customHeight="1">
      <c r="A615" s="456"/>
      <c r="B615" s="456"/>
      <c r="C615" s="456"/>
      <c r="D615" s="456"/>
      <c r="E615" s="456"/>
      <c r="F615" s="456"/>
      <c r="G615" s="456"/>
      <c r="H615" s="456"/>
      <c r="I615" s="456"/>
      <c r="J615" s="456"/>
      <c r="K615" s="456"/>
      <c r="L615" s="456"/>
      <c r="M615" s="456"/>
      <c r="N615" s="456"/>
      <c r="O615" s="456"/>
      <c r="P615" s="456"/>
      <c r="Q615" s="456"/>
      <c r="R615" s="456"/>
      <c r="S615" s="456"/>
      <c r="T615" s="456"/>
      <c r="U615" s="456"/>
      <c r="V615" s="456"/>
      <c r="W615" s="456"/>
      <c r="X615" s="456"/>
      <c r="Y615" s="456"/>
      <c r="Z615" s="456"/>
    </row>
    <row r="616" spans="1:26" ht="11.25" customHeight="1">
      <c r="A616" s="456"/>
      <c r="B616" s="456"/>
      <c r="C616" s="456"/>
      <c r="D616" s="456"/>
      <c r="E616" s="456"/>
      <c r="F616" s="456"/>
      <c r="G616" s="456"/>
      <c r="H616" s="456"/>
      <c r="I616" s="456"/>
      <c r="J616" s="456"/>
      <c r="K616" s="456"/>
      <c r="L616" s="456"/>
      <c r="M616" s="456"/>
      <c r="N616" s="456"/>
      <c r="O616" s="456"/>
      <c r="P616" s="456"/>
      <c r="Q616" s="456"/>
      <c r="R616" s="456"/>
      <c r="S616" s="456"/>
      <c r="T616" s="456"/>
      <c r="U616" s="456"/>
      <c r="V616" s="456"/>
      <c r="W616" s="456"/>
      <c r="X616" s="456"/>
      <c r="Y616" s="456"/>
      <c r="Z616" s="456"/>
    </row>
    <row r="617" spans="1:26" ht="11.25" customHeight="1">
      <c r="A617" s="456"/>
      <c r="B617" s="456"/>
      <c r="C617" s="456"/>
      <c r="D617" s="456"/>
      <c r="E617" s="456"/>
      <c r="F617" s="456"/>
      <c r="G617" s="456"/>
      <c r="H617" s="456"/>
      <c r="I617" s="456"/>
      <c r="J617" s="456"/>
      <c r="K617" s="456"/>
      <c r="L617" s="456"/>
      <c r="M617" s="456"/>
      <c r="N617" s="456"/>
      <c r="O617" s="456"/>
      <c r="P617" s="456"/>
      <c r="Q617" s="456"/>
      <c r="R617" s="456"/>
      <c r="S617" s="456"/>
      <c r="T617" s="456"/>
      <c r="U617" s="456"/>
      <c r="V617" s="456"/>
      <c r="W617" s="456"/>
      <c r="X617" s="456"/>
      <c r="Y617" s="456"/>
      <c r="Z617" s="456"/>
    </row>
    <row r="618" spans="1:26" ht="11.25" customHeight="1">
      <c r="A618" s="456"/>
      <c r="B618" s="456"/>
      <c r="C618" s="456"/>
      <c r="D618" s="456"/>
      <c r="E618" s="456"/>
      <c r="F618" s="456"/>
      <c r="G618" s="456"/>
      <c r="H618" s="456"/>
      <c r="I618" s="456"/>
      <c r="J618" s="456"/>
      <c r="K618" s="456"/>
      <c r="L618" s="456"/>
      <c r="M618" s="456"/>
      <c r="N618" s="456"/>
      <c r="O618" s="456"/>
      <c r="P618" s="456"/>
      <c r="Q618" s="456"/>
      <c r="R618" s="456"/>
      <c r="S618" s="456"/>
      <c r="T618" s="456"/>
      <c r="U618" s="456"/>
      <c r="V618" s="456"/>
      <c r="W618" s="456"/>
      <c r="X618" s="456"/>
      <c r="Y618" s="456"/>
      <c r="Z618" s="456"/>
    </row>
    <row r="619" spans="1:26" ht="11.25" customHeight="1">
      <c r="A619" s="456"/>
      <c r="B619" s="456"/>
      <c r="C619" s="456"/>
      <c r="D619" s="456"/>
      <c r="E619" s="456"/>
      <c r="F619" s="456"/>
      <c r="G619" s="456"/>
      <c r="H619" s="456"/>
      <c r="I619" s="456"/>
      <c r="J619" s="456"/>
      <c r="K619" s="456"/>
      <c r="L619" s="456"/>
      <c r="M619" s="456"/>
      <c r="N619" s="456"/>
      <c r="O619" s="456"/>
      <c r="P619" s="456"/>
      <c r="Q619" s="456"/>
      <c r="R619" s="456"/>
      <c r="S619" s="456"/>
      <c r="T619" s="456"/>
      <c r="U619" s="456"/>
      <c r="V619" s="456"/>
      <c r="W619" s="456"/>
      <c r="X619" s="456"/>
      <c r="Y619" s="456"/>
      <c r="Z619" s="456"/>
    </row>
    <row r="620" spans="1:26" ht="11.25" customHeight="1">
      <c r="A620" s="456"/>
      <c r="B620" s="456"/>
      <c r="C620" s="456"/>
      <c r="D620" s="456"/>
      <c r="E620" s="456"/>
      <c r="F620" s="456"/>
      <c r="G620" s="456"/>
      <c r="H620" s="456"/>
      <c r="I620" s="456"/>
      <c r="J620" s="456"/>
      <c r="K620" s="456"/>
      <c r="L620" s="456"/>
      <c r="M620" s="456"/>
      <c r="N620" s="456"/>
      <c r="O620" s="456"/>
      <c r="P620" s="456"/>
      <c r="Q620" s="456"/>
      <c r="R620" s="456"/>
      <c r="S620" s="456"/>
      <c r="T620" s="456"/>
      <c r="U620" s="456"/>
      <c r="V620" s="456"/>
      <c r="W620" s="456"/>
      <c r="X620" s="456"/>
      <c r="Y620" s="456"/>
      <c r="Z620" s="456"/>
    </row>
    <row r="621" spans="1:26" ht="11.25" customHeight="1">
      <c r="A621" s="456"/>
      <c r="B621" s="456"/>
      <c r="C621" s="456"/>
      <c r="D621" s="456"/>
      <c r="E621" s="456"/>
      <c r="F621" s="456"/>
      <c r="G621" s="456"/>
      <c r="H621" s="456"/>
      <c r="I621" s="456"/>
      <c r="J621" s="456"/>
      <c r="K621" s="456"/>
      <c r="L621" s="456"/>
      <c r="M621" s="456"/>
      <c r="N621" s="456"/>
      <c r="O621" s="456"/>
      <c r="P621" s="456"/>
      <c r="Q621" s="456"/>
      <c r="R621" s="456"/>
      <c r="S621" s="456"/>
      <c r="T621" s="456"/>
      <c r="U621" s="456"/>
      <c r="V621" s="456"/>
      <c r="W621" s="456"/>
      <c r="X621" s="456"/>
      <c r="Y621" s="456"/>
      <c r="Z621" s="456"/>
    </row>
    <row r="622" spans="1:26" ht="11.25" customHeight="1">
      <c r="A622" s="456"/>
      <c r="B622" s="456"/>
      <c r="C622" s="456"/>
      <c r="D622" s="456"/>
      <c r="E622" s="456"/>
      <c r="F622" s="456"/>
      <c r="G622" s="456"/>
      <c r="H622" s="456"/>
      <c r="I622" s="456"/>
      <c r="J622" s="456"/>
      <c r="K622" s="456"/>
      <c r="L622" s="456"/>
      <c r="M622" s="456"/>
      <c r="N622" s="456"/>
      <c r="O622" s="456"/>
      <c r="P622" s="456"/>
      <c r="Q622" s="456"/>
      <c r="R622" s="456"/>
      <c r="S622" s="456"/>
      <c r="T622" s="456"/>
      <c r="U622" s="456"/>
      <c r="V622" s="456"/>
      <c r="W622" s="456"/>
      <c r="X622" s="456"/>
      <c r="Y622" s="456"/>
      <c r="Z622" s="456"/>
    </row>
    <row r="623" spans="1:26" ht="11.25" customHeight="1">
      <c r="A623" s="456"/>
      <c r="B623" s="456"/>
      <c r="C623" s="456"/>
      <c r="D623" s="456"/>
      <c r="E623" s="456"/>
      <c r="F623" s="456"/>
      <c r="G623" s="456"/>
      <c r="H623" s="456"/>
      <c r="I623" s="456"/>
      <c r="J623" s="456"/>
      <c r="K623" s="456"/>
      <c r="L623" s="456"/>
      <c r="M623" s="456"/>
      <c r="N623" s="456"/>
      <c r="O623" s="456"/>
      <c r="P623" s="456"/>
      <c r="Q623" s="456"/>
      <c r="R623" s="456"/>
      <c r="S623" s="456"/>
      <c r="T623" s="456"/>
      <c r="U623" s="456"/>
      <c r="V623" s="456"/>
      <c r="W623" s="456"/>
      <c r="X623" s="456"/>
      <c r="Y623" s="456"/>
      <c r="Z623" s="456"/>
    </row>
    <row r="624" spans="1:26" ht="11.25" customHeight="1">
      <c r="A624" s="456"/>
      <c r="B624" s="456"/>
      <c r="C624" s="456"/>
      <c r="D624" s="456"/>
      <c r="E624" s="456"/>
      <c r="F624" s="456"/>
      <c r="G624" s="456"/>
      <c r="H624" s="456"/>
      <c r="I624" s="456"/>
      <c r="J624" s="456"/>
      <c r="K624" s="456"/>
      <c r="L624" s="456"/>
      <c r="M624" s="456"/>
      <c r="N624" s="456"/>
      <c r="O624" s="456"/>
      <c r="P624" s="456"/>
      <c r="Q624" s="456"/>
      <c r="R624" s="456"/>
      <c r="S624" s="456"/>
      <c r="T624" s="456"/>
      <c r="U624" s="456"/>
      <c r="V624" s="456"/>
      <c r="W624" s="456"/>
      <c r="X624" s="456"/>
      <c r="Y624" s="456"/>
      <c r="Z624" s="456"/>
    </row>
    <row r="625" spans="1:26" ht="11.25" customHeight="1">
      <c r="A625" s="456"/>
      <c r="B625" s="456"/>
      <c r="C625" s="456"/>
      <c r="D625" s="456"/>
      <c r="E625" s="456"/>
      <c r="F625" s="456"/>
      <c r="G625" s="456"/>
      <c r="H625" s="456"/>
      <c r="I625" s="456"/>
      <c r="J625" s="456"/>
      <c r="K625" s="456"/>
      <c r="L625" s="456"/>
      <c r="M625" s="456"/>
      <c r="N625" s="456"/>
      <c r="O625" s="456"/>
      <c r="P625" s="456"/>
      <c r="Q625" s="456"/>
      <c r="R625" s="456"/>
      <c r="S625" s="456"/>
      <c r="T625" s="456"/>
      <c r="U625" s="456"/>
      <c r="V625" s="456"/>
      <c r="W625" s="456"/>
      <c r="X625" s="456"/>
      <c r="Y625" s="456"/>
      <c r="Z625" s="456"/>
    </row>
    <row r="626" spans="1:26" ht="11.25" customHeight="1">
      <c r="A626" s="456"/>
      <c r="B626" s="456"/>
      <c r="C626" s="456"/>
      <c r="D626" s="456"/>
      <c r="E626" s="456"/>
      <c r="F626" s="456"/>
      <c r="G626" s="456"/>
      <c r="H626" s="456"/>
      <c r="I626" s="456"/>
      <c r="J626" s="456"/>
      <c r="K626" s="456"/>
      <c r="L626" s="456"/>
      <c r="M626" s="456"/>
      <c r="N626" s="456"/>
      <c r="O626" s="456"/>
      <c r="P626" s="456"/>
      <c r="Q626" s="456"/>
      <c r="R626" s="456"/>
      <c r="S626" s="456"/>
      <c r="T626" s="456"/>
      <c r="U626" s="456"/>
      <c r="V626" s="456"/>
      <c r="W626" s="456"/>
      <c r="X626" s="456"/>
      <c r="Y626" s="456"/>
      <c r="Z626" s="456"/>
    </row>
    <row r="627" spans="1:26" ht="11.25" customHeight="1">
      <c r="A627" s="456"/>
      <c r="B627" s="456"/>
      <c r="C627" s="456"/>
      <c r="D627" s="456"/>
      <c r="E627" s="456"/>
      <c r="F627" s="456"/>
      <c r="G627" s="456"/>
      <c r="H627" s="456"/>
      <c r="I627" s="456"/>
      <c r="J627" s="456"/>
      <c r="K627" s="456"/>
      <c r="L627" s="456"/>
      <c r="M627" s="456"/>
      <c r="N627" s="456"/>
      <c r="O627" s="456"/>
      <c r="P627" s="456"/>
      <c r="Q627" s="456"/>
      <c r="R627" s="456"/>
      <c r="S627" s="456"/>
      <c r="T627" s="456"/>
      <c r="U627" s="456"/>
      <c r="V627" s="456"/>
      <c r="W627" s="456"/>
      <c r="X627" s="456"/>
      <c r="Y627" s="456"/>
      <c r="Z627" s="456"/>
    </row>
    <row r="628" spans="1:26" ht="11.25" customHeight="1">
      <c r="A628" s="456"/>
      <c r="B628" s="456"/>
      <c r="C628" s="456"/>
      <c r="D628" s="456"/>
      <c r="E628" s="456"/>
      <c r="F628" s="456"/>
      <c r="G628" s="456"/>
      <c r="H628" s="456"/>
      <c r="I628" s="456"/>
      <c r="J628" s="456"/>
      <c r="K628" s="456"/>
      <c r="L628" s="456"/>
      <c r="M628" s="456"/>
      <c r="N628" s="456"/>
      <c r="O628" s="456"/>
      <c r="P628" s="456"/>
      <c r="Q628" s="456"/>
      <c r="R628" s="456"/>
      <c r="S628" s="456"/>
      <c r="T628" s="456"/>
      <c r="U628" s="456"/>
      <c r="V628" s="456"/>
      <c r="W628" s="456"/>
      <c r="X628" s="456"/>
      <c r="Y628" s="456"/>
      <c r="Z628" s="456"/>
    </row>
    <row r="629" spans="1:26" ht="11.25" customHeight="1">
      <c r="A629" s="456"/>
      <c r="B629" s="456"/>
      <c r="C629" s="456"/>
      <c r="D629" s="456"/>
      <c r="E629" s="456"/>
      <c r="F629" s="456"/>
      <c r="G629" s="456"/>
      <c r="H629" s="456"/>
      <c r="I629" s="456"/>
      <c r="J629" s="456"/>
      <c r="K629" s="456"/>
      <c r="L629" s="456"/>
      <c r="M629" s="456"/>
      <c r="N629" s="456"/>
      <c r="O629" s="456"/>
      <c r="P629" s="456"/>
      <c r="Q629" s="456"/>
      <c r="R629" s="456"/>
      <c r="S629" s="456"/>
      <c r="T629" s="456"/>
      <c r="U629" s="456"/>
      <c r="V629" s="456"/>
      <c r="W629" s="456"/>
      <c r="X629" s="456"/>
      <c r="Y629" s="456"/>
      <c r="Z629" s="456"/>
    </row>
    <row r="630" spans="1:26" ht="11.25" customHeight="1">
      <c r="A630" s="456"/>
      <c r="B630" s="456"/>
      <c r="C630" s="456"/>
      <c r="D630" s="456"/>
      <c r="E630" s="456"/>
      <c r="F630" s="456"/>
      <c r="G630" s="456"/>
      <c r="H630" s="456"/>
      <c r="I630" s="456"/>
      <c r="J630" s="456"/>
      <c r="K630" s="456"/>
      <c r="L630" s="456"/>
      <c r="M630" s="456"/>
      <c r="N630" s="456"/>
      <c r="O630" s="456"/>
      <c r="P630" s="456"/>
      <c r="Q630" s="456"/>
      <c r="R630" s="456"/>
      <c r="S630" s="456"/>
      <c r="T630" s="456"/>
      <c r="U630" s="456"/>
      <c r="V630" s="456"/>
      <c r="W630" s="456"/>
      <c r="X630" s="456"/>
      <c r="Y630" s="456"/>
      <c r="Z630" s="456"/>
    </row>
    <row r="631" spans="1:26" ht="11.25" customHeight="1">
      <c r="A631" s="456"/>
      <c r="B631" s="456"/>
      <c r="C631" s="456"/>
      <c r="D631" s="456"/>
      <c r="E631" s="456"/>
      <c r="F631" s="456"/>
      <c r="G631" s="456"/>
      <c r="H631" s="456"/>
      <c r="I631" s="456"/>
      <c r="J631" s="456"/>
      <c r="K631" s="456"/>
      <c r="L631" s="456"/>
      <c r="M631" s="456"/>
      <c r="N631" s="456"/>
      <c r="O631" s="456"/>
      <c r="P631" s="456"/>
      <c r="Q631" s="456"/>
      <c r="R631" s="456"/>
      <c r="S631" s="456"/>
      <c r="T631" s="456"/>
      <c r="U631" s="456"/>
      <c r="V631" s="456"/>
      <c r="W631" s="456"/>
      <c r="X631" s="456"/>
      <c r="Y631" s="456"/>
      <c r="Z631" s="456"/>
    </row>
    <row r="632" spans="1:26" ht="11.25" customHeight="1">
      <c r="A632" s="456"/>
      <c r="B632" s="456"/>
      <c r="C632" s="456"/>
      <c r="D632" s="456"/>
      <c r="E632" s="456"/>
      <c r="F632" s="456"/>
      <c r="G632" s="456"/>
      <c r="H632" s="456"/>
      <c r="I632" s="456"/>
      <c r="J632" s="456"/>
      <c r="K632" s="456"/>
      <c r="L632" s="456"/>
      <c r="M632" s="456"/>
      <c r="N632" s="456"/>
      <c r="O632" s="456"/>
      <c r="P632" s="456"/>
      <c r="Q632" s="456"/>
      <c r="R632" s="456"/>
      <c r="S632" s="456"/>
      <c r="T632" s="456"/>
      <c r="U632" s="456"/>
      <c r="V632" s="456"/>
      <c r="W632" s="456"/>
      <c r="X632" s="456"/>
      <c r="Y632" s="456"/>
      <c r="Z632" s="456"/>
    </row>
    <row r="633" spans="1:26" ht="11.25" customHeight="1">
      <c r="A633" s="456"/>
      <c r="B633" s="456"/>
      <c r="C633" s="456"/>
      <c r="D633" s="456"/>
      <c r="E633" s="456"/>
      <c r="F633" s="456"/>
      <c r="G633" s="456"/>
      <c r="H633" s="456"/>
      <c r="I633" s="456"/>
      <c r="J633" s="456"/>
      <c r="K633" s="456"/>
      <c r="L633" s="456"/>
      <c r="M633" s="456"/>
      <c r="N633" s="456"/>
      <c r="O633" s="456"/>
      <c r="P633" s="456"/>
      <c r="Q633" s="456"/>
      <c r="R633" s="456"/>
      <c r="S633" s="456"/>
      <c r="T633" s="456"/>
      <c r="U633" s="456"/>
      <c r="V633" s="456"/>
      <c r="W633" s="456"/>
      <c r="X633" s="456"/>
      <c r="Y633" s="456"/>
      <c r="Z633" s="456"/>
    </row>
    <row r="634" spans="1:26" ht="11.25" customHeight="1">
      <c r="A634" s="456"/>
      <c r="B634" s="456"/>
      <c r="C634" s="456"/>
      <c r="D634" s="456"/>
      <c r="E634" s="456"/>
      <c r="F634" s="456"/>
      <c r="G634" s="456"/>
      <c r="H634" s="456"/>
      <c r="I634" s="456"/>
      <c r="J634" s="456"/>
      <c r="K634" s="456"/>
      <c r="L634" s="456"/>
      <c r="M634" s="456"/>
      <c r="N634" s="456"/>
      <c r="O634" s="456"/>
      <c r="P634" s="456"/>
      <c r="Q634" s="456"/>
      <c r="R634" s="456"/>
      <c r="S634" s="456"/>
      <c r="T634" s="456"/>
      <c r="U634" s="456"/>
      <c r="V634" s="456"/>
      <c r="W634" s="456"/>
      <c r="X634" s="456"/>
      <c r="Y634" s="456"/>
      <c r="Z634" s="456"/>
    </row>
    <row r="635" spans="1:26" ht="11.25" customHeight="1">
      <c r="A635" s="456"/>
      <c r="B635" s="456"/>
      <c r="C635" s="456"/>
      <c r="D635" s="456"/>
      <c r="E635" s="456"/>
      <c r="F635" s="456"/>
      <c r="G635" s="456"/>
      <c r="H635" s="456"/>
      <c r="I635" s="456"/>
      <c r="J635" s="456"/>
      <c r="K635" s="456"/>
      <c r="L635" s="456"/>
      <c r="M635" s="456"/>
      <c r="N635" s="456"/>
      <c r="O635" s="456"/>
      <c r="P635" s="456"/>
      <c r="Q635" s="456"/>
      <c r="R635" s="456"/>
      <c r="S635" s="456"/>
      <c r="T635" s="456"/>
      <c r="U635" s="456"/>
      <c r="V635" s="456"/>
      <c r="W635" s="456"/>
      <c r="X635" s="456"/>
      <c r="Y635" s="456"/>
      <c r="Z635" s="456"/>
    </row>
    <row r="636" spans="1:26" ht="11.25" customHeight="1">
      <c r="A636" s="456"/>
      <c r="B636" s="456"/>
      <c r="C636" s="456"/>
      <c r="D636" s="456"/>
      <c r="E636" s="456"/>
      <c r="F636" s="456"/>
      <c r="G636" s="456"/>
      <c r="H636" s="456"/>
      <c r="I636" s="456"/>
      <c r="J636" s="456"/>
      <c r="K636" s="456"/>
      <c r="L636" s="456"/>
      <c r="M636" s="456"/>
      <c r="N636" s="456"/>
      <c r="O636" s="456"/>
      <c r="P636" s="456"/>
      <c r="Q636" s="456"/>
      <c r="R636" s="456"/>
      <c r="S636" s="456"/>
      <c r="T636" s="456"/>
      <c r="U636" s="456"/>
      <c r="V636" s="456"/>
      <c r="W636" s="456"/>
      <c r="X636" s="456"/>
      <c r="Y636" s="456"/>
      <c r="Z636" s="456"/>
    </row>
    <row r="637" spans="1:26" ht="11.25" customHeight="1">
      <c r="A637" s="456"/>
      <c r="B637" s="456"/>
      <c r="C637" s="456"/>
      <c r="D637" s="456"/>
      <c r="E637" s="456"/>
      <c r="F637" s="456"/>
      <c r="G637" s="456"/>
      <c r="H637" s="456"/>
      <c r="I637" s="456"/>
      <c r="J637" s="456"/>
      <c r="K637" s="456"/>
      <c r="L637" s="456"/>
      <c r="M637" s="456"/>
      <c r="N637" s="456"/>
      <c r="O637" s="456"/>
      <c r="P637" s="456"/>
      <c r="Q637" s="456"/>
      <c r="R637" s="456"/>
      <c r="S637" s="456"/>
      <c r="T637" s="456"/>
      <c r="U637" s="456"/>
      <c r="V637" s="456"/>
      <c r="W637" s="456"/>
      <c r="X637" s="456"/>
      <c r="Y637" s="456"/>
      <c r="Z637" s="456"/>
    </row>
    <row r="638" spans="1:26" ht="11.25" customHeight="1">
      <c r="A638" s="456"/>
      <c r="B638" s="456"/>
      <c r="C638" s="456"/>
      <c r="D638" s="456"/>
      <c r="E638" s="456"/>
      <c r="F638" s="456"/>
      <c r="G638" s="456"/>
      <c r="H638" s="456"/>
      <c r="I638" s="456"/>
      <c r="J638" s="456"/>
      <c r="K638" s="456"/>
      <c r="L638" s="456"/>
      <c r="M638" s="456"/>
      <c r="N638" s="456"/>
      <c r="O638" s="456"/>
      <c r="P638" s="456"/>
      <c r="Q638" s="456"/>
      <c r="R638" s="456"/>
      <c r="S638" s="456"/>
      <c r="T638" s="456"/>
      <c r="U638" s="456"/>
      <c r="V638" s="456"/>
      <c r="W638" s="456"/>
      <c r="X638" s="456"/>
      <c r="Y638" s="456"/>
      <c r="Z638" s="456"/>
    </row>
    <row r="639" spans="1:26" ht="11.25" customHeight="1">
      <c r="A639" s="456"/>
      <c r="B639" s="456"/>
      <c r="C639" s="456"/>
      <c r="D639" s="456"/>
      <c r="E639" s="456"/>
      <c r="F639" s="456"/>
      <c r="G639" s="456"/>
      <c r="H639" s="456"/>
      <c r="I639" s="456"/>
      <c r="J639" s="456"/>
      <c r="K639" s="456"/>
      <c r="L639" s="456"/>
      <c r="M639" s="456"/>
      <c r="N639" s="456"/>
      <c r="O639" s="456"/>
      <c r="P639" s="456"/>
      <c r="Q639" s="456"/>
      <c r="R639" s="456"/>
      <c r="S639" s="456"/>
      <c r="T639" s="456"/>
      <c r="U639" s="456"/>
      <c r="V639" s="456"/>
      <c r="W639" s="456"/>
      <c r="X639" s="456"/>
      <c r="Y639" s="456"/>
      <c r="Z639" s="456"/>
    </row>
    <row r="640" spans="1:26" ht="11.25" customHeight="1">
      <c r="A640" s="456"/>
      <c r="B640" s="456"/>
      <c r="C640" s="456"/>
      <c r="D640" s="456"/>
      <c r="E640" s="456"/>
      <c r="F640" s="456"/>
      <c r="G640" s="456"/>
      <c r="H640" s="456"/>
      <c r="I640" s="456"/>
      <c r="J640" s="456"/>
      <c r="K640" s="456"/>
      <c r="L640" s="456"/>
      <c r="M640" s="456"/>
      <c r="N640" s="456"/>
      <c r="O640" s="456"/>
      <c r="P640" s="456"/>
      <c r="Q640" s="456"/>
      <c r="R640" s="456"/>
      <c r="S640" s="456"/>
      <c r="T640" s="456"/>
      <c r="U640" s="456"/>
      <c r="V640" s="456"/>
      <c r="W640" s="456"/>
      <c r="X640" s="456"/>
      <c r="Y640" s="456"/>
      <c r="Z640" s="456"/>
    </row>
    <row r="641" spans="1:26" ht="11.25" customHeight="1">
      <c r="A641" s="456"/>
      <c r="B641" s="456"/>
      <c r="C641" s="456"/>
      <c r="D641" s="456"/>
      <c r="E641" s="456"/>
      <c r="F641" s="456"/>
      <c r="G641" s="456"/>
      <c r="H641" s="456"/>
      <c r="I641" s="456"/>
      <c r="J641" s="456"/>
      <c r="K641" s="456"/>
      <c r="L641" s="456"/>
      <c r="M641" s="456"/>
      <c r="N641" s="456"/>
      <c r="O641" s="456"/>
      <c r="P641" s="456"/>
      <c r="Q641" s="456"/>
      <c r="R641" s="456"/>
      <c r="S641" s="456"/>
      <c r="T641" s="456"/>
      <c r="U641" s="456"/>
      <c r="V641" s="456"/>
      <c r="W641" s="456"/>
      <c r="X641" s="456"/>
      <c r="Y641" s="456"/>
      <c r="Z641" s="456"/>
    </row>
    <row r="642" spans="1:26" ht="11.25" customHeight="1">
      <c r="A642" s="456"/>
      <c r="B642" s="456"/>
      <c r="C642" s="456"/>
      <c r="D642" s="456"/>
      <c r="E642" s="456"/>
      <c r="F642" s="456"/>
      <c r="G642" s="456"/>
      <c r="H642" s="456"/>
      <c r="I642" s="456"/>
      <c r="J642" s="456"/>
      <c r="K642" s="456"/>
      <c r="L642" s="456"/>
      <c r="M642" s="456"/>
      <c r="N642" s="456"/>
      <c r="O642" s="456"/>
      <c r="P642" s="456"/>
      <c r="Q642" s="456"/>
      <c r="R642" s="456"/>
      <c r="S642" s="456"/>
      <c r="T642" s="456"/>
      <c r="U642" s="456"/>
      <c r="V642" s="456"/>
      <c r="W642" s="456"/>
      <c r="X642" s="456"/>
      <c r="Y642" s="456"/>
      <c r="Z642" s="456"/>
    </row>
    <row r="643" spans="1:26" ht="11.25" customHeight="1">
      <c r="A643" s="456"/>
      <c r="B643" s="456"/>
      <c r="C643" s="456"/>
      <c r="D643" s="456"/>
      <c r="E643" s="456"/>
      <c r="F643" s="456"/>
      <c r="G643" s="456"/>
      <c r="H643" s="456"/>
      <c r="I643" s="456"/>
      <c r="J643" s="456"/>
      <c r="K643" s="456"/>
      <c r="L643" s="456"/>
      <c r="M643" s="456"/>
      <c r="N643" s="456"/>
      <c r="O643" s="456"/>
      <c r="P643" s="456"/>
      <c r="Q643" s="456"/>
      <c r="R643" s="456"/>
      <c r="S643" s="456"/>
      <c r="T643" s="456"/>
      <c r="U643" s="456"/>
      <c r="V643" s="456"/>
      <c r="W643" s="456"/>
      <c r="X643" s="456"/>
      <c r="Y643" s="456"/>
      <c r="Z643" s="456"/>
    </row>
    <row r="644" spans="1:26" ht="11.25" customHeight="1">
      <c r="A644" s="456"/>
      <c r="B644" s="456"/>
      <c r="C644" s="456"/>
      <c r="D644" s="456"/>
      <c r="E644" s="456"/>
      <c r="F644" s="456"/>
      <c r="G644" s="456"/>
      <c r="H644" s="456"/>
      <c r="I644" s="456"/>
      <c r="J644" s="456"/>
      <c r="K644" s="456"/>
      <c r="L644" s="456"/>
      <c r="M644" s="456"/>
      <c r="N644" s="456"/>
      <c r="O644" s="456"/>
      <c r="P644" s="456"/>
      <c r="Q644" s="456"/>
      <c r="R644" s="456"/>
      <c r="S644" s="456"/>
      <c r="T644" s="456"/>
      <c r="U644" s="456"/>
      <c r="V644" s="456"/>
      <c r="W644" s="456"/>
      <c r="X644" s="456"/>
      <c r="Y644" s="456"/>
      <c r="Z644" s="456"/>
    </row>
    <row r="645" spans="1:26" ht="11.25" customHeight="1">
      <c r="A645" s="456"/>
      <c r="B645" s="456"/>
      <c r="C645" s="456"/>
      <c r="D645" s="456"/>
      <c r="E645" s="456"/>
      <c r="F645" s="456"/>
      <c r="G645" s="456"/>
      <c r="H645" s="456"/>
      <c r="I645" s="456"/>
      <c r="J645" s="456"/>
      <c r="K645" s="456"/>
      <c r="L645" s="456"/>
      <c r="M645" s="456"/>
      <c r="N645" s="456"/>
      <c r="O645" s="456"/>
      <c r="P645" s="456"/>
      <c r="Q645" s="456"/>
      <c r="R645" s="456"/>
      <c r="S645" s="456"/>
      <c r="T645" s="456"/>
      <c r="U645" s="456"/>
      <c r="V645" s="456"/>
      <c r="W645" s="456"/>
      <c r="X645" s="456"/>
      <c r="Y645" s="456"/>
      <c r="Z645" s="456"/>
    </row>
    <row r="646" spans="1:26" ht="11.25" customHeight="1">
      <c r="A646" s="456"/>
      <c r="B646" s="456"/>
      <c r="C646" s="456"/>
      <c r="D646" s="456"/>
      <c r="E646" s="456"/>
      <c r="F646" s="456"/>
      <c r="G646" s="456"/>
      <c r="H646" s="456"/>
      <c r="I646" s="456"/>
      <c r="J646" s="456"/>
      <c r="K646" s="456"/>
      <c r="L646" s="456"/>
      <c r="M646" s="456"/>
      <c r="N646" s="456"/>
      <c r="O646" s="456"/>
      <c r="P646" s="456"/>
      <c r="Q646" s="456"/>
      <c r="R646" s="456"/>
      <c r="S646" s="456"/>
      <c r="T646" s="456"/>
      <c r="U646" s="456"/>
      <c r="V646" s="456"/>
      <c r="W646" s="456"/>
      <c r="X646" s="456"/>
      <c r="Y646" s="456"/>
      <c r="Z646" s="456"/>
    </row>
    <row r="647" spans="1:26" ht="11.25" customHeight="1">
      <c r="A647" s="456"/>
      <c r="B647" s="456"/>
      <c r="C647" s="456"/>
      <c r="D647" s="456"/>
      <c r="E647" s="456"/>
      <c r="F647" s="456"/>
      <c r="G647" s="456"/>
      <c r="H647" s="456"/>
      <c r="I647" s="456"/>
      <c r="J647" s="456"/>
      <c r="K647" s="456"/>
      <c r="L647" s="456"/>
      <c r="M647" s="456"/>
      <c r="N647" s="456"/>
      <c r="O647" s="456"/>
      <c r="P647" s="456"/>
      <c r="Q647" s="456"/>
      <c r="R647" s="456"/>
      <c r="S647" s="456"/>
      <c r="T647" s="456"/>
      <c r="U647" s="456"/>
      <c r="V647" s="456"/>
      <c r="W647" s="456"/>
      <c r="X647" s="456"/>
      <c r="Y647" s="456"/>
      <c r="Z647" s="456"/>
    </row>
    <row r="648" spans="1:26" ht="11.25" customHeight="1">
      <c r="A648" s="456"/>
      <c r="B648" s="456"/>
      <c r="C648" s="456"/>
      <c r="D648" s="456"/>
      <c r="E648" s="456"/>
      <c r="F648" s="456"/>
      <c r="G648" s="456"/>
      <c r="H648" s="456"/>
      <c r="I648" s="456"/>
      <c r="J648" s="456"/>
      <c r="K648" s="456"/>
      <c r="L648" s="456"/>
      <c r="M648" s="456"/>
      <c r="N648" s="456"/>
      <c r="O648" s="456"/>
      <c r="P648" s="456"/>
      <c r="Q648" s="456"/>
      <c r="R648" s="456"/>
      <c r="S648" s="456"/>
      <c r="T648" s="456"/>
      <c r="U648" s="456"/>
      <c r="V648" s="456"/>
      <c r="W648" s="456"/>
      <c r="X648" s="456"/>
      <c r="Y648" s="456"/>
      <c r="Z648" s="456"/>
    </row>
    <row r="649" spans="1:26" ht="11.25" customHeight="1">
      <c r="A649" s="456"/>
      <c r="B649" s="456"/>
      <c r="C649" s="456"/>
      <c r="D649" s="456"/>
      <c r="E649" s="456"/>
      <c r="F649" s="456"/>
      <c r="G649" s="456"/>
      <c r="H649" s="456"/>
      <c r="I649" s="456"/>
      <c r="J649" s="456"/>
      <c r="K649" s="456"/>
      <c r="L649" s="456"/>
      <c r="M649" s="456"/>
      <c r="N649" s="456"/>
      <c r="O649" s="456"/>
      <c r="P649" s="456"/>
      <c r="Q649" s="456"/>
      <c r="R649" s="456"/>
      <c r="S649" s="456"/>
      <c r="T649" s="456"/>
      <c r="U649" s="456"/>
      <c r="V649" s="456"/>
      <c r="W649" s="456"/>
      <c r="X649" s="456"/>
      <c r="Y649" s="456"/>
      <c r="Z649" s="456"/>
    </row>
    <row r="650" spans="1:26" ht="11.25" customHeight="1">
      <c r="A650" s="456"/>
      <c r="B650" s="456"/>
      <c r="C650" s="456"/>
      <c r="D650" s="456"/>
      <c r="E650" s="456"/>
      <c r="F650" s="456"/>
      <c r="G650" s="456"/>
      <c r="H650" s="456"/>
      <c r="I650" s="456"/>
      <c r="J650" s="456"/>
      <c r="K650" s="456"/>
      <c r="L650" s="456"/>
      <c r="M650" s="456"/>
      <c r="N650" s="456"/>
      <c r="O650" s="456"/>
      <c r="P650" s="456"/>
      <c r="Q650" s="456"/>
      <c r="R650" s="456"/>
      <c r="S650" s="456"/>
      <c r="T650" s="456"/>
      <c r="U650" s="456"/>
      <c r="V650" s="456"/>
      <c r="W650" s="456"/>
      <c r="X650" s="456"/>
      <c r="Y650" s="456"/>
      <c r="Z650" s="456"/>
    </row>
    <row r="651" spans="1:26" ht="11.25" customHeight="1">
      <c r="A651" s="456"/>
      <c r="B651" s="456"/>
      <c r="C651" s="456"/>
      <c r="D651" s="456"/>
      <c r="E651" s="456"/>
      <c r="F651" s="456"/>
      <c r="G651" s="456"/>
      <c r="H651" s="456"/>
      <c r="I651" s="456"/>
      <c r="J651" s="456"/>
      <c r="K651" s="456"/>
      <c r="L651" s="456"/>
      <c r="M651" s="456"/>
      <c r="N651" s="456"/>
      <c r="O651" s="456"/>
      <c r="P651" s="456"/>
      <c r="Q651" s="456"/>
      <c r="R651" s="456"/>
      <c r="S651" s="456"/>
      <c r="T651" s="456"/>
      <c r="U651" s="456"/>
      <c r="V651" s="456"/>
      <c r="W651" s="456"/>
      <c r="X651" s="456"/>
      <c r="Y651" s="456"/>
      <c r="Z651" s="456"/>
    </row>
    <row r="652" spans="1:26" ht="11.25" customHeight="1">
      <c r="A652" s="456"/>
      <c r="B652" s="456"/>
      <c r="C652" s="456"/>
      <c r="D652" s="456"/>
      <c r="E652" s="456"/>
      <c r="F652" s="456"/>
      <c r="G652" s="456"/>
      <c r="H652" s="456"/>
      <c r="I652" s="456"/>
      <c r="J652" s="456"/>
      <c r="K652" s="456"/>
      <c r="L652" s="456"/>
      <c r="M652" s="456"/>
      <c r="N652" s="456"/>
      <c r="O652" s="456"/>
      <c r="P652" s="456"/>
      <c r="Q652" s="456"/>
      <c r="R652" s="456"/>
      <c r="S652" s="456"/>
      <c r="T652" s="456"/>
      <c r="U652" s="456"/>
      <c r="V652" s="456"/>
      <c r="W652" s="456"/>
      <c r="X652" s="456"/>
      <c r="Y652" s="456"/>
      <c r="Z652" s="456"/>
    </row>
    <row r="653" spans="1:26" ht="11.25" customHeight="1">
      <c r="A653" s="456"/>
      <c r="B653" s="456"/>
      <c r="C653" s="456"/>
      <c r="D653" s="456"/>
      <c r="E653" s="456"/>
      <c r="F653" s="456"/>
      <c r="G653" s="456"/>
      <c r="H653" s="456"/>
      <c r="I653" s="456"/>
      <c r="J653" s="456"/>
      <c r="K653" s="456"/>
      <c r="L653" s="456"/>
      <c r="M653" s="456"/>
      <c r="N653" s="456"/>
      <c r="O653" s="456"/>
      <c r="P653" s="456"/>
      <c r="Q653" s="456"/>
      <c r="R653" s="456"/>
      <c r="S653" s="456"/>
      <c r="T653" s="456"/>
      <c r="U653" s="456"/>
      <c r="V653" s="456"/>
      <c r="W653" s="456"/>
      <c r="X653" s="456"/>
      <c r="Y653" s="456"/>
      <c r="Z653" s="456"/>
    </row>
    <row r="654" spans="1:26" ht="11.25" customHeight="1">
      <c r="A654" s="456"/>
      <c r="B654" s="456"/>
      <c r="C654" s="456"/>
      <c r="D654" s="456"/>
      <c r="E654" s="456"/>
      <c r="F654" s="456"/>
      <c r="G654" s="456"/>
      <c r="H654" s="456"/>
      <c r="I654" s="456"/>
      <c r="J654" s="456"/>
      <c r="K654" s="456"/>
      <c r="L654" s="456"/>
      <c r="M654" s="456"/>
      <c r="N654" s="456"/>
      <c r="O654" s="456"/>
      <c r="P654" s="456"/>
      <c r="Q654" s="456"/>
      <c r="R654" s="456"/>
      <c r="S654" s="456"/>
      <c r="T654" s="456"/>
      <c r="U654" s="456"/>
      <c r="V654" s="456"/>
      <c r="W654" s="456"/>
      <c r="X654" s="456"/>
      <c r="Y654" s="456"/>
      <c r="Z654" s="456"/>
    </row>
    <row r="655" spans="1:26" ht="11.25" customHeight="1">
      <c r="A655" s="456"/>
      <c r="B655" s="456"/>
      <c r="C655" s="456"/>
      <c r="D655" s="456"/>
      <c r="E655" s="456"/>
      <c r="F655" s="456"/>
      <c r="G655" s="456"/>
      <c r="H655" s="456"/>
      <c r="I655" s="456"/>
      <c r="J655" s="456"/>
      <c r="K655" s="456"/>
      <c r="L655" s="456"/>
      <c r="M655" s="456"/>
      <c r="N655" s="456"/>
      <c r="O655" s="456"/>
      <c r="P655" s="456"/>
      <c r="Q655" s="456"/>
      <c r="R655" s="456"/>
      <c r="S655" s="456"/>
      <c r="T655" s="456"/>
      <c r="U655" s="456"/>
      <c r="V655" s="456"/>
      <c r="W655" s="456"/>
      <c r="X655" s="456"/>
      <c r="Y655" s="456"/>
      <c r="Z655" s="456"/>
    </row>
    <row r="656" spans="1:26" ht="11.25" customHeight="1">
      <c r="A656" s="456"/>
      <c r="B656" s="456"/>
      <c r="C656" s="456"/>
      <c r="D656" s="456"/>
      <c r="E656" s="456"/>
      <c r="F656" s="456"/>
      <c r="G656" s="456"/>
      <c r="H656" s="456"/>
      <c r="I656" s="456"/>
      <c r="J656" s="456"/>
      <c r="K656" s="456"/>
      <c r="L656" s="456"/>
      <c r="M656" s="456"/>
      <c r="N656" s="456"/>
      <c r="O656" s="456"/>
      <c r="P656" s="456"/>
      <c r="Q656" s="456"/>
      <c r="R656" s="456"/>
      <c r="S656" s="456"/>
      <c r="T656" s="456"/>
      <c r="U656" s="456"/>
      <c r="V656" s="456"/>
      <c r="W656" s="456"/>
      <c r="X656" s="456"/>
      <c r="Y656" s="456"/>
      <c r="Z656" s="456"/>
    </row>
    <row r="657" spans="1:26" ht="11.25" customHeight="1">
      <c r="A657" s="456"/>
      <c r="B657" s="456"/>
      <c r="C657" s="456"/>
      <c r="D657" s="456"/>
      <c r="E657" s="456"/>
      <c r="F657" s="456"/>
      <c r="G657" s="456"/>
      <c r="H657" s="456"/>
      <c r="I657" s="456"/>
      <c r="J657" s="456"/>
      <c r="K657" s="456"/>
      <c r="L657" s="456"/>
      <c r="M657" s="456"/>
      <c r="N657" s="456"/>
      <c r="O657" s="456"/>
      <c r="P657" s="456"/>
      <c r="Q657" s="456"/>
      <c r="R657" s="456"/>
      <c r="S657" s="456"/>
      <c r="T657" s="456"/>
      <c r="U657" s="456"/>
      <c r="V657" s="456"/>
      <c r="W657" s="456"/>
      <c r="X657" s="456"/>
      <c r="Y657" s="456"/>
      <c r="Z657" s="456"/>
    </row>
    <row r="658" spans="1:26" ht="11.25" customHeight="1">
      <c r="A658" s="456"/>
      <c r="B658" s="456"/>
      <c r="C658" s="456"/>
      <c r="D658" s="456"/>
      <c r="E658" s="456"/>
      <c r="F658" s="456"/>
      <c r="G658" s="456"/>
      <c r="H658" s="456"/>
      <c r="I658" s="456"/>
      <c r="J658" s="456"/>
      <c r="K658" s="456"/>
      <c r="L658" s="456"/>
      <c r="M658" s="456"/>
      <c r="N658" s="456"/>
      <c r="O658" s="456"/>
      <c r="P658" s="456"/>
      <c r="Q658" s="456"/>
      <c r="R658" s="456"/>
      <c r="S658" s="456"/>
      <c r="T658" s="456"/>
      <c r="U658" s="456"/>
      <c r="V658" s="456"/>
      <c r="W658" s="456"/>
      <c r="X658" s="456"/>
      <c r="Y658" s="456"/>
      <c r="Z658" s="456"/>
    </row>
    <row r="659" spans="1:26" ht="11.25" customHeight="1">
      <c r="A659" s="456"/>
      <c r="B659" s="456"/>
      <c r="C659" s="456"/>
      <c r="D659" s="456"/>
      <c r="E659" s="456"/>
      <c r="F659" s="456"/>
      <c r="G659" s="456"/>
      <c r="H659" s="456"/>
      <c r="I659" s="456"/>
      <c r="J659" s="456"/>
      <c r="K659" s="456"/>
      <c r="L659" s="456"/>
      <c r="M659" s="456"/>
      <c r="N659" s="456"/>
      <c r="O659" s="456"/>
      <c r="P659" s="456"/>
      <c r="Q659" s="456"/>
      <c r="R659" s="456"/>
      <c r="S659" s="456"/>
      <c r="T659" s="456"/>
      <c r="U659" s="456"/>
      <c r="V659" s="456"/>
      <c r="W659" s="456"/>
      <c r="X659" s="456"/>
      <c r="Y659" s="456"/>
      <c r="Z659" s="456"/>
    </row>
    <row r="660" spans="1:26" ht="11.25" customHeight="1">
      <c r="A660" s="456"/>
      <c r="B660" s="456"/>
      <c r="C660" s="456"/>
      <c r="D660" s="456"/>
      <c r="E660" s="456"/>
      <c r="F660" s="456"/>
      <c r="G660" s="456"/>
      <c r="H660" s="456"/>
      <c r="I660" s="456"/>
      <c r="J660" s="456"/>
      <c r="K660" s="456"/>
      <c r="L660" s="456"/>
      <c r="M660" s="456"/>
      <c r="N660" s="456"/>
      <c r="O660" s="456"/>
      <c r="P660" s="456"/>
      <c r="Q660" s="456"/>
      <c r="R660" s="456"/>
      <c r="S660" s="456"/>
      <c r="T660" s="456"/>
      <c r="U660" s="456"/>
      <c r="V660" s="456"/>
      <c r="W660" s="456"/>
      <c r="X660" s="456"/>
      <c r="Y660" s="456"/>
      <c r="Z660" s="456"/>
    </row>
    <row r="661" spans="1:26" ht="11.25" customHeight="1">
      <c r="A661" s="456"/>
      <c r="B661" s="456"/>
      <c r="C661" s="456"/>
      <c r="D661" s="456"/>
      <c r="E661" s="456"/>
      <c r="F661" s="456"/>
      <c r="G661" s="456"/>
      <c r="H661" s="456"/>
      <c r="I661" s="456"/>
      <c r="J661" s="456"/>
      <c r="K661" s="456"/>
      <c r="L661" s="456"/>
      <c r="M661" s="456"/>
      <c r="N661" s="456"/>
      <c r="O661" s="456"/>
      <c r="P661" s="456"/>
      <c r="Q661" s="456"/>
      <c r="R661" s="456"/>
      <c r="S661" s="456"/>
      <c r="T661" s="456"/>
      <c r="U661" s="456"/>
      <c r="V661" s="456"/>
      <c r="W661" s="456"/>
      <c r="X661" s="456"/>
      <c r="Y661" s="456"/>
      <c r="Z661" s="456"/>
    </row>
    <row r="662" spans="1:26" ht="11.25" customHeight="1">
      <c r="A662" s="456"/>
      <c r="B662" s="456"/>
      <c r="C662" s="456"/>
      <c r="D662" s="456"/>
      <c r="E662" s="456"/>
      <c r="F662" s="456"/>
      <c r="G662" s="456"/>
      <c r="H662" s="456"/>
      <c r="I662" s="456"/>
      <c r="J662" s="456"/>
      <c r="K662" s="456"/>
      <c r="L662" s="456"/>
      <c r="M662" s="456"/>
      <c r="N662" s="456"/>
      <c r="O662" s="456"/>
      <c r="P662" s="456"/>
      <c r="Q662" s="456"/>
      <c r="R662" s="456"/>
      <c r="S662" s="456"/>
      <c r="T662" s="456"/>
      <c r="U662" s="456"/>
      <c r="V662" s="456"/>
      <c r="W662" s="456"/>
      <c r="X662" s="456"/>
      <c r="Y662" s="456"/>
      <c r="Z662" s="456"/>
    </row>
    <row r="663" spans="1:26" ht="11.25" customHeight="1">
      <c r="A663" s="456"/>
      <c r="B663" s="456"/>
      <c r="C663" s="456"/>
      <c r="D663" s="456"/>
      <c r="E663" s="456"/>
      <c r="F663" s="456"/>
      <c r="G663" s="456"/>
      <c r="H663" s="456"/>
      <c r="I663" s="456"/>
      <c r="J663" s="456"/>
      <c r="K663" s="456"/>
      <c r="L663" s="456"/>
      <c r="M663" s="456"/>
      <c r="N663" s="456"/>
      <c r="O663" s="456"/>
      <c r="P663" s="456"/>
      <c r="Q663" s="456"/>
      <c r="R663" s="456"/>
      <c r="S663" s="456"/>
      <c r="T663" s="456"/>
      <c r="U663" s="456"/>
      <c r="V663" s="456"/>
      <c r="W663" s="456"/>
      <c r="X663" s="456"/>
      <c r="Y663" s="456"/>
      <c r="Z663" s="456"/>
    </row>
    <row r="664" spans="1:26" ht="11.25" customHeight="1">
      <c r="A664" s="456"/>
      <c r="B664" s="456"/>
      <c r="C664" s="456"/>
      <c r="D664" s="456"/>
      <c r="E664" s="456"/>
      <c r="F664" s="456"/>
      <c r="G664" s="456"/>
      <c r="H664" s="456"/>
      <c r="I664" s="456"/>
      <c r="J664" s="456"/>
      <c r="K664" s="456"/>
      <c r="L664" s="456"/>
      <c r="M664" s="456"/>
      <c r="N664" s="456"/>
      <c r="O664" s="456"/>
      <c r="P664" s="456"/>
      <c r="Q664" s="456"/>
      <c r="R664" s="456"/>
      <c r="S664" s="456"/>
      <c r="T664" s="456"/>
      <c r="U664" s="456"/>
      <c r="V664" s="456"/>
      <c r="W664" s="456"/>
      <c r="X664" s="456"/>
      <c r="Y664" s="456"/>
      <c r="Z664" s="456"/>
    </row>
    <row r="665" spans="1:26" ht="11.25" customHeight="1">
      <c r="A665" s="456"/>
      <c r="B665" s="456"/>
      <c r="C665" s="456"/>
      <c r="D665" s="456"/>
      <c r="E665" s="456"/>
      <c r="F665" s="456"/>
      <c r="G665" s="456"/>
      <c r="H665" s="456"/>
      <c r="I665" s="456"/>
      <c r="J665" s="456"/>
      <c r="K665" s="456"/>
      <c r="L665" s="456"/>
      <c r="M665" s="456"/>
      <c r="N665" s="456"/>
      <c r="O665" s="456"/>
      <c r="P665" s="456"/>
      <c r="Q665" s="456"/>
      <c r="R665" s="456"/>
      <c r="S665" s="456"/>
      <c r="T665" s="456"/>
      <c r="U665" s="456"/>
      <c r="V665" s="456"/>
      <c r="W665" s="456"/>
      <c r="X665" s="456"/>
      <c r="Y665" s="456"/>
      <c r="Z665" s="456"/>
    </row>
    <row r="666" spans="1:26" ht="11.25" customHeight="1">
      <c r="A666" s="456"/>
      <c r="B666" s="456"/>
      <c r="C666" s="456"/>
      <c r="D666" s="456"/>
      <c r="E666" s="456"/>
      <c r="F666" s="456"/>
      <c r="G666" s="456"/>
      <c r="H666" s="456"/>
      <c r="I666" s="456"/>
      <c r="J666" s="456"/>
      <c r="K666" s="456"/>
      <c r="L666" s="456"/>
      <c r="M666" s="456"/>
      <c r="N666" s="456"/>
      <c r="O666" s="456"/>
      <c r="P666" s="456"/>
      <c r="Q666" s="456"/>
      <c r="R666" s="456"/>
      <c r="S666" s="456"/>
      <c r="T666" s="456"/>
      <c r="U666" s="456"/>
      <c r="V666" s="456"/>
      <c r="W666" s="456"/>
      <c r="X666" s="456"/>
      <c r="Y666" s="456"/>
      <c r="Z666" s="456"/>
    </row>
    <row r="667" spans="1:26" ht="11.25" customHeight="1">
      <c r="A667" s="456"/>
      <c r="B667" s="456"/>
      <c r="C667" s="456"/>
      <c r="D667" s="456"/>
      <c r="E667" s="456"/>
      <c r="F667" s="456"/>
      <c r="G667" s="456"/>
      <c r="H667" s="456"/>
      <c r="I667" s="456"/>
      <c r="J667" s="456"/>
      <c r="K667" s="456"/>
      <c r="L667" s="456"/>
      <c r="M667" s="456"/>
      <c r="N667" s="456"/>
      <c r="O667" s="456"/>
      <c r="P667" s="456"/>
      <c r="Q667" s="456"/>
      <c r="R667" s="456"/>
      <c r="S667" s="456"/>
      <c r="T667" s="456"/>
      <c r="U667" s="456"/>
      <c r="V667" s="456"/>
      <c r="W667" s="456"/>
      <c r="X667" s="456"/>
      <c r="Y667" s="456"/>
      <c r="Z667" s="456"/>
    </row>
    <row r="668" spans="1:26" ht="11.25" customHeight="1">
      <c r="A668" s="456"/>
      <c r="B668" s="456"/>
      <c r="C668" s="456"/>
      <c r="D668" s="456"/>
      <c r="E668" s="456"/>
      <c r="F668" s="456"/>
      <c r="G668" s="456"/>
      <c r="H668" s="456"/>
      <c r="I668" s="456"/>
      <c r="J668" s="456"/>
      <c r="K668" s="456"/>
      <c r="L668" s="456"/>
      <c r="M668" s="456"/>
      <c r="N668" s="456"/>
      <c r="O668" s="456"/>
      <c r="P668" s="456"/>
      <c r="Q668" s="456"/>
      <c r="R668" s="456"/>
      <c r="S668" s="456"/>
      <c r="T668" s="456"/>
      <c r="U668" s="456"/>
      <c r="V668" s="456"/>
      <c r="W668" s="456"/>
      <c r="X668" s="456"/>
      <c r="Y668" s="456"/>
      <c r="Z668" s="456"/>
    </row>
    <row r="669" spans="1:26" ht="11.25" customHeight="1">
      <c r="A669" s="456"/>
      <c r="B669" s="456"/>
      <c r="C669" s="456"/>
      <c r="D669" s="456"/>
      <c r="E669" s="456"/>
      <c r="F669" s="456"/>
      <c r="G669" s="456"/>
      <c r="H669" s="456"/>
      <c r="I669" s="456"/>
      <c r="J669" s="456"/>
      <c r="K669" s="456"/>
      <c r="L669" s="456"/>
      <c r="M669" s="456"/>
      <c r="N669" s="456"/>
      <c r="O669" s="456"/>
      <c r="P669" s="456"/>
      <c r="Q669" s="456"/>
      <c r="R669" s="456"/>
      <c r="S669" s="456"/>
      <c r="T669" s="456"/>
      <c r="U669" s="456"/>
      <c r="V669" s="456"/>
      <c r="W669" s="456"/>
      <c r="X669" s="456"/>
      <c r="Y669" s="456"/>
      <c r="Z669" s="456"/>
    </row>
    <row r="670" spans="1:26" ht="11.25" customHeight="1">
      <c r="A670" s="456"/>
      <c r="B670" s="456"/>
      <c r="C670" s="456"/>
      <c r="D670" s="456"/>
      <c r="E670" s="456"/>
      <c r="F670" s="456"/>
      <c r="G670" s="456"/>
      <c r="H670" s="456"/>
      <c r="I670" s="456"/>
      <c r="J670" s="456"/>
      <c r="K670" s="456"/>
      <c r="L670" s="456"/>
      <c r="M670" s="456"/>
      <c r="N670" s="456"/>
      <c r="O670" s="456"/>
      <c r="P670" s="456"/>
      <c r="Q670" s="456"/>
      <c r="R670" s="456"/>
      <c r="S670" s="456"/>
      <c r="T670" s="456"/>
      <c r="U670" s="456"/>
      <c r="V670" s="456"/>
      <c r="W670" s="456"/>
      <c r="X670" s="456"/>
      <c r="Y670" s="456"/>
      <c r="Z670" s="456"/>
    </row>
    <row r="671" spans="1:26" ht="11.25" customHeight="1">
      <c r="A671" s="456"/>
      <c r="B671" s="456"/>
      <c r="C671" s="456"/>
      <c r="D671" s="456"/>
      <c r="E671" s="456"/>
      <c r="F671" s="456"/>
      <c r="G671" s="456"/>
      <c r="H671" s="456"/>
      <c r="I671" s="456"/>
      <c r="J671" s="456"/>
      <c r="K671" s="456"/>
      <c r="L671" s="456"/>
      <c r="M671" s="456"/>
      <c r="N671" s="456"/>
      <c r="O671" s="456"/>
      <c r="P671" s="456"/>
      <c r="Q671" s="456"/>
      <c r="R671" s="456"/>
      <c r="S671" s="456"/>
      <c r="T671" s="456"/>
      <c r="U671" s="456"/>
      <c r="V671" s="456"/>
      <c r="W671" s="456"/>
      <c r="X671" s="456"/>
      <c r="Y671" s="456"/>
      <c r="Z671" s="456"/>
    </row>
    <row r="672" spans="1:26" ht="11.25" customHeight="1">
      <c r="A672" s="456"/>
      <c r="B672" s="456"/>
      <c r="C672" s="456"/>
      <c r="D672" s="456"/>
      <c r="E672" s="456"/>
      <c r="F672" s="456"/>
      <c r="G672" s="456"/>
      <c r="H672" s="456"/>
      <c r="I672" s="456"/>
      <c r="J672" s="456"/>
      <c r="K672" s="456"/>
      <c r="L672" s="456"/>
      <c r="M672" s="456"/>
      <c r="N672" s="456"/>
      <c r="O672" s="456"/>
      <c r="P672" s="456"/>
      <c r="Q672" s="456"/>
      <c r="R672" s="456"/>
      <c r="S672" s="456"/>
      <c r="T672" s="456"/>
      <c r="U672" s="456"/>
      <c r="V672" s="456"/>
      <c r="W672" s="456"/>
      <c r="X672" s="456"/>
      <c r="Y672" s="456"/>
      <c r="Z672" s="456"/>
    </row>
    <row r="673" spans="1:26" ht="11.25" customHeight="1">
      <c r="A673" s="456"/>
      <c r="B673" s="456"/>
      <c r="C673" s="456"/>
      <c r="D673" s="456"/>
      <c r="E673" s="456"/>
      <c r="F673" s="456"/>
      <c r="G673" s="456"/>
      <c r="H673" s="456"/>
      <c r="I673" s="456"/>
      <c r="J673" s="456"/>
      <c r="K673" s="456"/>
      <c r="L673" s="456"/>
      <c r="M673" s="456"/>
      <c r="N673" s="456"/>
      <c r="O673" s="456"/>
      <c r="P673" s="456"/>
      <c r="Q673" s="456"/>
      <c r="R673" s="456"/>
      <c r="S673" s="456"/>
      <c r="T673" s="456"/>
      <c r="U673" s="456"/>
      <c r="V673" s="456"/>
      <c r="W673" s="456"/>
      <c r="X673" s="456"/>
      <c r="Y673" s="456"/>
      <c r="Z673" s="456"/>
    </row>
    <row r="674" spans="1:26" ht="11.25" customHeight="1">
      <c r="A674" s="456"/>
      <c r="B674" s="456"/>
      <c r="C674" s="456"/>
      <c r="D674" s="456"/>
      <c r="E674" s="456"/>
      <c r="F674" s="456"/>
      <c r="G674" s="456"/>
      <c r="H674" s="456"/>
      <c r="I674" s="456"/>
      <c r="J674" s="456"/>
      <c r="K674" s="456"/>
      <c r="L674" s="456"/>
      <c r="M674" s="456"/>
      <c r="N674" s="456"/>
      <c r="O674" s="456"/>
      <c r="P674" s="456"/>
      <c r="Q674" s="456"/>
      <c r="R674" s="456"/>
      <c r="S674" s="456"/>
      <c r="T674" s="456"/>
      <c r="U674" s="456"/>
      <c r="V674" s="456"/>
      <c r="W674" s="456"/>
      <c r="X674" s="456"/>
      <c r="Y674" s="456"/>
      <c r="Z674" s="456"/>
    </row>
    <row r="675" spans="1:26" ht="11.25" customHeight="1">
      <c r="A675" s="456"/>
      <c r="B675" s="456"/>
      <c r="C675" s="456"/>
      <c r="D675" s="456"/>
      <c r="E675" s="456"/>
      <c r="F675" s="456"/>
      <c r="G675" s="456"/>
      <c r="H675" s="456"/>
      <c r="I675" s="456"/>
      <c r="J675" s="456"/>
      <c r="K675" s="456"/>
      <c r="L675" s="456"/>
      <c r="M675" s="456"/>
      <c r="N675" s="456"/>
      <c r="O675" s="456"/>
      <c r="P675" s="456"/>
      <c r="Q675" s="456"/>
      <c r="R675" s="456"/>
      <c r="S675" s="456"/>
      <c r="T675" s="456"/>
      <c r="U675" s="456"/>
      <c r="V675" s="456"/>
      <c r="W675" s="456"/>
      <c r="X675" s="456"/>
      <c r="Y675" s="456"/>
      <c r="Z675" s="456"/>
    </row>
    <row r="676" spans="1:26" ht="11.25" customHeight="1">
      <c r="A676" s="456"/>
      <c r="B676" s="456"/>
      <c r="C676" s="456"/>
      <c r="D676" s="456"/>
      <c r="E676" s="456"/>
      <c r="F676" s="456"/>
      <c r="G676" s="456"/>
      <c r="H676" s="456"/>
      <c r="I676" s="456"/>
      <c r="J676" s="456"/>
      <c r="K676" s="456"/>
      <c r="L676" s="456"/>
      <c r="M676" s="456"/>
      <c r="N676" s="456"/>
      <c r="O676" s="456"/>
      <c r="P676" s="456"/>
      <c r="Q676" s="456"/>
      <c r="R676" s="456"/>
      <c r="S676" s="456"/>
      <c r="T676" s="456"/>
      <c r="U676" s="456"/>
      <c r="V676" s="456"/>
      <c r="W676" s="456"/>
      <c r="X676" s="456"/>
      <c r="Y676" s="456"/>
      <c r="Z676" s="456"/>
    </row>
    <row r="677" spans="1:26" ht="11.25" customHeight="1">
      <c r="A677" s="456"/>
      <c r="B677" s="456"/>
      <c r="C677" s="456"/>
      <c r="D677" s="456"/>
      <c r="E677" s="456"/>
      <c r="F677" s="456"/>
      <c r="G677" s="456"/>
      <c r="H677" s="456"/>
      <c r="I677" s="456"/>
      <c r="J677" s="456"/>
      <c r="K677" s="456"/>
      <c r="L677" s="456"/>
      <c r="M677" s="456"/>
      <c r="N677" s="456"/>
      <c r="O677" s="456"/>
      <c r="P677" s="456"/>
      <c r="Q677" s="456"/>
      <c r="R677" s="456"/>
      <c r="S677" s="456"/>
      <c r="T677" s="456"/>
      <c r="U677" s="456"/>
      <c r="V677" s="456"/>
      <c r="W677" s="456"/>
      <c r="X677" s="456"/>
      <c r="Y677" s="456"/>
      <c r="Z677" s="456"/>
    </row>
    <row r="678" spans="1:26" ht="11.25" customHeight="1">
      <c r="A678" s="456"/>
      <c r="B678" s="456"/>
      <c r="C678" s="456"/>
      <c r="D678" s="456"/>
      <c r="E678" s="456"/>
      <c r="F678" s="456"/>
      <c r="G678" s="456"/>
      <c r="H678" s="456"/>
      <c r="I678" s="456"/>
      <c r="J678" s="456"/>
      <c r="K678" s="456"/>
      <c r="L678" s="456"/>
      <c r="M678" s="456"/>
      <c r="N678" s="456"/>
      <c r="O678" s="456"/>
      <c r="P678" s="456"/>
      <c r="Q678" s="456"/>
      <c r="R678" s="456"/>
      <c r="S678" s="456"/>
      <c r="T678" s="456"/>
      <c r="U678" s="456"/>
      <c r="V678" s="456"/>
      <c r="W678" s="456"/>
      <c r="X678" s="456"/>
      <c r="Y678" s="456"/>
      <c r="Z678" s="456"/>
    </row>
    <row r="679" spans="1:26" ht="11.25" customHeight="1">
      <c r="A679" s="456"/>
      <c r="B679" s="456"/>
      <c r="C679" s="456"/>
      <c r="D679" s="456"/>
      <c r="E679" s="456"/>
      <c r="F679" s="456"/>
      <c r="G679" s="456"/>
      <c r="H679" s="456"/>
      <c r="I679" s="456"/>
      <c r="J679" s="456"/>
      <c r="K679" s="456"/>
      <c r="L679" s="456"/>
      <c r="M679" s="456"/>
      <c r="N679" s="456"/>
      <c r="O679" s="456"/>
      <c r="P679" s="456"/>
      <c r="Q679" s="456"/>
      <c r="R679" s="456"/>
      <c r="S679" s="456"/>
      <c r="T679" s="456"/>
      <c r="U679" s="456"/>
      <c r="V679" s="456"/>
      <c r="W679" s="456"/>
      <c r="X679" s="456"/>
      <c r="Y679" s="456"/>
      <c r="Z679" s="456"/>
    </row>
    <row r="680" spans="1:26" ht="11.25" customHeight="1">
      <c r="A680" s="456"/>
      <c r="B680" s="456"/>
      <c r="C680" s="456"/>
      <c r="D680" s="456"/>
      <c r="E680" s="456"/>
      <c r="F680" s="456"/>
      <c r="G680" s="456"/>
      <c r="H680" s="456"/>
      <c r="I680" s="456"/>
      <c r="J680" s="456"/>
      <c r="K680" s="456"/>
      <c r="L680" s="456"/>
      <c r="M680" s="456"/>
      <c r="N680" s="456"/>
      <c r="O680" s="456"/>
      <c r="P680" s="456"/>
      <c r="Q680" s="456"/>
      <c r="R680" s="456"/>
      <c r="S680" s="456"/>
      <c r="T680" s="456"/>
      <c r="U680" s="456"/>
      <c r="V680" s="456"/>
      <c r="W680" s="456"/>
      <c r="X680" s="456"/>
      <c r="Y680" s="456"/>
      <c r="Z680" s="456"/>
    </row>
    <row r="681" spans="1:26" ht="11.25" customHeight="1">
      <c r="A681" s="456"/>
      <c r="B681" s="456"/>
      <c r="C681" s="456"/>
      <c r="D681" s="456"/>
      <c r="E681" s="456"/>
      <c r="F681" s="456"/>
      <c r="G681" s="456"/>
      <c r="H681" s="456"/>
      <c r="I681" s="456"/>
      <c r="J681" s="456"/>
      <c r="K681" s="456"/>
      <c r="L681" s="456"/>
      <c r="M681" s="456"/>
      <c r="N681" s="456"/>
      <c r="O681" s="456"/>
      <c r="P681" s="456"/>
      <c r="Q681" s="456"/>
      <c r="R681" s="456"/>
      <c r="S681" s="456"/>
      <c r="T681" s="456"/>
      <c r="U681" s="456"/>
      <c r="V681" s="456"/>
      <c r="W681" s="456"/>
      <c r="X681" s="456"/>
      <c r="Y681" s="456"/>
      <c r="Z681" s="456"/>
    </row>
    <row r="682" spans="1:26" ht="11.25" customHeight="1">
      <c r="A682" s="456"/>
      <c r="B682" s="456"/>
      <c r="C682" s="456"/>
      <c r="D682" s="456"/>
      <c r="E682" s="456"/>
      <c r="F682" s="456"/>
      <c r="G682" s="456"/>
      <c r="H682" s="456"/>
      <c r="I682" s="456"/>
      <c r="J682" s="456"/>
      <c r="K682" s="456"/>
      <c r="L682" s="456"/>
      <c r="M682" s="456"/>
      <c r="N682" s="456"/>
      <c r="O682" s="456"/>
      <c r="P682" s="456"/>
      <c r="Q682" s="456"/>
      <c r="R682" s="456"/>
      <c r="S682" s="456"/>
      <c r="T682" s="456"/>
      <c r="U682" s="456"/>
      <c r="V682" s="456"/>
      <c r="W682" s="456"/>
      <c r="X682" s="456"/>
      <c r="Y682" s="456"/>
      <c r="Z682" s="456"/>
    </row>
    <row r="683" spans="1:26" ht="11.25" customHeight="1">
      <c r="A683" s="456"/>
      <c r="B683" s="456"/>
      <c r="C683" s="456"/>
      <c r="D683" s="456"/>
      <c r="E683" s="456"/>
      <c r="F683" s="456"/>
      <c r="G683" s="456"/>
      <c r="H683" s="456"/>
      <c r="I683" s="456"/>
      <c r="J683" s="456"/>
      <c r="K683" s="456"/>
      <c r="L683" s="456"/>
      <c r="M683" s="456"/>
      <c r="N683" s="456"/>
      <c r="O683" s="456"/>
      <c r="P683" s="456"/>
      <c r="Q683" s="456"/>
      <c r="R683" s="456"/>
      <c r="S683" s="456"/>
      <c r="T683" s="456"/>
      <c r="U683" s="456"/>
      <c r="V683" s="456"/>
      <c r="W683" s="456"/>
      <c r="X683" s="456"/>
      <c r="Y683" s="456"/>
      <c r="Z683" s="456"/>
    </row>
    <row r="684" spans="1:26" ht="11.25" customHeight="1">
      <c r="A684" s="456"/>
      <c r="B684" s="456"/>
      <c r="C684" s="456"/>
      <c r="D684" s="456"/>
      <c r="E684" s="456"/>
      <c r="F684" s="456"/>
      <c r="G684" s="456"/>
      <c r="H684" s="456"/>
      <c r="I684" s="456"/>
      <c r="J684" s="456"/>
      <c r="K684" s="456"/>
      <c r="L684" s="456"/>
      <c r="M684" s="456"/>
      <c r="N684" s="456"/>
      <c r="O684" s="456"/>
      <c r="P684" s="456"/>
      <c r="Q684" s="456"/>
      <c r="R684" s="456"/>
      <c r="S684" s="456"/>
      <c r="T684" s="456"/>
      <c r="U684" s="456"/>
      <c r="V684" s="456"/>
      <c r="W684" s="456"/>
      <c r="X684" s="456"/>
      <c r="Y684" s="456"/>
      <c r="Z684" s="456"/>
    </row>
    <row r="685" spans="1:26" ht="11.25" customHeight="1">
      <c r="A685" s="456"/>
      <c r="B685" s="456"/>
      <c r="C685" s="456"/>
      <c r="D685" s="456"/>
      <c r="E685" s="456"/>
      <c r="F685" s="456"/>
      <c r="G685" s="456"/>
      <c r="H685" s="456"/>
      <c r="I685" s="456"/>
      <c r="J685" s="456"/>
      <c r="K685" s="456"/>
      <c r="L685" s="456"/>
      <c r="M685" s="456"/>
      <c r="N685" s="456"/>
      <c r="O685" s="456"/>
      <c r="P685" s="456"/>
      <c r="Q685" s="456"/>
      <c r="R685" s="456"/>
      <c r="S685" s="456"/>
      <c r="T685" s="456"/>
      <c r="U685" s="456"/>
      <c r="V685" s="456"/>
      <c r="W685" s="456"/>
      <c r="X685" s="456"/>
      <c r="Y685" s="456"/>
      <c r="Z685" s="456"/>
    </row>
    <row r="686" spans="1:26" ht="11.25" customHeight="1">
      <c r="A686" s="456"/>
      <c r="B686" s="456"/>
      <c r="C686" s="456"/>
      <c r="D686" s="456"/>
      <c r="E686" s="456"/>
      <c r="F686" s="456"/>
      <c r="G686" s="456"/>
      <c r="H686" s="456"/>
      <c r="I686" s="456"/>
      <c r="J686" s="456"/>
      <c r="K686" s="456"/>
      <c r="L686" s="456"/>
      <c r="M686" s="456"/>
      <c r="N686" s="456"/>
      <c r="O686" s="456"/>
      <c r="P686" s="456"/>
      <c r="Q686" s="456"/>
      <c r="R686" s="456"/>
      <c r="S686" s="456"/>
      <c r="T686" s="456"/>
      <c r="U686" s="456"/>
      <c r="V686" s="456"/>
      <c r="W686" s="456"/>
      <c r="X686" s="456"/>
      <c r="Y686" s="456"/>
      <c r="Z686" s="456"/>
    </row>
    <row r="687" spans="1:26" ht="11.25" customHeight="1">
      <c r="A687" s="456"/>
      <c r="B687" s="456"/>
      <c r="C687" s="456"/>
      <c r="D687" s="456"/>
      <c r="E687" s="456"/>
      <c r="F687" s="456"/>
      <c r="G687" s="456"/>
      <c r="H687" s="456"/>
      <c r="I687" s="456"/>
      <c r="J687" s="456"/>
      <c r="K687" s="456"/>
      <c r="L687" s="456"/>
      <c r="M687" s="456"/>
      <c r="N687" s="456"/>
      <c r="O687" s="456"/>
      <c r="P687" s="456"/>
      <c r="Q687" s="456"/>
      <c r="R687" s="456"/>
      <c r="S687" s="456"/>
      <c r="T687" s="456"/>
      <c r="U687" s="456"/>
      <c r="V687" s="456"/>
      <c r="W687" s="456"/>
      <c r="X687" s="456"/>
      <c r="Y687" s="456"/>
      <c r="Z687" s="456"/>
    </row>
    <row r="688" spans="1:26" ht="11.25" customHeight="1">
      <c r="A688" s="456"/>
      <c r="B688" s="456"/>
      <c r="C688" s="456"/>
      <c r="D688" s="456"/>
      <c r="E688" s="456"/>
      <c r="F688" s="456"/>
      <c r="G688" s="456"/>
      <c r="H688" s="456"/>
      <c r="I688" s="456"/>
      <c r="J688" s="456"/>
      <c r="K688" s="456"/>
      <c r="L688" s="456"/>
      <c r="M688" s="456"/>
      <c r="N688" s="456"/>
      <c r="O688" s="456"/>
      <c r="P688" s="456"/>
      <c r="Q688" s="456"/>
      <c r="R688" s="456"/>
      <c r="S688" s="456"/>
      <c r="T688" s="456"/>
      <c r="U688" s="456"/>
      <c r="V688" s="456"/>
      <c r="W688" s="456"/>
      <c r="X688" s="456"/>
      <c r="Y688" s="456"/>
      <c r="Z688" s="456"/>
    </row>
    <row r="689" spans="1:26" ht="11.25" customHeight="1">
      <c r="A689" s="456"/>
      <c r="B689" s="456"/>
      <c r="C689" s="456"/>
      <c r="D689" s="456"/>
      <c r="E689" s="456"/>
      <c r="F689" s="456"/>
      <c r="G689" s="456"/>
      <c r="H689" s="456"/>
      <c r="I689" s="456"/>
      <c r="J689" s="456"/>
      <c r="K689" s="456"/>
      <c r="L689" s="456"/>
      <c r="M689" s="456"/>
      <c r="N689" s="456"/>
      <c r="O689" s="456"/>
      <c r="P689" s="456"/>
      <c r="Q689" s="456"/>
      <c r="R689" s="456"/>
      <c r="S689" s="456"/>
      <c r="T689" s="456"/>
      <c r="U689" s="456"/>
      <c r="V689" s="456"/>
      <c r="W689" s="456"/>
      <c r="X689" s="456"/>
      <c r="Y689" s="456"/>
      <c r="Z689" s="456"/>
    </row>
    <row r="690" spans="1:26" ht="11.25" customHeight="1">
      <c r="A690" s="456"/>
      <c r="B690" s="456"/>
      <c r="C690" s="456"/>
      <c r="D690" s="456"/>
      <c r="E690" s="456"/>
      <c r="F690" s="456"/>
      <c r="G690" s="456"/>
      <c r="H690" s="456"/>
      <c r="I690" s="456"/>
      <c r="J690" s="456"/>
      <c r="K690" s="456"/>
      <c r="L690" s="456"/>
      <c r="M690" s="456"/>
      <c r="N690" s="456"/>
      <c r="O690" s="456"/>
      <c r="P690" s="456"/>
      <c r="Q690" s="456"/>
      <c r="R690" s="456"/>
      <c r="S690" s="456"/>
      <c r="T690" s="456"/>
      <c r="U690" s="456"/>
      <c r="V690" s="456"/>
      <c r="W690" s="456"/>
      <c r="X690" s="456"/>
      <c r="Y690" s="456"/>
      <c r="Z690" s="456"/>
    </row>
    <row r="691" spans="1:26" ht="11.25" customHeight="1">
      <c r="A691" s="456"/>
      <c r="B691" s="456"/>
      <c r="C691" s="456"/>
      <c r="D691" s="456"/>
      <c r="E691" s="456"/>
      <c r="F691" s="456"/>
      <c r="G691" s="456"/>
      <c r="H691" s="456"/>
      <c r="I691" s="456"/>
      <c r="J691" s="456"/>
      <c r="K691" s="456"/>
      <c r="L691" s="456"/>
      <c r="M691" s="456"/>
      <c r="N691" s="456"/>
      <c r="O691" s="456"/>
      <c r="P691" s="456"/>
      <c r="Q691" s="456"/>
      <c r="R691" s="456"/>
      <c r="S691" s="456"/>
      <c r="T691" s="456"/>
      <c r="U691" s="456"/>
      <c r="V691" s="456"/>
      <c r="W691" s="456"/>
      <c r="X691" s="456"/>
      <c r="Y691" s="456"/>
      <c r="Z691" s="456"/>
    </row>
    <row r="692" spans="1:26" ht="11.25" customHeight="1">
      <c r="A692" s="456"/>
      <c r="B692" s="456"/>
      <c r="C692" s="456"/>
      <c r="D692" s="456"/>
      <c r="E692" s="456"/>
      <c r="F692" s="456"/>
      <c r="G692" s="456"/>
      <c r="H692" s="456"/>
      <c r="I692" s="456"/>
      <c r="J692" s="456"/>
      <c r="K692" s="456"/>
      <c r="L692" s="456"/>
      <c r="M692" s="456"/>
      <c r="N692" s="456"/>
      <c r="O692" s="456"/>
      <c r="P692" s="456"/>
      <c r="Q692" s="456"/>
      <c r="R692" s="456"/>
      <c r="S692" s="456"/>
      <c r="T692" s="456"/>
      <c r="U692" s="456"/>
      <c r="V692" s="456"/>
      <c r="W692" s="456"/>
      <c r="X692" s="456"/>
      <c r="Y692" s="456"/>
      <c r="Z692" s="456"/>
    </row>
    <row r="693" spans="1:26" ht="11.25" customHeight="1">
      <c r="A693" s="456"/>
      <c r="B693" s="456"/>
      <c r="C693" s="456"/>
      <c r="D693" s="456"/>
      <c r="E693" s="456"/>
      <c r="F693" s="456"/>
      <c r="G693" s="456"/>
      <c r="H693" s="456"/>
      <c r="I693" s="456"/>
      <c r="J693" s="456"/>
      <c r="K693" s="456"/>
      <c r="L693" s="456"/>
      <c r="M693" s="456"/>
      <c r="N693" s="456"/>
      <c r="O693" s="456"/>
      <c r="P693" s="456"/>
      <c r="Q693" s="456"/>
      <c r="R693" s="456"/>
      <c r="S693" s="456"/>
      <c r="T693" s="456"/>
      <c r="U693" s="456"/>
      <c r="V693" s="456"/>
      <c r="W693" s="456"/>
      <c r="X693" s="456"/>
      <c r="Y693" s="456"/>
      <c r="Z693" s="456"/>
    </row>
    <row r="694" spans="1:26" ht="11.25" customHeight="1">
      <c r="A694" s="456"/>
      <c r="B694" s="456"/>
      <c r="C694" s="456"/>
      <c r="D694" s="456"/>
      <c r="E694" s="456"/>
      <c r="F694" s="456"/>
      <c r="G694" s="456"/>
      <c r="H694" s="456"/>
      <c r="I694" s="456"/>
      <c r="J694" s="456"/>
      <c r="K694" s="456"/>
      <c r="L694" s="456"/>
      <c r="M694" s="456"/>
      <c r="N694" s="456"/>
      <c r="O694" s="456"/>
      <c r="P694" s="456"/>
      <c r="Q694" s="456"/>
      <c r="R694" s="456"/>
      <c r="S694" s="456"/>
      <c r="T694" s="456"/>
      <c r="U694" s="456"/>
      <c r="V694" s="456"/>
      <c r="W694" s="456"/>
      <c r="X694" s="456"/>
      <c r="Y694" s="456"/>
      <c r="Z694" s="456"/>
    </row>
    <row r="695" spans="1:26" ht="11.25" customHeight="1">
      <c r="A695" s="456"/>
      <c r="B695" s="456"/>
      <c r="C695" s="456"/>
      <c r="D695" s="456"/>
      <c r="E695" s="456"/>
      <c r="F695" s="456"/>
      <c r="G695" s="456"/>
      <c r="H695" s="456"/>
      <c r="I695" s="456"/>
      <c r="J695" s="456"/>
      <c r="K695" s="456"/>
      <c r="L695" s="456"/>
      <c r="M695" s="456"/>
      <c r="N695" s="456"/>
      <c r="O695" s="456"/>
      <c r="P695" s="456"/>
      <c r="Q695" s="456"/>
      <c r="R695" s="456"/>
      <c r="S695" s="456"/>
      <c r="T695" s="456"/>
      <c r="U695" s="456"/>
      <c r="V695" s="456"/>
      <c r="W695" s="456"/>
      <c r="X695" s="456"/>
      <c r="Y695" s="456"/>
      <c r="Z695" s="456"/>
    </row>
    <row r="696" spans="1:26" ht="11.25" customHeight="1">
      <c r="A696" s="456"/>
      <c r="B696" s="456"/>
      <c r="C696" s="456"/>
      <c r="D696" s="456"/>
      <c r="E696" s="456"/>
      <c r="F696" s="456"/>
      <c r="G696" s="456"/>
      <c r="H696" s="456"/>
      <c r="I696" s="456"/>
      <c r="J696" s="456"/>
      <c r="K696" s="456"/>
      <c r="L696" s="456"/>
      <c r="M696" s="456"/>
      <c r="N696" s="456"/>
      <c r="O696" s="456"/>
      <c r="P696" s="456"/>
      <c r="Q696" s="456"/>
      <c r="R696" s="456"/>
      <c r="S696" s="456"/>
      <c r="T696" s="456"/>
      <c r="U696" s="456"/>
      <c r="V696" s="456"/>
      <c r="W696" s="456"/>
      <c r="X696" s="456"/>
      <c r="Y696" s="456"/>
      <c r="Z696" s="456"/>
    </row>
    <row r="697" spans="1:26" ht="11.25" customHeight="1">
      <c r="A697" s="456"/>
      <c r="B697" s="456"/>
      <c r="C697" s="456"/>
      <c r="D697" s="456"/>
      <c r="E697" s="456"/>
      <c r="F697" s="456"/>
      <c r="G697" s="456"/>
      <c r="H697" s="456"/>
      <c r="I697" s="456"/>
      <c r="J697" s="456"/>
      <c r="K697" s="456"/>
      <c r="L697" s="456"/>
      <c r="M697" s="456"/>
      <c r="N697" s="456"/>
      <c r="O697" s="456"/>
      <c r="P697" s="456"/>
      <c r="Q697" s="456"/>
      <c r="R697" s="456"/>
      <c r="S697" s="456"/>
      <c r="T697" s="456"/>
      <c r="U697" s="456"/>
      <c r="V697" s="456"/>
      <c r="W697" s="456"/>
      <c r="X697" s="456"/>
      <c r="Y697" s="456"/>
      <c r="Z697" s="456"/>
    </row>
    <row r="698" spans="1:26" ht="11.25" customHeight="1">
      <c r="A698" s="456"/>
      <c r="B698" s="456"/>
      <c r="C698" s="456"/>
      <c r="D698" s="456"/>
      <c r="E698" s="456"/>
      <c r="F698" s="456"/>
      <c r="G698" s="456"/>
      <c r="H698" s="456"/>
      <c r="I698" s="456"/>
      <c r="J698" s="456"/>
      <c r="K698" s="456"/>
      <c r="L698" s="456"/>
      <c r="M698" s="456"/>
      <c r="N698" s="456"/>
      <c r="O698" s="456"/>
      <c r="P698" s="456"/>
      <c r="Q698" s="456"/>
      <c r="R698" s="456"/>
      <c r="S698" s="456"/>
      <c r="T698" s="456"/>
      <c r="U698" s="456"/>
      <c r="V698" s="456"/>
      <c r="W698" s="456"/>
      <c r="X698" s="456"/>
      <c r="Y698" s="456"/>
      <c r="Z698" s="456"/>
    </row>
    <row r="699" spans="1:26" ht="11.25" customHeight="1">
      <c r="A699" s="456"/>
      <c r="B699" s="456"/>
      <c r="C699" s="456"/>
      <c r="D699" s="456"/>
      <c r="E699" s="456"/>
      <c r="F699" s="456"/>
      <c r="G699" s="456"/>
      <c r="H699" s="456"/>
      <c r="I699" s="456"/>
      <c r="J699" s="456"/>
      <c r="K699" s="456"/>
      <c r="L699" s="456"/>
      <c r="M699" s="456"/>
      <c r="N699" s="456"/>
      <c r="O699" s="456"/>
      <c r="P699" s="456"/>
      <c r="Q699" s="456"/>
      <c r="R699" s="456"/>
      <c r="S699" s="456"/>
      <c r="T699" s="456"/>
      <c r="U699" s="456"/>
      <c r="V699" s="456"/>
      <c r="W699" s="456"/>
      <c r="X699" s="456"/>
      <c r="Y699" s="456"/>
      <c r="Z699" s="456"/>
    </row>
    <row r="700" spans="1:26" ht="11.25" customHeight="1">
      <c r="A700" s="456"/>
      <c r="B700" s="456"/>
      <c r="C700" s="456"/>
      <c r="D700" s="456"/>
      <c r="E700" s="456"/>
      <c r="F700" s="456"/>
      <c r="G700" s="456"/>
      <c r="H700" s="456"/>
      <c r="I700" s="456"/>
      <c r="J700" s="456"/>
      <c r="K700" s="456"/>
      <c r="L700" s="456"/>
      <c r="M700" s="456"/>
      <c r="N700" s="456"/>
      <c r="O700" s="456"/>
      <c r="P700" s="456"/>
      <c r="Q700" s="456"/>
      <c r="R700" s="456"/>
      <c r="S700" s="456"/>
      <c r="T700" s="456"/>
      <c r="U700" s="456"/>
      <c r="V700" s="456"/>
      <c r="W700" s="456"/>
      <c r="X700" s="456"/>
      <c r="Y700" s="456"/>
      <c r="Z700" s="456"/>
    </row>
    <row r="701" spans="1:26" ht="11.25" customHeight="1">
      <c r="A701" s="456"/>
      <c r="B701" s="456"/>
      <c r="C701" s="456"/>
      <c r="D701" s="456"/>
      <c r="E701" s="456"/>
      <c r="F701" s="456"/>
      <c r="G701" s="456"/>
      <c r="H701" s="456"/>
      <c r="I701" s="456"/>
      <c r="J701" s="456"/>
      <c r="K701" s="456"/>
      <c r="L701" s="456"/>
      <c r="M701" s="456"/>
      <c r="N701" s="456"/>
      <c r="O701" s="456"/>
      <c r="P701" s="456"/>
      <c r="Q701" s="456"/>
      <c r="R701" s="456"/>
      <c r="S701" s="456"/>
      <c r="T701" s="456"/>
      <c r="U701" s="456"/>
      <c r="V701" s="456"/>
      <c r="W701" s="456"/>
      <c r="X701" s="456"/>
      <c r="Y701" s="456"/>
      <c r="Z701" s="456"/>
    </row>
    <row r="702" spans="1:26" ht="11.25" customHeight="1">
      <c r="A702" s="456"/>
      <c r="B702" s="456"/>
      <c r="C702" s="456"/>
      <c r="D702" s="456"/>
      <c r="E702" s="456"/>
      <c r="F702" s="456"/>
      <c r="G702" s="456"/>
      <c r="H702" s="456"/>
      <c r="I702" s="456"/>
      <c r="J702" s="456"/>
      <c r="K702" s="456"/>
      <c r="L702" s="456"/>
      <c r="M702" s="456"/>
      <c r="N702" s="456"/>
      <c r="O702" s="456"/>
      <c r="P702" s="456"/>
      <c r="Q702" s="456"/>
      <c r="R702" s="456"/>
      <c r="S702" s="456"/>
      <c r="T702" s="456"/>
      <c r="U702" s="456"/>
      <c r="V702" s="456"/>
      <c r="W702" s="456"/>
      <c r="X702" s="456"/>
      <c r="Y702" s="456"/>
      <c r="Z702" s="456"/>
    </row>
    <row r="703" spans="1:26" ht="11.25" customHeight="1">
      <c r="A703" s="456"/>
      <c r="B703" s="456"/>
      <c r="C703" s="456"/>
      <c r="D703" s="456"/>
      <c r="E703" s="456"/>
      <c r="F703" s="456"/>
      <c r="G703" s="456"/>
      <c r="H703" s="456"/>
      <c r="I703" s="456"/>
      <c r="J703" s="456"/>
      <c r="K703" s="456"/>
      <c r="L703" s="456"/>
      <c r="M703" s="456"/>
      <c r="N703" s="456"/>
      <c r="O703" s="456"/>
      <c r="P703" s="456"/>
      <c r="Q703" s="456"/>
      <c r="R703" s="456"/>
      <c r="S703" s="456"/>
      <c r="T703" s="456"/>
      <c r="U703" s="456"/>
      <c r="V703" s="456"/>
      <c r="W703" s="456"/>
      <c r="X703" s="456"/>
      <c r="Y703" s="456"/>
      <c r="Z703" s="456"/>
    </row>
    <row r="704" spans="1:26" ht="11.25" customHeight="1">
      <c r="A704" s="456"/>
      <c r="B704" s="456"/>
      <c r="C704" s="456"/>
      <c r="D704" s="456"/>
      <c r="E704" s="456"/>
      <c r="F704" s="456"/>
      <c r="G704" s="456"/>
      <c r="H704" s="456"/>
      <c r="I704" s="456"/>
      <c r="J704" s="456"/>
      <c r="K704" s="456"/>
      <c r="L704" s="456"/>
      <c r="M704" s="456"/>
      <c r="N704" s="456"/>
      <c r="O704" s="456"/>
      <c r="P704" s="456"/>
      <c r="Q704" s="456"/>
      <c r="R704" s="456"/>
      <c r="S704" s="456"/>
      <c r="T704" s="456"/>
      <c r="U704" s="456"/>
      <c r="V704" s="456"/>
      <c r="W704" s="456"/>
      <c r="X704" s="456"/>
      <c r="Y704" s="456"/>
      <c r="Z704" s="456"/>
    </row>
    <row r="705" spans="1:26" ht="11.25" customHeight="1">
      <c r="A705" s="456"/>
      <c r="B705" s="456"/>
      <c r="C705" s="456"/>
      <c r="D705" s="456"/>
      <c r="E705" s="456"/>
      <c r="F705" s="456"/>
      <c r="G705" s="456"/>
      <c r="H705" s="456"/>
      <c r="I705" s="456"/>
      <c r="J705" s="456"/>
      <c r="K705" s="456"/>
      <c r="L705" s="456"/>
      <c r="M705" s="456"/>
      <c r="N705" s="456"/>
      <c r="O705" s="456"/>
      <c r="P705" s="456"/>
      <c r="Q705" s="456"/>
      <c r="R705" s="456"/>
      <c r="S705" s="456"/>
      <c r="T705" s="456"/>
      <c r="U705" s="456"/>
      <c r="V705" s="456"/>
      <c r="W705" s="456"/>
      <c r="X705" s="456"/>
      <c r="Y705" s="456"/>
      <c r="Z705" s="456"/>
    </row>
    <row r="706" spans="1:26" ht="11.25" customHeight="1">
      <c r="A706" s="456"/>
      <c r="B706" s="456"/>
      <c r="C706" s="456"/>
      <c r="D706" s="456"/>
      <c r="E706" s="456"/>
      <c r="F706" s="456"/>
      <c r="G706" s="456"/>
      <c r="H706" s="456"/>
      <c r="I706" s="456"/>
      <c r="J706" s="456"/>
      <c r="K706" s="456"/>
      <c r="L706" s="456"/>
      <c r="M706" s="456"/>
      <c r="N706" s="456"/>
      <c r="O706" s="456"/>
      <c r="P706" s="456"/>
      <c r="Q706" s="456"/>
      <c r="R706" s="456"/>
      <c r="S706" s="456"/>
      <c r="T706" s="456"/>
      <c r="U706" s="456"/>
      <c r="V706" s="456"/>
      <c r="W706" s="456"/>
      <c r="X706" s="456"/>
      <c r="Y706" s="456"/>
      <c r="Z706" s="456"/>
    </row>
    <row r="707" spans="1:26" ht="11.25" customHeight="1">
      <c r="A707" s="456"/>
      <c r="B707" s="456"/>
      <c r="C707" s="456"/>
      <c r="D707" s="456"/>
      <c r="E707" s="456"/>
      <c r="F707" s="456"/>
      <c r="G707" s="456"/>
      <c r="H707" s="456"/>
      <c r="I707" s="456"/>
      <c r="J707" s="456"/>
      <c r="K707" s="456"/>
      <c r="L707" s="456"/>
      <c r="M707" s="456"/>
      <c r="N707" s="456"/>
      <c r="O707" s="456"/>
      <c r="P707" s="456"/>
      <c r="Q707" s="456"/>
      <c r="R707" s="456"/>
      <c r="S707" s="456"/>
      <c r="T707" s="456"/>
      <c r="U707" s="456"/>
      <c r="V707" s="456"/>
      <c r="W707" s="456"/>
      <c r="X707" s="456"/>
      <c r="Y707" s="456"/>
      <c r="Z707" s="456"/>
    </row>
    <row r="708" spans="1:26" ht="11.25" customHeight="1">
      <c r="A708" s="456"/>
      <c r="B708" s="456"/>
      <c r="C708" s="456"/>
      <c r="D708" s="456"/>
      <c r="E708" s="456"/>
      <c r="F708" s="456"/>
      <c r="G708" s="456"/>
      <c r="H708" s="456"/>
      <c r="I708" s="456"/>
      <c r="J708" s="456"/>
      <c r="K708" s="456"/>
      <c r="L708" s="456"/>
      <c r="M708" s="456"/>
      <c r="N708" s="456"/>
      <c r="O708" s="456"/>
      <c r="P708" s="456"/>
      <c r="Q708" s="456"/>
      <c r="R708" s="456"/>
      <c r="S708" s="456"/>
      <c r="T708" s="456"/>
      <c r="U708" s="456"/>
      <c r="V708" s="456"/>
      <c r="W708" s="456"/>
      <c r="X708" s="456"/>
      <c r="Y708" s="456"/>
      <c r="Z708" s="456"/>
    </row>
    <row r="709" spans="1:26" ht="11.25" customHeight="1">
      <c r="A709" s="456"/>
      <c r="B709" s="456"/>
      <c r="C709" s="456"/>
      <c r="D709" s="456"/>
      <c r="E709" s="456"/>
      <c r="F709" s="456"/>
      <c r="G709" s="456"/>
      <c r="H709" s="456"/>
      <c r="I709" s="456"/>
      <c r="J709" s="456"/>
      <c r="K709" s="456"/>
      <c r="L709" s="456"/>
      <c r="M709" s="456"/>
      <c r="N709" s="456"/>
      <c r="O709" s="456"/>
      <c r="P709" s="456"/>
      <c r="Q709" s="456"/>
      <c r="R709" s="456"/>
      <c r="S709" s="456"/>
      <c r="T709" s="456"/>
      <c r="U709" s="456"/>
      <c r="V709" s="456"/>
      <c r="W709" s="456"/>
      <c r="X709" s="456"/>
      <c r="Y709" s="456"/>
      <c r="Z709" s="456"/>
    </row>
    <row r="710" spans="1:26" ht="11.25" customHeight="1">
      <c r="A710" s="456"/>
      <c r="B710" s="456"/>
      <c r="C710" s="456"/>
      <c r="D710" s="456"/>
      <c r="E710" s="456"/>
      <c r="F710" s="456"/>
      <c r="G710" s="456"/>
      <c r="H710" s="456"/>
      <c r="I710" s="456"/>
      <c r="J710" s="456"/>
      <c r="K710" s="456"/>
      <c r="L710" s="456"/>
      <c r="M710" s="456"/>
      <c r="N710" s="456"/>
      <c r="O710" s="456"/>
      <c r="P710" s="456"/>
      <c r="Q710" s="456"/>
      <c r="R710" s="456"/>
      <c r="S710" s="456"/>
      <c r="T710" s="456"/>
      <c r="U710" s="456"/>
      <c r="V710" s="456"/>
      <c r="W710" s="456"/>
      <c r="X710" s="456"/>
      <c r="Y710" s="456"/>
      <c r="Z710" s="456"/>
    </row>
    <row r="711" spans="1:26" ht="11.25" customHeight="1">
      <c r="A711" s="456"/>
      <c r="B711" s="456"/>
      <c r="C711" s="456"/>
      <c r="D711" s="456"/>
      <c r="E711" s="456"/>
      <c r="F711" s="456"/>
      <c r="G711" s="456"/>
      <c r="H711" s="456"/>
      <c r="I711" s="456"/>
      <c r="J711" s="456"/>
      <c r="K711" s="456"/>
      <c r="L711" s="456"/>
      <c r="M711" s="456"/>
      <c r="N711" s="456"/>
      <c r="O711" s="456"/>
      <c r="P711" s="456"/>
      <c r="Q711" s="456"/>
      <c r="R711" s="456"/>
      <c r="S711" s="456"/>
      <c r="T711" s="456"/>
      <c r="U711" s="456"/>
      <c r="V711" s="456"/>
      <c r="W711" s="456"/>
      <c r="X711" s="456"/>
      <c r="Y711" s="456"/>
      <c r="Z711" s="456"/>
    </row>
    <row r="712" spans="1:26" ht="11.25" customHeight="1">
      <c r="A712" s="456"/>
      <c r="B712" s="456"/>
      <c r="C712" s="456"/>
      <c r="D712" s="456"/>
      <c r="E712" s="456"/>
      <c r="F712" s="456"/>
      <c r="G712" s="456"/>
      <c r="H712" s="456"/>
      <c r="I712" s="456"/>
      <c r="J712" s="456"/>
      <c r="K712" s="456"/>
      <c r="L712" s="456"/>
      <c r="M712" s="456"/>
      <c r="N712" s="456"/>
      <c r="O712" s="456"/>
      <c r="P712" s="456"/>
      <c r="Q712" s="456"/>
      <c r="R712" s="456"/>
      <c r="S712" s="456"/>
      <c r="T712" s="456"/>
      <c r="U712" s="456"/>
      <c r="V712" s="456"/>
      <c r="W712" s="456"/>
      <c r="X712" s="456"/>
      <c r="Y712" s="456"/>
      <c r="Z712" s="456"/>
    </row>
    <row r="713" spans="1:26" ht="11.25" customHeight="1">
      <c r="A713" s="456"/>
      <c r="B713" s="456"/>
      <c r="C713" s="456"/>
      <c r="D713" s="456"/>
      <c r="E713" s="456"/>
      <c r="F713" s="456"/>
      <c r="G713" s="456"/>
      <c r="H713" s="456"/>
      <c r="I713" s="456"/>
      <c r="J713" s="456"/>
      <c r="K713" s="456"/>
      <c r="L713" s="456"/>
      <c r="M713" s="456"/>
      <c r="N713" s="456"/>
      <c r="O713" s="456"/>
      <c r="P713" s="456"/>
      <c r="Q713" s="456"/>
      <c r="R713" s="456"/>
      <c r="S713" s="456"/>
      <c r="T713" s="456"/>
      <c r="U713" s="456"/>
      <c r="V713" s="456"/>
      <c r="W713" s="456"/>
      <c r="X713" s="456"/>
      <c r="Y713" s="456"/>
      <c r="Z713" s="456"/>
    </row>
    <row r="714" spans="1:26" ht="11.25" customHeight="1">
      <c r="A714" s="456"/>
      <c r="B714" s="456"/>
      <c r="C714" s="456"/>
      <c r="D714" s="456"/>
      <c r="E714" s="456"/>
      <c r="F714" s="456"/>
      <c r="G714" s="456"/>
      <c r="H714" s="456"/>
      <c r="I714" s="456"/>
      <c r="J714" s="456"/>
      <c r="K714" s="456"/>
      <c r="L714" s="456"/>
      <c r="M714" s="456"/>
      <c r="N714" s="456"/>
      <c r="O714" s="456"/>
      <c r="P714" s="456"/>
      <c r="Q714" s="456"/>
      <c r="R714" s="456"/>
      <c r="S714" s="456"/>
      <c r="T714" s="456"/>
      <c r="U714" s="456"/>
      <c r="V714" s="456"/>
      <c r="W714" s="456"/>
      <c r="X714" s="456"/>
      <c r="Y714" s="456"/>
      <c r="Z714" s="456"/>
    </row>
    <row r="715" spans="1:26" ht="11.25" customHeight="1">
      <c r="A715" s="456"/>
      <c r="B715" s="456"/>
      <c r="C715" s="456"/>
      <c r="D715" s="456"/>
      <c r="E715" s="456"/>
      <c r="F715" s="456"/>
      <c r="G715" s="456"/>
      <c r="H715" s="456"/>
      <c r="I715" s="456"/>
      <c r="J715" s="456"/>
      <c r="K715" s="456"/>
      <c r="L715" s="456"/>
      <c r="M715" s="456"/>
      <c r="N715" s="456"/>
      <c r="O715" s="456"/>
      <c r="P715" s="456"/>
      <c r="Q715" s="456"/>
      <c r="R715" s="456"/>
      <c r="S715" s="456"/>
      <c r="T715" s="456"/>
      <c r="U715" s="456"/>
      <c r="V715" s="456"/>
      <c r="W715" s="456"/>
      <c r="X715" s="456"/>
      <c r="Y715" s="456"/>
      <c r="Z715" s="456"/>
    </row>
    <row r="716" spans="1:26" ht="11.25" customHeight="1">
      <c r="A716" s="456"/>
      <c r="B716" s="456"/>
      <c r="C716" s="456"/>
      <c r="D716" s="456"/>
      <c r="E716" s="456"/>
      <c r="F716" s="456"/>
      <c r="G716" s="456"/>
      <c r="H716" s="456"/>
      <c r="I716" s="456"/>
      <c r="J716" s="456"/>
      <c r="K716" s="456"/>
      <c r="L716" s="456"/>
      <c r="M716" s="456"/>
      <c r="N716" s="456"/>
      <c r="O716" s="456"/>
      <c r="P716" s="456"/>
      <c r="Q716" s="456"/>
      <c r="R716" s="456"/>
      <c r="S716" s="456"/>
      <c r="T716" s="456"/>
      <c r="U716" s="456"/>
      <c r="V716" s="456"/>
      <c r="W716" s="456"/>
      <c r="X716" s="456"/>
      <c r="Y716" s="456"/>
      <c r="Z716" s="456"/>
    </row>
    <row r="717" spans="1:26" ht="11.25" customHeight="1">
      <c r="A717" s="456"/>
      <c r="B717" s="456"/>
      <c r="C717" s="456"/>
      <c r="D717" s="456"/>
      <c r="E717" s="456"/>
      <c r="F717" s="456"/>
      <c r="G717" s="456"/>
      <c r="H717" s="456"/>
      <c r="I717" s="456"/>
      <c r="J717" s="456"/>
      <c r="K717" s="456"/>
      <c r="L717" s="456"/>
      <c r="M717" s="456"/>
      <c r="N717" s="456"/>
      <c r="O717" s="456"/>
      <c r="P717" s="456"/>
      <c r="Q717" s="456"/>
      <c r="R717" s="456"/>
      <c r="S717" s="456"/>
      <c r="T717" s="456"/>
      <c r="U717" s="456"/>
      <c r="V717" s="456"/>
      <c r="W717" s="456"/>
      <c r="X717" s="456"/>
      <c r="Y717" s="456"/>
      <c r="Z717" s="456"/>
    </row>
    <row r="718" spans="1:26" ht="11.25" customHeight="1">
      <c r="A718" s="456"/>
      <c r="B718" s="456"/>
      <c r="C718" s="456"/>
      <c r="D718" s="456"/>
      <c r="E718" s="456"/>
      <c r="F718" s="456"/>
      <c r="G718" s="456"/>
      <c r="H718" s="456"/>
      <c r="I718" s="456"/>
      <c r="J718" s="456"/>
      <c r="K718" s="456"/>
      <c r="L718" s="456"/>
      <c r="M718" s="456"/>
      <c r="N718" s="456"/>
      <c r="O718" s="456"/>
      <c r="P718" s="456"/>
      <c r="Q718" s="456"/>
      <c r="R718" s="456"/>
      <c r="S718" s="456"/>
      <c r="T718" s="456"/>
      <c r="U718" s="456"/>
      <c r="V718" s="456"/>
      <c r="W718" s="456"/>
      <c r="X718" s="456"/>
      <c r="Y718" s="456"/>
      <c r="Z718" s="456"/>
    </row>
    <row r="719" spans="1:26" ht="11.25" customHeight="1">
      <c r="A719" s="456"/>
      <c r="B719" s="456"/>
      <c r="C719" s="456"/>
      <c r="D719" s="456"/>
      <c r="E719" s="456"/>
      <c r="F719" s="456"/>
      <c r="G719" s="456"/>
      <c r="H719" s="456"/>
      <c r="I719" s="456"/>
      <c r="J719" s="456"/>
      <c r="K719" s="456"/>
      <c r="L719" s="456"/>
      <c r="M719" s="456"/>
      <c r="N719" s="456"/>
      <c r="O719" s="456"/>
      <c r="P719" s="456"/>
      <c r="Q719" s="456"/>
      <c r="R719" s="456"/>
      <c r="S719" s="456"/>
      <c r="T719" s="456"/>
      <c r="U719" s="456"/>
      <c r="V719" s="456"/>
      <c r="W719" s="456"/>
      <c r="X719" s="456"/>
      <c r="Y719" s="456"/>
      <c r="Z719" s="456"/>
    </row>
    <row r="720" spans="1:26" ht="11.25" customHeight="1">
      <c r="A720" s="456"/>
      <c r="B720" s="456"/>
      <c r="C720" s="456"/>
      <c r="D720" s="456"/>
      <c r="E720" s="456"/>
      <c r="F720" s="456"/>
      <c r="G720" s="456"/>
      <c r="H720" s="456"/>
      <c r="I720" s="456"/>
      <c r="J720" s="456"/>
      <c r="K720" s="456"/>
      <c r="L720" s="456"/>
      <c r="M720" s="456"/>
      <c r="N720" s="456"/>
      <c r="O720" s="456"/>
      <c r="P720" s="456"/>
      <c r="Q720" s="456"/>
      <c r="R720" s="456"/>
      <c r="S720" s="456"/>
      <c r="T720" s="456"/>
      <c r="U720" s="456"/>
      <c r="V720" s="456"/>
      <c r="W720" s="456"/>
      <c r="X720" s="456"/>
      <c r="Y720" s="456"/>
      <c r="Z720" s="456"/>
    </row>
    <row r="721" spans="1:26" ht="11.25" customHeight="1">
      <c r="A721" s="456"/>
      <c r="B721" s="456"/>
      <c r="C721" s="456"/>
      <c r="D721" s="456"/>
      <c r="E721" s="456"/>
      <c r="F721" s="456"/>
      <c r="G721" s="456"/>
      <c r="H721" s="456"/>
      <c r="I721" s="456"/>
      <c r="J721" s="456"/>
      <c r="K721" s="456"/>
      <c r="L721" s="456"/>
      <c r="M721" s="456"/>
      <c r="N721" s="456"/>
      <c r="O721" s="456"/>
      <c r="P721" s="456"/>
      <c r="Q721" s="456"/>
      <c r="R721" s="456"/>
      <c r="S721" s="456"/>
      <c r="T721" s="456"/>
      <c r="U721" s="456"/>
      <c r="V721" s="456"/>
      <c r="W721" s="456"/>
      <c r="X721" s="456"/>
      <c r="Y721" s="456"/>
      <c r="Z721" s="456"/>
    </row>
    <row r="722" spans="1:26" ht="11.25" customHeight="1">
      <c r="A722" s="456"/>
      <c r="B722" s="456"/>
      <c r="C722" s="456"/>
      <c r="D722" s="456"/>
      <c r="E722" s="456"/>
      <c r="F722" s="456"/>
      <c r="G722" s="456"/>
      <c r="H722" s="456"/>
      <c r="I722" s="456"/>
      <c r="J722" s="456"/>
      <c r="K722" s="456"/>
      <c r="L722" s="456"/>
      <c r="M722" s="456"/>
      <c r="N722" s="456"/>
      <c r="O722" s="456"/>
      <c r="P722" s="456"/>
      <c r="Q722" s="456"/>
      <c r="R722" s="456"/>
      <c r="S722" s="456"/>
      <c r="T722" s="456"/>
      <c r="U722" s="456"/>
      <c r="V722" s="456"/>
      <c r="W722" s="456"/>
      <c r="X722" s="456"/>
      <c r="Y722" s="456"/>
      <c r="Z722" s="456"/>
    </row>
    <row r="723" spans="1:26" ht="11.25" customHeight="1">
      <c r="A723" s="456"/>
      <c r="B723" s="456"/>
      <c r="C723" s="456"/>
      <c r="D723" s="456"/>
      <c r="E723" s="456"/>
      <c r="F723" s="456"/>
      <c r="G723" s="456"/>
      <c r="H723" s="456"/>
      <c r="I723" s="456"/>
      <c r="J723" s="456"/>
      <c r="K723" s="456"/>
      <c r="L723" s="456"/>
      <c r="M723" s="456"/>
      <c r="N723" s="456"/>
      <c r="O723" s="456"/>
      <c r="P723" s="456"/>
      <c r="Q723" s="456"/>
      <c r="R723" s="456"/>
      <c r="S723" s="456"/>
      <c r="T723" s="456"/>
      <c r="U723" s="456"/>
      <c r="V723" s="456"/>
      <c r="W723" s="456"/>
      <c r="X723" s="456"/>
      <c r="Y723" s="456"/>
      <c r="Z723" s="456"/>
    </row>
    <row r="724" spans="1:26" ht="11.25" customHeight="1">
      <c r="A724" s="456"/>
      <c r="B724" s="456"/>
      <c r="C724" s="456"/>
      <c r="D724" s="456"/>
      <c r="E724" s="456"/>
      <c r="F724" s="456"/>
      <c r="G724" s="456"/>
      <c r="H724" s="456"/>
      <c r="I724" s="456"/>
      <c r="J724" s="456"/>
      <c r="K724" s="456"/>
      <c r="L724" s="456"/>
      <c r="M724" s="456"/>
      <c r="N724" s="456"/>
      <c r="O724" s="456"/>
      <c r="P724" s="456"/>
      <c r="Q724" s="456"/>
      <c r="R724" s="456"/>
      <c r="S724" s="456"/>
      <c r="T724" s="456"/>
      <c r="U724" s="456"/>
      <c r="V724" s="456"/>
      <c r="W724" s="456"/>
      <c r="X724" s="456"/>
      <c r="Y724" s="456"/>
      <c r="Z724" s="456"/>
    </row>
    <row r="725" spans="1:26" ht="11.25" customHeight="1">
      <c r="A725" s="456"/>
      <c r="B725" s="456"/>
      <c r="C725" s="456"/>
      <c r="D725" s="456"/>
      <c r="E725" s="456"/>
      <c r="F725" s="456"/>
      <c r="G725" s="456"/>
      <c r="H725" s="456"/>
      <c r="I725" s="456"/>
      <c r="J725" s="456"/>
      <c r="K725" s="456"/>
      <c r="L725" s="456"/>
      <c r="M725" s="456"/>
      <c r="N725" s="456"/>
      <c r="O725" s="456"/>
      <c r="P725" s="456"/>
      <c r="Q725" s="456"/>
      <c r="R725" s="456"/>
      <c r="S725" s="456"/>
      <c r="T725" s="456"/>
      <c r="U725" s="456"/>
      <c r="V725" s="456"/>
      <c r="W725" s="456"/>
      <c r="X725" s="456"/>
      <c r="Y725" s="456"/>
      <c r="Z725" s="456"/>
    </row>
    <row r="726" spans="1:26" ht="11.25" customHeight="1">
      <c r="A726" s="456"/>
      <c r="B726" s="456"/>
      <c r="C726" s="456"/>
      <c r="D726" s="456"/>
      <c r="E726" s="456"/>
      <c r="F726" s="456"/>
      <c r="G726" s="456"/>
      <c r="H726" s="456"/>
      <c r="I726" s="456"/>
      <c r="J726" s="456"/>
      <c r="K726" s="456"/>
      <c r="L726" s="456"/>
      <c r="M726" s="456"/>
      <c r="N726" s="456"/>
      <c r="O726" s="456"/>
      <c r="P726" s="456"/>
      <c r="Q726" s="456"/>
      <c r="R726" s="456"/>
      <c r="S726" s="456"/>
      <c r="T726" s="456"/>
      <c r="U726" s="456"/>
      <c r="V726" s="456"/>
      <c r="W726" s="456"/>
      <c r="X726" s="456"/>
      <c r="Y726" s="456"/>
      <c r="Z726" s="456"/>
    </row>
    <row r="727" spans="1:26" ht="11.25" customHeight="1">
      <c r="A727" s="456"/>
      <c r="B727" s="456"/>
      <c r="C727" s="456"/>
      <c r="D727" s="456"/>
      <c r="E727" s="456"/>
      <c r="F727" s="456"/>
      <c r="G727" s="456"/>
      <c r="H727" s="456"/>
      <c r="I727" s="456"/>
      <c r="J727" s="456"/>
      <c r="K727" s="456"/>
      <c r="L727" s="456"/>
      <c r="M727" s="456"/>
      <c r="N727" s="456"/>
      <c r="O727" s="456"/>
      <c r="P727" s="456"/>
      <c r="Q727" s="456"/>
      <c r="R727" s="456"/>
      <c r="S727" s="456"/>
      <c r="T727" s="456"/>
      <c r="U727" s="456"/>
      <c r="V727" s="456"/>
      <c r="W727" s="456"/>
      <c r="X727" s="456"/>
      <c r="Y727" s="456"/>
      <c r="Z727" s="456"/>
    </row>
    <row r="728" spans="1:26" ht="11.25" customHeight="1">
      <c r="A728" s="456"/>
      <c r="B728" s="456"/>
      <c r="C728" s="456"/>
      <c r="D728" s="456"/>
      <c r="E728" s="456"/>
      <c r="F728" s="456"/>
      <c r="G728" s="456"/>
      <c r="H728" s="456"/>
      <c r="I728" s="456"/>
      <c r="J728" s="456"/>
      <c r="K728" s="456"/>
      <c r="L728" s="456"/>
      <c r="M728" s="456"/>
      <c r="N728" s="456"/>
      <c r="O728" s="456"/>
      <c r="P728" s="456"/>
      <c r="Q728" s="456"/>
      <c r="R728" s="456"/>
      <c r="S728" s="456"/>
      <c r="T728" s="456"/>
      <c r="U728" s="456"/>
      <c r="V728" s="456"/>
      <c r="W728" s="456"/>
      <c r="X728" s="456"/>
      <c r="Y728" s="456"/>
      <c r="Z728" s="456"/>
    </row>
    <row r="729" spans="1:26" ht="11.25" customHeight="1">
      <c r="A729" s="456"/>
      <c r="B729" s="456"/>
      <c r="C729" s="456"/>
      <c r="D729" s="456"/>
      <c r="E729" s="456"/>
      <c r="F729" s="456"/>
      <c r="G729" s="456"/>
      <c r="H729" s="456"/>
      <c r="I729" s="456"/>
      <c r="J729" s="456"/>
      <c r="K729" s="456"/>
      <c r="L729" s="456"/>
      <c r="M729" s="456"/>
      <c r="N729" s="456"/>
      <c r="O729" s="456"/>
      <c r="P729" s="456"/>
      <c r="Q729" s="456"/>
      <c r="R729" s="456"/>
      <c r="S729" s="456"/>
      <c r="T729" s="456"/>
      <c r="U729" s="456"/>
      <c r="V729" s="456"/>
      <c r="W729" s="456"/>
      <c r="X729" s="456"/>
      <c r="Y729" s="456"/>
      <c r="Z729" s="456"/>
    </row>
    <row r="730" spans="1:26" ht="11.25" customHeight="1">
      <c r="A730" s="456"/>
      <c r="B730" s="456"/>
      <c r="C730" s="456"/>
      <c r="D730" s="456"/>
      <c r="E730" s="456"/>
      <c r="F730" s="456"/>
      <c r="G730" s="456"/>
      <c r="H730" s="456"/>
      <c r="I730" s="456"/>
      <c r="J730" s="456"/>
      <c r="K730" s="456"/>
      <c r="L730" s="456"/>
      <c r="M730" s="456"/>
      <c r="N730" s="456"/>
      <c r="O730" s="456"/>
      <c r="P730" s="456"/>
      <c r="Q730" s="456"/>
      <c r="R730" s="456"/>
      <c r="S730" s="456"/>
      <c r="T730" s="456"/>
      <c r="U730" s="456"/>
      <c r="V730" s="456"/>
      <c r="W730" s="456"/>
      <c r="X730" s="456"/>
      <c r="Y730" s="456"/>
      <c r="Z730" s="456"/>
    </row>
    <row r="731" spans="1:26" ht="11.25" customHeight="1">
      <c r="A731" s="456"/>
      <c r="B731" s="456"/>
      <c r="C731" s="456"/>
      <c r="D731" s="456"/>
      <c r="E731" s="456"/>
      <c r="F731" s="456"/>
      <c r="G731" s="456"/>
      <c r="H731" s="456"/>
      <c r="I731" s="456"/>
      <c r="J731" s="456"/>
      <c r="K731" s="456"/>
      <c r="L731" s="456"/>
      <c r="M731" s="456"/>
      <c r="N731" s="456"/>
      <c r="O731" s="456"/>
      <c r="P731" s="456"/>
      <c r="Q731" s="456"/>
      <c r="R731" s="456"/>
      <c r="S731" s="456"/>
      <c r="T731" s="456"/>
      <c r="U731" s="456"/>
      <c r="V731" s="456"/>
      <c r="W731" s="456"/>
      <c r="X731" s="456"/>
      <c r="Y731" s="456"/>
      <c r="Z731" s="456"/>
    </row>
    <row r="732" spans="1:26" ht="11.25" customHeight="1">
      <c r="A732" s="456"/>
      <c r="B732" s="456"/>
      <c r="C732" s="456"/>
      <c r="D732" s="456"/>
      <c r="E732" s="456"/>
      <c r="F732" s="456"/>
      <c r="G732" s="456"/>
      <c r="H732" s="456"/>
      <c r="I732" s="456"/>
      <c r="J732" s="456"/>
      <c r="K732" s="456"/>
      <c r="L732" s="456"/>
      <c r="M732" s="456"/>
      <c r="N732" s="456"/>
      <c r="O732" s="456"/>
      <c r="P732" s="456"/>
      <c r="Q732" s="456"/>
      <c r="R732" s="456"/>
      <c r="S732" s="456"/>
      <c r="T732" s="456"/>
      <c r="U732" s="456"/>
      <c r="V732" s="456"/>
      <c r="W732" s="456"/>
      <c r="X732" s="456"/>
      <c r="Y732" s="456"/>
      <c r="Z732" s="456"/>
    </row>
    <row r="733" spans="1:26" ht="11.25" customHeight="1">
      <c r="A733" s="456"/>
      <c r="B733" s="456"/>
      <c r="C733" s="456"/>
      <c r="D733" s="456"/>
      <c r="E733" s="456"/>
      <c r="F733" s="456"/>
      <c r="G733" s="456"/>
      <c r="H733" s="456"/>
      <c r="I733" s="456"/>
      <c r="J733" s="456"/>
      <c r="K733" s="456"/>
      <c r="L733" s="456"/>
      <c r="M733" s="456"/>
      <c r="N733" s="456"/>
      <c r="O733" s="456"/>
      <c r="P733" s="456"/>
      <c r="Q733" s="456"/>
      <c r="R733" s="456"/>
      <c r="S733" s="456"/>
      <c r="T733" s="456"/>
      <c r="U733" s="456"/>
      <c r="V733" s="456"/>
      <c r="W733" s="456"/>
      <c r="X733" s="456"/>
      <c r="Y733" s="456"/>
      <c r="Z733" s="456"/>
    </row>
    <row r="734" spans="1:26" ht="11.25" customHeight="1">
      <c r="A734" s="456"/>
      <c r="B734" s="456"/>
      <c r="C734" s="456"/>
      <c r="D734" s="456"/>
      <c r="E734" s="456"/>
      <c r="F734" s="456"/>
      <c r="G734" s="456"/>
      <c r="H734" s="456"/>
      <c r="I734" s="456"/>
      <c r="J734" s="456"/>
      <c r="K734" s="456"/>
      <c r="L734" s="456"/>
      <c r="M734" s="456"/>
      <c r="N734" s="456"/>
      <c r="O734" s="456"/>
      <c r="P734" s="456"/>
      <c r="Q734" s="456"/>
      <c r="R734" s="456"/>
      <c r="S734" s="456"/>
      <c r="T734" s="456"/>
      <c r="U734" s="456"/>
      <c r="V734" s="456"/>
      <c r="W734" s="456"/>
      <c r="X734" s="456"/>
      <c r="Y734" s="456"/>
      <c r="Z734" s="456"/>
    </row>
    <row r="735" spans="1:26" ht="11.25" customHeight="1">
      <c r="A735" s="456"/>
      <c r="B735" s="456"/>
      <c r="C735" s="456"/>
      <c r="D735" s="456"/>
      <c r="E735" s="456"/>
      <c r="F735" s="456"/>
      <c r="G735" s="456"/>
      <c r="H735" s="456"/>
      <c r="I735" s="456"/>
      <c r="J735" s="456"/>
      <c r="K735" s="456"/>
      <c r="L735" s="456"/>
      <c r="M735" s="456"/>
      <c r="N735" s="456"/>
      <c r="O735" s="456"/>
      <c r="P735" s="456"/>
      <c r="Q735" s="456"/>
      <c r="R735" s="456"/>
      <c r="S735" s="456"/>
      <c r="T735" s="456"/>
      <c r="U735" s="456"/>
      <c r="V735" s="456"/>
      <c r="W735" s="456"/>
      <c r="X735" s="456"/>
      <c r="Y735" s="456"/>
      <c r="Z735" s="456"/>
    </row>
    <row r="736" spans="1:26" ht="11.25" customHeight="1">
      <c r="A736" s="456"/>
      <c r="B736" s="456"/>
      <c r="C736" s="456"/>
      <c r="D736" s="456"/>
      <c r="E736" s="456"/>
      <c r="F736" s="456"/>
      <c r="G736" s="456"/>
      <c r="H736" s="456"/>
      <c r="I736" s="456"/>
      <c r="J736" s="456"/>
      <c r="K736" s="456"/>
      <c r="L736" s="456"/>
      <c r="M736" s="456"/>
      <c r="N736" s="456"/>
      <c r="O736" s="456"/>
      <c r="P736" s="456"/>
      <c r="Q736" s="456"/>
      <c r="R736" s="456"/>
      <c r="S736" s="456"/>
      <c r="T736" s="456"/>
      <c r="U736" s="456"/>
      <c r="V736" s="456"/>
      <c r="W736" s="456"/>
      <c r="X736" s="456"/>
      <c r="Y736" s="456"/>
      <c r="Z736" s="456"/>
    </row>
    <row r="737" spans="1:26" ht="11.25" customHeight="1">
      <c r="A737" s="456"/>
      <c r="B737" s="456"/>
      <c r="C737" s="456"/>
      <c r="D737" s="456"/>
      <c r="E737" s="456"/>
      <c r="F737" s="456"/>
      <c r="G737" s="456"/>
      <c r="H737" s="456"/>
      <c r="I737" s="456"/>
      <c r="J737" s="456"/>
      <c r="K737" s="456"/>
      <c r="L737" s="456"/>
      <c r="M737" s="456"/>
      <c r="N737" s="456"/>
      <c r="O737" s="456"/>
      <c r="P737" s="456"/>
      <c r="Q737" s="456"/>
      <c r="R737" s="456"/>
      <c r="S737" s="456"/>
      <c r="T737" s="456"/>
      <c r="U737" s="456"/>
      <c r="V737" s="456"/>
      <c r="W737" s="456"/>
      <c r="X737" s="456"/>
      <c r="Y737" s="456"/>
      <c r="Z737" s="456"/>
    </row>
    <row r="738" spans="1:26" ht="11.25" customHeight="1">
      <c r="A738" s="456"/>
      <c r="B738" s="456"/>
      <c r="C738" s="456"/>
      <c r="D738" s="456"/>
      <c r="E738" s="456"/>
      <c r="F738" s="456"/>
      <c r="G738" s="456"/>
      <c r="H738" s="456"/>
      <c r="I738" s="456"/>
      <c r="J738" s="456"/>
      <c r="K738" s="456"/>
      <c r="L738" s="456"/>
      <c r="M738" s="456"/>
      <c r="N738" s="456"/>
      <c r="O738" s="456"/>
      <c r="P738" s="456"/>
      <c r="Q738" s="456"/>
      <c r="R738" s="456"/>
      <c r="S738" s="456"/>
      <c r="T738" s="456"/>
      <c r="U738" s="456"/>
      <c r="V738" s="456"/>
      <c r="W738" s="456"/>
      <c r="X738" s="456"/>
      <c r="Y738" s="456"/>
      <c r="Z738" s="456"/>
    </row>
    <row r="739" spans="1:26" ht="11.25" customHeight="1">
      <c r="A739" s="456"/>
      <c r="B739" s="456"/>
      <c r="C739" s="456"/>
      <c r="D739" s="456"/>
      <c r="E739" s="456"/>
      <c r="F739" s="456"/>
      <c r="G739" s="456"/>
      <c r="H739" s="456"/>
      <c r="I739" s="456"/>
      <c r="J739" s="456"/>
      <c r="K739" s="456"/>
      <c r="L739" s="456"/>
      <c r="M739" s="456"/>
      <c r="N739" s="456"/>
      <c r="O739" s="456"/>
      <c r="P739" s="456"/>
      <c r="Q739" s="456"/>
      <c r="R739" s="456"/>
      <c r="S739" s="456"/>
      <c r="T739" s="456"/>
      <c r="U739" s="456"/>
      <c r="V739" s="456"/>
      <c r="W739" s="456"/>
      <c r="X739" s="456"/>
      <c r="Y739" s="456"/>
      <c r="Z739" s="456"/>
    </row>
    <row r="740" spans="1:26" ht="11.25" customHeight="1">
      <c r="A740" s="456"/>
      <c r="B740" s="456"/>
      <c r="C740" s="456"/>
      <c r="D740" s="456"/>
      <c r="E740" s="456"/>
      <c r="F740" s="456"/>
      <c r="G740" s="456"/>
      <c r="H740" s="456"/>
      <c r="I740" s="456"/>
      <c r="J740" s="456"/>
      <c r="K740" s="456"/>
      <c r="L740" s="456"/>
      <c r="M740" s="456"/>
      <c r="N740" s="456"/>
      <c r="O740" s="456"/>
      <c r="P740" s="456"/>
      <c r="Q740" s="456"/>
      <c r="R740" s="456"/>
      <c r="S740" s="456"/>
      <c r="T740" s="456"/>
      <c r="U740" s="456"/>
      <c r="V740" s="456"/>
      <c r="W740" s="456"/>
      <c r="X740" s="456"/>
      <c r="Y740" s="456"/>
      <c r="Z740" s="456"/>
    </row>
    <row r="741" spans="1:26" ht="11.25" customHeight="1">
      <c r="A741" s="456"/>
      <c r="B741" s="456"/>
      <c r="C741" s="456"/>
      <c r="D741" s="456"/>
      <c r="E741" s="456"/>
      <c r="F741" s="456"/>
      <c r="G741" s="456"/>
      <c r="H741" s="456"/>
      <c r="I741" s="456"/>
      <c r="J741" s="456"/>
      <c r="K741" s="456"/>
      <c r="L741" s="456"/>
      <c r="M741" s="456"/>
      <c r="N741" s="456"/>
      <c r="O741" s="456"/>
      <c r="P741" s="456"/>
      <c r="Q741" s="456"/>
      <c r="R741" s="456"/>
      <c r="S741" s="456"/>
      <c r="T741" s="456"/>
      <c r="U741" s="456"/>
      <c r="V741" s="456"/>
      <c r="W741" s="456"/>
      <c r="X741" s="456"/>
      <c r="Y741" s="456"/>
      <c r="Z741" s="456"/>
    </row>
    <row r="742" spans="1:26" ht="11.25" customHeight="1">
      <c r="A742" s="456"/>
      <c r="B742" s="456"/>
      <c r="C742" s="456"/>
      <c r="D742" s="456"/>
      <c r="E742" s="456"/>
      <c r="F742" s="456"/>
      <c r="G742" s="456"/>
      <c r="H742" s="456"/>
      <c r="I742" s="456"/>
      <c r="J742" s="456"/>
      <c r="K742" s="456"/>
      <c r="L742" s="456"/>
      <c r="M742" s="456"/>
      <c r="N742" s="456"/>
      <c r="O742" s="456"/>
      <c r="P742" s="456"/>
      <c r="Q742" s="456"/>
      <c r="R742" s="456"/>
      <c r="S742" s="456"/>
      <c r="T742" s="456"/>
      <c r="U742" s="456"/>
      <c r="V742" s="456"/>
      <c r="W742" s="456"/>
      <c r="X742" s="456"/>
      <c r="Y742" s="456"/>
      <c r="Z742" s="456"/>
    </row>
    <row r="743" spans="1:26" ht="11.25" customHeight="1">
      <c r="A743" s="456"/>
      <c r="B743" s="456"/>
      <c r="C743" s="456"/>
      <c r="D743" s="456"/>
      <c r="E743" s="456"/>
      <c r="F743" s="456"/>
      <c r="G743" s="456"/>
      <c r="H743" s="456"/>
      <c r="I743" s="456"/>
      <c r="J743" s="456"/>
      <c r="K743" s="456"/>
      <c r="L743" s="456"/>
      <c r="M743" s="456"/>
      <c r="N743" s="456"/>
      <c r="O743" s="456"/>
      <c r="P743" s="456"/>
      <c r="Q743" s="456"/>
      <c r="R743" s="456"/>
      <c r="S743" s="456"/>
      <c r="T743" s="456"/>
      <c r="U743" s="456"/>
      <c r="V743" s="456"/>
      <c r="W743" s="456"/>
      <c r="X743" s="456"/>
      <c r="Y743" s="456"/>
      <c r="Z743" s="456"/>
    </row>
    <row r="744" spans="1:26" ht="11.25" customHeight="1">
      <c r="A744" s="456"/>
      <c r="B744" s="456"/>
      <c r="C744" s="456"/>
      <c r="D744" s="456"/>
      <c r="E744" s="456"/>
      <c r="F744" s="456"/>
      <c r="G744" s="456"/>
      <c r="H744" s="456"/>
      <c r="I744" s="456"/>
      <c r="J744" s="456"/>
      <c r="K744" s="456"/>
      <c r="L744" s="456"/>
      <c r="M744" s="456"/>
      <c r="N744" s="456"/>
      <c r="O744" s="456"/>
      <c r="P744" s="456"/>
      <c r="Q744" s="456"/>
      <c r="R744" s="456"/>
      <c r="S744" s="456"/>
      <c r="T744" s="456"/>
      <c r="U744" s="456"/>
      <c r="V744" s="456"/>
      <c r="W744" s="456"/>
      <c r="X744" s="456"/>
      <c r="Y744" s="456"/>
      <c r="Z744" s="456"/>
    </row>
    <row r="745" spans="1:26" ht="11.25" customHeight="1">
      <c r="A745" s="456"/>
      <c r="B745" s="456"/>
      <c r="C745" s="456"/>
      <c r="D745" s="456"/>
      <c r="E745" s="456"/>
      <c r="F745" s="456"/>
      <c r="G745" s="456"/>
      <c r="H745" s="456"/>
      <c r="I745" s="456"/>
      <c r="J745" s="456"/>
      <c r="K745" s="456"/>
      <c r="L745" s="456"/>
      <c r="M745" s="456"/>
      <c r="N745" s="456"/>
      <c r="O745" s="456"/>
      <c r="P745" s="456"/>
      <c r="Q745" s="456"/>
      <c r="R745" s="456"/>
      <c r="S745" s="456"/>
      <c r="T745" s="456"/>
      <c r="U745" s="456"/>
      <c r="V745" s="456"/>
      <c r="W745" s="456"/>
      <c r="X745" s="456"/>
      <c r="Y745" s="456"/>
      <c r="Z745" s="456"/>
    </row>
    <row r="746" spans="1:26" ht="11.25" customHeight="1">
      <c r="A746" s="456"/>
      <c r="B746" s="456"/>
      <c r="C746" s="456"/>
      <c r="D746" s="456"/>
      <c r="E746" s="456"/>
      <c r="F746" s="456"/>
      <c r="G746" s="456"/>
      <c r="H746" s="456"/>
      <c r="I746" s="456"/>
      <c r="J746" s="456"/>
      <c r="K746" s="456"/>
      <c r="L746" s="456"/>
      <c r="M746" s="456"/>
      <c r="N746" s="456"/>
      <c r="O746" s="456"/>
      <c r="P746" s="456"/>
      <c r="Q746" s="456"/>
      <c r="R746" s="456"/>
      <c r="S746" s="456"/>
      <c r="T746" s="456"/>
      <c r="U746" s="456"/>
      <c r="V746" s="456"/>
      <c r="W746" s="456"/>
      <c r="X746" s="456"/>
      <c r="Y746" s="456"/>
      <c r="Z746" s="456"/>
    </row>
    <row r="747" spans="1:26" ht="11.25" customHeight="1">
      <c r="A747" s="456"/>
      <c r="B747" s="456"/>
      <c r="C747" s="456"/>
      <c r="D747" s="456"/>
      <c r="E747" s="456"/>
      <c r="F747" s="456"/>
      <c r="G747" s="456"/>
      <c r="H747" s="456"/>
      <c r="I747" s="456"/>
      <c r="J747" s="456"/>
      <c r="K747" s="456"/>
      <c r="L747" s="456"/>
      <c r="M747" s="456"/>
      <c r="N747" s="456"/>
      <c r="O747" s="456"/>
      <c r="P747" s="456"/>
      <c r="Q747" s="456"/>
      <c r="R747" s="456"/>
      <c r="S747" s="456"/>
      <c r="T747" s="456"/>
      <c r="U747" s="456"/>
      <c r="V747" s="456"/>
      <c r="W747" s="456"/>
      <c r="X747" s="456"/>
      <c r="Y747" s="456"/>
      <c r="Z747" s="456"/>
    </row>
    <row r="748" spans="1:26" ht="11.25" customHeight="1">
      <c r="A748" s="456"/>
      <c r="B748" s="456"/>
      <c r="C748" s="456"/>
      <c r="D748" s="456"/>
      <c r="E748" s="456"/>
      <c r="F748" s="456"/>
      <c r="G748" s="456"/>
      <c r="H748" s="456"/>
      <c r="I748" s="456"/>
      <c r="J748" s="456"/>
      <c r="K748" s="456"/>
      <c r="L748" s="456"/>
      <c r="M748" s="456"/>
      <c r="N748" s="456"/>
      <c r="O748" s="456"/>
      <c r="P748" s="456"/>
      <c r="Q748" s="456"/>
      <c r="R748" s="456"/>
      <c r="S748" s="456"/>
      <c r="T748" s="456"/>
      <c r="U748" s="456"/>
      <c r="V748" s="456"/>
      <c r="W748" s="456"/>
      <c r="X748" s="456"/>
      <c r="Y748" s="456"/>
      <c r="Z748" s="456"/>
    </row>
    <row r="749" spans="1:26" ht="11.25" customHeight="1">
      <c r="A749" s="456"/>
      <c r="B749" s="456"/>
      <c r="C749" s="456"/>
      <c r="D749" s="456"/>
      <c r="E749" s="456"/>
      <c r="F749" s="456"/>
      <c r="G749" s="456"/>
      <c r="H749" s="456"/>
      <c r="I749" s="456"/>
      <c r="J749" s="456"/>
      <c r="K749" s="456"/>
      <c r="L749" s="456"/>
      <c r="M749" s="456"/>
      <c r="N749" s="456"/>
      <c r="O749" s="456"/>
      <c r="P749" s="456"/>
      <c r="Q749" s="456"/>
      <c r="R749" s="456"/>
      <c r="S749" s="456"/>
      <c r="T749" s="456"/>
      <c r="U749" s="456"/>
      <c r="V749" s="456"/>
      <c r="W749" s="456"/>
      <c r="X749" s="456"/>
      <c r="Y749" s="456"/>
      <c r="Z749" s="456"/>
    </row>
    <row r="750" spans="1:26" ht="11.25" customHeight="1">
      <c r="A750" s="456"/>
      <c r="B750" s="456"/>
      <c r="C750" s="456"/>
      <c r="D750" s="456"/>
      <c r="E750" s="456"/>
      <c r="F750" s="456"/>
      <c r="G750" s="456"/>
      <c r="H750" s="456"/>
      <c r="I750" s="456"/>
      <c r="J750" s="456"/>
      <c r="K750" s="456"/>
      <c r="L750" s="456"/>
      <c r="M750" s="456"/>
      <c r="N750" s="456"/>
      <c r="O750" s="456"/>
      <c r="P750" s="456"/>
      <c r="Q750" s="456"/>
      <c r="R750" s="456"/>
      <c r="S750" s="456"/>
      <c r="T750" s="456"/>
      <c r="U750" s="456"/>
      <c r="V750" s="456"/>
      <c r="W750" s="456"/>
      <c r="X750" s="456"/>
      <c r="Y750" s="456"/>
      <c r="Z750" s="456"/>
    </row>
    <row r="751" spans="1:26" ht="11.25" customHeight="1">
      <c r="A751" s="456"/>
      <c r="B751" s="456"/>
      <c r="C751" s="456"/>
      <c r="D751" s="456"/>
      <c r="E751" s="456"/>
      <c r="F751" s="456"/>
      <c r="G751" s="456"/>
      <c r="H751" s="456"/>
      <c r="I751" s="456"/>
      <c r="J751" s="456"/>
      <c r="K751" s="456"/>
      <c r="L751" s="456"/>
      <c r="M751" s="456"/>
      <c r="N751" s="456"/>
      <c r="O751" s="456"/>
      <c r="P751" s="456"/>
      <c r="Q751" s="456"/>
      <c r="R751" s="456"/>
      <c r="S751" s="456"/>
      <c r="T751" s="456"/>
      <c r="U751" s="456"/>
      <c r="V751" s="456"/>
      <c r="W751" s="456"/>
      <c r="X751" s="456"/>
      <c r="Y751" s="456"/>
      <c r="Z751" s="456"/>
    </row>
    <row r="752" spans="1:26" ht="11.25" customHeight="1">
      <c r="A752" s="456"/>
      <c r="B752" s="456"/>
      <c r="C752" s="456"/>
      <c r="D752" s="456"/>
      <c r="E752" s="456"/>
      <c r="F752" s="456"/>
      <c r="G752" s="456"/>
      <c r="H752" s="456"/>
      <c r="I752" s="456"/>
      <c r="J752" s="456"/>
      <c r="K752" s="456"/>
      <c r="L752" s="456"/>
      <c r="M752" s="456"/>
      <c r="N752" s="456"/>
      <c r="O752" s="456"/>
      <c r="P752" s="456"/>
      <c r="Q752" s="456"/>
      <c r="R752" s="456"/>
      <c r="S752" s="456"/>
      <c r="T752" s="456"/>
      <c r="U752" s="456"/>
      <c r="V752" s="456"/>
      <c r="W752" s="456"/>
      <c r="X752" s="456"/>
      <c r="Y752" s="456"/>
      <c r="Z752" s="456"/>
    </row>
    <row r="753" spans="1:26" ht="11.25" customHeight="1">
      <c r="A753" s="456"/>
      <c r="B753" s="456"/>
      <c r="C753" s="456"/>
      <c r="D753" s="456"/>
      <c r="E753" s="456"/>
      <c r="F753" s="456"/>
      <c r="G753" s="456"/>
      <c r="H753" s="456"/>
      <c r="I753" s="456"/>
      <c r="J753" s="456"/>
      <c r="K753" s="456"/>
      <c r="L753" s="456"/>
      <c r="M753" s="456"/>
      <c r="N753" s="456"/>
      <c r="O753" s="456"/>
      <c r="P753" s="456"/>
      <c r="Q753" s="456"/>
      <c r="R753" s="456"/>
      <c r="S753" s="456"/>
      <c r="T753" s="456"/>
      <c r="U753" s="456"/>
      <c r="V753" s="456"/>
      <c r="W753" s="456"/>
      <c r="X753" s="456"/>
      <c r="Y753" s="456"/>
      <c r="Z753" s="456"/>
    </row>
    <row r="754" spans="1:26" ht="11.25" customHeight="1">
      <c r="A754" s="456"/>
      <c r="B754" s="456"/>
      <c r="C754" s="456"/>
      <c r="D754" s="456"/>
      <c r="E754" s="456"/>
      <c r="F754" s="456"/>
      <c r="G754" s="456"/>
      <c r="H754" s="456"/>
      <c r="I754" s="456"/>
      <c r="J754" s="456"/>
      <c r="K754" s="456"/>
      <c r="L754" s="456"/>
      <c r="M754" s="456"/>
      <c r="N754" s="456"/>
      <c r="O754" s="456"/>
      <c r="P754" s="456"/>
      <c r="Q754" s="456"/>
      <c r="R754" s="456"/>
      <c r="S754" s="456"/>
      <c r="T754" s="456"/>
      <c r="U754" s="456"/>
      <c r="V754" s="456"/>
      <c r="W754" s="456"/>
      <c r="X754" s="456"/>
      <c r="Y754" s="456"/>
      <c r="Z754" s="456"/>
    </row>
    <row r="755" spans="1:26" ht="11.25" customHeight="1">
      <c r="A755" s="456"/>
      <c r="B755" s="456"/>
      <c r="C755" s="456"/>
      <c r="D755" s="456"/>
      <c r="E755" s="456"/>
      <c r="F755" s="456"/>
      <c r="G755" s="456"/>
      <c r="H755" s="456"/>
      <c r="I755" s="456"/>
      <c r="J755" s="456"/>
      <c r="K755" s="456"/>
      <c r="L755" s="456"/>
      <c r="M755" s="456"/>
      <c r="N755" s="456"/>
      <c r="O755" s="456"/>
      <c r="P755" s="456"/>
      <c r="Q755" s="456"/>
      <c r="R755" s="456"/>
      <c r="S755" s="456"/>
      <c r="T755" s="456"/>
      <c r="U755" s="456"/>
      <c r="V755" s="456"/>
      <c r="W755" s="456"/>
      <c r="X755" s="456"/>
      <c r="Y755" s="456"/>
      <c r="Z755" s="456"/>
    </row>
    <row r="756" spans="1:26" ht="11.25" customHeight="1">
      <c r="A756" s="456"/>
      <c r="B756" s="456"/>
      <c r="C756" s="456"/>
      <c r="D756" s="456"/>
      <c r="E756" s="456"/>
      <c r="F756" s="456"/>
      <c r="G756" s="456"/>
      <c r="H756" s="456"/>
      <c r="I756" s="456"/>
      <c r="J756" s="456"/>
      <c r="K756" s="456"/>
      <c r="L756" s="456"/>
      <c r="M756" s="456"/>
      <c r="N756" s="456"/>
      <c r="O756" s="456"/>
      <c r="P756" s="456"/>
      <c r="Q756" s="456"/>
      <c r="R756" s="456"/>
      <c r="S756" s="456"/>
      <c r="T756" s="456"/>
      <c r="U756" s="456"/>
      <c r="V756" s="456"/>
      <c r="W756" s="456"/>
      <c r="X756" s="456"/>
      <c r="Y756" s="456"/>
      <c r="Z756" s="456"/>
    </row>
    <row r="757" spans="1:26" ht="11.25" customHeight="1">
      <c r="A757" s="456"/>
      <c r="B757" s="456"/>
      <c r="C757" s="456"/>
      <c r="D757" s="456"/>
      <c r="E757" s="456"/>
      <c r="F757" s="456"/>
      <c r="G757" s="456"/>
      <c r="H757" s="456"/>
      <c r="I757" s="456"/>
      <c r="J757" s="456"/>
      <c r="K757" s="456"/>
      <c r="L757" s="456"/>
      <c r="M757" s="456"/>
      <c r="N757" s="456"/>
      <c r="O757" s="456"/>
      <c r="P757" s="456"/>
      <c r="Q757" s="456"/>
      <c r="R757" s="456"/>
      <c r="S757" s="456"/>
      <c r="T757" s="456"/>
      <c r="U757" s="456"/>
      <c r="V757" s="456"/>
      <c r="W757" s="456"/>
      <c r="X757" s="456"/>
      <c r="Y757" s="456"/>
      <c r="Z757" s="456"/>
    </row>
    <row r="758" spans="1:26" ht="11.25" customHeight="1">
      <c r="A758" s="456"/>
      <c r="B758" s="456"/>
      <c r="C758" s="456"/>
      <c r="D758" s="456"/>
      <c r="E758" s="456"/>
      <c r="F758" s="456"/>
      <c r="G758" s="456"/>
      <c r="H758" s="456"/>
      <c r="I758" s="456"/>
      <c r="J758" s="456"/>
      <c r="K758" s="456"/>
      <c r="L758" s="456"/>
      <c r="M758" s="456"/>
      <c r="N758" s="456"/>
      <c r="O758" s="456"/>
      <c r="P758" s="456"/>
      <c r="Q758" s="456"/>
      <c r="R758" s="456"/>
      <c r="S758" s="456"/>
      <c r="T758" s="456"/>
      <c r="U758" s="456"/>
      <c r="V758" s="456"/>
      <c r="W758" s="456"/>
      <c r="X758" s="456"/>
      <c r="Y758" s="456"/>
      <c r="Z758" s="456"/>
    </row>
    <row r="759" spans="1:26" ht="11.25" customHeight="1">
      <c r="A759" s="456"/>
      <c r="B759" s="456"/>
      <c r="C759" s="456"/>
      <c r="D759" s="456"/>
      <c r="E759" s="456"/>
      <c r="F759" s="456"/>
      <c r="G759" s="456"/>
      <c r="H759" s="456"/>
      <c r="I759" s="456"/>
      <c r="J759" s="456"/>
      <c r="K759" s="456"/>
      <c r="L759" s="456"/>
      <c r="M759" s="456"/>
      <c r="N759" s="456"/>
      <c r="O759" s="456"/>
      <c r="P759" s="456"/>
      <c r="Q759" s="456"/>
      <c r="R759" s="456"/>
      <c r="S759" s="456"/>
      <c r="T759" s="456"/>
      <c r="U759" s="456"/>
      <c r="V759" s="456"/>
      <c r="W759" s="456"/>
      <c r="X759" s="456"/>
      <c r="Y759" s="456"/>
      <c r="Z759" s="456"/>
    </row>
    <row r="760" spans="1:26" ht="11.25" customHeight="1">
      <c r="A760" s="456"/>
      <c r="B760" s="456"/>
      <c r="C760" s="456"/>
      <c r="D760" s="456"/>
      <c r="E760" s="456"/>
      <c r="F760" s="456"/>
      <c r="G760" s="456"/>
      <c r="H760" s="456"/>
      <c r="I760" s="456"/>
      <c r="J760" s="456"/>
      <c r="K760" s="456"/>
      <c r="L760" s="456"/>
      <c r="M760" s="456"/>
      <c r="N760" s="456"/>
      <c r="O760" s="456"/>
      <c r="P760" s="456"/>
      <c r="Q760" s="456"/>
      <c r="R760" s="456"/>
      <c r="S760" s="456"/>
      <c r="T760" s="456"/>
      <c r="U760" s="456"/>
      <c r="V760" s="456"/>
      <c r="W760" s="456"/>
      <c r="X760" s="456"/>
      <c r="Y760" s="456"/>
      <c r="Z760" s="456"/>
    </row>
    <row r="761" spans="1:26" ht="11.25" customHeight="1">
      <c r="A761" s="456"/>
      <c r="B761" s="456"/>
      <c r="C761" s="456"/>
      <c r="D761" s="456"/>
      <c r="E761" s="456"/>
      <c r="F761" s="456"/>
      <c r="G761" s="456"/>
      <c r="H761" s="456"/>
      <c r="I761" s="456"/>
      <c r="J761" s="456"/>
      <c r="K761" s="456"/>
      <c r="L761" s="456"/>
      <c r="M761" s="456"/>
      <c r="N761" s="456"/>
      <c r="O761" s="456"/>
      <c r="P761" s="456"/>
      <c r="Q761" s="456"/>
      <c r="R761" s="456"/>
      <c r="S761" s="456"/>
      <c r="T761" s="456"/>
      <c r="U761" s="456"/>
      <c r="V761" s="456"/>
      <c r="W761" s="456"/>
      <c r="X761" s="456"/>
      <c r="Y761" s="456"/>
      <c r="Z761" s="456"/>
    </row>
    <row r="762" spans="1:26" ht="11.25" customHeight="1">
      <c r="A762" s="456"/>
      <c r="B762" s="456"/>
      <c r="C762" s="456"/>
      <c r="D762" s="456"/>
      <c r="E762" s="456"/>
      <c r="F762" s="456"/>
      <c r="G762" s="456"/>
      <c r="H762" s="456"/>
      <c r="I762" s="456"/>
      <c r="J762" s="456"/>
      <c r="K762" s="456"/>
      <c r="L762" s="456"/>
      <c r="M762" s="456"/>
      <c r="N762" s="456"/>
      <c r="O762" s="456"/>
      <c r="P762" s="456"/>
      <c r="Q762" s="456"/>
      <c r="R762" s="456"/>
      <c r="S762" s="456"/>
      <c r="T762" s="456"/>
      <c r="U762" s="456"/>
      <c r="V762" s="456"/>
      <c r="W762" s="456"/>
      <c r="X762" s="456"/>
      <c r="Y762" s="456"/>
      <c r="Z762" s="456"/>
    </row>
    <row r="763" spans="1:26" ht="11.25" customHeight="1">
      <c r="A763" s="456"/>
      <c r="B763" s="456"/>
      <c r="C763" s="456"/>
      <c r="D763" s="456"/>
      <c r="E763" s="456"/>
      <c r="F763" s="456"/>
      <c r="G763" s="456"/>
      <c r="H763" s="456"/>
      <c r="I763" s="456"/>
      <c r="J763" s="456"/>
      <c r="K763" s="456"/>
      <c r="L763" s="456"/>
      <c r="M763" s="456"/>
      <c r="N763" s="456"/>
      <c r="O763" s="456"/>
      <c r="P763" s="456"/>
      <c r="Q763" s="456"/>
      <c r="R763" s="456"/>
      <c r="S763" s="456"/>
      <c r="T763" s="456"/>
      <c r="U763" s="456"/>
      <c r="V763" s="456"/>
      <c r="W763" s="456"/>
      <c r="X763" s="456"/>
      <c r="Y763" s="456"/>
      <c r="Z763" s="456"/>
    </row>
    <row r="764" spans="1:26" ht="11.25" customHeight="1">
      <c r="A764" s="456"/>
      <c r="B764" s="456"/>
      <c r="C764" s="456"/>
      <c r="D764" s="456"/>
      <c r="E764" s="456"/>
      <c r="F764" s="456"/>
      <c r="G764" s="456"/>
      <c r="H764" s="456"/>
      <c r="I764" s="456"/>
      <c r="J764" s="456"/>
      <c r="K764" s="456"/>
      <c r="L764" s="456"/>
      <c r="M764" s="456"/>
      <c r="N764" s="456"/>
      <c r="O764" s="456"/>
      <c r="P764" s="456"/>
      <c r="Q764" s="456"/>
      <c r="R764" s="456"/>
      <c r="S764" s="456"/>
      <c r="T764" s="456"/>
      <c r="U764" s="456"/>
      <c r="V764" s="456"/>
      <c r="W764" s="456"/>
      <c r="X764" s="456"/>
      <c r="Y764" s="456"/>
      <c r="Z764" s="456"/>
    </row>
    <row r="765" spans="1:26" ht="11.25" customHeight="1">
      <c r="A765" s="456"/>
      <c r="B765" s="456"/>
      <c r="C765" s="456"/>
      <c r="D765" s="456"/>
      <c r="E765" s="456"/>
      <c r="F765" s="456"/>
      <c r="G765" s="456"/>
      <c r="H765" s="456"/>
      <c r="I765" s="456"/>
      <c r="J765" s="456"/>
      <c r="K765" s="456"/>
      <c r="L765" s="456"/>
      <c r="M765" s="456"/>
      <c r="N765" s="456"/>
      <c r="O765" s="456"/>
      <c r="P765" s="456"/>
      <c r="Q765" s="456"/>
      <c r="R765" s="456"/>
      <c r="S765" s="456"/>
      <c r="T765" s="456"/>
      <c r="U765" s="456"/>
      <c r="V765" s="456"/>
      <c r="W765" s="456"/>
      <c r="X765" s="456"/>
      <c r="Y765" s="456"/>
      <c r="Z765" s="456"/>
    </row>
    <row r="766" spans="1:26" ht="11.25" customHeight="1">
      <c r="A766" s="456"/>
      <c r="B766" s="456"/>
      <c r="C766" s="456"/>
      <c r="D766" s="456"/>
      <c r="E766" s="456"/>
      <c r="F766" s="456"/>
      <c r="G766" s="456"/>
      <c r="H766" s="456"/>
      <c r="I766" s="456"/>
      <c r="J766" s="456"/>
      <c r="K766" s="456"/>
      <c r="L766" s="456"/>
      <c r="M766" s="456"/>
      <c r="N766" s="456"/>
      <c r="O766" s="456"/>
      <c r="P766" s="456"/>
      <c r="Q766" s="456"/>
      <c r="R766" s="456"/>
      <c r="S766" s="456"/>
      <c r="T766" s="456"/>
      <c r="U766" s="456"/>
      <c r="V766" s="456"/>
      <c r="W766" s="456"/>
      <c r="X766" s="456"/>
      <c r="Y766" s="456"/>
      <c r="Z766" s="456"/>
    </row>
    <row r="767" spans="1:26" ht="11.25" customHeight="1">
      <c r="A767" s="456"/>
      <c r="B767" s="456"/>
      <c r="C767" s="456"/>
      <c r="D767" s="456"/>
      <c r="E767" s="456"/>
      <c r="F767" s="456"/>
      <c r="G767" s="456"/>
      <c r="H767" s="456"/>
      <c r="I767" s="456"/>
      <c r="J767" s="456"/>
      <c r="K767" s="456"/>
      <c r="L767" s="456"/>
      <c r="M767" s="456"/>
      <c r="N767" s="456"/>
      <c r="O767" s="456"/>
      <c r="P767" s="456"/>
      <c r="Q767" s="456"/>
      <c r="R767" s="456"/>
      <c r="S767" s="456"/>
      <c r="T767" s="456"/>
      <c r="U767" s="456"/>
      <c r="V767" s="456"/>
      <c r="W767" s="456"/>
      <c r="X767" s="456"/>
      <c r="Y767" s="456"/>
      <c r="Z767" s="456"/>
    </row>
    <row r="768" spans="1:26" ht="11.25" customHeight="1">
      <c r="A768" s="456"/>
      <c r="B768" s="456"/>
      <c r="C768" s="456"/>
      <c r="D768" s="456"/>
      <c r="E768" s="456"/>
      <c r="F768" s="456"/>
      <c r="G768" s="456"/>
      <c r="H768" s="456"/>
      <c r="I768" s="456"/>
      <c r="J768" s="456"/>
      <c r="K768" s="456"/>
      <c r="L768" s="456"/>
      <c r="M768" s="456"/>
      <c r="N768" s="456"/>
      <c r="O768" s="456"/>
      <c r="P768" s="456"/>
      <c r="Q768" s="456"/>
      <c r="R768" s="456"/>
      <c r="S768" s="456"/>
      <c r="T768" s="456"/>
      <c r="U768" s="456"/>
      <c r="V768" s="456"/>
      <c r="W768" s="456"/>
      <c r="X768" s="456"/>
      <c r="Y768" s="456"/>
      <c r="Z768" s="456"/>
    </row>
    <row r="769" spans="1:26" ht="11.25" customHeight="1">
      <c r="A769" s="456"/>
      <c r="B769" s="456"/>
      <c r="C769" s="456"/>
      <c r="D769" s="456"/>
      <c r="E769" s="456"/>
      <c r="F769" s="456"/>
      <c r="G769" s="456"/>
      <c r="H769" s="456"/>
      <c r="I769" s="456"/>
      <c r="J769" s="456"/>
      <c r="K769" s="456"/>
      <c r="L769" s="456"/>
      <c r="M769" s="456"/>
      <c r="N769" s="456"/>
      <c r="O769" s="456"/>
      <c r="P769" s="456"/>
      <c r="Q769" s="456"/>
      <c r="R769" s="456"/>
      <c r="S769" s="456"/>
      <c r="T769" s="456"/>
      <c r="U769" s="456"/>
      <c r="V769" s="456"/>
      <c r="W769" s="456"/>
      <c r="X769" s="456"/>
      <c r="Y769" s="456"/>
      <c r="Z769" s="456"/>
    </row>
    <row r="770" spans="1:26" ht="11.25" customHeight="1">
      <c r="A770" s="456"/>
      <c r="B770" s="456"/>
      <c r="C770" s="456"/>
      <c r="D770" s="456"/>
      <c r="E770" s="456"/>
      <c r="F770" s="456"/>
      <c r="G770" s="456"/>
      <c r="H770" s="456"/>
      <c r="I770" s="456"/>
      <c r="J770" s="456"/>
      <c r="K770" s="456"/>
      <c r="L770" s="456"/>
      <c r="M770" s="456"/>
      <c r="N770" s="456"/>
      <c r="O770" s="456"/>
      <c r="P770" s="456"/>
      <c r="Q770" s="456"/>
      <c r="R770" s="456"/>
      <c r="S770" s="456"/>
      <c r="T770" s="456"/>
      <c r="U770" s="456"/>
      <c r="V770" s="456"/>
      <c r="W770" s="456"/>
      <c r="X770" s="456"/>
      <c r="Y770" s="456"/>
      <c r="Z770" s="456"/>
    </row>
    <row r="771" spans="1:26" ht="11.25" customHeight="1">
      <c r="A771" s="456"/>
      <c r="B771" s="456"/>
      <c r="C771" s="456"/>
      <c r="D771" s="456"/>
      <c r="E771" s="456"/>
      <c r="F771" s="456"/>
      <c r="G771" s="456"/>
      <c r="H771" s="456"/>
      <c r="I771" s="456"/>
      <c r="J771" s="456"/>
      <c r="K771" s="456"/>
      <c r="L771" s="456"/>
      <c r="M771" s="456"/>
      <c r="N771" s="456"/>
      <c r="O771" s="456"/>
      <c r="P771" s="456"/>
      <c r="Q771" s="456"/>
      <c r="R771" s="456"/>
      <c r="S771" s="456"/>
      <c r="T771" s="456"/>
      <c r="U771" s="456"/>
      <c r="V771" s="456"/>
      <c r="W771" s="456"/>
      <c r="X771" s="456"/>
      <c r="Y771" s="456"/>
      <c r="Z771" s="456"/>
    </row>
    <row r="772" spans="1:26" ht="11.25" customHeight="1">
      <c r="A772" s="456"/>
      <c r="B772" s="456"/>
      <c r="C772" s="456"/>
      <c r="D772" s="456"/>
      <c r="E772" s="456"/>
      <c r="F772" s="456"/>
      <c r="G772" s="456"/>
      <c r="H772" s="456"/>
      <c r="I772" s="456"/>
      <c r="J772" s="456"/>
      <c r="K772" s="456"/>
      <c r="L772" s="456"/>
      <c r="M772" s="456"/>
      <c r="N772" s="456"/>
      <c r="O772" s="456"/>
      <c r="P772" s="456"/>
      <c r="Q772" s="456"/>
      <c r="R772" s="456"/>
      <c r="S772" s="456"/>
      <c r="T772" s="456"/>
      <c r="U772" s="456"/>
      <c r="V772" s="456"/>
      <c r="W772" s="456"/>
      <c r="X772" s="456"/>
      <c r="Y772" s="456"/>
      <c r="Z772" s="456"/>
    </row>
    <row r="773" spans="1:26" ht="11.25" customHeight="1">
      <c r="A773" s="456"/>
      <c r="B773" s="456"/>
      <c r="C773" s="456"/>
      <c r="D773" s="456"/>
      <c r="E773" s="456"/>
      <c r="F773" s="456"/>
      <c r="G773" s="456"/>
      <c r="H773" s="456"/>
      <c r="I773" s="456"/>
      <c r="J773" s="456"/>
      <c r="K773" s="456"/>
      <c r="L773" s="456"/>
      <c r="M773" s="456"/>
      <c r="N773" s="456"/>
      <c r="O773" s="456"/>
      <c r="P773" s="456"/>
      <c r="Q773" s="456"/>
      <c r="R773" s="456"/>
      <c r="S773" s="456"/>
      <c r="T773" s="456"/>
      <c r="U773" s="456"/>
      <c r="V773" s="456"/>
      <c r="W773" s="456"/>
      <c r="X773" s="456"/>
      <c r="Y773" s="456"/>
      <c r="Z773" s="456"/>
    </row>
    <row r="774" spans="1:26" ht="11.25" customHeight="1">
      <c r="A774" s="456"/>
      <c r="B774" s="456"/>
      <c r="C774" s="456"/>
      <c r="D774" s="456"/>
      <c r="E774" s="456"/>
      <c r="F774" s="456"/>
      <c r="G774" s="456"/>
      <c r="H774" s="456"/>
      <c r="I774" s="456"/>
      <c r="J774" s="456"/>
      <c r="K774" s="456"/>
      <c r="L774" s="456"/>
      <c r="M774" s="456"/>
      <c r="N774" s="456"/>
      <c r="O774" s="456"/>
      <c r="P774" s="456"/>
      <c r="Q774" s="456"/>
      <c r="R774" s="456"/>
      <c r="S774" s="456"/>
      <c r="T774" s="456"/>
      <c r="U774" s="456"/>
      <c r="V774" s="456"/>
      <c r="W774" s="456"/>
      <c r="X774" s="456"/>
      <c r="Y774" s="456"/>
      <c r="Z774" s="456"/>
    </row>
    <row r="775" spans="1:26" ht="11.25" customHeight="1">
      <c r="A775" s="456"/>
      <c r="B775" s="456"/>
      <c r="C775" s="456"/>
      <c r="D775" s="456"/>
      <c r="E775" s="456"/>
      <c r="F775" s="456"/>
      <c r="G775" s="456"/>
      <c r="H775" s="456"/>
      <c r="I775" s="456"/>
      <c r="J775" s="456"/>
      <c r="K775" s="456"/>
      <c r="L775" s="456"/>
      <c r="M775" s="456"/>
      <c r="N775" s="456"/>
      <c r="O775" s="456"/>
      <c r="P775" s="456"/>
      <c r="Q775" s="456"/>
      <c r="R775" s="456"/>
      <c r="S775" s="456"/>
      <c r="T775" s="456"/>
      <c r="U775" s="456"/>
      <c r="V775" s="456"/>
      <c r="W775" s="456"/>
      <c r="X775" s="456"/>
      <c r="Y775" s="456"/>
      <c r="Z775" s="456"/>
    </row>
    <row r="776" spans="1:26" ht="11.25" customHeight="1">
      <c r="A776" s="456"/>
      <c r="B776" s="456"/>
      <c r="C776" s="456"/>
      <c r="D776" s="456"/>
      <c r="E776" s="456"/>
      <c r="F776" s="456"/>
      <c r="G776" s="456"/>
      <c r="H776" s="456"/>
      <c r="I776" s="456"/>
      <c r="J776" s="456"/>
      <c r="K776" s="456"/>
      <c r="L776" s="456"/>
      <c r="M776" s="456"/>
      <c r="N776" s="456"/>
      <c r="O776" s="456"/>
      <c r="P776" s="456"/>
      <c r="Q776" s="456"/>
      <c r="R776" s="456"/>
      <c r="S776" s="456"/>
      <c r="T776" s="456"/>
      <c r="U776" s="456"/>
      <c r="V776" s="456"/>
      <c r="W776" s="456"/>
      <c r="X776" s="456"/>
      <c r="Y776" s="456"/>
      <c r="Z776" s="456"/>
    </row>
    <row r="777" spans="1:26" ht="11.25" customHeight="1">
      <c r="A777" s="456"/>
      <c r="B777" s="456"/>
      <c r="C777" s="456"/>
      <c r="D777" s="456"/>
      <c r="E777" s="456"/>
      <c r="F777" s="456"/>
      <c r="G777" s="456"/>
      <c r="H777" s="456"/>
      <c r="I777" s="456"/>
      <c r="J777" s="456"/>
      <c r="K777" s="456"/>
      <c r="L777" s="456"/>
      <c r="M777" s="456"/>
      <c r="N777" s="456"/>
      <c r="O777" s="456"/>
      <c r="P777" s="456"/>
      <c r="Q777" s="456"/>
      <c r="R777" s="456"/>
      <c r="S777" s="456"/>
      <c r="T777" s="456"/>
      <c r="U777" s="456"/>
      <c r="V777" s="456"/>
      <c r="W777" s="456"/>
      <c r="X777" s="456"/>
      <c r="Y777" s="456"/>
      <c r="Z777" s="456"/>
    </row>
    <row r="778" spans="1:26" ht="11.25" customHeight="1">
      <c r="A778" s="456"/>
      <c r="B778" s="456"/>
      <c r="C778" s="456"/>
      <c r="D778" s="456"/>
      <c r="E778" s="456"/>
      <c r="F778" s="456"/>
      <c r="G778" s="456"/>
      <c r="H778" s="456"/>
      <c r="I778" s="456"/>
      <c r="J778" s="456"/>
      <c r="K778" s="456"/>
      <c r="L778" s="456"/>
      <c r="M778" s="456"/>
      <c r="N778" s="456"/>
      <c r="O778" s="456"/>
      <c r="P778" s="456"/>
      <c r="Q778" s="456"/>
      <c r="R778" s="456"/>
      <c r="S778" s="456"/>
      <c r="T778" s="456"/>
      <c r="U778" s="456"/>
      <c r="V778" s="456"/>
      <c r="W778" s="456"/>
      <c r="X778" s="456"/>
      <c r="Y778" s="456"/>
      <c r="Z778" s="456"/>
    </row>
    <row r="779" spans="1:26" ht="11.25" customHeight="1">
      <c r="A779" s="456"/>
      <c r="B779" s="456"/>
      <c r="C779" s="456"/>
      <c r="D779" s="456"/>
      <c r="E779" s="456"/>
      <c r="F779" s="456"/>
      <c r="G779" s="456"/>
      <c r="H779" s="456"/>
      <c r="I779" s="456"/>
      <c r="J779" s="456"/>
      <c r="K779" s="456"/>
      <c r="L779" s="456"/>
      <c r="M779" s="456"/>
      <c r="N779" s="456"/>
      <c r="O779" s="456"/>
      <c r="P779" s="456"/>
      <c r="Q779" s="456"/>
      <c r="R779" s="456"/>
      <c r="S779" s="456"/>
      <c r="T779" s="456"/>
      <c r="U779" s="456"/>
      <c r="V779" s="456"/>
      <c r="W779" s="456"/>
      <c r="X779" s="456"/>
      <c r="Y779" s="456"/>
      <c r="Z779" s="456"/>
    </row>
    <row r="780" spans="1:26" ht="11.25" customHeight="1">
      <c r="A780" s="456"/>
      <c r="B780" s="456"/>
      <c r="C780" s="456"/>
      <c r="D780" s="456"/>
      <c r="E780" s="456"/>
      <c r="F780" s="456"/>
      <c r="G780" s="456"/>
      <c r="H780" s="456"/>
      <c r="I780" s="456"/>
      <c r="J780" s="456"/>
      <c r="K780" s="456"/>
      <c r="L780" s="456"/>
      <c r="M780" s="456"/>
      <c r="N780" s="456"/>
      <c r="O780" s="456"/>
      <c r="P780" s="456"/>
      <c r="Q780" s="456"/>
      <c r="R780" s="456"/>
      <c r="S780" s="456"/>
      <c r="T780" s="456"/>
      <c r="U780" s="456"/>
      <c r="V780" s="456"/>
      <c r="W780" s="456"/>
      <c r="X780" s="456"/>
      <c r="Y780" s="456"/>
      <c r="Z780" s="456"/>
    </row>
    <row r="781" spans="1:26" ht="11.25" customHeight="1">
      <c r="A781" s="456"/>
      <c r="B781" s="456"/>
      <c r="C781" s="456"/>
      <c r="D781" s="456"/>
      <c r="E781" s="456"/>
      <c r="F781" s="456"/>
      <c r="G781" s="456"/>
      <c r="H781" s="456"/>
      <c r="I781" s="456"/>
      <c r="J781" s="456"/>
      <c r="K781" s="456"/>
      <c r="L781" s="456"/>
      <c r="M781" s="456"/>
      <c r="N781" s="456"/>
      <c r="O781" s="456"/>
      <c r="P781" s="456"/>
      <c r="Q781" s="456"/>
      <c r="R781" s="456"/>
      <c r="S781" s="456"/>
      <c r="T781" s="456"/>
      <c r="U781" s="456"/>
      <c r="V781" s="456"/>
      <c r="W781" s="456"/>
      <c r="X781" s="456"/>
      <c r="Y781" s="456"/>
      <c r="Z781" s="456"/>
    </row>
    <row r="782" spans="1:26" ht="11.25" customHeight="1">
      <c r="A782" s="456"/>
      <c r="B782" s="456"/>
      <c r="C782" s="456"/>
      <c r="D782" s="456"/>
      <c r="E782" s="456"/>
      <c r="F782" s="456"/>
      <c r="G782" s="456"/>
      <c r="H782" s="456"/>
      <c r="I782" s="456"/>
      <c r="J782" s="456"/>
      <c r="K782" s="456"/>
      <c r="L782" s="456"/>
      <c r="M782" s="456"/>
      <c r="N782" s="456"/>
      <c r="O782" s="456"/>
      <c r="P782" s="456"/>
      <c r="Q782" s="456"/>
      <c r="R782" s="456"/>
      <c r="S782" s="456"/>
      <c r="T782" s="456"/>
      <c r="U782" s="456"/>
      <c r="V782" s="456"/>
      <c r="W782" s="456"/>
      <c r="X782" s="456"/>
      <c r="Y782" s="456"/>
      <c r="Z782" s="456"/>
    </row>
    <row r="783" spans="1:26" ht="11.25" customHeight="1">
      <c r="A783" s="456"/>
      <c r="B783" s="456"/>
      <c r="C783" s="456"/>
      <c r="D783" s="456"/>
      <c r="E783" s="456"/>
      <c r="F783" s="456"/>
      <c r="G783" s="456"/>
      <c r="H783" s="456"/>
      <c r="I783" s="456"/>
      <c r="J783" s="456"/>
      <c r="K783" s="456"/>
      <c r="L783" s="456"/>
      <c r="M783" s="456"/>
      <c r="N783" s="456"/>
      <c r="O783" s="456"/>
      <c r="P783" s="456"/>
      <c r="Q783" s="456"/>
      <c r="R783" s="456"/>
      <c r="S783" s="456"/>
      <c r="T783" s="456"/>
      <c r="U783" s="456"/>
      <c r="V783" s="456"/>
      <c r="W783" s="456"/>
      <c r="X783" s="456"/>
      <c r="Y783" s="456"/>
      <c r="Z783" s="456"/>
    </row>
    <row r="784" spans="1:26" ht="11.25" customHeight="1">
      <c r="A784" s="456"/>
      <c r="B784" s="456"/>
      <c r="C784" s="456"/>
      <c r="D784" s="456"/>
      <c r="E784" s="456"/>
      <c r="F784" s="456"/>
      <c r="G784" s="456"/>
      <c r="H784" s="456"/>
      <c r="I784" s="456"/>
      <c r="J784" s="456"/>
      <c r="K784" s="456"/>
      <c r="L784" s="456"/>
      <c r="M784" s="456"/>
      <c r="N784" s="456"/>
      <c r="O784" s="456"/>
      <c r="P784" s="456"/>
      <c r="Q784" s="456"/>
      <c r="R784" s="456"/>
      <c r="S784" s="456"/>
      <c r="T784" s="456"/>
      <c r="U784" s="456"/>
      <c r="V784" s="456"/>
      <c r="W784" s="456"/>
      <c r="X784" s="456"/>
      <c r="Y784" s="456"/>
      <c r="Z784" s="456"/>
    </row>
    <row r="785" spans="1:26" ht="11.25" customHeight="1">
      <c r="A785" s="456"/>
      <c r="B785" s="456"/>
      <c r="C785" s="456"/>
      <c r="D785" s="456"/>
      <c r="E785" s="456"/>
      <c r="F785" s="456"/>
      <c r="G785" s="456"/>
      <c r="H785" s="456"/>
      <c r="I785" s="456"/>
      <c r="J785" s="456"/>
      <c r="K785" s="456"/>
      <c r="L785" s="456"/>
      <c r="M785" s="456"/>
      <c r="N785" s="456"/>
      <c r="O785" s="456"/>
      <c r="P785" s="456"/>
      <c r="Q785" s="456"/>
      <c r="R785" s="456"/>
      <c r="S785" s="456"/>
      <c r="T785" s="456"/>
      <c r="U785" s="456"/>
      <c r="V785" s="456"/>
      <c r="W785" s="456"/>
      <c r="X785" s="456"/>
      <c r="Y785" s="456"/>
      <c r="Z785" s="456"/>
    </row>
    <row r="786" spans="1:26" ht="11.25" customHeight="1">
      <c r="A786" s="456"/>
      <c r="B786" s="456"/>
      <c r="C786" s="456"/>
      <c r="D786" s="456"/>
      <c r="E786" s="456"/>
      <c r="F786" s="456"/>
      <c r="G786" s="456"/>
      <c r="H786" s="456"/>
      <c r="I786" s="456"/>
      <c r="J786" s="456"/>
      <c r="K786" s="456"/>
      <c r="L786" s="456"/>
      <c r="M786" s="456"/>
      <c r="N786" s="456"/>
      <c r="O786" s="456"/>
      <c r="P786" s="456"/>
      <c r="Q786" s="456"/>
      <c r="R786" s="456"/>
      <c r="S786" s="456"/>
      <c r="T786" s="456"/>
      <c r="U786" s="456"/>
      <c r="V786" s="456"/>
      <c r="W786" s="456"/>
      <c r="X786" s="456"/>
      <c r="Y786" s="456"/>
      <c r="Z786" s="456"/>
    </row>
    <row r="787" spans="1:26" ht="11.25" customHeight="1">
      <c r="A787" s="456"/>
      <c r="B787" s="456"/>
      <c r="C787" s="456"/>
      <c r="D787" s="456"/>
      <c r="E787" s="456"/>
      <c r="F787" s="456"/>
      <c r="G787" s="456"/>
      <c r="H787" s="456"/>
      <c r="I787" s="456"/>
      <c r="J787" s="456"/>
      <c r="K787" s="456"/>
      <c r="L787" s="456"/>
      <c r="M787" s="456"/>
      <c r="N787" s="456"/>
      <c r="O787" s="456"/>
      <c r="P787" s="456"/>
      <c r="Q787" s="456"/>
      <c r="R787" s="456"/>
      <c r="S787" s="456"/>
      <c r="T787" s="456"/>
      <c r="U787" s="456"/>
      <c r="V787" s="456"/>
      <c r="W787" s="456"/>
      <c r="X787" s="456"/>
      <c r="Y787" s="456"/>
      <c r="Z787" s="456"/>
    </row>
    <row r="788" spans="1:26" ht="11.25" customHeight="1">
      <c r="A788" s="456"/>
      <c r="B788" s="456"/>
      <c r="C788" s="456"/>
      <c r="D788" s="456"/>
      <c r="E788" s="456"/>
      <c r="F788" s="456"/>
      <c r="G788" s="456"/>
      <c r="H788" s="456"/>
      <c r="I788" s="456"/>
      <c r="J788" s="456"/>
      <c r="K788" s="456"/>
      <c r="L788" s="456"/>
      <c r="M788" s="456"/>
      <c r="N788" s="456"/>
      <c r="O788" s="456"/>
      <c r="P788" s="456"/>
      <c r="Q788" s="456"/>
      <c r="R788" s="456"/>
      <c r="S788" s="456"/>
      <c r="T788" s="456"/>
      <c r="U788" s="456"/>
      <c r="V788" s="456"/>
      <c r="W788" s="456"/>
      <c r="X788" s="456"/>
      <c r="Y788" s="456"/>
      <c r="Z788" s="456"/>
    </row>
    <row r="789" spans="1:26" ht="11.25" customHeight="1">
      <c r="A789" s="456"/>
      <c r="B789" s="456"/>
      <c r="C789" s="456"/>
      <c r="D789" s="456"/>
      <c r="E789" s="456"/>
      <c r="F789" s="456"/>
      <c r="G789" s="456"/>
      <c r="H789" s="456"/>
      <c r="I789" s="456"/>
      <c r="J789" s="456"/>
      <c r="K789" s="456"/>
      <c r="L789" s="456"/>
      <c r="M789" s="456"/>
      <c r="N789" s="456"/>
      <c r="O789" s="456"/>
      <c r="P789" s="456"/>
      <c r="Q789" s="456"/>
      <c r="R789" s="456"/>
      <c r="S789" s="456"/>
      <c r="T789" s="456"/>
      <c r="U789" s="456"/>
      <c r="V789" s="456"/>
      <c r="W789" s="456"/>
      <c r="X789" s="456"/>
      <c r="Y789" s="456"/>
      <c r="Z789" s="456"/>
    </row>
    <row r="790" spans="1:26" ht="11.25" customHeight="1">
      <c r="A790" s="456"/>
      <c r="B790" s="456"/>
      <c r="C790" s="456"/>
      <c r="D790" s="456"/>
      <c r="E790" s="456"/>
      <c r="F790" s="456"/>
      <c r="G790" s="456"/>
      <c r="H790" s="456"/>
      <c r="I790" s="456"/>
      <c r="J790" s="456"/>
      <c r="K790" s="456"/>
      <c r="L790" s="456"/>
      <c r="M790" s="456"/>
      <c r="N790" s="456"/>
      <c r="O790" s="456"/>
      <c r="P790" s="456"/>
      <c r="Q790" s="456"/>
      <c r="R790" s="456"/>
      <c r="S790" s="456"/>
      <c r="T790" s="456"/>
      <c r="U790" s="456"/>
      <c r="V790" s="456"/>
      <c r="W790" s="456"/>
      <c r="X790" s="456"/>
      <c r="Y790" s="456"/>
      <c r="Z790" s="456"/>
    </row>
    <row r="791" spans="1:26" ht="11.25" customHeight="1">
      <c r="A791" s="456"/>
      <c r="B791" s="456"/>
      <c r="C791" s="456"/>
      <c r="D791" s="456"/>
      <c r="E791" s="456"/>
      <c r="F791" s="456"/>
      <c r="G791" s="456"/>
      <c r="H791" s="456"/>
      <c r="I791" s="456"/>
      <c r="J791" s="456"/>
      <c r="K791" s="456"/>
      <c r="L791" s="456"/>
      <c r="M791" s="456"/>
      <c r="N791" s="456"/>
      <c r="O791" s="456"/>
      <c r="P791" s="456"/>
      <c r="Q791" s="456"/>
      <c r="R791" s="456"/>
      <c r="S791" s="456"/>
      <c r="T791" s="456"/>
      <c r="U791" s="456"/>
      <c r="V791" s="456"/>
      <c r="W791" s="456"/>
      <c r="X791" s="456"/>
      <c r="Y791" s="456"/>
      <c r="Z791" s="456"/>
    </row>
    <row r="792" spans="1:26" ht="11.25" customHeight="1">
      <c r="A792" s="456"/>
      <c r="B792" s="456"/>
      <c r="C792" s="456"/>
      <c r="D792" s="456"/>
      <c r="E792" s="456"/>
      <c r="F792" s="456"/>
      <c r="G792" s="456"/>
      <c r="H792" s="456"/>
      <c r="I792" s="456"/>
      <c r="J792" s="456"/>
      <c r="K792" s="456"/>
      <c r="L792" s="456"/>
      <c r="M792" s="456"/>
      <c r="N792" s="456"/>
      <c r="O792" s="456"/>
      <c r="P792" s="456"/>
      <c r="Q792" s="456"/>
      <c r="R792" s="456"/>
      <c r="S792" s="456"/>
      <c r="T792" s="456"/>
      <c r="U792" s="456"/>
      <c r="V792" s="456"/>
      <c r="W792" s="456"/>
      <c r="X792" s="456"/>
      <c r="Y792" s="456"/>
      <c r="Z792" s="456"/>
    </row>
    <row r="793" spans="1:26" ht="11.25" customHeight="1">
      <c r="A793" s="456"/>
      <c r="B793" s="456"/>
      <c r="C793" s="456"/>
      <c r="D793" s="456"/>
      <c r="E793" s="456"/>
      <c r="F793" s="456"/>
      <c r="G793" s="456"/>
      <c r="H793" s="456"/>
      <c r="I793" s="456"/>
      <c r="J793" s="456"/>
      <c r="K793" s="456"/>
      <c r="L793" s="456"/>
      <c r="M793" s="456"/>
      <c r="N793" s="456"/>
      <c r="O793" s="456"/>
      <c r="P793" s="456"/>
      <c r="Q793" s="456"/>
      <c r="R793" s="456"/>
      <c r="S793" s="456"/>
      <c r="T793" s="456"/>
      <c r="U793" s="456"/>
      <c r="V793" s="456"/>
      <c r="W793" s="456"/>
      <c r="X793" s="456"/>
      <c r="Y793" s="456"/>
      <c r="Z793" s="456"/>
    </row>
    <row r="794" spans="1:26" ht="11.25" customHeight="1">
      <c r="A794" s="456"/>
      <c r="B794" s="456"/>
      <c r="C794" s="456"/>
      <c r="D794" s="456"/>
      <c r="E794" s="456"/>
      <c r="F794" s="456"/>
      <c r="G794" s="456"/>
      <c r="H794" s="456"/>
      <c r="I794" s="456"/>
      <c r="J794" s="456"/>
      <c r="K794" s="456"/>
      <c r="L794" s="456"/>
      <c r="M794" s="456"/>
      <c r="N794" s="456"/>
      <c r="O794" s="456"/>
      <c r="P794" s="456"/>
      <c r="Q794" s="456"/>
      <c r="R794" s="456"/>
      <c r="S794" s="456"/>
      <c r="T794" s="456"/>
      <c r="U794" s="456"/>
      <c r="V794" s="456"/>
      <c r="W794" s="456"/>
      <c r="X794" s="456"/>
      <c r="Y794" s="456"/>
      <c r="Z794" s="456"/>
    </row>
    <row r="795" spans="1:26" ht="11.25" customHeight="1">
      <c r="A795" s="456"/>
      <c r="B795" s="456"/>
      <c r="C795" s="456"/>
      <c r="D795" s="456"/>
      <c r="E795" s="456"/>
      <c r="F795" s="456"/>
      <c r="G795" s="456"/>
      <c r="H795" s="456"/>
      <c r="I795" s="456"/>
      <c r="J795" s="456"/>
      <c r="K795" s="456"/>
      <c r="L795" s="456"/>
      <c r="M795" s="456"/>
      <c r="N795" s="456"/>
      <c r="O795" s="456"/>
      <c r="P795" s="456"/>
      <c r="Q795" s="456"/>
      <c r="R795" s="456"/>
      <c r="S795" s="456"/>
      <c r="T795" s="456"/>
      <c r="U795" s="456"/>
      <c r="V795" s="456"/>
      <c r="W795" s="456"/>
      <c r="X795" s="456"/>
      <c r="Y795" s="456"/>
      <c r="Z795" s="456"/>
    </row>
    <row r="796" spans="1:26" ht="11.25" customHeight="1">
      <c r="A796" s="456"/>
      <c r="B796" s="456"/>
      <c r="C796" s="456"/>
      <c r="D796" s="456"/>
      <c r="E796" s="456"/>
      <c r="F796" s="456"/>
      <c r="G796" s="456"/>
      <c r="H796" s="456"/>
      <c r="I796" s="456"/>
      <c r="J796" s="456"/>
      <c r="K796" s="456"/>
      <c r="L796" s="456"/>
      <c r="M796" s="456"/>
      <c r="N796" s="456"/>
      <c r="O796" s="456"/>
      <c r="P796" s="456"/>
      <c r="Q796" s="456"/>
      <c r="R796" s="456"/>
      <c r="S796" s="456"/>
      <c r="T796" s="456"/>
      <c r="U796" s="456"/>
      <c r="V796" s="456"/>
      <c r="W796" s="456"/>
      <c r="X796" s="456"/>
      <c r="Y796" s="456"/>
      <c r="Z796" s="456"/>
    </row>
    <row r="797" spans="1:26" ht="11.25" customHeight="1">
      <c r="A797" s="456"/>
      <c r="B797" s="456"/>
      <c r="C797" s="456"/>
      <c r="D797" s="456"/>
      <c r="E797" s="456"/>
      <c r="F797" s="456"/>
      <c r="G797" s="456"/>
      <c r="H797" s="456"/>
      <c r="I797" s="456"/>
      <c r="J797" s="456"/>
      <c r="K797" s="456"/>
      <c r="L797" s="456"/>
      <c r="M797" s="456"/>
      <c r="N797" s="456"/>
      <c r="O797" s="456"/>
      <c r="P797" s="456"/>
      <c r="Q797" s="456"/>
      <c r="R797" s="456"/>
      <c r="S797" s="456"/>
      <c r="T797" s="456"/>
      <c r="U797" s="456"/>
      <c r="V797" s="456"/>
      <c r="W797" s="456"/>
      <c r="X797" s="456"/>
      <c r="Y797" s="456"/>
      <c r="Z797" s="456"/>
    </row>
    <row r="798" spans="1:26" ht="11.25" customHeight="1">
      <c r="A798" s="456"/>
      <c r="B798" s="456"/>
      <c r="C798" s="456"/>
      <c r="D798" s="456"/>
      <c r="E798" s="456"/>
      <c r="F798" s="456"/>
      <c r="G798" s="456"/>
      <c r="H798" s="456"/>
      <c r="I798" s="456"/>
      <c r="J798" s="456"/>
      <c r="K798" s="456"/>
      <c r="L798" s="456"/>
      <c r="M798" s="456"/>
      <c r="N798" s="456"/>
      <c r="O798" s="456"/>
      <c r="P798" s="456"/>
      <c r="Q798" s="456"/>
      <c r="R798" s="456"/>
      <c r="S798" s="456"/>
      <c r="T798" s="456"/>
      <c r="U798" s="456"/>
      <c r="V798" s="456"/>
      <c r="W798" s="456"/>
      <c r="X798" s="456"/>
      <c r="Y798" s="456"/>
      <c r="Z798" s="456"/>
    </row>
    <row r="799" spans="1:26" ht="11.25" customHeight="1">
      <c r="A799" s="456"/>
      <c r="B799" s="456"/>
      <c r="C799" s="456"/>
      <c r="D799" s="456"/>
      <c r="E799" s="456"/>
      <c r="F799" s="456"/>
      <c r="G799" s="456"/>
      <c r="H799" s="456"/>
      <c r="I799" s="456"/>
      <c r="J799" s="456"/>
      <c r="K799" s="456"/>
      <c r="L799" s="456"/>
      <c r="M799" s="456"/>
      <c r="N799" s="456"/>
      <c r="O799" s="456"/>
      <c r="P799" s="456"/>
      <c r="Q799" s="456"/>
      <c r="R799" s="456"/>
      <c r="S799" s="456"/>
      <c r="T799" s="456"/>
      <c r="U799" s="456"/>
      <c r="V799" s="456"/>
      <c r="W799" s="456"/>
      <c r="X799" s="456"/>
      <c r="Y799" s="456"/>
      <c r="Z799" s="456"/>
    </row>
    <row r="800" spans="1:26" ht="11.25" customHeight="1">
      <c r="A800" s="456"/>
      <c r="B800" s="456"/>
      <c r="C800" s="456"/>
      <c r="D800" s="456"/>
      <c r="E800" s="456"/>
      <c r="F800" s="456"/>
      <c r="G800" s="456"/>
      <c r="H800" s="456"/>
      <c r="I800" s="456"/>
      <c r="J800" s="456"/>
      <c r="K800" s="456"/>
      <c r="L800" s="456"/>
      <c r="M800" s="456"/>
      <c r="N800" s="456"/>
      <c r="O800" s="456"/>
      <c r="P800" s="456"/>
      <c r="Q800" s="456"/>
      <c r="R800" s="456"/>
      <c r="S800" s="456"/>
      <c r="T800" s="456"/>
      <c r="U800" s="456"/>
      <c r="V800" s="456"/>
      <c r="W800" s="456"/>
      <c r="X800" s="456"/>
      <c r="Y800" s="456"/>
      <c r="Z800" s="456"/>
    </row>
    <row r="801" spans="1:26" ht="11.25" customHeight="1">
      <c r="A801" s="456"/>
      <c r="B801" s="456"/>
      <c r="C801" s="456"/>
      <c r="D801" s="456"/>
      <c r="E801" s="456"/>
      <c r="F801" s="456"/>
      <c r="G801" s="456"/>
      <c r="H801" s="456"/>
      <c r="I801" s="456"/>
      <c r="J801" s="456"/>
      <c r="K801" s="456"/>
      <c r="L801" s="456"/>
      <c r="M801" s="456"/>
      <c r="N801" s="456"/>
      <c r="O801" s="456"/>
      <c r="P801" s="456"/>
      <c r="Q801" s="456"/>
      <c r="R801" s="456"/>
      <c r="S801" s="456"/>
      <c r="T801" s="456"/>
      <c r="U801" s="456"/>
      <c r="V801" s="456"/>
      <c r="W801" s="456"/>
      <c r="X801" s="456"/>
      <c r="Y801" s="456"/>
      <c r="Z801" s="456"/>
    </row>
    <row r="802" spans="1:26" ht="11.25" customHeight="1">
      <c r="A802" s="456"/>
      <c r="B802" s="456"/>
      <c r="C802" s="456"/>
      <c r="D802" s="456"/>
      <c r="E802" s="456"/>
      <c r="F802" s="456"/>
      <c r="G802" s="456"/>
      <c r="H802" s="456"/>
      <c r="I802" s="456"/>
      <c r="J802" s="456"/>
      <c r="K802" s="456"/>
      <c r="L802" s="456"/>
      <c r="M802" s="456"/>
      <c r="N802" s="456"/>
      <c r="O802" s="456"/>
      <c r="P802" s="456"/>
      <c r="Q802" s="456"/>
      <c r="R802" s="456"/>
      <c r="S802" s="456"/>
      <c r="T802" s="456"/>
      <c r="U802" s="456"/>
      <c r="V802" s="456"/>
      <c r="W802" s="456"/>
      <c r="X802" s="456"/>
      <c r="Y802" s="456"/>
      <c r="Z802" s="456"/>
    </row>
    <row r="803" spans="1:26" ht="11.25" customHeight="1">
      <c r="A803" s="456"/>
      <c r="B803" s="456"/>
      <c r="C803" s="456"/>
      <c r="D803" s="456"/>
      <c r="E803" s="456"/>
      <c r="F803" s="456"/>
      <c r="G803" s="456"/>
      <c r="H803" s="456"/>
      <c r="I803" s="456"/>
      <c r="J803" s="456"/>
      <c r="K803" s="456"/>
      <c r="L803" s="456"/>
      <c r="M803" s="456"/>
      <c r="N803" s="456"/>
      <c r="O803" s="456"/>
      <c r="P803" s="456"/>
      <c r="Q803" s="456"/>
      <c r="R803" s="456"/>
      <c r="S803" s="456"/>
      <c r="T803" s="456"/>
      <c r="U803" s="456"/>
      <c r="V803" s="456"/>
      <c r="W803" s="456"/>
      <c r="X803" s="456"/>
      <c r="Y803" s="456"/>
      <c r="Z803" s="456"/>
    </row>
    <row r="804" spans="1:26" ht="11.25" customHeight="1">
      <c r="A804" s="456"/>
      <c r="B804" s="456"/>
      <c r="C804" s="456"/>
      <c r="D804" s="456"/>
      <c r="E804" s="456"/>
      <c r="F804" s="456"/>
      <c r="G804" s="456"/>
      <c r="H804" s="456"/>
      <c r="I804" s="456"/>
      <c r="J804" s="456"/>
      <c r="K804" s="456"/>
      <c r="L804" s="456"/>
      <c r="M804" s="456"/>
      <c r="N804" s="456"/>
      <c r="O804" s="456"/>
      <c r="P804" s="456"/>
      <c r="Q804" s="456"/>
      <c r="R804" s="456"/>
      <c r="S804" s="456"/>
      <c r="T804" s="456"/>
      <c r="U804" s="456"/>
      <c r="V804" s="456"/>
      <c r="W804" s="456"/>
      <c r="X804" s="456"/>
      <c r="Y804" s="456"/>
      <c r="Z804" s="456"/>
    </row>
    <row r="805" spans="1:26" ht="11.25" customHeight="1">
      <c r="A805" s="456"/>
      <c r="B805" s="456"/>
      <c r="C805" s="456"/>
      <c r="D805" s="456"/>
      <c r="E805" s="456"/>
      <c r="F805" s="456"/>
      <c r="G805" s="456"/>
      <c r="H805" s="456"/>
      <c r="I805" s="456"/>
      <c r="J805" s="456"/>
      <c r="K805" s="456"/>
      <c r="L805" s="456"/>
      <c r="M805" s="456"/>
      <c r="N805" s="456"/>
      <c r="O805" s="456"/>
      <c r="P805" s="456"/>
      <c r="Q805" s="456"/>
      <c r="R805" s="456"/>
      <c r="S805" s="456"/>
      <c r="T805" s="456"/>
      <c r="U805" s="456"/>
      <c r="V805" s="456"/>
      <c r="W805" s="456"/>
      <c r="X805" s="456"/>
      <c r="Y805" s="456"/>
      <c r="Z805" s="456"/>
    </row>
    <row r="806" spans="1:26" ht="11.25" customHeight="1">
      <c r="A806" s="456"/>
      <c r="B806" s="456"/>
      <c r="C806" s="456"/>
      <c r="D806" s="456"/>
      <c r="E806" s="456"/>
      <c r="F806" s="456"/>
      <c r="G806" s="456"/>
      <c r="H806" s="456"/>
      <c r="I806" s="456"/>
      <c r="J806" s="456"/>
      <c r="K806" s="456"/>
      <c r="L806" s="456"/>
      <c r="M806" s="456"/>
      <c r="N806" s="456"/>
      <c r="O806" s="456"/>
      <c r="P806" s="456"/>
      <c r="Q806" s="456"/>
      <c r="R806" s="456"/>
      <c r="S806" s="456"/>
      <c r="T806" s="456"/>
      <c r="U806" s="456"/>
      <c r="V806" s="456"/>
      <c r="W806" s="456"/>
      <c r="X806" s="456"/>
      <c r="Y806" s="456"/>
      <c r="Z806" s="456"/>
    </row>
    <row r="807" spans="1:26" ht="11.25" customHeight="1">
      <c r="A807" s="456"/>
      <c r="B807" s="456"/>
      <c r="C807" s="456"/>
      <c r="D807" s="456"/>
      <c r="E807" s="456"/>
      <c r="F807" s="456"/>
      <c r="G807" s="456"/>
      <c r="H807" s="456"/>
      <c r="I807" s="456"/>
      <c r="J807" s="456"/>
      <c r="K807" s="456"/>
      <c r="L807" s="456"/>
      <c r="M807" s="456"/>
      <c r="N807" s="456"/>
      <c r="O807" s="456"/>
      <c r="P807" s="456"/>
      <c r="Q807" s="456"/>
      <c r="R807" s="456"/>
      <c r="S807" s="456"/>
      <c r="T807" s="456"/>
      <c r="U807" s="456"/>
      <c r="V807" s="456"/>
      <c r="W807" s="456"/>
      <c r="X807" s="456"/>
      <c r="Y807" s="456"/>
      <c r="Z807" s="456"/>
    </row>
    <row r="808" spans="1:26" ht="11.25" customHeight="1">
      <c r="A808" s="456"/>
      <c r="B808" s="456"/>
      <c r="C808" s="456"/>
      <c r="D808" s="456"/>
      <c r="E808" s="456"/>
      <c r="F808" s="456"/>
      <c r="G808" s="456"/>
      <c r="H808" s="456"/>
      <c r="I808" s="456"/>
      <c r="J808" s="456"/>
      <c r="K808" s="456"/>
      <c r="L808" s="456"/>
      <c r="M808" s="456"/>
      <c r="N808" s="456"/>
      <c r="O808" s="456"/>
      <c r="P808" s="456"/>
      <c r="Q808" s="456"/>
      <c r="R808" s="456"/>
      <c r="S808" s="456"/>
      <c r="T808" s="456"/>
      <c r="U808" s="456"/>
      <c r="V808" s="456"/>
      <c r="W808" s="456"/>
      <c r="X808" s="456"/>
      <c r="Y808" s="456"/>
      <c r="Z808" s="456"/>
    </row>
    <row r="809" spans="1:26" ht="11.25" customHeight="1">
      <c r="A809" s="456"/>
      <c r="B809" s="456"/>
      <c r="C809" s="456"/>
      <c r="D809" s="456"/>
      <c r="E809" s="456"/>
      <c r="F809" s="456"/>
      <c r="G809" s="456"/>
      <c r="H809" s="456"/>
      <c r="I809" s="456"/>
      <c r="J809" s="456"/>
      <c r="K809" s="456"/>
      <c r="L809" s="456"/>
      <c r="M809" s="456"/>
      <c r="N809" s="456"/>
      <c r="O809" s="456"/>
      <c r="P809" s="456"/>
      <c r="Q809" s="456"/>
      <c r="R809" s="456"/>
      <c r="S809" s="456"/>
      <c r="T809" s="456"/>
      <c r="U809" s="456"/>
      <c r="V809" s="456"/>
      <c r="W809" s="456"/>
      <c r="X809" s="456"/>
      <c r="Y809" s="456"/>
      <c r="Z809" s="456"/>
    </row>
    <row r="810" spans="1:26" ht="11.25" customHeight="1">
      <c r="A810" s="456"/>
      <c r="B810" s="456"/>
      <c r="C810" s="456"/>
      <c r="D810" s="456"/>
      <c r="E810" s="456"/>
      <c r="F810" s="456"/>
      <c r="G810" s="456"/>
      <c r="H810" s="456"/>
      <c r="I810" s="456"/>
      <c r="J810" s="456"/>
      <c r="K810" s="456"/>
      <c r="L810" s="456"/>
      <c r="M810" s="456"/>
      <c r="N810" s="456"/>
      <c r="O810" s="456"/>
      <c r="P810" s="456"/>
      <c r="Q810" s="456"/>
      <c r="R810" s="456"/>
      <c r="S810" s="456"/>
      <c r="T810" s="456"/>
      <c r="U810" s="456"/>
      <c r="V810" s="456"/>
      <c r="W810" s="456"/>
      <c r="X810" s="456"/>
      <c r="Y810" s="456"/>
      <c r="Z810" s="456"/>
    </row>
    <row r="811" spans="1:26" ht="11.25" customHeight="1">
      <c r="A811" s="456"/>
      <c r="B811" s="456"/>
      <c r="C811" s="456"/>
      <c r="D811" s="456"/>
      <c r="E811" s="456"/>
      <c r="F811" s="456"/>
      <c r="G811" s="456"/>
      <c r="H811" s="456"/>
      <c r="I811" s="456"/>
      <c r="J811" s="456"/>
      <c r="K811" s="456"/>
      <c r="L811" s="456"/>
      <c r="M811" s="456"/>
      <c r="N811" s="456"/>
      <c r="O811" s="456"/>
      <c r="P811" s="456"/>
      <c r="Q811" s="456"/>
      <c r="R811" s="456"/>
      <c r="S811" s="456"/>
      <c r="T811" s="456"/>
      <c r="U811" s="456"/>
      <c r="V811" s="456"/>
      <c r="W811" s="456"/>
      <c r="X811" s="456"/>
      <c r="Y811" s="456"/>
      <c r="Z811" s="456"/>
    </row>
    <row r="812" spans="1:26" ht="11.25" customHeight="1">
      <c r="A812" s="456"/>
      <c r="B812" s="456"/>
      <c r="C812" s="456"/>
      <c r="D812" s="456"/>
      <c r="E812" s="456"/>
      <c r="F812" s="456"/>
      <c r="G812" s="456"/>
      <c r="H812" s="456"/>
      <c r="I812" s="456"/>
      <c r="J812" s="456"/>
      <c r="K812" s="456"/>
      <c r="L812" s="456"/>
      <c r="M812" s="456"/>
      <c r="N812" s="456"/>
      <c r="O812" s="456"/>
      <c r="P812" s="456"/>
      <c r="Q812" s="456"/>
      <c r="R812" s="456"/>
      <c r="S812" s="456"/>
      <c r="T812" s="456"/>
      <c r="U812" s="456"/>
      <c r="V812" s="456"/>
      <c r="W812" s="456"/>
      <c r="X812" s="456"/>
      <c r="Y812" s="456"/>
      <c r="Z812" s="456"/>
    </row>
    <row r="813" spans="1:26" ht="11.25" customHeight="1">
      <c r="A813" s="456"/>
      <c r="B813" s="456"/>
      <c r="C813" s="456"/>
      <c r="D813" s="456"/>
      <c r="E813" s="456"/>
      <c r="F813" s="456"/>
      <c r="G813" s="456"/>
      <c r="H813" s="456"/>
      <c r="I813" s="456"/>
      <c r="J813" s="456"/>
      <c r="K813" s="456"/>
      <c r="L813" s="456"/>
      <c r="M813" s="456"/>
      <c r="N813" s="456"/>
      <c r="O813" s="456"/>
      <c r="P813" s="456"/>
      <c r="Q813" s="456"/>
      <c r="R813" s="456"/>
      <c r="S813" s="456"/>
      <c r="T813" s="456"/>
      <c r="U813" s="456"/>
      <c r="V813" s="456"/>
      <c r="W813" s="456"/>
      <c r="X813" s="456"/>
      <c r="Y813" s="456"/>
      <c r="Z813" s="456"/>
    </row>
    <row r="814" spans="1:26" ht="11.25" customHeight="1">
      <c r="A814" s="456"/>
      <c r="B814" s="456"/>
      <c r="C814" s="456"/>
      <c r="D814" s="456"/>
      <c r="E814" s="456"/>
      <c r="F814" s="456"/>
      <c r="G814" s="456"/>
      <c r="H814" s="456"/>
      <c r="I814" s="456"/>
      <c r="J814" s="456"/>
      <c r="K814" s="456"/>
      <c r="L814" s="456"/>
      <c r="M814" s="456"/>
      <c r="N814" s="456"/>
      <c r="O814" s="456"/>
      <c r="P814" s="456"/>
      <c r="Q814" s="456"/>
      <c r="R814" s="456"/>
      <c r="S814" s="456"/>
      <c r="T814" s="456"/>
      <c r="U814" s="456"/>
      <c r="V814" s="456"/>
      <c r="W814" s="456"/>
      <c r="X814" s="456"/>
      <c r="Y814" s="456"/>
      <c r="Z814" s="456"/>
    </row>
    <row r="815" spans="1:26" ht="11.25" customHeight="1">
      <c r="A815" s="456"/>
      <c r="B815" s="456"/>
      <c r="C815" s="456"/>
      <c r="D815" s="456"/>
      <c r="E815" s="456"/>
      <c r="F815" s="456"/>
      <c r="G815" s="456"/>
      <c r="H815" s="456"/>
      <c r="I815" s="456"/>
      <c r="J815" s="456"/>
      <c r="K815" s="456"/>
      <c r="L815" s="456"/>
      <c r="M815" s="456"/>
      <c r="N815" s="456"/>
      <c r="O815" s="456"/>
      <c r="P815" s="456"/>
      <c r="Q815" s="456"/>
      <c r="R815" s="456"/>
      <c r="S815" s="456"/>
      <c r="T815" s="456"/>
      <c r="U815" s="456"/>
      <c r="V815" s="456"/>
      <c r="W815" s="456"/>
      <c r="X815" s="456"/>
      <c r="Y815" s="456"/>
      <c r="Z815" s="456"/>
    </row>
    <row r="816" spans="1:26" ht="11.25" customHeight="1">
      <c r="A816" s="456"/>
      <c r="B816" s="456"/>
      <c r="C816" s="456"/>
      <c r="D816" s="456"/>
      <c r="E816" s="456"/>
      <c r="F816" s="456"/>
      <c r="G816" s="456"/>
      <c r="H816" s="456"/>
      <c r="I816" s="456"/>
      <c r="J816" s="456"/>
      <c r="K816" s="456"/>
      <c r="L816" s="456"/>
      <c r="M816" s="456"/>
      <c r="N816" s="456"/>
      <c r="O816" s="456"/>
      <c r="P816" s="456"/>
      <c r="Q816" s="456"/>
      <c r="R816" s="456"/>
      <c r="S816" s="456"/>
      <c r="T816" s="456"/>
      <c r="U816" s="456"/>
      <c r="V816" s="456"/>
      <c r="W816" s="456"/>
      <c r="X816" s="456"/>
      <c r="Y816" s="456"/>
      <c r="Z816" s="456"/>
    </row>
    <row r="817" spans="1:26" ht="11.25" customHeight="1">
      <c r="A817" s="456"/>
      <c r="B817" s="456"/>
      <c r="C817" s="456"/>
      <c r="D817" s="456"/>
      <c r="E817" s="456"/>
      <c r="F817" s="456"/>
      <c r="G817" s="456"/>
      <c r="H817" s="456"/>
      <c r="I817" s="456"/>
      <c r="J817" s="456"/>
      <c r="K817" s="456"/>
      <c r="L817" s="456"/>
      <c r="M817" s="456"/>
      <c r="N817" s="456"/>
      <c r="O817" s="456"/>
      <c r="P817" s="456"/>
      <c r="Q817" s="456"/>
      <c r="R817" s="456"/>
      <c r="S817" s="456"/>
      <c r="T817" s="456"/>
      <c r="U817" s="456"/>
      <c r="V817" s="456"/>
      <c r="W817" s="456"/>
      <c r="X817" s="456"/>
      <c r="Y817" s="456"/>
      <c r="Z817" s="456"/>
    </row>
    <row r="818" spans="1:26" ht="11.25" customHeight="1">
      <c r="A818" s="456"/>
      <c r="B818" s="456"/>
      <c r="C818" s="456"/>
      <c r="D818" s="456"/>
      <c r="E818" s="456"/>
      <c r="F818" s="456"/>
      <c r="G818" s="456"/>
      <c r="H818" s="456"/>
      <c r="I818" s="456"/>
      <c r="J818" s="456"/>
      <c r="K818" s="456"/>
      <c r="L818" s="456"/>
      <c r="M818" s="456"/>
      <c r="N818" s="456"/>
      <c r="O818" s="456"/>
      <c r="P818" s="456"/>
      <c r="Q818" s="456"/>
      <c r="R818" s="456"/>
      <c r="S818" s="456"/>
      <c r="T818" s="456"/>
      <c r="U818" s="456"/>
      <c r="V818" s="456"/>
      <c r="W818" s="456"/>
      <c r="X818" s="456"/>
      <c r="Y818" s="456"/>
      <c r="Z818" s="456"/>
    </row>
    <row r="819" spans="1:26" ht="11.25" customHeight="1">
      <c r="A819" s="456"/>
      <c r="B819" s="456"/>
      <c r="C819" s="456"/>
      <c r="D819" s="456"/>
      <c r="E819" s="456"/>
      <c r="F819" s="456"/>
      <c r="G819" s="456"/>
      <c r="H819" s="456"/>
      <c r="I819" s="456"/>
      <c r="J819" s="456"/>
      <c r="K819" s="456"/>
      <c r="L819" s="456"/>
      <c r="M819" s="456"/>
      <c r="N819" s="456"/>
      <c r="O819" s="456"/>
      <c r="P819" s="456"/>
      <c r="Q819" s="456"/>
      <c r="R819" s="456"/>
      <c r="S819" s="456"/>
      <c r="T819" s="456"/>
      <c r="U819" s="456"/>
      <c r="V819" s="456"/>
      <c r="W819" s="456"/>
      <c r="X819" s="456"/>
      <c r="Y819" s="456"/>
      <c r="Z819" s="456"/>
    </row>
    <row r="820" spans="1:26" ht="11.25" customHeight="1">
      <c r="A820" s="456"/>
      <c r="B820" s="456"/>
      <c r="C820" s="456"/>
      <c r="D820" s="456"/>
      <c r="E820" s="456"/>
      <c r="F820" s="456"/>
      <c r="G820" s="456"/>
      <c r="H820" s="456"/>
      <c r="I820" s="456"/>
      <c r="J820" s="456"/>
      <c r="K820" s="456"/>
      <c r="L820" s="456"/>
      <c r="M820" s="456"/>
      <c r="N820" s="456"/>
      <c r="O820" s="456"/>
      <c r="P820" s="456"/>
      <c r="Q820" s="456"/>
      <c r="R820" s="456"/>
      <c r="S820" s="456"/>
      <c r="T820" s="456"/>
      <c r="U820" s="456"/>
      <c r="V820" s="456"/>
      <c r="W820" s="456"/>
      <c r="X820" s="456"/>
      <c r="Y820" s="456"/>
      <c r="Z820" s="456"/>
    </row>
    <row r="821" spans="1:26" ht="11.25" customHeight="1">
      <c r="A821" s="456"/>
      <c r="B821" s="456"/>
      <c r="C821" s="456"/>
      <c r="D821" s="456"/>
      <c r="E821" s="456"/>
      <c r="F821" s="456"/>
      <c r="G821" s="456"/>
      <c r="H821" s="456"/>
      <c r="I821" s="456"/>
      <c r="J821" s="456"/>
      <c r="K821" s="456"/>
      <c r="L821" s="456"/>
      <c r="M821" s="456"/>
      <c r="N821" s="456"/>
      <c r="O821" s="456"/>
      <c r="P821" s="456"/>
      <c r="Q821" s="456"/>
      <c r="R821" s="456"/>
      <c r="S821" s="456"/>
      <c r="T821" s="456"/>
      <c r="U821" s="456"/>
      <c r="V821" s="456"/>
      <c r="W821" s="456"/>
      <c r="X821" s="456"/>
      <c r="Y821" s="456"/>
      <c r="Z821" s="456"/>
    </row>
    <row r="822" spans="1:26" ht="11.25" customHeight="1">
      <c r="A822" s="456"/>
      <c r="B822" s="456"/>
      <c r="C822" s="456"/>
      <c r="D822" s="456"/>
      <c r="E822" s="456"/>
      <c r="F822" s="456"/>
      <c r="G822" s="456"/>
      <c r="H822" s="456"/>
      <c r="I822" s="456"/>
      <c r="J822" s="456"/>
      <c r="K822" s="456"/>
      <c r="L822" s="456"/>
      <c r="M822" s="456"/>
      <c r="N822" s="456"/>
      <c r="O822" s="456"/>
      <c r="P822" s="456"/>
      <c r="Q822" s="456"/>
      <c r="R822" s="456"/>
      <c r="S822" s="456"/>
      <c r="T822" s="456"/>
      <c r="U822" s="456"/>
      <c r="V822" s="456"/>
      <c r="W822" s="456"/>
      <c r="X822" s="456"/>
      <c r="Y822" s="456"/>
      <c r="Z822" s="456"/>
    </row>
    <row r="823" spans="1:26" ht="11.25" customHeight="1">
      <c r="A823" s="456"/>
      <c r="B823" s="456"/>
      <c r="C823" s="456"/>
      <c r="D823" s="456"/>
      <c r="E823" s="456"/>
      <c r="F823" s="456"/>
      <c r="G823" s="456"/>
      <c r="H823" s="456"/>
      <c r="I823" s="456"/>
      <c r="J823" s="456"/>
      <c r="K823" s="456"/>
      <c r="L823" s="456"/>
      <c r="M823" s="456"/>
      <c r="N823" s="456"/>
      <c r="O823" s="456"/>
      <c r="P823" s="456"/>
      <c r="Q823" s="456"/>
      <c r="R823" s="456"/>
      <c r="S823" s="456"/>
      <c r="T823" s="456"/>
      <c r="U823" s="456"/>
      <c r="V823" s="456"/>
      <c r="W823" s="456"/>
      <c r="X823" s="456"/>
      <c r="Y823" s="456"/>
      <c r="Z823" s="456"/>
    </row>
    <row r="824" spans="1:26" ht="11.25" customHeight="1">
      <c r="A824" s="456"/>
      <c r="B824" s="456"/>
      <c r="C824" s="456"/>
      <c r="D824" s="456"/>
      <c r="E824" s="456"/>
      <c r="F824" s="456"/>
      <c r="G824" s="456"/>
      <c r="H824" s="456"/>
      <c r="I824" s="456"/>
      <c r="J824" s="456"/>
      <c r="K824" s="456"/>
      <c r="L824" s="456"/>
      <c r="M824" s="456"/>
      <c r="N824" s="456"/>
      <c r="O824" s="456"/>
      <c r="P824" s="456"/>
      <c r="Q824" s="456"/>
      <c r="R824" s="456"/>
      <c r="S824" s="456"/>
      <c r="T824" s="456"/>
      <c r="U824" s="456"/>
      <c r="V824" s="456"/>
      <c r="W824" s="456"/>
      <c r="X824" s="456"/>
      <c r="Y824" s="456"/>
      <c r="Z824" s="456"/>
    </row>
    <row r="825" spans="1:26" ht="11.25" customHeight="1">
      <c r="A825" s="456"/>
      <c r="B825" s="456"/>
      <c r="C825" s="456"/>
      <c r="D825" s="456"/>
      <c r="E825" s="456"/>
      <c r="F825" s="456"/>
      <c r="G825" s="456"/>
      <c r="H825" s="456"/>
      <c r="I825" s="456"/>
      <c r="J825" s="456"/>
      <c r="K825" s="456"/>
      <c r="L825" s="456"/>
      <c r="M825" s="456"/>
      <c r="N825" s="456"/>
      <c r="O825" s="456"/>
      <c r="P825" s="456"/>
      <c r="Q825" s="456"/>
      <c r="R825" s="456"/>
      <c r="S825" s="456"/>
      <c r="T825" s="456"/>
      <c r="U825" s="456"/>
      <c r="V825" s="456"/>
      <c r="W825" s="456"/>
      <c r="X825" s="456"/>
      <c r="Y825" s="456"/>
      <c r="Z825" s="456"/>
    </row>
    <row r="826" spans="1:26" ht="11.25" customHeight="1">
      <c r="A826" s="456"/>
      <c r="B826" s="456"/>
      <c r="C826" s="456"/>
      <c r="D826" s="456"/>
      <c r="E826" s="456"/>
      <c r="F826" s="456"/>
      <c r="G826" s="456"/>
      <c r="H826" s="456"/>
      <c r="I826" s="456"/>
      <c r="J826" s="456"/>
      <c r="K826" s="456"/>
      <c r="L826" s="456"/>
      <c r="M826" s="456"/>
      <c r="N826" s="456"/>
      <c r="O826" s="456"/>
      <c r="P826" s="456"/>
      <c r="Q826" s="456"/>
      <c r="R826" s="456"/>
      <c r="S826" s="456"/>
      <c r="T826" s="456"/>
      <c r="U826" s="456"/>
      <c r="V826" s="456"/>
      <c r="W826" s="456"/>
      <c r="X826" s="456"/>
      <c r="Y826" s="456"/>
      <c r="Z826" s="456"/>
    </row>
    <row r="827" spans="1:26" ht="11.25" customHeight="1">
      <c r="A827" s="456"/>
      <c r="B827" s="456"/>
      <c r="C827" s="456"/>
      <c r="D827" s="456"/>
      <c r="E827" s="456"/>
      <c r="F827" s="456"/>
      <c r="G827" s="456"/>
      <c r="H827" s="456"/>
      <c r="I827" s="456"/>
      <c r="J827" s="456"/>
      <c r="K827" s="456"/>
      <c r="L827" s="456"/>
      <c r="M827" s="456"/>
      <c r="N827" s="456"/>
      <c r="O827" s="456"/>
      <c r="P827" s="456"/>
      <c r="Q827" s="456"/>
      <c r="R827" s="456"/>
      <c r="S827" s="456"/>
      <c r="T827" s="456"/>
      <c r="U827" s="456"/>
      <c r="V827" s="456"/>
      <c r="W827" s="456"/>
      <c r="X827" s="456"/>
      <c r="Y827" s="456"/>
      <c r="Z827" s="456"/>
    </row>
    <row r="828" spans="1:26" ht="11.25" customHeight="1">
      <c r="A828" s="456"/>
      <c r="B828" s="456"/>
      <c r="C828" s="456"/>
      <c r="D828" s="456"/>
      <c r="E828" s="456"/>
      <c r="F828" s="456"/>
      <c r="G828" s="456"/>
      <c r="H828" s="456"/>
      <c r="I828" s="456"/>
      <c r="J828" s="456"/>
      <c r="K828" s="456"/>
      <c r="L828" s="456"/>
      <c r="M828" s="456"/>
      <c r="N828" s="456"/>
      <c r="O828" s="456"/>
      <c r="P828" s="456"/>
      <c r="Q828" s="456"/>
      <c r="R828" s="456"/>
      <c r="S828" s="456"/>
      <c r="T828" s="456"/>
      <c r="U828" s="456"/>
      <c r="V828" s="456"/>
      <c r="W828" s="456"/>
      <c r="X828" s="456"/>
      <c r="Y828" s="456"/>
      <c r="Z828" s="456"/>
    </row>
    <row r="829" spans="1:26" ht="11.25" customHeight="1">
      <c r="A829" s="456"/>
      <c r="B829" s="456"/>
      <c r="C829" s="456"/>
      <c r="D829" s="456"/>
      <c r="E829" s="456"/>
      <c r="F829" s="456"/>
      <c r="G829" s="456"/>
      <c r="H829" s="456"/>
      <c r="I829" s="456"/>
      <c r="J829" s="456"/>
      <c r="K829" s="456"/>
      <c r="L829" s="456"/>
      <c r="M829" s="456"/>
      <c r="N829" s="456"/>
      <c r="O829" s="456"/>
      <c r="P829" s="456"/>
      <c r="Q829" s="456"/>
      <c r="R829" s="456"/>
      <c r="S829" s="456"/>
      <c r="T829" s="456"/>
      <c r="U829" s="456"/>
      <c r="V829" s="456"/>
      <c r="W829" s="456"/>
      <c r="X829" s="456"/>
      <c r="Y829" s="456"/>
      <c r="Z829" s="456"/>
    </row>
    <row r="830" spans="1:26" ht="11.25" customHeight="1">
      <c r="A830" s="456"/>
      <c r="B830" s="456"/>
      <c r="C830" s="456"/>
      <c r="D830" s="456"/>
      <c r="E830" s="456"/>
      <c r="F830" s="456"/>
      <c r="G830" s="456"/>
      <c r="H830" s="456"/>
      <c r="I830" s="456"/>
      <c r="J830" s="456"/>
      <c r="K830" s="456"/>
      <c r="L830" s="456"/>
      <c r="M830" s="456"/>
      <c r="N830" s="456"/>
      <c r="O830" s="456"/>
      <c r="P830" s="456"/>
      <c r="Q830" s="456"/>
      <c r="R830" s="456"/>
      <c r="S830" s="456"/>
      <c r="T830" s="456"/>
      <c r="U830" s="456"/>
      <c r="V830" s="456"/>
      <c r="W830" s="456"/>
      <c r="X830" s="456"/>
      <c r="Y830" s="456"/>
      <c r="Z830" s="456"/>
    </row>
    <row r="831" spans="1:26" ht="11.25" customHeight="1">
      <c r="A831" s="456"/>
      <c r="B831" s="456"/>
      <c r="C831" s="456"/>
      <c r="D831" s="456"/>
      <c r="E831" s="456"/>
      <c r="F831" s="456"/>
      <c r="G831" s="456"/>
      <c r="H831" s="456"/>
      <c r="I831" s="456"/>
      <c r="J831" s="456"/>
      <c r="K831" s="456"/>
      <c r="L831" s="456"/>
      <c r="M831" s="456"/>
      <c r="N831" s="456"/>
      <c r="O831" s="456"/>
      <c r="P831" s="456"/>
      <c r="Q831" s="456"/>
      <c r="R831" s="456"/>
      <c r="S831" s="456"/>
      <c r="T831" s="456"/>
      <c r="U831" s="456"/>
      <c r="V831" s="456"/>
      <c r="W831" s="456"/>
      <c r="X831" s="456"/>
      <c r="Y831" s="456"/>
      <c r="Z831" s="456"/>
    </row>
    <row r="832" spans="1:26" ht="11.25" customHeight="1">
      <c r="A832" s="456"/>
      <c r="B832" s="456"/>
      <c r="C832" s="456"/>
      <c r="D832" s="456"/>
      <c r="E832" s="456"/>
      <c r="F832" s="456"/>
      <c r="G832" s="456"/>
      <c r="H832" s="456"/>
      <c r="I832" s="456"/>
      <c r="J832" s="456"/>
      <c r="K832" s="456"/>
      <c r="L832" s="456"/>
      <c r="M832" s="456"/>
      <c r="N832" s="456"/>
      <c r="O832" s="456"/>
      <c r="P832" s="456"/>
      <c r="Q832" s="456"/>
      <c r="R832" s="456"/>
      <c r="S832" s="456"/>
      <c r="T832" s="456"/>
      <c r="U832" s="456"/>
      <c r="V832" s="456"/>
      <c r="W832" s="456"/>
      <c r="X832" s="456"/>
      <c r="Y832" s="456"/>
      <c r="Z832" s="456"/>
    </row>
    <row r="833" spans="1:26" ht="11.25" customHeight="1">
      <c r="A833" s="456"/>
      <c r="B833" s="456"/>
      <c r="C833" s="456"/>
      <c r="D833" s="456"/>
      <c r="E833" s="456"/>
      <c r="F833" s="456"/>
      <c r="G833" s="456"/>
      <c r="H833" s="456"/>
      <c r="I833" s="456"/>
      <c r="J833" s="456"/>
      <c r="K833" s="456"/>
      <c r="L833" s="456"/>
      <c r="M833" s="456"/>
      <c r="N833" s="456"/>
      <c r="O833" s="456"/>
      <c r="P833" s="456"/>
      <c r="Q833" s="456"/>
      <c r="R833" s="456"/>
      <c r="S833" s="456"/>
      <c r="T833" s="456"/>
      <c r="U833" s="456"/>
      <c r="V833" s="456"/>
      <c r="W833" s="456"/>
      <c r="X833" s="456"/>
      <c r="Y833" s="456"/>
      <c r="Z833" s="456"/>
    </row>
    <row r="834" spans="1:26" ht="11.25" customHeight="1">
      <c r="A834" s="456"/>
      <c r="B834" s="456"/>
      <c r="C834" s="456"/>
      <c r="D834" s="456"/>
      <c r="E834" s="456"/>
      <c r="F834" s="456"/>
      <c r="G834" s="456"/>
      <c r="H834" s="456"/>
      <c r="I834" s="456"/>
      <c r="J834" s="456"/>
      <c r="K834" s="456"/>
      <c r="L834" s="456"/>
      <c r="M834" s="456"/>
      <c r="N834" s="456"/>
      <c r="O834" s="456"/>
      <c r="P834" s="456"/>
      <c r="Q834" s="456"/>
      <c r="R834" s="456"/>
      <c r="S834" s="456"/>
      <c r="T834" s="456"/>
      <c r="U834" s="456"/>
      <c r="V834" s="456"/>
      <c r="W834" s="456"/>
      <c r="X834" s="456"/>
      <c r="Y834" s="456"/>
      <c r="Z834" s="456"/>
    </row>
    <row r="835" spans="1:26" ht="11.25" customHeight="1">
      <c r="A835" s="456"/>
      <c r="B835" s="456"/>
      <c r="C835" s="456"/>
      <c r="D835" s="456"/>
      <c r="E835" s="456"/>
      <c r="F835" s="456"/>
      <c r="G835" s="456"/>
      <c r="H835" s="456"/>
      <c r="I835" s="456"/>
      <c r="J835" s="456"/>
      <c r="K835" s="456"/>
      <c r="L835" s="456"/>
      <c r="M835" s="456"/>
      <c r="N835" s="456"/>
      <c r="O835" s="456"/>
      <c r="P835" s="456"/>
      <c r="Q835" s="456"/>
      <c r="R835" s="456"/>
      <c r="S835" s="456"/>
      <c r="T835" s="456"/>
      <c r="U835" s="456"/>
      <c r="V835" s="456"/>
      <c r="W835" s="456"/>
      <c r="X835" s="456"/>
      <c r="Y835" s="456"/>
      <c r="Z835" s="456"/>
    </row>
    <row r="836" spans="1:26" ht="11.25" customHeight="1">
      <c r="A836" s="456"/>
      <c r="B836" s="456"/>
      <c r="C836" s="456"/>
      <c r="D836" s="456"/>
      <c r="E836" s="456"/>
      <c r="F836" s="456"/>
      <c r="G836" s="456"/>
      <c r="H836" s="456"/>
      <c r="I836" s="456"/>
      <c r="J836" s="456"/>
      <c r="K836" s="456"/>
      <c r="L836" s="456"/>
      <c r="M836" s="456"/>
      <c r="N836" s="456"/>
      <c r="O836" s="456"/>
      <c r="P836" s="456"/>
      <c r="Q836" s="456"/>
      <c r="R836" s="456"/>
      <c r="S836" s="456"/>
      <c r="T836" s="456"/>
      <c r="U836" s="456"/>
      <c r="V836" s="456"/>
      <c r="W836" s="456"/>
      <c r="X836" s="456"/>
      <c r="Y836" s="456"/>
      <c r="Z836" s="456"/>
    </row>
    <row r="837" spans="1:26" ht="11.25" customHeight="1">
      <c r="A837" s="456"/>
      <c r="B837" s="456"/>
      <c r="C837" s="456"/>
      <c r="D837" s="456"/>
      <c r="E837" s="456"/>
      <c r="F837" s="456"/>
      <c r="G837" s="456"/>
      <c r="H837" s="456"/>
      <c r="I837" s="456"/>
      <c r="J837" s="456"/>
      <c r="K837" s="456"/>
      <c r="L837" s="456"/>
      <c r="M837" s="456"/>
      <c r="N837" s="456"/>
      <c r="O837" s="456"/>
      <c r="P837" s="456"/>
      <c r="Q837" s="456"/>
      <c r="R837" s="456"/>
      <c r="S837" s="456"/>
      <c r="T837" s="456"/>
      <c r="U837" s="456"/>
      <c r="V837" s="456"/>
      <c r="W837" s="456"/>
      <c r="X837" s="456"/>
      <c r="Y837" s="456"/>
      <c r="Z837" s="456"/>
    </row>
    <row r="838" spans="1:26" ht="11.25" customHeight="1">
      <c r="A838" s="456"/>
      <c r="B838" s="456"/>
      <c r="C838" s="456"/>
      <c r="D838" s="456"/>
      <c r="E838" s="456"/>
      <c r="F838" s="456"/>
      <c r="G838" s="456"/>
      <c r="H838" s="456"/>
      <c r="I838" s="456"/>
      <c r="J838" s="456"/>
      <c r="K838" s="456"/>
      <c r="L838" s="456"/>
      <c r="M838" s="456"/>
      <c r="N838" s="456"/>
      <c r="O838" s="456"/>
      <c r="P838" s="456"/>
      <c r="Q838" s="456"/>
      <c r="R838" s="456"/>
      <c r="S838" s="456"/>
      <c r="T838" s="456"/>
      <c r="U838" s="456"/>
      <c r="V838" s="456"/>
      <c r="W838" s="456"/>
      <c r="X838" s="456"/>
      <c r="Y838" s="456"/>
      <c r="Z838" s="456"/>
    </row>
    <row r="839" spans="1:26" ht="11.25" customHeight="1">
      <c r="A839" s="456"/>
      <c r="B839" s="456"/>
      <c r="C839" s="456"/>
      <c r="D839" s="456"/>
      <c r="E839" s="456"/>
      <c r="F839" s="456"/>
      <c r="G839" s="456"/>
      <c r="H839" s="456"/>
      <c r="I839" s="456"/>
      <c r="J839" s="456"/>
      <c r="K839" s="456"/>
      <c r="L839" s="456"/>
      <c r="M839" s="456"/>
      <c r="N839" s="456"/>
      <c r="O839" s="456"/>
      <c r="P839" s="456"/>
      <c r="Q839" s="456"/>
      <c r="R839" s="456"/>
      <c r="S839" s="456"/>
      <c r="T839" s="456"/>
      <c r="U839" s="456"/>
      <c r="V839" s="456"/>
      <c r="W839" s="456"/>
      <c r="X839" s="456"/>
      <c r="Y839" s="456"/>
      <c r="Z839" s="456"/>
    </row>
    <row r="840" spans="1:26" ht="11.25" customHeight="1">
      <c r="A840" s="456"/>
      <c r="B840" s="456"/>
      <c r="C840" s="456"/>
      <c r="D840" s="456"/>
      <c r="E840" s="456"/>
      <c r="F840" s="456"/>
      <c r="G840" s="456"/>
      <c r="H840" s="456"/>
      <c r="I840" s="456"/>
      <c r="J840" s="456"/>
      <c r="K840" s="456"/>
      <c r="L840" s="456"/>
      <c r="M840" s="456"/>
      <c r="N840" s="456"/>
      <c r="O840" s="456"/>
      <c r="P840" s="456"/>
      <c r="Q840" s="456"/>
      <c r="R840" s="456"/>
      <c r="S840" s="456"/>
      <c r="T840" s="456"/>
      <c r="U840" s="456"/>
      <c r="V840" s="456"/>
      <c r="W840" s="456"/>
      <c r="X840" s="456"/>
      <c r="Y840" s="456"/>
      <c r="Z840" s="456"/>
    </row>
    <row r="841" spans="1:26" ht="11.25" customHeight="1">
      <c r="A841" s="456"/>
      <c r="B841" s="456"/>
      <c r="C841" s="456"/>
      <c r="D841" s="456"/>
      <c r="E841" s="456"/>
      <c r="F841" s="456"/>
      <c r="G841" s="456"/>
      <c r="H841" s="456"/>
      <c r="I841" s="456"/>
      <c r="J841" s="456"/>
      <c r="K841" s="456"/>
      <c r="L841" s="456"/>
      <c r="M841" s="456"/>
      <c r="N841" s="456"/>
      <c r="O841" s="456"/>
      <c r="P841" s="456"/>
      <c r="Q841" s="456"/>
      <c r="R841" s="456"/>
      <c r="S841" s="456"/>
      <c r="T841" s="456"/>
      <c r="U841" s="456"/>
      <c r="V841" s="456"/>
      <c r="W841" s="456"/>
      <c r="X841" s="456"/>
      <c r="Y841" s="456"/>
      <c r="Z841" s="456"/>
    </row>
    <row r="842" spans="1:26" ht="11.25" customHeight="1">
      <c r="A842" s="456"/>
      <c r="B842" s="456"/>
      <c r="C842" s="456"/>
      <c r="D842" s="456"/>
      <c r="E842" s="456"/>
      <c r="F842" s="456"/>
      <c r="G842" s="456"/>
      <c r="H842" s="456"/>
      <c r="I842" s="456"/>
      <c r="J842" s="456"/>
      <c r="K842" s="456"/>
      <c r="L842" s="456"/>
      <c r="M842" s="456"/>
      <c r="N842" s="456"/>
      <c r="O842" s="456"/>
      <c r="P842" s="456"/>
      <c r="Q842" s="456"/>
      <c r="R842" s="456"/>
      <c r="S842" s="456"/>
      <c r="T842" s="456"/>
      <c r="U842" s="456"/>
      <c r="V842" s="456"/>
      <c r="W842" s="456"/>
      <c r="X842" s="456"/>
      <c r="Y842" s="456"/>
      <c r="Z842" s="456"/>
    </row>
    <row r="843" spans="1:26" ht="11.25" customHeight="1">
      <c r="A843" s="456"/>
      <c r="B843" s="456"/>
      <c r="C843" s="456"/>
      <c r="D843" s="456"/>
      <c r="E843" s="456"/>
      <c r="F843" s="456"/>
      <c r="G843" s="456"/>
      <c r="H843" s="456"/>
      <c r="I843" s="456"/>
      <c r="J843" s="456"/>
      <c r="K843" s="456"/>
      <c r="L843" s="456"/>
      <c r="M843" s="456"/>
      <c r="N843" s="456"/>
      <c r="O843" s="456"/>
      <c r="P843" s="456"/>
      <c r="Q843" s="456"/>
      <c r="R843" s="456"/>
      <c r="S843" s="456"/>
      <c r="T843" s="456"/>
      <c r="U843" s="456"/>
      <c r="V843" s="456"/>
      <c r="W843" s="456"/>
      <c r="X843" s="456"/>
      <c r="Y843" s="456"/>
      <c r="Z843" s="456"/>
    </row>
    <row r="844" spans="1:26" ht="11.25" customHeight="1">
      <c r="A844" s="456"/>
      <c r="B844" s="456"/>
      <c r="C844" s="456"/>
      <c r="D844" s="456"/>
      <c r="E844" s="456"/>
      <c r="F844" s="456"/>
      <c r="G844" s="456"/>
      <c r="H844" s="456"/>
      <c r="I844" s="456"/>
      <c r="J844" s="456"/>
      <c r="K844" s="456"/>
      <c r="L844" s="456"/>
      <c r="M844" s="456"/>
      <c r="N844" s="456"/>
      <c r="O844" s="456"/>
      <c r="P844" s="456"/>
      <c r="Q844" s="456"/>
      <c r="R844" s="456"/>
      <c r="S844" s="456"/>
      <c r="T844" s="456"/>
      <c r="U844" s="456"/>
      <c r="V844" s="456"/>
      <c r="W844" s="456"/>
      <c r="X844" s="456"/>
      <c r="Y844" s="456"/>
      <c r="Z844" s="456"/>
    </row>
    <row r="845" spans="1:26" ht="11.25" customHeight="1">
      <c r="A845" s="456"/>
      <c r="B845" s="456"/>
      <c r="C845" s="456"/>
      <c r="D845" s="456"/>
      <c r="E845" s="456"/>
      <c r="F845" s="456"/>
      <c r="G845" s="456"/>
      <c r="H845" s="456"/>
      <c r="I845" s="456"/>
      <c r="J845" s="456"/>
      <c r="K845" s="456"/>
      <c r="L845" s="456"/>
      <c r="M845" s="456"/>
      <c r="N845" s="456"/>
      <c r="O845" s="456"/>
      <c r="P845" s="456"/>
      <c r="Q845" s="456"/>
      <c r="R845" s="456"/>
      <c r="S845" s="456"/>
      <c r="T845" s="456"/>
      <c r="U845" s="456"/>
      <c r="V845" s="456"/>
      <c r="W845" s="456"/>
      <c r="X845" s="456"/>
      <c r="Y845" s="456"/>
      <c r="Z845" s="456"/>
    </row>
    <row r="846" spans="1:26" ht="11.25" customHeight="1">
      <c r="A846" s="456"/>
      <c r="B846" s="456"/>
      <c r="C846" s="456"/>
      <c r="D846" s="456"/>
      <c r="E846" s="456"/>
      <c r="F846" s="456"/>
      <c r="G846" s="456"/>
      <c r="H846" s="456"/>
      <c r="I846" s="456"/>
      <c r="J846" s="456"/>
      <c r="K846" s="456"/>
      <c r="L846" s="456"/>
      <c r="M846" s="456"/>
      <c r="N846" s="456"/>
      <c r="O846" s="456"/>
      <c r="P846" s="456"/>
      <c r="Q846" s="456"/>
      <c r="R846" s="456"/>
      <c r="S846" s="456"/>
      <c r="T846" s="456"/>
      <c r="U846" s="456"/>
      <c r="V846" s="456"/>
      <c r="W846" s="456"/>
      <c r="X846" s="456"/>
      <c r="Y846" s="456"/>
      <c r="Z846" s="456"/>
    </row>
    <row r="847" spans="1:26" ht="11.25" customHeight="1">
      <c r="A847" s="456"/>
      <c r="B847" s="456"/>
      <c r="C847" s="456"/>
      <c r="D847" s="456"/>
      <c r="E847" s="456"/>
      <c r="F847" s="456"/>
      <c r="G847" s="456"/>
      <c r="H847" s="456"/>
      <c r="I847" s="456"/>
      <c r="J847" s="456"/>
      <c r="K847" s="456"/>
      <c r="L847" s="456"/>
      <c r="M847" s="456"/>
      <c r="N847" s="456"/>
      <c r="O847" s="456"/>
      <c r="P847" s="456"/>
      <c r="Q847" s="456"/>
      <c r="R847" s="456"/>
      <c r="S847" s="456"/>
      <c r="T847" s="456"/>
      <c r="U847" s="456"/>
      <c r="V847" s="456"/>
      <c r="W847" s="456"/>
      <c r="X847" s="456"/>
      <c r="Y847" s="456"/>
      <c r="Z847" s="456"/>
    </row>
    <row r="848" spans="1:26" ht="11.25" customHeight="1">
      <c r="A848" s="456"/>
      <c r="B848" s="456"/>
      <c r="C848" s="456"/>
      <c r="D848" s="456"/>
      <c r="E848" s="456"/>
      <c r="F848" s="456"/>
      <c r="G848" s="456"/>
      <c r="H848" s="456"/>
      <c r="I848" s="456"/>
      <c r="J848" s="456"/>
      <c r="K848" s="456"/>
      <c r="L848" s="456"/>
      <c r="M848" s="456"/>
      <c r="N848" s="456"/>
      <c r="O848" s="456"/>
      <c r="P848" s="456"/>
      <c r="Q848" s="456"/>
      <c r="R848" s="456"/>
      <c r="S848" s="456"/>
      <c r="T848" s="456"/>
      <c r="U848" s="456"/>
      <c r="V848" s="456"/>
      <c r="W848" s="456"/>
      <c r="X848" s="456"/>
      <c r="Y848" s="456"/>
      <c r="Z848" s="456"/>
    </row>
    <row r="849" spans="1:26" ht="11.25" customHeight="1">
      <c r="A849" s="456"/>
      <c r="B849" s="456"/>
      <c r="C849" s="456"/>
      <c r="D849" s="456"/>
      <c r="E849" s="456"/>
      <c r="F849" s="456"/>
      <c r="G849" s="456"/>
      <c r="H849" s="456"/>
      <c r="I849" s="456"/>
      <c r="J849" s="456"/>
      <c r="K849" s="456"/>
      <c r="L849" s="456"/>
      <c r="M849" s="456"/>
      <c r="N849" s="456"/>
      <c r="O849" s="456"/>
      <c r="P849" s="456"/>
      <c r="Q849" s="456"/>
      <c r="R849" s="456"/>
      <c r="S849" s="456"/>
      <c r="T849" s="456"/>
      <c r="U849" s="456"/>
      <c r="V849" s="456"/>
      <c r="W849" s="456"/>
      <c r="X849" s="456"/>
      <c r="Y849" s="456"/>
      <c r="Z849" s="456"/>
    </row>
    <row r="850" spans="1:26" ht="11.25" customHeight="1">
      <c r="A850" s="456"/>
      <c r="B850" s="456"/>
      <c r="C850" s="456"/>
      <c r="D850" s="456"/>
      <c r="E850" s="456"/>
      <c r="F850" s="456"/>
      <c r="G850" s="456"/>
      <c r="H850" s="456"/>
      <c r="I850" s="456"/>
      <c r="J850" s="456"/>
      <c r="K850" s="456"/>
      <c r="L850" s="456"/>
      <c r="M850" s="456"/>
      <c r="N850" s="456"/>
      <c r="O850" s="456"/>
      <c r="P850" s="456"/>
      <c r="Q850" s="456"/>
      <c r="R850" s="456"/>
      <c r="S850" s="456"/>
      <c r="T850" s="456"/>
      <c r="U850" s="456"/>
      <c r="V850" s="456"/>
      <c r="W850" s="456"/>
      <c r="X850" s="456"/>
      <c r="Y850" s="456"/>
      <c r="Z850" s="456"/>
    </row>
    <row r="851" spans="1:26" ht="11.25" customHeight="1">
      <c r="A851" s="456"/>
      <c r="B851" s="456"/>
      <c r="C851" s="456"/>
      <c r="D851" s="456"/>
      <c r="E851" s="456"/>
      <c r="F851" s="456"/>
      <c r="G851" s="456"/>
      <c r="H851" s="456"/>
      <c r="I851" s="456"/>
      <c r="J851" s="456"/>
      <c r="K851" s="456"/>
      <c r="L851" s="456"/>
      <c r="M851" s="456"/>
      <c r="N851" s="456"/>
      <c r="O851" s="456"/>
      <c r="P851" s="456"/>
      <c r="Q851" s="456"/>
      <c r="R851" s="456"/>
      <c r="S851" s="456"/>
      <c r="T851" s="456"/>
      <c r="U851" s="456"/>
      <c r="V851" s="456"/>
      <c r="W851" s="456"/>
      <c r="X851" s="456"/>
      <c r="Y851" s="456"/>
      <c r="Z851" s="456"/>
    </row>
    <row r="852" spans="1:26" ht="11.25" customHeight="1">
      <c r="A852" s="456"/>
      <c r="B852" s="456"/>
      <c r="C852" s="456"/>
      <c r="D852" s="456"/>
      <c r="E852" s="456"/>
      <c r="F852" s="456"/>
      <c r="G852" s="456"/>
      <c r="H852" s="456"/>
      <c r="I852" s="456"/>
      <c r="J852" s="456"/>
      <c r="K852" s="456"/>
      <c r="L852" s="456"/>
      <c r="M852" s="456"/>
      <c r="N852" s="456"/>
      <c r="O852" s="456"/>
      <c r="P852" s="456"/>
      <c r="Q852" s="456"/>
      <c r="R852" s="456"/>
      <c r="S852" s="456"/>
      <c r="T852" s="456"/>
      <c r="U852" s="456"/>
      <c r="V852" s="456"/>
      <c r="W852" s="456"/>
      <c r="X852" s="456"/>
      <c r="Y852" s="456"/>
      <c r="Z852" s="456"/>
    </row>
    <row r="853" spans="1:26" ht="11.25" customHeight="1">
      <c r="A853" s="456"/>
      <c r="B853" s="456"/>
      <c r="C853" s="456"/>
      <c r="D853" s="456"/>
      <c r="E853" s="456"/>
      <c r="F853" s="456"/>
      <c r="G853" s="456"/>
      <c r="H853" s="456"/>
      <c r="I853" s="456"/>
      <c r="J853" s="456"/>
      <c r="K853" s="456"/>
      <c r="L853" s="456"/>
      <c r="M853" s="456"/>
      <c r="N853" s="456"/>
      <c r="O853" s="456"/>
      <c r="P853" s="456"/>
      <c r="Q853" s="456"/>
      <c r="R853" s="456"/>
      <c r="S853" s="456"/>
      <c r="T853" s="456"/>
      <c r="U853" s="456"/>
      <c r="V853" s="456"/>
      <c r="W853" s="456"/>
      <c r="X853" s="456"/>
      <c r="Y853" s="456"/>
      <c r="Z853" s="456"/>
    </row>
    <row r="854" spans="1:26" ht="11.25" customHeight="1">
      <c r="A854" s="456"/>
      <c r="B854" s="456"/>
      <c r="C854" s="456"/>
      <c r="D854" s="456"/>
      <c r="E854" s="456"/>
      <c r="F854" s="456"/>
      <c r="G854" s="456"/>
      <c r="H854" s="456"/>
      <c r="I854" s="456"/>
      <c r="J854" s="456"/>
      <c r="K854" s="456"/>
      <c r="L854" s="456"/>
      <c r="M854" s="456"/>
      <c r="N854" s="456"/>
      <c r="O854" s="456"/>
      <c r="P854" s="456"/>
      <c r="Q854" s="456"/>
      <c r="R854" s="456"/>
      <c r="S854" s="456"/>
      <c r="T854" s="456"/>
      <c r="U854" s="456"/>
      <c r="V854" s="456"/>
      <c r="W854" s="456"/>
      <c r="X854" s="456"/>
      <c r="Y854" s="456"/>
      <c r="Z854" s="456"/>
    </row>
    <row r="855" spans="1:26" ht="11.25" customHeight="1">
      <c r="A855" s="456"/>
      <c r="B855" s="456"/>
      <c r="C855" s="456"/>
      <c r="D855" s="456"/>
      <c r="E855" s="456"/>
      <c r="F855" s="456"/>
      <c r="G855" s="456"/>
      <c r="H855" s="456"/>
      <c r="I855" s="456"/>
      <c r="J855" s="456"/>
      <c r="K855" s="456"/>
      <c r="L855" s="456"/>
      <c r="M855" s="456"/>
      <c r="N855" s="456"/>
      <c r="O855" s="456"/>
      <c r="P855" s="456"/>
      <c r="Q855" s="456"/>
      <c r="R855" s="456"/>
      <c r="S855" s="456"/>
      <c r="T855" s="456"/>
      <c r="U855" s="456"/>
      <c r="V855" s="456"/>
      <c r="W855" s="456"/>
      <c r="X855" s="456"/>
      <c r="Y855" s="456"/>
      <c r="Z855" s="456"/>
    </row>
    <row r="856" spans="1:26" ht="11.25" customHeight="1">
      <c r="A856" s="456"/>
      <c r="B856" s="456"/>
      <c r="C856" s="456"/>
      <c r="D856" s="456"/>
      <c r="E856" s="456"/>
      <c r="F856" s="456"/>
      <c r="G856" s="456"/>
      <c r="H856" s="456"/>
      <c r="I856" s="456"/>
      <c r="J856" s="456"/>
      <c r="K856" s="456"/>
      <c r="L856" s="456"/>
      <c r="M856" s="456"/>
      <c r="N856" s="456"/>
      <c r="O856" s="456"/>
      <c r="P856" s="456"/>
      <c r="Q856" s="456"/>
      <c r="R856" s="456"/>
      <c r="S856" s="456"/>
      <c r="T856" s="456"/>
      <c r="U856" s="456"/>
      <c r="V856" s="456"/>
      <c r="W856" s="456"/>
      <c r="X856" s="456"/>
      <c r="Y856" s="456"/>
      <c r="Z856" s="456"/>
    </row>
    <row r="857" spans="1:26" ht="11.25" customHeight="1">
      <c r="A857" s="456"/>
      <c r="B857" s="456"/>
      <c r="C857" s="456"/>
      <c r="D857" s="456"/>
      <c r="E857" s="456"/>
      <c r="F857" s="456"/>
      <c r="G857" s="456"/>
      <c r="H857" s="456"/>
      <c r="I857" s="456"/>
      <c r="J857" s="456"/>
      <c r="K857" s="456"/>
      <c r="L857" s="456"/>
      <c r="M857" s="456"/>
      <c r="N857" s="456"/>
      <c r="O857" s="456"/>
      <c r="P857" s="456"/>
      <c r="Q857" s="456"/>
      <c r="R857" s="456"/>
      <c r="S857" s="456"/>
      <c r="T857" s="456"/>
      <c r="U857" s="456"/>
      <c r="V857" s="456"/>
      <c r="W857" s="456"/>
      <c r="X857" s="456"/>
      <c r="Y857" s="456"/>
      <c r="Z857" s="456"/>
    </row>
    <row r="858" spans="1:26" ht="11.25" customHeight="1">
      <c r="A858" s="456"/>
      <c r="B858" s="456"/>
      <c r="C858" s="456"/>
      <c r="D858" s="456"/>
      <c r="E858" s="456"/>
      <c r="F858" s="456"/>
      <c r="G858" s="456"/>
      <c r="H858" s="456"/>
      <c r="I858" s="456"/>
      <c r="J858" s="456"/>
      <c r="K858" s="456"/>
      <c r="L858" s="456"/>
      <c r="M858" s="456"/>
      <c r="N858" s="456"/>
      <c r="O858" s="456"/>
      <c r="P858" s="456"/>
      <c r="Q858" s="456"/>
      <c r="R858" s="456"/>
      <c r="S858" s="456"/>
      <c r="T858" s="456"/>
      <c r="U858" s="456"/>
      <c r="V858" s="456"/>
      <c r="W858" s="456"/>
      <c r="X858" s="456"/>
      <c r="Y858" s="456"/>
      <c r="Z858" s="456"/>
    </row>
    <row r="859" spans="1:26" ht="11.25" customHeight="1">
      <c r="A859" s="456"/>
      <c r="B859" s="456"/>
      <c r="C859" s="456"/>
      <c r="D859" s="456"/>
      <c r="E859" s="456"/>
      <c r="F859" s="456"/>
      <c r="G859" s="456"/>
      <c r="H859" s="456"/>
      <c r="I859" s="456"/>
      <c r="J859" s="456"/>
      <c r="K859" s="456"/>
      <c r="L859" s="456"/>
      <c r="M859" s="456"/>
      <c r="N859" s="456"/>
      <c r="O859" s="456"/>
      <c r="P859" s="456"/>
      <c r="Q859" s="456"/>
      <c r="R859" s="456"/>
      <c r="S859" s="456"/>
      <c r="T859" s="456"/>
      <c r="U859" s="456"/>
      <c r="V859" s="456"/>
      <c r="W859" s="456"/>
      <c r="X859" s="456"/>
      <c r="Y859" s="456"/>
      <c r="Z859" s="456"/>
    </row>
    <row r="860" spans="1:26" ht="11.25" customHeight="1">
      <c r="A860" s="456"/>
      <c r="B860" s="456"/>
      <c r="C860" s="456"/>
      <c r="D860" s="456"/>
      <c r="E860" s="456"/>
      <c r="F860" s="456"/>
      <c r="G860" s="456"/>
      <c r="H860" s="456"/>
      <c r="I860" s="456"/>
      <c r="J860" s="456"/>
      <c r="K860" s="456"/>
      <c r="L860" s="456"/>
      <c r="M860" s="456"/>
      <c r="N860" s="456"/>
      <c r="O860" s="456"/>
      <c r="P860" s="456"/>
      <c r="Q860" s="456"/>
      <c r="R860" s="456"/>
      <c r="S860" s="456"/>
      <c r="T860" s="456"/>
      <c r="U860" s="456"/>
      <c r="V860" s="456"/>
      <c r="W860" s="456"/>
      <c r="X860" s="456"/>
      <c r="Y860" s="456"/>
      <c r="Z860" s="456"/>
    </row>
    <row r="861" spans="1:26" ht="11.25" customHeight="1">
      <c r="A861" s="456"/>
      <c r="B861" s="456"/>
      <c r="C861" s="456"/>
      <c r="D861" s="456"/>
      <c r="E861" s="456"/>
      <c r="F861" s="456"/>
      <c r="G861" s="456"/>
      <c r="H861" s="456"/>
      <c r="I861" s="456"/>
      <c r="J861" s="456"/>
      <c r="K861" s="456"/>
      <c r="L861" s="456"/>
      <c r="M861" s="456"/>
      <c r="N861" s="456"/>
      <c r="O861" s="456"/>
      <c r="P861" s="456"/>
      <c r="Q861" s="456"/>
      <c r="R861" s="456"/>
      <c r="S861" s="456"/>
      <c r="T861" s="456"/>
      <c r="U861" s="456"/>
      <c r="V861" s="456"/>
      <c r="W861" s="456"/>
      <c r="X861" s="456"/>
      <c r="Y861" s="456"/>
      <c r="Z861" s="456"/>
    </row>
    <row r="862" spans="1:26" ht="11.25" customHeight="1">
      <c r="A862" s="456"/>
      <c r="B862" s="456"/>
      <c r="C862" s="456"/>
      <c r="D862" s="456"/>
      <c r="E862" s="456"/>
      <c r="F862" s="456"/>
      <c r="G862" s="456"/>
      <c r="H862" s="456"/>
      <c r="I862" s="456"/>
      <c r="J862" s="456"/>
      <c r="K862" s="456"/>
      <c r="L862" s="456"/>
      <c r="M862" s="456"/>
      <c r="N862" s="456"/>
      <c r="O862" s="456"/>
      <c r="P862" s="456"/>
      <c r="Q862" s="456"/>
      <c r="R862" s="456"/>
      <c r="S862" s="456"/>
      <c r="T862" s="456"/>
      <c r="U862" s="456"/>
      <c r="V862" s="456"/>
      <c r="W862" s="456"/>
      <c r="X862" s="456"/>
      <c r="Y862" s="456"/>
      <c r="Z862" s="456"/>
    </row>
    <row r="863" spans="1:26" ht="11.25" customHeight="1">
      <c r="A863" s="456"/>
      <c r="B863" s="456"/>
      <c r="C863" s="456"/>
      <c r="D863" s="456"/>
      <c r="E863" s="456"/>
      <c r="F863" s="456"/>
      <c r="G863" s="456"/>
      <c r="H863" s="456"/>
      <c r="I863" s="456"/>
      <c r="J863" s="456"/>
      <c r="K863" s="456"/>
      <c r="L863" s="456"/>
      <c r="M863" s="456"/>
      <c r="N863" s="456"/>
      <c r="O863" s="456"/>
      <c r="P863" s="456"/>
      <c r="Q863" s="456"/>
      <c r="R863" s="456"/>
      <c r="S863" s="456"/>
      <c r="T863" s="456"/>
      <c r="U863" s="456"/>
      <c r="V863" s="456"/>
      <c r="W863" s="456"/>
      <c r="X863" s="456"/>
      <c r="Y863" s="456"/>
      <c r="Z863" s="456"/>
    </row>
    <row r="864" spans="1:26" ht="11.25" customHeight="1">
      <c r="A864" s="456"/>
      <c r="B864" s="456"/>
      <c r="C864" s="456"/>
      <c r="D864" s="456"/>
      <c r="E864" s="456"/>
      <c r="F864" s="456"/>
      <c r="G864" s="456"/>
      <c r="H864" s="456"/>
      <c r="I864" s="456"/>
      <c r="J864" s="456"/>
      <c r="K864" s="456"/>
      <c r="L864" s="456"/>
      <c r="M864" s="456"/>
      <c r="N864" s="456"/>
      <c r="O864" s="456"/>
      <c r="P864" s="456"/>
      <c r="Q864" s="456"/>
      <c r="R864" s="456"/>
      <c r="S864" s="456"/>
      <c r="T864" s="456"/>
      <c r="U864" s="456"/>
      <c r="V864" s="456"/>
      <c r="W864" s="456"/>
      <c r="X864" s="456"/>
      <c r="Y864" s="456"/>
      <c r="Z864" s="456"/>
    </row>
    <row r="865" spans="1:26" ht="11.25" customHeight="1">
      <c r="A865" s="456"/>
      <c r="B865" s="456"/>
      <c r="C865" s="456"/>
      <c r="D865" s="456"/>
      <c r="E865" s="456"/>
      <c r="F865" s="456"/>
      <c r="G865" s="456"/>
      <c r="H865" s="456"/>
      <c r="I865" s="456"/>
      <c r="J865" s="456"/>
      <c r="K865" s="456"/>
      <c r="L865" s="456"/>
      <c r="M865" s="456"/>
      <c r="N865" s="456"/>
      <c r="O865" s="456"/>
      <c r="P865" s="456"/>
      <c r="Q865" s="456"/>
      <c r="R865" s="456"/>
      <c r="S865" s="456"/>
      <c r="T865" s="456"/>
      <c r="U865" s="456"/>
      <c r="V865" s="456"/>
      <c r="W865" s="456"/>
      <c r="X865" s="456"/>
      <c r="Y865" s="456"/>
      <c r="Z865" s="456"/>
    </row>
    <row r="866" spans="1:26" ht="11.25" customHeight="1">
      <c r="A866" s="456"/>
      <c r="B866" s="456"/>
      <c r="C866" s="456"/>
      <c r="D866" s="456"/>
      <c r="E866" s="456"/>
      <c r="F866" s="456"/>
      <c r="G866" s="456"/>
      <c r="H866" s="456"/>
      <c r="I866" s="456"/>
      <c r="J866" s="456"/>
      <c r="K866" s="456"/>
      <c r="L866" s="456"/>
      <c r="M866" s="456"/>
      <c r="N866" s="456"/>
      <c r="O866" s="456"/>
      <c r="P866" s="456"/>
      <c r="Q866" s="456"/>
      <c r="R866" s="456"/>
      <c r="S866" s="456"/>
      <c r="T866" s="456"/>
      <c r="U866" s="456"/>
      <c r="V866" s="456"/>
      <c r="W866" s="456"/>
      <c r="X866" s="456"/>
      <c r="Y866" s="456"/>
      <c r="Z866" s="456"/>
    </row>
    <row r="867" spans="1:26" ht="11.25" customHeight="1">
      <c r="A867" s="456"/>
      <c r="B867" s="456"/>
      <c r="C867" s="456"/>
      <c r="D867" s="456"/>
      <c r="E867" s="456"/>
      <c r="F867" s="456"/>
      <c r="G867" s="456"/>
      <c r="H867" s="456"/>
      <c r="I867" s="456"/>
      <c r="J867" s="456"/>
      <c r="K867" s="456"/>
      <c r="L867" s="456"/>
      <c r="M867" s="456"/>
      <c r="N867" s="456"/>
      <c r="O867" s="456"/>
      <c r="P867" s="456"/>
      <c r="Q867" s="456"/>
      <c r="R867" s="456"/>
      <c r="S867" s="456"/>
      <c r="T867" s="456"/>
      <c r="U867" s="456"/>
      <c r="V867" s="456"/>
      <c r="W867" s="456"/>
      <c r="X867" s="456"/>
      <c r="Y867" s="456"/>
      <c r="Z867" s="456"/>
    </row>
    <row r="868" spans="1:26" ht="11.25" customHeight="1">
      <c r="A868" s="456"/>
      <c r="B868" s="456"/>
      <c r="C868" s="456"/>
      <c r="D868" s="456"/>
      <c r="E868" s="456"/>
      <c r="F868" s="456"/>
      <c r="G868" s="456"/>
      <c r="H868" s="456"/>
      <c r="I868" s="456"/>
      <c r="J868" s="456"/>
      <c r="K868" s="456"/>
      <c r="L868" s="456"/>
      <c r="M868" s="456"/>
      <c r="N868" s="456"/>
      <c r="O868" s="456"/>
      <c r="P868" s="456"/>
      <c r="Q868" s="456"/>
      <c r="R868" s="456"/>
      <c r="S868" s="456"/>
      <c r="T868" s="456"/>
      <c r="U868" s="456"/>
      <c r="V868" s="456"/>
      <c r="W868" s="456"/>
      <c r="X868" s="456"/>
      <c r="Y868" s="456"/>
      <c r="Z868" s="456"/>
    </row>
    <row r="869" spans="1:26" ht="11.25" customHeight="1">
      <c r="A869" s="456"/>
      <c r="B869" s="456"/>
      <c r="C869" s="456"/>
      <c r="D869" s="456"/>
      <c r="E869" s="456"/>
      <c r="F869" s="456"/>
      <c r="G869" s="456"/>
      <c r="H869" s="456"/>
      <c r="I869" s="456"/>
      <c r="J869" s="456"/>
      <c r="K869" s="456"/>
      <c r="L869" s="456"/>
      <c r="M869" s="456"/>
      <c r="N869" s="456"/>
      <c r="O869" s="456"/>
      <c r="P869" s="456"/>
      <c r="Q869" s="456"/>
      <c r="R869" s="456"/>
      <c r="S869" s="456"/>
      <c r="T869" s="456"/>
      <c r="U869" s="456"/>
      <c r="V869" s="456"/>
      <c r="W869" s="456"/>
      <c r="X869" s="456"/>
      <c r="Y869" s="456"/>
      <c r="Z869" s="456"/>
    </row>
    <row r="870" spans="1:26" ht="11.25" customHeight="1">
      <c r="A870" s="456"/>
      <c r="B870" s="456"/>
      <c r="C870" s="456"/>
      <c r="D870" s="456"/>
      <c r="E870" s="456"/>
      <c r="F870" s="456"/>
      <c r="G870" s="456"/>
      <c r="H870" s="456"/>
      <c r="I870" s="456"/>
      <c r="J870" s="456"/>
      <c r="K870" s="456"/>
      <c r="L870" s="456"/>
      <c r="M870" s="456"/>
      <c r="N870" s="456"/>
      <c r="O870" s="456"/>
      <c r="P870" s="456"/>
      <c r="Q870" s="456"/>
      <c r="R870" s="456"/>
      <c r="S870" s="456"/>
      <c r="T870" s="456"/>
      <c r="U870" s="456"/>
      <c r="V870" s="456"/>
      <c r="W870" s="456"/>
      <c r="X870" s="456"/>
      <c r="Y870" s="456"/>
      <c r="Z870" s="456"/>
    </row>
    <row r="871" spans="1:26" ht="11.25" customHeight="1">
      <c r="A871" s="456"/>
      <c r="B871" s="456"/>
      <c r="C871" s="456"/>
      <c r="D871" s="456"/>
      <c r="E871" s="456"/>
      <c r="F871" s="456"/>
      <c r="G871" s="456"/>
      <c r="H871" s="456"/>
      <c r="I871" s="456"/>
      <c r="J871" s="456"/>
      <c r="K871" s="456"/>
      <c r="L871" s="456"/>
      <c r="M871" s="456"/>
      <c r="N871" s="456"/>
      <c r="O871" s="456"/>
      <c r="P871" s="456"/>
      <c r="Q871" s="456"/>
      <c r="R871" s="456"/>
      <c r="S871" s="456"/>
      <c r="T871" s="456"/>
      <c r="U871" s="456"/>
      <c r="V871" s="456"/>
      <c r="W871" s="456"/>
      <c r="X871" s="456"/>
      <c r="Y871" s="456"/>
      <c r="Z871" s="456"/>
    </row>
    <row r="872" spans="1:26" ht="11.25" customHeight="1">
      <c r="A872" s="456"/>
      <c r="B872" s="456"/>
      <c r="C872" s="456"/>
      <c r="D872" s="456"/>
      <c r="E872" s="456"/>
      <c r="F872" s="456"/>
      <c r="G872" s="456"/>
      <c r="H872" s="456"/>
      <c r="I872" s="456"/>
      <c r="J872" s="456"/>
      <c r="K872" s="456"/>
      <c r="L872" s="456"/>
      <c r="M872" s="456"/>
      <c r="N872" s="456"/>
      <c r="O872" s="456"/>
      <c r="P872" s="456"/>
      <c r="Q872" s="456"/>
      <c r="R872" s="456"/>
      <c r="S872" s="456"/>
      <c r="T872" s="456"/>
      <c r="U872" s="456"/>
      <c r="V872" s="456"/>
      <c r="W872" s="456"/>
      <c r="X872" s="456"/>
      <c r="Y872" s="456"/>
      <c r="Z872" s="456"/>
    </row>
    <row r="873" spans="1:26" ht="11.25" customHeight="1">
      <c r="A873" s="456"/>
      <c r="B873" s="456"/>
      <c r="C873" s="456"/>
      <c r="D873" s="456"/>
      <c r="E873" s="456"/>
      <c r="F873" s="456"/>
      <c r="G873" s="456"/>
      <c r="H873" s="456"/>
      <c r="I873" s="456"/>
      <c r="J873" s="456"/>
      <c r="K873" s="456"/>
      <c r="L873" s="456"/>
      <c r="M873" s="456"/>
      <c r="N873" s="456"/>
      <c r="O873" s="456"/>
      <c r="P873" s="456"/>
      <c r="Q873" s="456"/>
      <c r="R873" s="456"/>
      <c r="S873" s="456"/>
      <c r="T873" s="456"/>
      <c r="U873" s="456"/>
      <c r="V873" s="456"/>
      <c r="W873" s="456"/>
      <c r="X873" s="456"/>
      <c r="Y873" s="456"/>
      <c r="Z873" s="456"/>
    </row>
    <row r="874" spans="1:26" ht="11.25" customHeight="1">
      <c r="A874" s="456"/>
      <c r="B874" s="456"/>
      <c r="C874" s="456"/>
      <c r="D874" s="456"/>
      <c r="E874" s="456"/>
      <c r="F874" s="456"/>
      <c r="G874" s="456"/>
      <c r="H874" s="456"/>
      <c r="I874" s="456"/>
      <c r="J874" s="456"/>
      <c r="K874" s="456"/>
      <c r="L874" s="456"/>
      <c r="M874" s="456"/>
      <c r="N874" s="456"/>
      <c r="O874" s="456"/>
      <c r="P874" s="456"/>
      <c r="Q874" s="456"/>
      <c r="R874" s="456"/>
      <c r="S874" s="456"/>
      <c r="T874" s="456"/>
      <c r="U874" s="456"/>
      <c r="V874" s="456"/>
      <c r="W874" s="456"/>
      <c r="X874" s="456"/>
      <c r="Y874" s="456"/>
      <c r="Z874" s="456"/>
    </row>
    <row r="875" spans="1:26" ht="11.25" customHeight="1">
      <c r="A875" s="456"/>
      <c r="B875" s="456"/>
      <c r="C875" s="456"/>
      <c r="D875" s="456"/>
      <c r="E875" s="456"/>
      <c r="F875" s="456"/>
      <c r="G875" s="456"/>
      <c r="H875" s="456"/>
      <c r="I875" s="456"/>
      <c r="J875" s="456"/>
      <c r="K875" s="456"/>
      <c r="L875" s="456"/>
      <c r="M875" s="456"/>
      <c r="N875" s="456"/>
      <c r="O875" s="456"/>
      <c r="P875" s="456"/>
      <c r="Q875" s="456"/>
      <c r="R875" s="456"/>
      <c r="S875" s="456"/>
      <c r="T875" s="456"/>
      <c r="U875" s="456"/>
      <c r="V875" s="456"/>
      <c r="W875" s="456"/>
      <c r="X875" s="456"/>
      <c r="Y875" s="456"/>
      <c r="Z875" s="456"/>
    </row>
    <row r="876" spans="1:26" ht="11.25" customHeight="1">
      <c r="A876" s="456"/>
      <c r="B876" s="456"/>
      <c r="C876" s="456"/>
      <c r="D876" s="456"/>
      <c r="E876" s="456"/>
      <c r="F876" s="456"/>
      <c r="G876" s="456"/>
      <c r="H876" s="456"/>
      <c r="I876" s="456"/>
      <c r="J876" s="456"/>
      <c r="K876" s="456"/>
      <c r="L876" s="456"/>
      <c r="M876" s="456"/>
      <c r="N876" s="456"/>
      <c r="O876" s="456"/>
      <c r="P876" s="456"/>
      <c r="Q876" s="456"/>
      <c r="R876" s="456"/>
      <c r="S876" s="456"/>
      <c r="T876" s="456"/>
      <c r="U876" s="456"/>
      <c r="V876" s="456"/>
      <c r="W876" s="456"/>
      <c r="X876" s="456"/>
      <c r="Y876" s="456"/>
      <c r="Z876" s="456"/>
    </row>
    <row r="877" spans="1:26" ht="11.25" customHeight="1">
      <c r="A877" s="456"/>
      <c r="B877" s="456"/>
      <c r="C877" s="456"/>
      <c r="D877" s="456"/>
      <c r="E877" s="456"/>
      <c r="F877" s="456"/>
      <c r="G877" s="456"/>
      <c r="H877" s="456"/>
      <c r="I877" s="456"/>
      <c r="J877" s="456"/>
      <c r="K877" s="456"/>
      <c r="L877" s="456"/>
      <c r="M877" s="456"/>
      <c r="N877" s="456"/>
      <c r="O877" s="456"/>
      <c r="P877" s="456"/>
      <c r="Q877" s="456"/>
      <c r="R877" s="456"/>
      <c r="S877" s="456"/>
      <c r="T877" s="456"/>
      <c r="U877" s="456"/>
      <c r="V877" s="456"/>
      <c r="W877" s="456"/>
      <c r="X877" s="456"/>
      <c r="Y877" s="456"/>
      <c r="Z877" s="456"/>
    </row>
    <row r="878" spans="1:26" ht="11.25" customHeight="1">
      <c r="A878" s="456"/>
      <c r="B878" s="456"/>
      <c r="C878" s="456"/>
      <c r="D878" s="456"/>
      <c r="E878" s="456"/>
      <c r="F878" s="456"/>
      <c r="G878" s="456"/>
      <c r="H878" s="456"/>
      <c r="I878" s="456"/>
      <c r="J878" s="456"/>
      <c r="K878" s="456"/>
      <c r="L878" s="456"/>
      <c r="M878" s="456"/>
      <c r="N878" s="456"/>
      <c r="O878" s="456"/>
      <c r="P878" s="456"/>
      <c r="Q878" s="456"/>
      <c r="R878" s="456"/>
      <c r="S878" s="456"/>
      <c r="T878" s="456"/>
      <c r="U878" s="456"/>
      <c r="V878" s="456"/>
      <c r="W878" s="456"/>
      <c r="X878" s="456"/>
      <c r="Y878" s="456"/>
      <c r="Z878" s="456"/>
    </row>
    <row r="879" spans="1:26" ht="11.25" customHeight="1">
      <c r="A879" s="456"/>
      <c r="B879" s="456"/>
      <c r="C879" s="456"/>
      <c r="D879" s="456"/>
      <c r="E879" s="456"/>
      <c r="F879" s="456"/>
      <c r="G879" s="456"/>
      <c r="H879" s="456"/>
      <c r="I879" s="456"/>
      <c r="J879" s="456"/>
      <c r="K879" s="456"/>
      <c r="L879" s="456"/>
      <c r="M879" s="456"/>
      <c r="N879" s="456"/>
      <c r="O879" s="456"/>
      <c r="P879" s="456"/>
      <c r="Q879" s="456"/>
      <c r="R879" s="456"/>
      <c r="S879" s="456"/>
      <c r="T879" s="456"/>
      <c r="U879" s="456"/>
      <c r="V879" s="456"/>
      <c r="W879" s="456"/>
      <c r="X879" s="456"/>
      <c r="Y879" s="456"/>
      <c r="Z879" s="456"/>
    </row>
    <row r="880" spans="1:26" ht="11.25" customHeight="1">
      <c r="A880" s="456"/>
      <c r="B880" s="456"/>
      <c r="C880" s="456"/>
      <c r="D880" s="456"/>
      <c r="E880" s="456"/>
      <c r="F880" s="456"/>
      <c r="G880" s="456"/>
      <c r="H880" s="456"/>
      <c r="I880" s="456"/>
      <c r="J880" s="456"/>
      <c r="K880" s="456"/>
      <c r="L880" s="456"/>
      <c r="M880" s="456"/>
      <c r="N880" s="456"/>
      <c r="O880" s="456"/>
      <c r="P880" s="456"/>
      <c r="Q880" s="456"/>
      <c r="R880" s="456"/>
      <c r="S880" s="456"/>
      <c r="T880" s="456"/>
      <c r="U880" s="456"/>
      <c r="V880" s="456"/>
      <c r="W880" s="456"/>
      <c r="X880" s="456"/>
      <c r="Y880" s="456"/>
      <c r="Z880" s="456"/>
    </row>
    <row r="881" spans="1:26" ht="11.25" customHeight="1">
      <c r="A881" s="456"/>
      <c r="B881" s="456"/>
      <c r="C881" s="456"/>
      <c r="D881" s="456"/>
      <c r="E881" s="456"/>
      <c r="F881" s="456"/>
      <c r="G881" s="456"/>
      <c r="H881" s="456"/>
      <c r="I881" s="456"/>
      <c r="J881" s="456"/>
      <c r="K881" s="456"/>
      <c r="L881" s="456"/>
      <c r="M881" s="456"/>
      <c r="N881" s="456"/>
      <c r="O881" s="456"/>
      <c r="P881" s="456"/>
      <c r="Q881" s="456"/>
      <c r="R881" s="456"/>
      <c r="S881" s="456"/>
      <c r="T881" s="456"/>
      <c r="U881" s="456"/>
      <c r="V881" s="456"/>
      <c r="W881" s="456"/>
      <c r="X881" s="456"/>
      <c r="Y881" s="456"/>
      <c r="Z881" s="456"/>
    </row>
    <row r="882" spans="1:26" ht="11.25" customHeight="1">
      <c r="A882" s="456"/>
      <c r="B882" s="456"/>
      <c r="C882" s="456"/>
      <c r="D882" s="456"/>
      <c r="E882" s="456"/>
      <c r="F882" s="456"/>
      <c r="G882" s="456"/>
      <c r="H882" s="456"/>
      <c r="I882" s="456"/>
      <c r="J882" s="456"/>
      <c r="K882" s="456"/>
      <c r="L882" s="456"/>
      <c r="M882" s="456"/>
      <c r="N882" s="456"/>
      <c r="O882" s="456"/>
      <c r="P882" s="456"/>
      <c r="Q882" s="456"/>
      <c r="R882" s="456"/>
      <c r="S882" s="456"/>
      <c r="T882" s="456"/>
      <c r="U882" s="456"/>
      <c r="V882" s="456"/>
      <c r="W882" s="456"/>
      <c r="X882" s="456"/>
      <c r="Y882" s="456"/>
      <c r="Z882" s="456"/>
    </row>
    <row r="883" spans="1:26" ht="11.25" customHeight="1">
      <c r="A883" s="456"/>
      <c r="B883" s="456"/>
      <c r="C883" s="456"/>
      <c r="D883" s="456"/>
      <c r="E883" s="456"/>
      <c r="F883" s="456"/>
      <c r="G883" s="456"/>
      <c r="H883" s="456"/>
      <c r="I883" s="456"/>
      <c r="J883" s="456"/>
      <c r="K883" s="456"/>
      <c r="L883" s="456"/>
      <c r="M883" s="456"/>
      <c r="N883" s="456"/>
      <c r="O883" s="456"/>
      <c r="P883" s="456"/>
      <c r="Q883" s="456"/>
      <c r="R883" s="456"/>
      <c r="S883" s="456"/>
      <c r="T883" s="456"/>
      <c r="U883" s="456"/>
      <c r="V883" s="456"/>
      <c r="W883" s="456"/>
      <c r="X883" s="456"/>
      <c r="Y883" s="456"/>
      <c r="Z883" s="456"/>
    </row>
    <row r="884" spans="1:26" ht="11.25" customHeight="1">
      <c r="A884" s="456"/>
      <c r="B884" s="456"/>
      <c r="C884" s="456"/>
      <c r="D884" s="456"/>
      <c r="E884" s="456"/>
      <c r="F884" s="456"/>
      <c r="G884" s="456"/>
      <c r="H884" s="456"/>
      <c r="I884" s="456"/>
      <c r="J884" s="456"/>
      <c r="K884" s="456"/>
      <c r="L884" s="456"/>
      <c r="M884" s="456"/>
      <c r="N884" s="456"/>
      <c r="O884" s="456"/>
      <c r="P884" s="456"/>
      <c r="Q884" s="456"/>
      <c r="R884" s="456"/>
      <c r="S884" s="456"/>
      <c r="T884" s="456"/>
      <c r="U884" s="456"/>
      <c r="V884" s="456"/>
      <c r="W884" s="456"/>
      <c r="X884" s="456"/>
      <c r="Y884" s="456"/>
      <c r="Z884" s="456"/>
    </row>
    <row r="885" spans="1:26" ht="11.25" customHeight="1">
      <c r="A885" s="456"/>
      <c r="B885" s="456"/>
      <c r="C885" s="456"/>
      <c r="D885" s="456"/>
      <c r="E885" s="456"/>
      <c r="F885" s="456"/>
      <c r="G885" s="456"/>
      <c r="H885" s="456"/>
      <c r="I885" s="456"/>
      <c r="J885" s="456"/>
      <c r="K885" s="456"/>
      <c r="L885" s="456"/>
      <c r="M885" s="456"/>
      <c r="N885" s="456"/>
      <c r="O885" s="456"/>
      <c r="P885" s="456"/>
      <c r="Q885" s="456"/>
      <c r="R885" s="456"/>
      <c r="S885" s="456"/>
      <c r="T885" s="456"/>
      <c r="U885" s="456"/>
      <c r="V885" s="456"/>
      <c r="W885" s="456"/>
      <c r="X885" s="456"/>
      <c r="Y885" s="456"/>
      <c r="Z885" s="456"/>
    </row>
    <row r="886" spans="1:26" ht="11.25" customHeight="1">
      <c r="A886" s="456"/>
      <c r="B886" s="456"/>
      <c r="C886" s="456"/>
      <c r="D886" s="456"/>
      <c r="E886" s="456"/>
      <c r="F886" s="456"/>
      <c r="G886" s="456"/>
      <c r="H886" s="456"/>
      <c r="I886" s="456"/>
      <c r="J886" s="456"/>
      <c r="K886" s="456"/>
      <c r="L886" s="456"/>
      <c r="M886" s="456"/>
      <c r="N886" s="456"/>
      <c r="O886" s="456"/>
      <c r="P886" s="456"/>
      <c r="Q886" s="456"/>
      <c r="R886" s="456"/>
      <c r="S886" s="456"/>
      <c r="T886" s="456"/>
      <c r="U886" s="456"/>
      <c r="V886" s="456"/>
      <c r="W886" s="456"/>
      <c r="X886" s="456"/>
      <c r="Y886" s="456"/>
      <c r="Z886" s="456"/>
    </row>
    <row r="887" spans="1:26" ht="11.25" customHeight="1">
      <c r="A887" s="456"/>
      <c r="B887" s="456"/>
      <c r="C887" s="456"/>
      <c r="D887" s="456"/>
      <c r="E887" s="456"/>
      <c r="F887" s="456"/>
      <c r="G887" s="456"/>
      <c r="H887" s="456"/>
      <c r="I887" s="456"/>
      <c r="J887" s="456"/>
      <c r="K887" s="456"/>
      <c r="L887" s="456"/>
      <c r="M887" s="456"/>
      <c r="N887" s="456"/>
      <c r="O887" s="456"/>
      <c r="P887" s="456"/>
      <c r="Q887" s="456"/>
      <c r="R887" s="456"/>
      <c r="S887" s="456"/>
      <c r="T887" s="456"/>
      <c r="U887" s="456"/>
      <c r="V887" s="456"/>
      <c r="W887" s="456"/>
      <c r="X887" s="456"/>
      <c r="Y887" s="456"/>
      <c r="Z887" s="456"/>
    </row>
    <row r="888" spans="1:26" ht="11.25" customHeight="1">
      <c r="A888" s="456"/>
      <c r="B888" s="456"/>
      <c r="C888" s="456"/>
      <c r="D888" s="456"/>
      <c r="E888" s="456"/>
      <c r="F888" s="456"/>
      <c r="G888" s="456"/>
      <c r="H888" s="456"/>
      <c r="I888" s="456"/>
      <c r="J888" s="456"/>
      <c r="K888" s="456"/>
      <c r="L888" s="456"/>
      <c r="M888" s="456"/>
      <c r="N888" s="456"/>
      <c r="O888" s="456"/>
      <c r="P888" s="456"/>
      <c r="Q888" s="456"/>
      <c r="R888" s="456"/>
      <c r="S888" s="456"/>
      <c r="T888" s="456"/>
      <c r="U888" s="456"/>
      <c r="V888" s="456"/>
      <c r="W888" s="456"/>
      <c r="X888" s="456"/>
      <c r="Y888" s="456"/>
      <c r="Z888" s="456"/>
    </row>
    <row r="889" spans="1:26" ht="11.25" customHeight="1">
      <c r="A889" s="456"/>
      <c r="B889" s="456"/>
      <c r="C889" s="456"/>
      <c r="D889" s="456"/>
      <c r="E889" s="456"/>
      <c r="F889" s="456"/>
      <c r="G889" s="456"/>
      <c r="H889" s="456"/>
      <c r="I889" s="456"/>
      <c r="J889" s="456"/>
      <c r="K889" s="456"/>
      <c r="L889" s="456"/>
      <c r="M889" s="456"/>
      <c r="N889" s="456"/>
      <c r="O889" s="456"/>
      <c r="P889" s="456"/>
      <c r="Q889" s="456"/>
      <c r="R889" s="456"/>
      <c r="S889" s="456"/>
      <c r="T889" s="456"/>
      <c r="U889" s="456"/>
      <c r="V889" s="456"/>
      <c r="W889" s="456"/>
      <c r="X889" s="456"/>
      <c r="Y889" s="456"/>
      <c r="Z889" s="456"/>
    </row>
    <row r="890" spans="1:26" ht="11.25" customHeight="1">
      <c r="A890" s="456"/>
      <c r="B890" s="456"/>
      <c r="C890" s="456"/>
      <c r="D890" s="456"/>
      <c r="E890" s="456"/>
      <c r="F890" s="456"/>
      <c r="G890" s="456"/>
      <c r="H890" s="456"/>
      <c r="I890" s="456"/>
      <c r="J890" s="456"/>
      <c r="K890" s="456"/>
      <c r="L890" s="456"/>
      <c r="M890" s="456"/>
      <c r="N890" s="456"/>
      <c r="O890" s="456"/>
      <c r="P890" s="456"/>
      <c r="Q890" s="456"/>
      <c r="R890" s="456"/>
      <c r="S890" s="456"/>
      <c r="T890" s="456"/>
      <c r="U890" s="456"/>
      <c r="V890" s="456"/>
      <c r="W890" s="456"/>
      <c r="X890" s="456"/>
      <c r="Y890" s="456"/>
      <c r="Z890" s="456"/>
    </row>
    <row r="891" spans="1:26" ht="11.25" customHeight="1">
      <c r="A891" s="456"/>
      <c r="B891" s="456"/>
      <c r="C891" s="456"/>
      <c r="D891" s="456"/>
      <c r="E891" s="456"/>
      <c r="F891" s="456"/>
      <c r="G891" s="456"/>
      <c r="H891" s="456"/>
      <c r="I891" s="456"/>
      <c r="J891" s="456"/>
      <c r="K891" s="456"/>
      <c r="L891" s="456"/>
      <c r="M891" s="456"/>
      <c r="N891" s="456"/>
      <c r="O891" s="456"/>
      <c r="P891" s="456"/>
      <c r="Q891" s="456"/>
      <c r="R891" s="456"/>
      <c r="S891" s="456"/>
      <c r="T891" s="456"/>
      <c r="U891" s="456"/>
      <c r="V891" s="456"/>
      <c r="W891" s="456"/>
      <c r="X891" s="456"/>
      <c r="Y891" s="456"/>
      <c r="Z891" s="456"/>
    </row>
    <row r="892" spans="1:26" ht="11.25" customHeight="1">
      <c r="A892" s="456"/>
      <c r="B892" s="456"/>
      <c r="C892" s="456"/>
      <c r="D892" s="456"/>
      <c r="E892" s="456"/>
      <c r="F892" s="456"/>
      <c r="G892" s="456"/>
      <c r="H892" s="456"/>
      <c r="I892" s="456"/>
      <c r="J892" s="456"/>
      <c r="K892" s="456"/>
      <c r="L892" s="456"/>
      <c r="M892" s="456"/>
      <c r="N892" s="456"/>
      <c r="O892" s="456"/>
      <c r="P892" s="456"/>
      <c r="Q892" s="456"/>
      <c r="R892" s="456"/>
      <c r="S892" s="456"/>
      <c r="T892" s="456"/>
      <c r="U892" s="456"/>
      <c r="V892" s="456"/>
      <c r="W892" s="456"/>
      <c r="X892" s="456"/>
      <c r="Y892" s="456"/>
      <c r="Z892" s="456"/>
    </row>
    <row r="893" spans="1:26" ht="11.25" customHeight="1">
      <c r="A893" s="456"/>
      <c r="B893" s="456"/>
      <c r="C893" s="456"/>
      <c r="D893" s="456"/>
      <c r="E893" s="456"/>
      <c r="F893" s="456"/>
      <c r="G893" s="456"/>
      <c r="H893" s="456"/>
      <c r="I893" s="456"/>
      <c r="J893" s="456"/>
      <c r="K893" s="456"/>
      <c r="L893" s="456"/>
      <c r="M893" s="456"/>
      <c r="N893" s="456"/>
      <c r="O893" s="456"/>
      <c r="P893" s="456"/>
      <c r="Q893" s="456"/>
      <c r="R893" s="456"/>
      <c r="S893" s="456"/>
      <c r="T893" s="456"/>
      <c r="U893" s="456"/>
      <c r="V893" s="456"/>
      <c r="W893" s="456"/>
      <c r="X893" s="456"/>
      <c r="Y893" s="456"/>
      <c r="Z893" s="456"/>
    </row>
    <row r="894" spans="1:26" ht="11.25" customHeight="1">
      <c r="A894" s="456"/>
      <c r="B894" s="456"/>
      <c r="C894" s="456"/>
      <c r="D894" s="456"/>
      <c r="E894" s="456"/>
      <c r="F894" s="456"/>
      <c r="G894" s="456"/>
      <c r="H894" s="456"/>
      <c r="I894" s="456"/>
      <c r="J894" s="456"/>
      <c r="K894" s="456"/>
      <c r="L894" s="456"/>
      <c r="M894" s="456"/>
      <c r="N894" s="456"/>
      <c r="O894" s="456"/>
      <c r="P894" s="456"/>
      <c r="Q894" s="456"/>
      <c r="R894" s="456"/>
      <c r="S894" s="456"/>
      <c r="T894" s="456"/>
      <c r="U894" s="456"/>
      <c r="V894" s="456"/>
      <c r="W894" s="456"/>
      <c r="X894" s="456"/>
      <c r="Y894" s="456"/>
      <c r="Z894" s="456"/>
    </row>
    <row r="895" spans="1:26" ht="11.25" customHeight="1">
      <c r="A895" s="456"/>
      <c r="B895" s="456"/>
      <c r="C895" s="456"/>
      <c r="D895" s="456"/>
      <c r="E895" s="456"/>
      <c r="F895" s="456"/>
      <c r="G895" s="456"/>
      <c r="H895" s="456"/>
      <c r="I895" s="456"/>
      <c r="J895" s="456"/>
      <c r="K895" s="456"/>
      <c r="L895" s="456"/>
      <c r="M895" s="456"/>
      <c r="N895" s="456"/>
      <c r="O895" s="456"/>
      <c r="P895" s="456"/>
      <c r="Q895" s="456"/>
      <c r="R895" s="456"/>
      <c r="S895" s="456"/>
      <c r="T895" s="456"/>
      <c r="U895" s="456"/>
      <c r="V895" s="456"/>
      <c r="W895" s="456"/>
      <c r="X895" s="456"/>
      <c r="Y895" s="456"/>
      <c r="Z895" s="456"/>
    </row>
    <row r="896" spans="1:26" ht="11.25" customHeight="1">
      <c r="A896" s="456"/>
      <c r="B896" s="456"/>
      <c r="C896" s="456"/>
      <c r="D896" s="456"/>
      <c r="E896" s="456"/>
      <c r="F896" s="456"/>
      <c r="G896" s="456"/>
      <c r="H896" s="456"/>
      <c r="I896" s="456"/>
      <c r="J896" s="456"/>
      <c r="K896" s="456"/>
      <c r="L896" s="456"/>
      <c r="M896" s="456"/>
      <c r="N896" s="456"/>
      <c r="O896" s="456"/>
      <c r="P896" s="456"/>
      <c r="Q896" s="456"/>
      <c r="R896" s="456"/>
      <c r="S896" s="456"/>
      <c r="T896" s="456"/>
      <c r="U896" s="456"/>
      <c r="V896" s="456"/>
      <c r="W896" s="456"/>
      <c r="X896" s="456"/>
      <c r="Y896" s="456"/>
      <c r="Z896" s="456"/>
    </row>
    <row r="897" spans="1:26" ht="11.25" customHeight="1">
      <c r="A897" s="456"/>
      <c r="B897" s="456"/>
      <c r="C897" s="456"/>
      <c r="D897" s="456"/>
      <c r="E897" s="456"/>
      <c r="F897" s="456"/>
      <c r="G897" s="456"/>
      <c r="H897" s="456"/>
      <c r="I897" s="456"/>
      <c r="J897" s="456"/>
      <c r="K897" s="456"/>
      <c r="L897" s="456"/>
      <c r="M897" s="456"/>
      <c r="N897" s="456"/>
      <c r="O897" s="456"/>
      <c r="P897" s="456"/>
      <c r="Q897" s="456"/>
      <c r="R897" s="456"/>
      <c r="S897" s="456"/>
      <c r="T897" s="456"/>
      <c r="U897" s="456"/>
      <c r="V897" s="456"/>
      <c r="W897" s="456"/>
      <c r="X897" s="456"/>
      <c r="Y897" s="456"/>
      <c r="Z897" s="456"/>
    </row>
    <row r="898" spans="1:26" ht="11.25" customHeight="1">
      <c r="A898" s="456"/>
      <c r="B898" s="456"/>
      <c r="C898" s="456"/>
      <c r="D898" s="456"/>
      <c r="E898" s="456"/>
      <c r="F898" s="456"/>
      <c r="G898" s="456"/>
      <c r="H898" s="456"/>
      <c r="I898" s="456"/>
      <c r="J898" s="456"/>
      <c r="K898" s="456"/>
      <c r="L898" s="456"/>
      <c r="M898" s="456"/>
      <c r="N898" s="456"/>
      <c r="O898" s="456"/>
      <c r="P898" s="456"/>
      <c r="Q898" s="456"/>
      <c r="R898" s="456"/>
      <c r="S898" s="456"/>
      <c r="T898" s="456"/>
      <c r="U898" s="456"/>
      <c r="V898" s="456"/>
      <c r="W898" s="456"/>
      <c r="X898" s="456"/>
      <c r="Y898" s="456"/>
      <c r="Z898" s="456"/>
    </row>
    <row r="899" spans="1:26" ht="11.25" customHeight="1">
      <c r="A899" s="456"/>
      <c r="B899" s="456"/>
      <c r="C899" s="456"/>
      <c r="D899" s="456"/>
      <c r="E899" s="456"/>
      <c r="F899" s="456"/>
      <c r="G899" s="456"/>
      <c r="H899" s="456"/>
      <c r="I899" s="456"/>
      <c r="J899" s="456"/>
      <c r="K899" s="456"/>
      <c r="L899" s="456"/>
      <c r="M899" s="456"/>
      <c r="N899" s="456"/>
      <c r="O899" s="456"/>
      <c r="P899" s="456"/>
      <c r="Q899" s="456"/>
      <c r="R899" s="456"/>
      <c r="S899" s="456"/>
      <c r="T899" s="456"/>
      <c r="U899" s="456"/>
      <c r="V899" s="456"/>
      <c r="W899" s="456"/>
      <c r="X899" s="456"/>
      <c r="Y899" s="456"/>
      <c r="Z899" s="456"/>
    </row>
    <row r="900" spans="1:26" ht="11.25" customHeight="1">
      <c r="A900" s="456"/>
      <c r="B900" s="456"/>
      <c r="C900" s="456"/>
      <c r="D900" s="456"/>
      <c r="E900" s="456"/>
      <c r="F900" s="456"/>
      <c r="G900" s="456"/>
      <c r="H900" s="456"/>
      <c r="I900" s="456"/>
      <c r="J900" s="456"/>
      <c r="K900" s="456"/>
      <c r="L900" s="456"/>
      <c r="M900" s="456"/>
      <c r="N900" s="456"/>
      <c r="O900" s="456"/>
      <c r="P900" s="456"/>
      <c r="Q900" s="456"/>
      <c r="R900" s="456"/>
      <c r="S900" s="456"/>
      <c r="T900" s="456"/>
      <c r="U900" s="456"/>
      <c r="V900" s="456"/>
      <c r="W900" s="456"/>
      <c r="X900" s="456"/>
      <c r="Y900" s="456"/>
      <c r="Z900" s="456"/>
    </row>
    <row r="901" spans="1:26" ht="11.25" customHeight="1">
      <c r="A901" s="456"/>
      <c r="B901" s="456"/>
      <c r="C901" s="456"/>
      <c r="D901" s="456"/>
      <c r="E901" s="456"/>
      <c r="F901" s="456"/>
      <c r="G901" s="456"/>
      <c r="H901" s="456"/>
      <c r="I901" s="456"/>
      <c r="J901" s="456"/>
      <c r="K901" s="456"/>
      <c r="L901" s="456"/>
      <c r="M901" s="456"/>
      <c r="N901" s="456"/>
      <c r="O901" s="456"/>
      <c r="P901" s="456"/>
      <c r="Q901" s="456"/>
      <c r="R901" s="456"/>
      <c r="S901" s="456"/>
      <c r="T901" s="456"/>
      <c r="U901" s="456"/>
      <c r="V901" s="456"/>
      <c r="W901" s="456"/>
      <c r="X901" s="456"/>
      <c r="Y901" s="456"/>
      <c r="Z901" s="456"/>
    </row>
    <row r="902" spans="1:26" ht="11.25" customHeight="1">
      <c r="A902" s="456"/>
      <c r="B902" s="456"/>
      <c r="C902" s="456"/>
      <c r="D902" s="456"/>
      <c r="E902" s="456"/>
      <c r="F902" s="456"/>
      <c r="G902" s="456"/>
      <c r="H902" s="456"/>
      <c r="I902" s="456"/>
      <c r="J902" s="456"/>
      <c r="K902" s="456"/>
      <c r="L902" s="456"/>
      <c r="M902" s="456"/>
      <c r="N902" s="456"/>
      <c r="O902" s="456"/>
      <c r="P902" s="456"/>
      <c r="Q902" s="456"/>
      <c r="R902" s="456"/>
      <c r="S902" s="456"/>
      <c r="T902" s="456"/>
      <c r="U902" s="456"/>
      <c r="V902" s="456"/>
      <c r="W902" s="456"/>
      <c r="X902" s="456"/>
      <c r="Y902" s="456"/>
      <c r="Z902" s="456"/>
    </row>
    <row r="903" spans="1:26" ht="11.25" customHeight="1">
      <c r="A903" s="456"/>
      <c r="B903" s="456"/>
      <c r="C903" s="456"/>
      <c r="D903" s="456"/>
      <c r="E903" s="456"/>
      <c r="F903" s="456"/>
      <c r="G903" s="456"/>
      <c r="H903" s="456"/>
      <c r="I903" s="456"/>
      <c r="J903" s="456"/>
      <c r="K903" s="456"/>
      <c r="L903" s="456"/>
      <c r="M903" s="456"/>
      <c r="N903" s="456"/>
      <c r="O903" s="456"/>
      <c r="P903" s="456"/>
      <c r="Q903" s="456"/>
      <c r="R903" s="456"/>
      <c r="S903" s="456"/>
      <c r="T903" s="456"/>
      <c r="U903" s="456"/>
      <c r="V903" s="456"/>
      <c r="W903" s="456"/>
      <c r="X903" s="456"/>
      <c r="Y903" s="456"/>
      <c r="Z903" s="456"/>
    </row>
    <row r="904" spans="1:26" ht="11.25" customHeight="1">
      <c r="A904" s="456"/>
      <c r="B904" s="456"/>
      <c r="C904" s="456"/>
      <c r="D904" s="456"/>
      <c r="E904" s="456"/>
      <c r="F904" s="456"/>
      <c r="G904" s="456"/>
      <c r="H904" s="456"/>
      <c r="I904" s="456"/>
      <c r="J904" s="456"/>
      <c r="K904" s="456"/>
      <c r="L904" s="456"/>
      <c r="M904" s="456"/>
      <c r="N904" s="456"/>
      <c r="O904" s="456"/>
      <c r="P904" s="456"/>
      <c r="Q904" s="456"/>
      <c r="R904" s="456"/>
      <c r="S904" s="456"/>
      <c r="T904" s="456"/>
      <c r="U904" s="456"/>
      <c r="V904" s="456"/>
      <c r="W904" s="456"/>
      <c r="X904" s="456"/>
      <c r="Y904" s="456"/>
      <c r="Z904" s="456"/>
    </row>
    <row r="905" spans="1:26" ht="11.25" customHeight="1">
      <c r="A905" s="456"/>
      <c r="B905" s="456"/>
      <c r="C905" s="456"/>
      <c r="D905" s="456"/>
      <c r="E905" s="456"/>
      <c r="F905" s="456"/>
      <c r="G905" s="456"/>
      <c r="H905" s="456"/>
      <c r="I905" s="456"/>
      <c r="J905" s="456"/>
      <c r="K905" s="456"/>
      <c r="L905" s="456"/>
      <c r="M905" s="456"/>
      <c r="N905" s="456"/>
      <c r="O905" s="456"/>
      <c r="P905" s="456"/>
      <c r="Q905" s="456"/>
      <c r="R905" s="456"/>
      <c r="S905" s="456"/>
      <c r="T905" s="456"/>
      <c r="U905" s="456"/>
      <c r="V905" s="456"/>
      <c r="W905" s="456"/>
      <c r="X905" s="456"/>
      <c r="Y905" s="456"/>
      <c r="Z905" s="456"/>
    </row>
    <row r="906" spans="1:26" ht="11.25" customHeight="1">
      <c r="A906" s="456"/>
      <c r="B906" s="456"/>
      <c r="C906" s="456"/>
      <c r="D906" s="456"/>
      <c r="E906" s="456"/>
      <c r="F906" s="456"/>
      <c r="G906" s="456"/>
      <c r="H906" s="456"/>
      <c r="I906" s="456"/>
      <c r="J906" s="456"/>
      <c r="K906" s="456"/>
      <c r="L906" s="456"/>
      <c r="M906" s="456"/>
      <c r="N906" s="456"/>
      <c r="O906" s="456"/>
      <c r="P906" s="456"/>
      <c r="Q906" s="456"/>
      <c r="R906" s="456"/>
      <c r="S906" s="456"/>
      <c r="T906" s="456"/>
      <c r="U906" s="456"/>
      <c r="V906" s="456"/>
      <c r="W906" s="456"/>
      <c r="X906" s="456"/>
      <c r="Y906" s="456"/>
      <c r="Z906" s="456"/>
    </row>
    <row r="907" spans="1:26" ht="11.25" customHeight="1">
      <c r="A907" s="456"/>
      <c r="B907" s="456"/>
      <c r="C907" s="456"/>
      <c r="D907" s="456"/>
      <c r="E907" s="456"/>
      <c r="F907" s="456"/>
      <c r="G907" s="456"/>
      <c r="H907" s="456"/>
      <c r="I907" s="456"/>
      <c r="J907" s="456"/>
      <c r="K907" s="456"/>
      <c r="L907" s="456"/>
      <c r="M907" s="456"/>
      <c r="N907" s="456"/>
      <c r="O907" s="456"/>
      <c r="P907" s="456"/>
      <c r="Q907" s="456"/>
      <c r="R907" s="456"/>
      <c r="S907" s="456"/>
      <c r="T907" s="456"/>
      <c r="U907" s="456"/>
      <c r="V907" s="456"/>
      <c r="W907" s="456"/>
      <c r="X907" s="456"/>
      <c r="Y907" s="456"/>
      <c r="Z907" s="456"/>
    </row>
    <row r="908" spans="1:26" ht="11.25" customHeight="1">
      <c r="A908" s="456"/>
      <c r="B908" s="456"/>
      <c r="C908" s="456"/>
      <c r="D908" s="456"/>
      <c r="E908" s="456"/>
      <c r="F908" s="456"/>
      <c r="G908" s="456"/>
      <c r="H908" s="456"/>
      <c r="I908" s="456"/>
      <c r="J908" s="456"/>
      <c r="K908" s="456"/>
      <c r="L908" s="456"/>
      <c r="M908" s="456"/>
      <c r="N908" s="456"/>
      <c r="O908" s="456"/>
      <c r="P908" s="456"/>
      <c r="Q908" s="456"/>
      <c r="R908" s="456"/>
      <c r="S908" s="456"/>
      <c r="T908" s="456"/>
      <c r="U908" s="456"/>
      <c r="V908" s="456"/>
      <c r="W908" s="456"/>
      <c r="X908" s="456"/>
      <c r="Y908" s="456"/>
      <c r="Z908" s="456"/>
    </row>
    <row r="909" spans="1:26" ht="11.25" customHeight="1">
      <c r="A909" s="456"/>
      <c r="B909" s="456"/>
      <c r="C909" s="456"/>
      <c r="D909" s="456"/>
      <c r="E909" s="456"/>
      <c r="F909" s="456"/>
      <c r="G909" s="456"/>
      <c r="H909" s="456"/>
      <c r="I909" s="456"/>
      <c r="J909" s="456"/>
      <c r="K909" s="456"/>
      <c r="L909" s="456"/>
      <c r="M909" s="456"/>
      <c r="N909" s="456"/>
      <c r="O909" s="456"/>
      <c r="P909" s="456"/>
      <c r="Q909" s="456"/>
      <c r="R909" s="456"/>
      <c r="S909" s="456"/>
      <c r="T909" s="456"/>
      <c r="U909" s="456"/>
      <c r="V909" s="456"/>
      <c r="W909" s="456"/>
      <c r="X909" s="456"/>
      <c r="Y909" s="456"/>
      <c r="Z909" s="456"/>
    </row>
    <row r="910" spans="1:26" ht="11.25" customHeight="1">
      <c r="A910" s="456"/>
      <c r="B910" s="456"/>
      <c r="C910" s="456"/>
      <c r="D910" s="456"/>
      <c r="E910" s="456"/>
      <c r="F910" s="456"/>
      <c r="G910" s="456"/>
      <c r="H910" s="456"/>
      <c r="I910" s="456"/>
      <c r="J910" s="456"/>
      <c r="K910" s="456"/>
      <c r="L910" s="456"/>
      <c r="M910" s="456"/>
      <c r="N910" s="456"/>
      <c r="O910" s="456"/>
      <c r="P910" s="456"/>
      <c r="Q910" s="456"/>
      <c r="R910" s="456"/>
      <c r="S910" s="456"/>
      <c r="T910" s="456"/>
      <c r="U910" s="456"/>
      <c r="V910" s="456"/>
      <c r="W910" s="456"/>
      <c r="X910" s="456"/>
      <c r="Y910" s="456"/>
      <c r="Z910" s="456"/>
    </row>
    <row r="911" spans="1:26" ht="11.25" customHeight="1">
      <c r="A911" s="456"/>
      <c r="B911" s="456"/>
      <c r="C911" s="456"/>
      <c r="D911" s="456"/>
      <c r="E911" s="456"/>
      <c r="F911" s="456"/>
      <c r="G911" s="456"/>
      <c r="H911" s="456"/>
      <c r="I911" s="456"/>
      <c r="J911" s="456"/>
      <c r="K911" s="456"/>
      <c r="L911" s="456"/>
      <c r="M911" s="456"/>
      <c r="N911" s="456"/>
      <c r="O911" s="456"/>
      <c r="P911" s="456"/>
      <c r="Q911" s="456"/>
      <c r="R911" s="456"/>
      <c r="S911" s="456"/>
      <c r="T911" s="456"/>
      <c r="U911" s="456"/>
      <c r="V911" s="456"/>
      <c r="W911" s="456"/>
      <c r="X911" s="456"/>
      <c r="Y911" s="456"/>
      <c r="Z911" s="456"/>
    </row>
    <row r="912" spans="1:26" ht="11.25" customHeight="1">
      <c r="A912" s="456"/>
      <c r="B912" s="456"/>
      <c r="C912" s="456"/>
      <c r="D912" s="456"/>
      <c r="E912" s="456"/>
      <c r="F912" s="456"/>
      <c r="G912" s="456"/>
      <c r="H912" s="456"/>
      <c r="I912" s="456"/>
      <c r="J912" s="456"/>
      <c r="K912" s="456"/>
      <c r="L912" s="456"/>
      <c r="M912" s="456"/>
      <c r="N912" s="456"/>
      <c r="O912" s="456"/>
      <c r="P912" s="456"/>
      <c r="Q912" s="456"/>
      <c r="R912" s="456"/>
      <c r="S912" s="456"/>
      <c r="T912" s="456"/>
      <c r="U912" s="456"/>
      <c r="V912" s="456"/>
      <c r="W912" s="456"/>
      <c r="X912" s="456"/>
      <c r="Y912" s="456"/>
      <c r="Z912" s="456"/>
    </row>
    <row r="913" spans="1:26" ht="11.25" customHeight="1">
      <c r="A913" s="456"/>
      <c r="B913" s="456"/>
      <c r="C913" s="456"/>
      <c r="D913" s="456"/>
      <c r="E913" s="456"/>
      <c r="F913" s="456"/>
      <c r="G913" s="456"/>
      <c r="H913" s="456"/>
      <c r="I913" s="456"/>
      <c r="J913" s="456"/>
      <c r="K913" s="456"/>
      <c r="L913" s="456"/>
      <c r="M913" s="456"/>
      <c r="N913" s="456"/>
      <c r="O913" s="456"/>
      <c r="P913" s="456"/>
      <c r="Q913" s="456"/>
      <c r="R913" s="456"/>
      <c r="S913" s="456"/>
      <c r="T913" s="456"/>
      <c r="U913" s="456"/>
      <c r="V913" s="456"/>
      <c r="W913" s="456"/>
      <c r="X913" s="456"/>
      <c r="Y913" s="456"/>
      <c r="Z913" s="456"/>
    </row>
    <row r="914" spans="1:26" ht="11.25" customHeight="1">
      <c r="A914" s="456"/>
      <c r="B914" s="456"/>
      <c r="C914" s="456"/>
      <c r="D914" s="456"/>
      <c r="E914" s="456"/>
      <c r="F914" s="456"/>
      <c r="G914" s="456"/>
      <c r="H914" s="456"/>
      <c r="I914" s="456"/>
      <c r="J914" s="456"/>
      <c r="K914" s="456"/>
      <c r="L914" s="456"/>
      <c r="M914" s="456"/>
      <c r="N914" s="456"/>
      <c r="O914" s="456"/>
      <c r="P914" s="456"/>
      <c r="Q914" s="456"/>
      <c r="R914" s="456"/>
      <c r="S914" s="456"/>
      <c r="T914" s="456"/>
      <c r="U914" s="456"/>
      <c r="V914" s="456"/>
      <c r="W914" s="456"/>
      <c r="X914" s="456"/>
      <c r="Y914" s="456"/>
      <c r="Z914" s="456"/>
    </row>
    <row r="915" spans="1:26" ht="11.25" customHeight="1">
      <c r="A915" s="456"/>
      <c r="B915" s="456"/>
      <c r="C915" s="456"/>
      <c r="D915" s="456"/>
      <c r="E915" s="456"/>
      <c r="F915" s="456"/>
      <c r="G915" s="456"/>
      <c r="H915" s="456"/>
      <c r="I915" s="456"/>
      <c r="J915" s="456"/>
      <c r="K915" s="456"/>
      <c r="L915" s="456"/>
      <c r="M915" s="456"/>
      <c r="N915" s="456"/>
      <c r="O915" s="456"/>
      <c r="P915" s="456"/>
      <c r="Q915" s="456"/>
      <c r="R915" s="456"/>
      <c r="S915" s="456"/>
      <c r="T915" s="456"/>
      <c r="U915" s="456"/>
      <c r="V915" s="456"/>
      <c r="W915" s="456"/>
      <c r="X915" s="456"/>
      <c r="Y915" s="456"/>
      <c r="Z915" s="456"/>
    </row>
    <row r="916" spans="1:26" ht="11.25" customHeight="1">
      <c r="A916" s="456"/>
      <c r="B916" s="456"/>
      <c r="C916" s="456"/>
      <c r="D916" s="456"/>
      <c r="E916" s="456"/>
      <c r="F916" s="456"/>
      <c r="G916" s="456"/>
      <c r="H916" s="456"/>
      <c r="I916" s="456"/>
      <c r="J916" s="456"/>
      <c r="K916" s="456"/>
      <c r="L916" s="456"/>
      <c r="M916" s="456"/>
      <c r="N916" s="456"/>
      <c r="O916" s="456"/>
      <c r="P916" s="456"/>
      <c r="Q916" s="456"/>
      <c r="R916" s="456"/>
      <c r="S916" s="456"/>
      <c r="T916" s="456"/>
      <c r="U916" s="456"/>
      <c r="V916" s="456"/>
      <c r="W916" s="456"/>
      <c r="X916" s="456"/>
      <c r="Y916" s="456"/>
      <c r="Z916" s="456"/>
    </row>
    <row r="917" spans="1:26" ht="11.25" customHeight="1">
      <c r="A917" s="456"/>
      <c r="B917" s="456"/>
      <c r="C917" s="456"/>
      <c r="D917" s="456"/>
      <c r="E917" s="456"/>
      <c r="F917" s="456"/>
      <c r="G917" s="456"/>
      <c r="H917" s="456"/>
      <c r="I917" s="456"/>
      <c r="J917" s="456"/>
      <c r="K917" s="456"/>
      <c r="L917" s="456"/>
      <c r="M917" s="456"/>
      <c r="N917" s="456"/>
      <c r="O917" s="456"/>
      <c r="P917" s="456"/>
      <c r="Q917" s="456"/>
      <c r="R917" s="456"/>
      <c r="S917" s="456"/>
      <c r="T917" s="456"/>
      <c r="U917" s="456"/>
      <c r="V917" s="456"/>
      <c r="W917" s="456"/>
      <c r="X917" s="456"/>
      <c r="Y917" s="456"/>
      <c r="Z917" s="456"/>
    </row>
    <row r="918" spans="1:26" ht="11.25" customHeight="1">
      <c r="A918" s="456"/>
      <c r="B918" s="456"/>
      <c r="C918" s="456"/>
      <c r="D918" s="456"/>
      <c r="E918" s="456"/>
      <c r="F918" s="456"/>
      <c r="G918" s="456"/>
      <c r="H918" s="456"/>
      <c r="I918" s="456"/>
      <c r="J918" s="456"/>
      <c r="K918" s="456"/>
      <c r="L918" s="456"/>
      <c r="M918" s="456"/>
      <c r="N918" s="456"/>
      <c r="O918" s="456"/>
      <c r="P918" s="456"/>
      <c r="Q918" s="456"/>
      <c r="R918" s="456"/>
      <c r="S918" s="456"/>
      <c r="T918" s="456"/>
      <c r="U918" s="456"/>
      <c r="V918" s="456"/>
      <c r="W918" s="456"/>
      <c r="X918" s="456"/>
      <c r="Y918" s="456"/>
      <c r="Z918" s="456"/>
    </row>
    <row r="919" spans="1:26" ht="11.25" customHeight="1">
      <c r="A919" s="456"/>
      <c r="B919" s="456"/>
      <c r="C919" s="456"/>
      <c r="D919" s="456"/>
      <c r="E919" s="456"/>
      <c r="F919" s="456"/>
      <c r="G919" s="456"/>
      <c r="H919" s="456"/>
      <c r="I919" s="456"/>
      <c r="J919" s="456"/>
      <c r="K919" s="456"/>
      <c r="L919" s="456"/>
      <c r="M919" s="456"/>
      <c r="N919" s="456"/>
      <c r="O919" s="456"/>
      <c r="P919" s="456"/>
      <c r="Q919" s="456"/>
      <c r="R919" s="456"/>
      <c r="S919" s="456"/>
      <c r="T919" s="456"/>
      <c r="U919" s="456"/>
      <c r="V919" s="456"/>
      <c r="W919" s="456"/>
      <c r="X919" s="456"/>
      <c r="Y919" s="456"/>
      <c r="Z919" s="456"/>
    </row>
    <row r="920" spans="1:26" ht="11.25" customHeight="1">
      <c r="A920" s="456"/>
      <c r="B920" s="456"/>
      <c r="C920" s="456"/>
      <c r="D920" s="456"/>
      <c r="E920" s="456"/>
      <c r="F920" s="456"/>
      <c r="G920" s="456"/>
      <c r="H920" s="456"/>
      <c r="I920" s="456"/>
      <c r="J920" s="456"/>
      <c r="K920" s="456"/>
      <c r="L920" s="456"/>
      <c r="M920" s="456"/>
      <c r="N920" s="456"/>
      <c r="O920" s="456"/>
      <c r="P920" s="456"/>
      <c r="Q920" s="456"/>
      <c r="R920" s="456"/>
      <c r="S920" s="456"/>
      <c r="T920" s="456"/>
      <c r="U920" s="456"/>
      <c r="V920" s="456"/>
      <c r="W920" s="456"/>
      <c r="X920" s="456"/>
      <c r="Y920" s="456"/>
      <c r="Z920" s="456"/>
    </row>
    <row r="921" spans="1:26" ht="11.25" customHeight="1">
      <c r="A921" s="456"/>
      <c r="B921" s="456"/>
      <c r="C921" s="456"/>
      <c r="D921" s="456"/>
      <c r="E921" s="456"/>
      <c r="F921" s="456"/>
      <c r="G921" s="456"/>
      <c r="H921" s="456"/>
      <c r="I921" s="456"/>
      <c r="J921" s="456"/>
      <c r="K921" s="456"/>
      <c r="L921" s="456"/>
      <c r="M921" s="456"/>
      <c r="N921" s="456"/>
      <c r="O921" s="456"/>
      <c r="P921" s="456"/>
      <c r="Q921" s="456"/>
      <c r="R921" s="456"/>
      <c r="S921" s="456"/>
      <c r="T921" s="456"/>
      <c r="U921" s="456"/>
      <c r="V921" s="456"/>
      <c r="W921" s="456"/>
      <c r="X921" s="456"/>
      <c r="Y921" s="456"/>
      <c r="Z921" s="456"/>
    </row>
    <row r="922" spans="1:26" ht="11.25" customHeight="1">
      <c r="A922" s="456"/>
      <c r="B922" s="456"/>
      <c r="C922" s="456"/>
      <c r="D922" s="456"/>
      <c r="E922" s="456"/>
      <c r="F922" s="456"/>
      <c r="G922" s="456"/>
      <c r="H922" s="456"/>
      <c r="I922" s="456"/>
      <c r="J922" s="456"/>
      <c r="K922" s="456"/>
      <c r="L922" s="456"/>
      <c r="M922" s="456"/>
      <c r="N922" s="456"/>
      <c r="O922" s="456"/>
      <c r="P922" s="456"/>
      <c r="Q922" s="456"/>
      <c r="R922" s="456"/>
      <c r="S922" s="456"/>
      <c r="T922" s="456"/>
      <c r="U922" s="456"/>
      <c r="V922" s="456"/>
      <c r="W922" s="456"/>
      <c r="X922" s="456"/>
      <c r="Y922" s="456"/>
      <c r="Z922" s="456"/>
    </row>
    <row r="923" spans="1:26" ht="11.25" customHeight="1">
      <c r="A923" s="456"/>
      <c r="B923" s="456"/>
      <c r="C923" s="456"/>
      <c r="D923" s="456"/>
      <c r="E923" s="456"/>
      <c r="F923" s="456"/>
      <c r="G923" s="456"/>
      <c r="H923" s="456"/>
      <c r="I923" s="456"/>
      <c r="J923" s="456"/>
      <c r="K923" s="456"/>
      <c r="L923" s="456"/>
      <c r="M923" s="456"/>
      <c r="N923" s="456"/>
      <c r="O923" s="456"/>
      <c r="P923" s="456"/>
      <c r="Q923" s="456"/>
      <c r="R923" s="456"/>
      <c r="S923" s="456"/>
      <c r="T923" s="456"/>
      <c r="U923" s="456"/>
      <c r="V923" s="456"/>
      <c r="W923" s="456"/>
      <c r="X923" s="456"/>
      <c r="Y923" s="456"/>
      <c r="Z923" s="456"/>
    </row>
    <row r="924" spans="1:26" ht="11.25" customHeight="1">
      <c r="A924" s="456"/>
      <c r="B924" s="456"/>
      <c r="C924" s="456"/>
      <c r="D924" s="456"/>
      <c r="E924" s="456"/>
      <c r="F924" s="456"/>
      <c r="G924" s="456"/>
      <c r="H924" s="456"/>
      <c r="I924" s="456"/>
      <c r="J924" s="456"/>
      <c r="K924" s="456"/>
      <c r="L924" s="456"/>
      <c r="M924" s="456"/>
      <c r="N924" s="456"/>
      <c r="O924" s="456"/>
      <c r="P924" s="456"/>
      <c r="Q924" s="456"/>
      <c r="R924" s="456"/>
      <c r="S924" s="456"/>
      <c r="T924" s="456"/>
      <c r="U924" s="456"/>
      <c r="V924" s="456"/>
      <c r="W924" s="456"/>
      <c r="X924" s="456"/>
      <c r="Y924" s="456"/>
      <c r="Z924" s="456"/>
    </row>
    <row r="925" spans="1:26" ht="11.25" customHeight="1">
      <c r="A925" s="456"/>
      <c r="B925" s="456"/>
      <c r="C925" s="456"/>
      <c r="D925" s="456"/>
      <c r="E925" s="456"/>
      <c r="F925" s="456"/>
      <c r="G925" s="456"/>
      <c r="H925" s="456"/>
      <c r="I925" s="456"/>
      <c r="J925" s="456"/>
      <c r="K925" s="456"/>
      <c r="L925" s="456"/>
      <c r="M925" s="456"/>
      <c r="N925" s="456"/>
      <c r="O925" s="456"/>
      <c r="P925" s="456"/>
      <c r="Q925" s="456"/>
      <c r="R925" s="456"/>
      <c r="S925" s="456"/>
      <c r="T925" s="456"/>
      <c r="U925" s="456"/>
      <c r="V925" s="456"/>
      <c r="W925" s="456"/>
      <c r="X925" s="456"/>
      <c r="Y925" s="456"/>
      <c r="Z925" s="456"/>
    </row>
    <row r="926" spans="1:26" ht="11.25" customHeight="1">
      <c r="A926" s="456"/>
      <c r="B926" s="456"/>
      <c r="C926" s="456"/>
      <c r="D926" s="456"/>
      <c r="E926" s="456"/>
      <c r="F926" s="456"/>
      <c r="G926" s="456"/>
      <c r="H926" s="456"/>
      <c r="I926" s="456"/>
      <c r="J926" s="456"/>
      <c r="K926" s="456"/>
      <c r="L926" s="456"/>
      <c r="M926" s="456"/>
      <c r="N926" s="456"/>
      <c r="O926" s="456"/>
      <c r="P926" s="456"/>
      <c r="Q926" s="456"/>
      <c r="R926" s="456"/>
      <c r="S926" s="456"/>
      <c r="T926" s="456"/>
      <c r="U926" s="456"/>
      <c r="V926" s="456"/>
      <c r="W926" s="456"/>
      <c r="X926" s="456"/>
      <c r="Y926" s="456"/>
      <c r="Z926" s="456"/>
    </row>
    <row r="927" spans="1:26" ht="11.25" customHeight="1">
      <c r="A927" s="456"/>
      <c r="B927" s="456"/>
      <c r="C927" s="456"/>
      <c r="D927" s="456"/>
      <c r="E927" s="456"/>
      <c r="F927" s="456"/>
      <c r="G927" s="456"/>
      <c r="H927" s="456"/>
      <c r="I927" s="456"/>
      <c r="J927" s="456"/>
      <c r="K927" s="456"/>
      <c r="L927" s="456"/>
      <c r="M927" s="456"/>
      <c r="N927" s="456"/>
      <c r="O927" s="456"/>
      <c r="P927" s="456"/>
      <c r="Q927" s="456"/>
      <c r="R927" s="456"/>
      <c r="S927" s="456"/>
      <c r="T927" s="456"/>
      <c r="U927" s="456"/>
      <c r="V927" s="456"/>
      <c r="W927" s="456"/>
      <c r="X927" s="456"/>
      <c r="Y927" s="456"/>
      <c r="Z927" s="456"/>
    </row>
    <row r="928" spans="1:26" ht="11.25" customHeight="1">
      <c r="A928" s="456"/>
      <c r="B928" s="456"/>
      <c r="C928" s="456"/>
      <c r="D928" s="456"/>
      <c r="E928" s="456"/>
      <c r="F928" s="456"/>
      <c r="G928" s="456"/>
      <c r="H928" s="456"/>
      <c r="I928" s="456"/>
      <c r="J928" s="456"/>
      <c r="K928" s="456"/>
      <c r="L928" s="456"/>
      <c r="M928" s="456"/>
      <c r="N928" s="456"/>
      <c r="O928" s="456"/>
      <c r="P928" s="456"/>
      <c r="Q928" s="456"/>
      <c r="R928" s="456"/>
      <c r="S928" s="456"/>
      <c r="T928" s="456"/>
      <c r="U928" s="456"/>
      <c r="V928" s="456"/>
      <c r="W928" s="456"/>
      <c r="X928" s="456"/>
      <c r="Y928" s="456"/>
      <c r="Z928" s="456"/>
    </row>
    <row r="929" spans="1:26" ht="11.25" customHeight="1">
      <c r="A929" s="456"/>
      <c r="B929" s="456"/>
      <c r="C929" s="456"/>
      <c r="D929" s="456"/>
      <c r="E929" s="456"/>
      <c r="F929" s="456"/>
      <c r="G929" s="456"/>
      <c r="H929" s="456"/>
      <c r="I929" s="456"/>
      <c r="J929" s="456"/>
      <c r="K929" s="456"/>
      <c r="L929" s="456"/>
      <c r="M929" s="456"/>
      <c r="N929" s="456"/>
      <c r="O929" s="456"/>
      <c r="P929" s="456"/>
      <c r="Q929" s="456"/>
      <c r="R929" s="456"/>
      <c r="S929" s="456"/>
      <c r="T929" s="456"/>
      <c r="U929" s="456"/>
      <c r="V929" s="456"/>
      <c r="W929" s="456"/>
      <c r="X929" s="456"/>
      <c r="Y929" s="456"/>
      <c r="Z929" s="456"/>
    </row>
    <row r="930" spans="1:26" ht="11.25" customHeight="1">
      <c r="A930" s="456"/>
      <c r="B930" s="456"/>
      <c r="C930" s="456"/>
      <c r="D930" s="456"/>
      <c r="E930" s="456"/>
      <c r="F930" s="456"/>
      <c r="G930" s="456"/>
      <c r="H930" s="456"/>
      <c r="I930" s="456"/>
      <c r="J930" s="456"/>
      <c r="K930" s="456"/>
      <c r="L930" s="456"/>
      <c r="M930" s="456"/>
      <c r="N930" s="456"/>
      <c r="O930" s="456"/>
      <c r="P930" s="456"/>
      <c r="Q930" s="456"/>
      <c r="R930" s="456"/>
      <c r="S930" s="456"/>
      <c r="T930" s="456"/>
      <c r="U930" s="456"/>
      <c r="V930" s="456"/>
      <c r="W930" s="456"/>
      <c r="X930" s="456"/>
      <c r="Y930" s="456"/>
      <c r="Z930" s="456"/>
    </row>
    <row r="931" spans="1:26" ht="11.25" customHeight="1">
      <c r="A931" s="456"/>
      <c r="B931" s="456"/>
      <c r="C931" s="456"/>
      <c r="D931" s="456"/>
      <c r="E931" s="456"/>
      <c r="F931" s="456"/>
      <c r="G931" s="456"/>
      <c r="H931" s="456"/>
      <c r="I931" s="456"/>
      <c r="J931" s="456"/>
      <c r="K931" s="456"/>
      <c r="L931" s="456"/>
      <c r="M931" s="456"/>
      <c r="N931" s="456"/>
      <c r="O931" s="456"/>
      <c r="P931" s="456"/>
      <c r="Q931" s="456"/>
      <c r="R931" s="456"/>
      <c r="S931" s="456"/>
      <c r="T931" s="456"/>
      <c r="U931" s="456"/>
      <c r="V931" s="456"/>
      <c r="W931" s="456"/>
      <c r="X931" s="456"/>
      <c r="Y931" s="456"/>
      <c r="Z931" s="456"/>
    </row>
    <row r="932" spans="1:26" ht="11.25" customHeight="1">
      <c r="A932" s="456"/>
      <c r="B932" s="456"/>
      <c r="C932" s="456"/>
      <c r="D932" s="456"/>
      <c r="E932" s="456"/>
      <c r="F932" s="456"/>
      <c r="G932" s="456"/>
      <c r="H932" s="456"/>
      <c r="I932" s="456"/>
      <c r="J932" s="456"/>
      <c r="K932" s="456"/>
      <c r="L932" s="456"/>
      <c r="M932" s="456"/>
      <c r="N932" s="456"/>
      <c r="O932" s="456"/>
      <c r="P932" s="456"/>
      <c r="Q932" s="456"/>
      <c r="R932" s="456"/>
      <c r="S932" s="456"/>
      <c r="T932" s="456"/>
      <c r="U932" s="456"/>
      <c r="V932" s="456"/>
      <c r="W932" s="456"/>
      <c r="X932" s="456"/>
      <c r="Y932" s="456"/>
      <c r="Z932" s="456"/>
    </row>
    <row r="933" spans="1:26" ht="11.25" customHeight="1">
      <c r="A933" s="456"/>
      <c r="B933" s="456"/>
      <c r="C933" s="456"/>
      <c r="D933" s="456"/>
      <c r="E933" s="456"/>
      <c r="F933" s="456"/>
      <c r="G933" s="456"/>
      <c r="H933" s="456"/>
      <c r="I933" s="456"/>
      <c r="J933" s="456"/>
      <c r="K933" s="456"/>
      <c r="L933" s="456"/>
      <c r="M933" s="456"/>
      <c r="N933" s="456"/>
      <c r="O933" s="456"/>
      <c r="P933" s="456"/>
      <c r="Q933" s="456"/>
      <c r="R933" s="456"/>
      <c r="S933" s="456"/>
      <c r="T933" s="456"/>
      <c r="U933" s="456"/>
      <c r="V933" s="456"/>
      <c r="W933" s="456"/>
      <c r="X933" s="456"/>
      <c r="Y933" s="456"/>
      <c r="Z933" s="456"/>
    </row>
    <row r="934" spans="1:26" ht="11.25" customHeight="1">
      <c r="A934" s="456"/>
      <c r="B934" s="456"/>
      <c r="C934" s="456"/>
      <c r="D934" s="456"/>
      <c r="E934" s="456"/>
      <c r="F934" s="456"/>
      <c r="G934" s="456"/>
      <c r="H934" s="456"/>
      <c r="I934" s="456"/>
      <c r="J934" s="456"/>
      <c r="K934" s="456"/>
      <c r="L934" s="456"/>
      <c r="M934" s="456"/>
      <c r="N934" s="456"/>
      <c r="O934" s="456"/>
      <c r="P934" s="456"/>
      <c r="Q934" s="456"/>
      <c r="R934" s="456"/>
      <c r="S934" s="456"/>
      <c r="T934" s="456"/>
      <c r="U934" s="456"/>
      <c r="V934" s="456"/>
      <c r="W934" s="456"/>
      <c r="X934" s="456"/>
      <c r="Y934" s="456"/>
      <c r="Z934" s="456"/>
    </row>
    <row r="935" spans="1:26" ht="11.25" customHeight="1">
      <c r="A935" s="456"/>
      <c r="B935" s="456"/>
      <c r="C935" s="456"/>
      <c r="D935" s="456"/>
      <c r="E935" s="456"/>
      <c r="F935" s="456"/>
      <c r="G935" s="456"/>
      <c r="H935" s="456"/>
      <c r="I935" s="456"/>
      <c r="J935" s="456"/>
      <c r="K935" s="456"/>
      <c r="L935" s="456"/>
      <c r="M935" s="456"/>
      <c r="N935" s="456"/>
      <c r="O935" s="456"/>
      <c r="P935" s="456"/>
      <c r="Q935" s="456"/>
      <c r="R935" s="456"/>
      <c r="S935" s="456"/>
      <c r="T935" s="456"/>
      <c r="U935" s="456"/>
      <c r="V935" s="456"/>
      <c r="W935" s="456"/>
      <c r="X935" s="456"/>
      <c r="Y935" s="456"/>
      <c r="Z935" s="456"/>
    </row>
    <row r="936" spans="1:26" ht="11.25" customHeight="1">
      <c r="A936" s="456"/>
      <c r="B936" s="456"/>
      <c r="C936" s="456"/>
      <c r="D936" s="456"/>
      <c r="E936" s="456"/>
      <c r="F936" s="456"/>
      <c r="G936" s="456"/>
      <c r="H936" s="456"/>
      <c r="I936" s="456"/>
      <c r="J936" s="456"/>
      <c r="K936" s="456"/>
      <c r="L936" s="456"/>
      <c r="M936" s="456"/>
      <c r="N936" s="456"/>
      <c r="O936" s="456"/>
      <c r="P936" s="456"/>
      <c r="Q936" s="456"/>
      <c r="R936" s="456"/>
      <c r="S936" s="456"/>
      <c r="T936" s="456"/>
      <c r="U936" s="456"/>
      <c r="V936" s="456"/>
      <c r="W936" s="456"/>
      <c r="X936" s="456"/>
      <c r="Y936" s="456"/>
      <c r="Z936" s="456"/>
    </row>
    <row r="937" spans="1:26" ht="11.25" customHeight="1">
      <c r="A937" s="456"/>
      <c r="B937" s="456"/>
      <c r="C937" s="456"/>
      <c r="D937" s="456"/>
      <c r="E937" s="456"/>
      <c r="F937" s="456"/>
      <c r="G937" s="456"/>
      <c r="H937" s="456"/>
      <c r="I937" s="456"/>
      <c r="J937" s="456"/>
      <c r="K937" s="456"/>
      <c r="L937" s="456"/>
      <c r="M937" s="456"/>
      <c r="N937" s="456"/>
      <c r="O937" s="456"/>
      <c r="P937" s="456"/>
      <c r="Q937" s="456"/>
      <c r="R937" s="456"/>
      <c r="S937" s="456"/>
      <c r="T937" s="456"/>
      <c r="U937" s="456"/>
      <c r="V937" s="456"/>
      <c r="W937" s="456"/>
      <c r="X937" s="456"/>
      <c r="Y937" s="456"/>
      <c r="Z937" s="456"/>
    </row>
    <row r="938" spans="1:26" ht="11.25" customHeight="1">
      <c r="A938" s="456"/>
      <c r="B938" s="456"/>
      <c r="C938" s="456"/>
      <c r="D938" s="456"/>
      <c r="E938" s="456"/>
      <c r="F938" s="456"/>
      <c r="G938" s="456"/>
      <c r="H938" s="456"/>
      <c r="I938" s="456"/>
      <c r="J938" s="456"/>
      <c r="K938" s="456"/>
      <c r="L938" s="456"/>
      <c r="M938" s="456"/>
      <c r="N938" s="456"/>
      <c r="O938" s="456"/>
      <c r="P938" s="456"/>
      <c r="Q938" s="456"/>
      <c r="R938" s="456"/>
      <c r="S938" s="456"/>
      <c r="T938" s="456"/>
      <c r="U938" s="456"/>
      <c r="V938" s="456"/>
      <c r="W938" s="456"/>
      <c r="X938" s="456"/>
      <c r="Y938" s="456"/>
      <c r="Z938" s="456"/>
    </row>
    <row r="939" spans="1:26" ht="11.25" customHeight="1">
      <c r="A939" s="456"/>
      <c r="B939" s="456"/>
      <c r="C939" s="456"/>
      <c r="D939" s="456"/>
      <c r="E939" s="456"/>
      <c r="F939" s="456"/>
      <c r="G939" s="456"/>
      <c r="H939" s="456"/>
      <c r="I939" s="456"/>
      <c r="J939" s="456"/>
      <c r="K939" s="456"/>
      <c r="L939" s="456"/>
      <c r="M939" s="456"/>
      <c r="N939" s="456"/>
      <c r="O939" s="456"/>
      <c r="P939" s="456"/>
      <c r="Q939" s="456"/>
      <c r="R939" s="456"/>
      <c r="S939" s="456"/>
      <c r="T939" s="456"/>
      <c r="U939" s="456"/>
      <c r="V939" s="456"/>
      <c r="W939" s="456"/>
      <c r="X939" s="456"/>
      <c r="Y939" s="456"/>
      <c r="Z939" s="456"/>
    </row>
    <row r="940" spans="1:26" ht="11.25" customHeight="1">
      <c r="A940" s="456"/>
      <c r="B940" s="456"/>
      <c r="C940" s="456"/>
      <c r="D940" s="456"/>
      <c r="E940" s="456"/>
      <c r="F940" s="456"/>
      <c r="G940" s="456"/>
      <c r="H940" s="456"/>
      <c r="I940" s="456"/>
      <c r="J940" s="456"/>
      <c r="K940" s="456"/>
      <c r="L940" s="456"/>
      <c r="M940" s="456"/>
      <c r="N940" s="456"/>
      <c r="O940" s="456"/>
      <c r="P940" s="456"/>
      <c r="Q940" s="456"/>
      <c r="R940" s="456"/>
      <c r="S940" s="456"/>
      <c r="T940" s="456"/>
      <c r="U940" s="456"/>
      <c r="V940" s="456"/>
      <c r="W940" s="456"/>
      <c r="X940" s="456"/>
      <c r="Y940" s="456"/>
      <c r="Z940" s="456"/>
    </row>
    <row r="941" spans="1:26" ht="11.25" customHeight="1">
      <c r="A941" s="456"/>
      <c r="B941" s="456"/>
      <c r="C941" s="456"/>
      <c r="D941" s="456"/>
      <c r="E941" s="456"/>
      <c r="F941" s="456"/>
      <c r="G941" s="456"/>
      <c r="H941" s="456"/>
      <c r="I941" s="456"/>
      <c r="J941" s="456"/>
      <c r="K941" s="456"/>
      <c r="L941" s="456"/>
      <c r="M941" s="456"/>
      <c r="N941" s="456"/>
      <c r="O941" s="456"/>
      <c r="P941" s="456"/>
      <c r="Q941" s="456"/>
      <c r="R941" s="456"/>
      <c r="S941" s="456"/>
      <c r="T941" s="456"/>
      <c r="U941" s="456"/>
      <c r="V941" s="456"/>
      <c r="W941" s="456"/>
      <c r="X941" s="456"/>
      <c r="Y941" s="456"/>
      <c r="Z941" s="456"/>
    </row>
    <row r="942" spans="1:26" ht="11.25" customHeight="1">
      <c r="A942" s="456"/>
      <c r="B942" s="456"/>
      <c r="C942" s="456"/>
      <c r="D942" s="456"/>
      <c r="E942" s="456"/>
      <c r="F942" s="456"/>
      <c r="G942" s="456"/>
      <c r="H942" s="456"/>
      <c r="I942" s="456"/>
      <c r="J942" s="456"/>
      <c r="K942" s="456"/>
      <c r="L942" s="456"/>
      <c r="M942" s="456"/>
      <c r="N942" s="456"/>
      <c r="O942" s="456"/>
      <c r="P942" s="456"/>
      <c r="Q942" s="456"/>
      <c r="R942" s="456"/>
      <c r="S942" s="456"/>
      <c r="T942" s="456"/>
      <c r="U942" s="456"/>
      <c r="V942" s="456"/>
      <c r="W942" s="456"/>
      <c r="X942" s="456"/>
      <c r="Y942" s="456"/>
      <c r="Z942" s="456"/>
    </row>
    <row r="943" spans="1:26" ht="11.25" customHeight="1">
      <c r="A943" s="456"/>
      <c r="B943" s="456"/>
      <c r="C943" s="456"/>
      <c r="D943" s="456"/>
      <c r="E943" s="456"/>
      <c r="F943" s="456"/>
      <c r="G943" s="456"/>
      <c r="H943" s="456"/>
      <c r="I943" s="456"/>
      <c r="J943" s="456"/>
      <c r="K943" s="456"/>
      <c r="L943" s="456"/>
      <c r="M943" s="456"/>
      <c r="N943" s="456"/>
      <c r="O943" s="456"/>
      <c r="P943" s="456"/>
      <c r="Q943" s="456"/>
      <c r="R943" s="456"/>
      <c r="S943" s="456"/>
      <c r="T943" s="456"/>
      <c r="U943" s="456"/>
      <c r="V943" s="456"/>
      <c r="W943" s="456"/>
      <c r="X943" s="456"/>
      <c r="Y943" s="456"/>
      <c r="Z943" s="456"/>
    </row>
    <row r="944" spans="1:26" ht="11.25" customHeight="1">
      <c r="A944" s="456"/>
      <c r="B944" s="456"/>
      <c r="C944" s="456"/>
      <c r="D944" s="456"/>
      <c r="E944" s="456"/>
      <c r="F944" s="456"/>
      <c r="G944" s="456"/>
      <c r="H944" s="456"/>
      <c r="I944" s="456"/>
      <c r="J944" s="456"/>
      <c r="K944" s="456"/>
      <c r="L944" s="456"/>
      <c r="M944" s="456"/>
      <c r="N944" s="456"/>
      <c r="O944" s="456"/>
      <c r="P944" s="456"/>
      <c r="Q944" s="456"/>
      <c r="R944" s="456"/>
      <c r="S944" s="456"/>
      <c r="T944" s="456"/>
      <c r="U944" s="456"/>
      <c r="V944" s="456"/>
      <c r="W944" s="456"/>
      <c r="X944" s="456"/>
      <c r="Y944" s="456"/>
      <c r="Z944" s="456"/>
    </row>
    <row r="945" spans="1:26" ht="11.25" customHeight="1">
      <c r="A945" s="456"/>
      <c r="B945" s="456"/>
      <c r="C945" s="456"/>
      <c r="D945" s="456"/>
      <c r="E945" s="456"/>
      <c r="F945" s="456"/>
      <c r="G945" s="456"/>
      <c r="H945" s="456"/>
      <c r="I945" s="456"/>
      <c r="J945" s="456"/>
      <c r="K945" s="456"/>
      <c r="L945" s="456"/>
      <c r="M945" s="456"/>
      <c r="N945" s="456"/>
      <c r="O945" s="456"/>
      <c r="P945" s="456"/>
      <c r="Q945" s="456"/>
      <c r="R945" s="456"/>
      <c r="S945" s="456"/>
      <c r="T945" s="456"/>
      <c r="U945" s="456"/>
      <c r="V945" s="456"/>
      <c r="W945" s="456"/>
      <c r="X945" s="456"/>
      <c r="Y945" s="456"/>
      <c r="Z945" s="456"/>
    </row>
    <row r="946" spans="1:26" ht="11.25" customHeight="1">
      <c r="A946" s="456"/>
      <c r="B946" s="456"/>
      <c r="C946" s="456"/>
      <c r="D946" s="456"/>
      <c r="E946" s="456"/>
      <c r="F946" s="456"/>
      <c r="G946" s="456"/>
      <c r="H946" s="456"/>
      <c r="I946" s="456"/>
      <c r="J946" s="456"/>
      <c r="K946" s="456"/>
      <c r="L946" s="456"/>
      <c r="M946" s="456"/>
      <c r="N946" s="456"/>
      <c r="O946" s="456"/>
      <c r="P946" s="456"/>
      <c r="Q946" s="456"/>
      <c r="R946" s="456"/>
      <c r="S946" s="456"/>
      <c r="T946" s="456"/>
      <c r="U946" s="456"/>
      <c r="V946" s="456"/>
      <c r="W946" s="456"/>
      <c r="X946" s="456"/>
      <c r="Y946" s="456"/>
      <c r="Z946" s="456"/>
    </row>
    <row r="947" spans="1:26" ht="11.25" customHeight="1">
      <c r="A947" s="456"/>
      <c r="B947" s="456"/>
      <c r="C947" s="456"/>
      <c r="D947" s="456"/>
      <c r="E947" s="456"/>
      <c r="F947" s="456"/>
      <c r="G947" s="456"/>
      <c r="H947" s="456"/>
      <c r="I947" s="456"/>
      <c r="J947" s="456"/>
      <c r="K947" s="456"/>
      <c r="L947" s="456"/>
      <c r="M947" s="456"/>
      <c r="N947" s="456"/>
      <c r="O947" s="456"/>
      <c r="P947" s="456"/>
      <c r="Q947" s="456"/>
      <c r="R947" s="456"/>
      <c r="S947" s="456"/>
      <c r="T947" s="456"/>
      <c r="U947" s="456"/>
      <c r="V947" s="456"/>
      <c r="W947" s="456"/>
      <c r="X947" s="456"/>
      <c r="Y947" s="456"/>
      <c r="Z947" s="456"/>
    </row>
    <row r="948" spans="1:26" ht="11.25" customHeight="1">
      <c r="A948" s="456"/>
      <c r="B948" s="456"/>
      <c r="C948" s="456"/>
      <c r="D948" s="456"/>
      <c r="E948" s="456"/>
      <c r="F948" s="456"/>
      <c r="G948" s="456"/>
      <c r="H948" s="456"/>
      <c r="I948" s="456"/>
      <c r="J948" s="456"/>
      <c r="K948" s="456"/>
      <c r="L948" s="456"/>
      <c r="M948" s="456"/>
      <c r="N948" s="456"/>
      <c r="O948" s="456"/>
      <c r="P948" s="456"/>
      <c r="Q948" s="456"/>
      <c r="R948" s="456"/>
      <c r="S948" s="456"/>
      <c r="T948" s="456"/>
      <c r="U948" s="456"/>
      <c r="V948" s="456"/>
      <c r="W948" s="456"/>
      <c r="X948" s="456"/>
      <c r="Y948" s="456"/>
      <c r="Z948" s="456"/>
    </row>
    <row r="949" spans="1:26" ht="11.25" customHeight="1">
      <c r="A949" s="456"/>
      <c r="B949" s="456"/>
      <c r="C949" s="456"/>
      <c r="D949" s="456"/>
      <c r="E949" s="456"/>
      <c r="F949" s="456"/>
      <c r="G949" s="456"/>
      <c r="H949" s="456"/>
      <c r="I949" s="456"/>
      <c r="J949" s="456"/>
      <c r="K949" s="456"/>
      <c r="L949" s="456"/>
      <c r="M949" s="456"/>
      <c r="N949" s="456"/>
      <c r="O949" s="456"/>
      <c r="P949" s="456"/>
      <c r="Q949" s="456"/>
      <c r="R949" s="456"/>
      <c r="S949" s="456"/>
      <c r="T949" s="456"/>
      <c r="U949" s="456"/>
      <c r="V949" s="456"/>
      <c r="W949" s="456"/>
      <c r="X949" s="456"/>
      <c r="Y949" s="456"/>
      <c r="Z949" s="456"/>
    </row>
    <row r="950" spans="1:26" ht="11.25" customHeight="1">
      <c r="A950" s="456"/>
      <c r="B950" s="456"/>
      <c r="C950" s="456"/>
      <c r="D950" s="456"/>
      <c r="E950" s="456"/>
      <c r="F950" s="456"/>
      <c r="G950" s="456"/>
      <c r="H950" s="456"/>
      <c r="I950" s="456"/>
      <c r="J950" s="456"/>
      <c r="K950" s="456"/>
      <c r="L950" s="456"/>
      <c r="M950" s="456"/>
      <c r="N950" s="456"/>
      <c r="O950" s="456"/>
      <c r="P950" s="456"/>
      <c r="Q950" s="456"/>
      <c r="R950" s="456"/>
      <c r="S950" s="456"/>
      <c r="T950" s="456"/>
      <c r="U950" s="456"/>
      <c r="V950" s="456"/>
      <c r="W950" s="456"/>
      <c r="X950" s="456"/>
      <c r="Y950" s="456"/>
      <c r="Z950" s="456"/>
    </row>
    <row r="951" spans="1:26" ht="11.25" customHeight="1">
      <c r="A951" s="456"/>
      <c r="B951" s="456"/>
      <c r="C951" s="456"/>
      <c r="D951" s="456"/>
      <c r="E951" s="456"/>
      <c r="F951" s="456"/>
      <c r="G951" s="456"/>
      <c r="H951" s="456"/>
      <c r="I951" s="456"/>
      <c r="J951" s="456"/>
      <c r="K951" s="456"/>
      <c r="L951" s="456"/>
      <c r="M951" s="456"/>
      <c r="N951" s="456"/>
      <c r="O951" s="456"/>
      <c r="P951" s="456"/>
      <c r="Q951" s="456"/>
      <c r="R951" s="456"/>
      <c r="S951" s="456"/>
      <c r="T951" s="456"/>
      <c r="U951" s="456"/>
      <c r="V951" s="456"/>
      <c r="W951" s="456"/>
      <c r="X951" s="456"/>
      <c r="Y951" s="456"/>
      <c r="Z951" s="456"/>
    </row>
    <row r="952" spans="1:26" ht="11.25" customHeight="1">
      <c r="A952" s="456"/>
      <c r="B952" s="456"/>
      <c r="C952" s="456"/>
      <c r="D952" s="456"/>
      <c r="E952" s="456"/>
      <c r="F952" s="456"/>
      <c r="G952" s="456"/>
      <c r="H952" s="456"/>
      <c r="I952" s="456"/>
      <c r="J952" s="456"/>
      <c r="K952" s="456"/>
      <c r="L952" s="456"/>
      <c r="M952" s="456"/>
      <c r="N952" s="456"/>
      <c r="O952" s="456"/>
      <c r="P952" s="456"/>
      <c r="Q952" s="456"/>
      <c r="R952" s="456"/>
      <c r="S952" s="456"/>
      <c r="T952" s="456"/>
      <c r="U952" s="456"/>
      <c r="V952" s="456"/>
      <c r="W952" s="456"/>
      <c r="X952" s="456"/>
      <c r="Y952" s="456"/>
      <c r="Z952" s="456"/>
    </row>
    <row r="953" spans="1:26" ht="11.25" customHeight="1">
      <c r="A953" s="456"/>
      <c r="B953" s="456"/>
      <c r="C953" s="456"/>
      <c r="D953" s="456"/>
      <c r="E953" s="456"/>
      <c r="F953" s="456"/>
      <c r="G953" s="456"/>
      <c r="H953" s="456"/>
      <c r="I953" s="456"/>
      <c r="J953" s="456"/>
      <c r="K953" s="456"/>
      <c r="L953" s="456"/>
      <c r="M953" s="456"/>
      <c r="N953" s="456"/>
      <c r="O953" s="456"/>
      <c r="P953" s="456"/>
      <c r="Q953" s="456"/>
      <c r="R953" s="456"/>
      <c r="S953" s="456"/>
      <c r="T953" s="456"/>
      <c r="U953" s="456"/>
      <c r="V953" s="456"/>
      <c r="W953" s="456"/>
      <c r="X953" s="456"/>
      <c r="Y953" s="456"/>
      <c r="Z953" s="456"/>
    </row>
    <row r="954" spans="1:26" ht="11.25" customHeight="1">
      <c r="A954" s="456"/>
      <c r="B954" s="456"/>
      <c r="C954" s="456"/>
      <c r="D954" s="456"/>
      <c r="E954" s="456"/>
      <c r="F954" s="456"/>
      <c r="G954" s="456"/>
      <c r="H954" s="456"/>
      <c r="I954" s="456"/>
      <c r="J954" s="456"/>
      <c r="K954" s="456"/>
      <c r="L954" s="456"/>
      <c r="M954" s="456"/>
      <c r="N954" s="456"/>
      <c r="O954" s="456"/>
      <c r="P954" s="456"/>
      <c r="Q954" s="456"/>
      <c r="R954" s="456"/>
      <c r="S954" s="456"/>
      <c r="T954" s="456"/>
      <c r="U954" s="456"/>
      <c r="V954" s="456"/>
      <c r="W954" s="456"/>
      <c r="X954" s="456"/>
      <c r="Y954" s="456"/>
      <c r="Z954" s="456"/>
    </row>
    <row r="955" spans="1:26" ht="11.25" customHeight="1">
      <c r="A955" s="456"/>
      <c r="B955" s="456"/>
      <c r="C955" s="456"/>
      <c r="D955" s="456"/>
      <c r="E955" s="456"/>
      <c r="F955" s="456"/>
      <c r="G955" s="456"/>
      <c r="H955" s="456"/>
      <c r="I955" s="456"/>
      <c r="J955" s="456"/>
      <c r="K955" s="456"/>
      <c r="L955" s="456"/>
      <c r="M955" s="456"/>
      <c r="N955" s="456"/>
      <c r="O955" s="456"/>
      <c r="P955" s="456"/>
      <c r="Q955" s="456"/>
      <c r="R955" s="456"/>
      <c r="S955" s="456"/>
      <c r="T955" s="456"/>
      <c r="U955" s="456"/>
      <c r="V955" s="456"/>
      <c r="W955" s="456"/>
      <c r="X955" s="456"/>
      <c r="Y955" s="456"/>
      <c r="Z955" s="456"/>
    </row>
    <row r="956" spans="1:26" ht="11.25" customHeight="1">
      <c r="A956" s="456"/>
      <c r="B956" s="456"/>
      <c r="C956" s="456"/>
      <c r="D956" s="456"/>
      <c r="E956" s="456"/>
      <c r="F956" s="456"/>
      <c r="G956" s="456"/>
      <c r="H956" s="456"/>
      <c r="I956" s="456"/>
      <c r="J956" s="456"/>
      <c r="K956" s="456"/>
      <c r="L956" s="456"/>
      <c r="M956" s="456"/>
      <c r="N956" s="456"/>
      <c r="O956" s="456"/>
      <c r="P956" s="456"/>
      <c r="Q956" s="456"/>
      <c r="R956" s="456"/>
      <c r="S956" s="456"/>
      <c r="T956" s="456"/>
      <c r="U956" s="456"/>
      <c r="V956" s="456"/>
      <c r="W956" s="456"/>
      <c r="X956" s="456"/>
      <c r="Y956" s="456"/>
      <c r="Z956" s="456"/>
    </row>
    <row r="957" spans="1:26" ht="11.25" customHeight="1">
      <c r="A957" s="456"/>
      <c r="B957" s="456"/>
      <c r="C957" s="456"/>
      <c r="D957" s="456"/>
      <c r="E957" s="456"/>
      <c r="F957" s="456"/>
      <c r="G957" s="456"/>
      <c r="H957" s="456"/>
      <c r="I957" s="456"/>
      <c r="J957" s="456"/>
      <c r="K957" s="456"/>
      <c r="L957" s="456"/>
      <c r="M957" s="456"/>
      <c r="N957" s="456"/>
      <c r="O957" s="456"/>
      <c r="P957" s="456"/>
      <c r="Q957" s="456"/>
      <c r="R957" s="456"/>
      <c r="S957" s="456"/>
      <c r="T957" s="456"/>
      <c r="U957" s="456"/>
      <c r="V957" s="456"/>
      <c r="W957" s="456"/>
      <c r="X957" s="456"/>
      <c r="Y957" s="456"/>
      <c r="Z957" s="456"/>
    </row>
    <row r="958" spans="1:26" ht="11.25" customHeight="1">
      <c r="A958" s="456"/>
      <c r="B958" s="456"/>
      <c r="C958" s="456"/>
      <c r="D958" s="456"/>
      <c r="E958" s="456"/>
      <c r="F958" s="456"/>
      <c r="G958" s="456"/>
      <c r="H958" s="456"/>
      <c r="I958" s="456"/>
      <c r="J958" s="456"/>
      <c r="K958" s="456"/>
      <c r="L958" s="456"/>
      <c r="M958" s="456"/>
      <c r="N958" s="456"/>
      <c r="O958" s="456"/>
      <c r="P958" s="456"/>
      <c r="Q958" s="456"/>
      <c r="R958" s="456"/>
      <c r="S958" s="456"/>
      <c r="T958" s="456"/>
      <c r="U958" s="456"/>
      <c r="V958" s="456"/>
      <c r="W958" s="456"/>
      <c r="X958" s="456"/>
      <c r="Y958" s="456"/>
      <c r="Z958" s="456"/>
    </row>
    <row r="959" spans="1:26" ht="11.25" customHeight="1">
      <c r="A959" s="456"/>
      <c r="B959" s="456"/>
      <c r="C959" s="456"/>
      <c r="D959" s="456"/>
      <c r="E959" s="456"/>
      <c r="F959" s="456"/>
      <c r="G959" s="456"/>
      <c r="H959" s="456"/>
      <c r="I959" s="456"/>
      <c r="J959" s="456"/>
      <c r="K959" s="456"/>
      <c r="L959" s="456"/>
      <c r="M959" s="456"/>
      <c r="N959" s="456"/>
      <c r="O959" s="456"/>
      <c r="P959" s="456"/>
      <c r="Q959" s="456"/>
      <c r="R959" s="456"/>
      <c r="S959" s="456"/>
      <c r="T959" s="456"/>
      <c r="U959" s="456"/>
      <c r="V959" s="456"/>
      <c r="W959" s="456"/>
      <c r="X959" s="456"/>
      <c r="Y959" s="456"/>
      <c r="Z959" s="456"/>
    </row>
    <row r="960" spans="1:26" ht="11.25" customHeight="1">
      <c r="A960" s="456"/>
      <c r="B960" s="456"/>
      <c r="C960" s="456"/>
      <c r="D960" s="456"/>
      <c r="E960" s="456"/>
      <c r="F960" s="456"/>
      <c r="G960" s="456"/>
      <c r="H960" s="456"/>
      <c r="I960" s="456"/>
      <c r="J960" s="456"/>
      <c r="K960" s="456"/>
      <c r="L960" s="456"/>
      <c r="M960" s="456"/>
      <c r="N960" s="456"/>
      <c r="O960" s="456"/>
      <c r="P960" s="456"/>
      <c r="Q960" s="456"/>
      <c r="R960" s="456"/>
      <c r="S960" s="456"/>
      <c r="T960" s="456"/>
      <c r="U960" s="456"/>
      <c r="V960" s="456"/>
      <c r="W960" s="456"/>
      <c r="X960" s="456"/>
      <c r="Y960" s="456"/>
      <c r="Z960" s="456"/>
    </row>
    <row r="961" spans="1:26" ht="11.25" customHeight="1">
      <c r="A961" s="456"/>
      <c r="B961" s="456"/>
      <c r="C961" s="456"/>
      <c r="D961" s="456"/>
      <c r="E961" s="456"/>
      <c r="F961" s="456"/>
      <c r="G961" s="456"/>
      <c r="H961" s="456"/>
      <c r="I961" s="456"/>
      <c r="J961" s="456"/>
      <c r="K961" s="456"/>
      <c r="L961" s="456"/>
      <c r="M961" s="456"/>
      <c r="N961" s="456"/>
      <c r="O961" s="456"/>
      <c r="P961" s="456"/>
      <c r="Q961" s="456"/>
      <c r="R961" s="456"/>
      <c r="S961" s="456"/>
      <c r="T961" s="456"/>
      <c r="U961" s="456"/>
      <c r="V961" s="456"/>
      <c r="W961" s="456"/>
      <c r="X961" s="456"/>
      <c r="Y961" s="456"/>
      <c r="Z961" s="456"/>
    </row>
    <row r="962" spans="1:26" ht="11.25" customHeight="1">
      <c r="A962" s="456"/>
      <c r="B962" s="456"/>
      <c r="C962" s="456"/>
      <c r="D962" s="456"/>
      <c r="E962" s="456"/>
      <c r="F962" s="456"/>
      <c r="G962" s="456"/>
      <c r="H962" s="456"/>
      <c r="I962" s="456"/>
      <c r="J962" s="456"/>
      <c r="K962" s="456"/>
      <c r="L962" s="456"/>
      <c r="M962" s="456"/>
      <c r="N962" s="456"/>
      <c r="O962" s="456"/>
      <c r="P962" s="456"/>
      <c r="Q962" s="456"/>
      <c r="R962" s="456"/>
      <c r="S962" s="456"/>
      <c r="T962" s="456"/>
      <c r="U962" s="456"/>
      <c r="V962" s="456"/>
      <c r="W962" s="456"/>
      <c r="X962" s="456"/>
      <c r="Y962" s="456"/>
      <c r="Z962" s="456"/>
    </row>
    <row r="963" spans="1:26" ht="11.25" customHeight="1">
      <c r="A963" s="456"/>
      <c r="B963" s="456"/>
      <c r="C963" s="456"/>
      <c r="D963" s="456"/>
      <c r="E963" s="456"/>
      <c r="F963" s="456"/>
      <c r="G963" s="456"/>
      <c r="H963" s="456"/>
      <c r="I963" s="456"/>
      <c r="J963" s="456"/>
      <c r="K963" s="456"/>
      <c r="L963" s="456"/>
      <c r="M963" s="456"/>
      <c r="N963" s="456"/>
      <c r="O963" s="456"/>
      <c r="P963" s="456"/>
      <c r="Q963" s="456"/>
      <c r="R963" s="456"/>
      <c r="S963" s="456"/>
      <c r="T963" s="456"/>
      <c r="U963" s="456"/>
      <c r="V963" s="456"/>
      <c r="W963" s="456"/>
      <c r="X963" s="456"/>
      <c r="Y963" s="456"/>
      <c r="Z963" s="456"/>
    </row>
    <row r="964" spans="1:26" ht="11.25" customHeight="1">
      <c r="A964" s="456"/>
      <c r="B964" s="456"/>
      <c r="C964" s="456"/>
      <c r="D964" s="456"/>
      <c r="E964" s="456"/>
      <c r="F964" s="456"/>
      <c r="G964" s="456"/>
      <c r="H964" s="456"/>
      <c r="I964" s="456"/>
      <c r="J964" s="456"/>
      <c r="K964" s="456"/>
      <c r="L964" s="456"/>
      <c r="M964" s="456"/>
      <c r="N964" s="456"/>
      <c r="O964" s="456"/>
      <c r="P964" s="456"/>
      <c r="Q964" s="456"/>
      <c r="R964" s="456"/>
      <c r="S964" s="456"/>
      <c r="T964" s="456"/>
      <c r="U964" s="456"/>
      <c r="V964" s="456"/>
      <c r="W964" s="456"/>
      <c r="X964" s="456"/>
      <c r="Y964" s="456"/>
      <c r="Z964" s="456"/>
    </row>
    <row r="965" spans="1:26" ht="11.25" customHeight="1">
      <c r="A965" s="456"/>
      <c r="B965" s="456"/>
      <c r="C965" s="456"/>
      <c r="D965" s="456"/>
      <c r="E965" s="456"/>
      <c r="F965" s="456"/>
      <c r="G965" s="456"/>
      <c r="H965" s="456"/>
      <c r="I965" s="456"/>
      <c r="J965" s="456"/>
      <c r="K965" s="456"/>
      <c r="L965" s="456"/>
      <c r="M965" s="456"/>
      <c r="N965" s="456"/>
      <c r="O965" s="456"/>
      <c r="P965" s="456"/>
      <c r="Q965" s="456"/>
      <c r="R965" s="456"/>
      <c r="S965" s="456"/>
      <c r="T965" s="456"/>
      <c r="U965" s="456"/>
      <c r="V965" s="456"/>
      <c r="W965" s="456"/>
      <c r="X965" s="456"/>
      <c r="Y965" s="456"/>
      <c r="Z965" s="456"/>
    </row>
    <row r="966" spans="1:26" ht="11.25" customHeight="1">
      <c r="A966" s="456"/>
      <c r="B966" s="456"/>
      <c r="C966" s="456"/>
      <c r="D966" s="456"/>
      <c r="E966" s="456"/>
      <c r="F966" s="456"/>
      <c r="G966" s="456"/>
      <c r="H966" s="456"/>
      <c r="I966" s="456"/>
      <c r="J966" s="456"/>
      <c r="K966" s="456"/>
      <c r="L966" s="456"/>
      <c r="M966" s="456"/>
      <c r="N966" s="456"/>
      <c r="O966" s="456"/>
      <c r="P966" s="456"/>
      <c r="Q966" s="456"/>
      <c r="R966" s="456"/>
      <c r="S966" s="456"/>
      <c r="T966" s="456"/>
      <c r="U966" s="456"/>
      <c r="V966" s="456"/>
      <c r="W966" s="456"/>
      <c r="X966" s="456"/>
      <c r="Y966" s="456"/>
      <c r="Z966" s="456"/>
    </row>
    <row r="967" spans="1:26" ht="11.25" customHeight="1">
      <c r="A967" s="456"/>
      <c r="B967" s="456"/>
      <c r="C967" s="456"/>
      <c r="D967" s="456"/>
      <c r="E967" s="456"/>
      <c r="F967" s="456"/>
      <c r="G967" s="456"/>
      <c r="H967" s="456"/>
      <c r="I967" s="456"/>
      <c r="J967" s="456"/>
      <c r="K967" s="456"/>
      <c r="L967" s="456"/>
      <c r="M967" s="456"/>
      <c r="N967" s="456"/>
      <c r="O967" s="456"/>
      <c r="P967" s="456"/>
      <c r="Q967" s="456"/>
      <c r="R967" s="456"/>
      <c r="S967" s="456"/>
      <c r="T967" s="456"/>
      <c r="U967" s="456"/>
      <c r="V967" s="456"/>
      <c r="W967" s="456"/>
      <c r="X967" s="456"/>
      <c r="Y967" s="456"/>
      <c r="Z967" s="456"/>
    </row>
    <row r="968" spans="1:26" ht="11.25" customHeight="1">
      <c r="A968" s="456"/>
      <c r="B968" s="456"/>
      <c r="C968" s="456"/>
      <c r="D968" s="456"/>
      <c r="E968" s="456"/>
      <c r="F968" s="456"/>
      <c r="G968" s="456"/>
      <c r="H968" s="456"/>
      <c r="I968" s="456"/>
      <c r="J968" s="456"/>
      <c r="K968" s="456"/>
      <c r="L968" s="456"/>
      <c r="M968" s="456"/>
      <c r="N968" s="456"/>
      <c r="O968" s="456"/>
      <c r="P968" s="456"/>
      <c r="Q968" s="456"/>
      <c r="R968" s="456"/>
      <c r="S968" s="456"/>
      <c r="T968" s="456"/>
      <c r="U968" s="456"/>
      <c r="V968" s="456"/>
      <c r="W968" s="456"/>
      <c r="X968" s="456"/>
      <c r="Y968" s="456"/>
      <c r="Z968" s="456"/>
    </row>
    <row r="969" spans="1:26" ht="11.25" customHeight="1">
      <c r="A969" s="456"/>
      <c r="B969" s="456"/>
      <c r="C969" s="456"/>
      <c r="D969" s="456"/>
      <c r="E969" s="456"/>
      <c r="F969" s="456"/>
      <c r="G969" s="456"/>
      <c r="H969" s="456"/>
      <c r="I969" s="456"/>
      <c r="J969" s="456"/>
      <c r="K969" s="456"/>
      <c r="L969" s="456"/>
      <c r="M969" s="456"/>
      <c r="N969" s="456"/>
      <c r="O969" s="456"/>
      <c r="P969" s="456"/>
      <c r="Q969" s="456"/>
      <c r="R969" s="456"/>
      <c r="S969" s="456"/>
      <c r="T969" s="456"/>
      <c r="U969" s="456"/>
      <c r="V969" s="456"/>
      <c r="W969" s="456"/>
      <c r="X969" s="456"/>
      <c r="Y969" s="456"/>
      <c r="Z969" s="456"/>
    </row>
    <row r="970" spans="1:26" ht="11.25" customHeight="1">
      <c r="A970" s="456"/>
      <c r="B970" s="456"/>
      <c r="C970" s="456"/>
      <c r="D970" s="456"/>
      <c r="E970" s="456"/>
      <c r="F970" s="456"/>
      <c r="G970" s="456"/>
      <c r="H970" s="456"/>
      <c r="I970" s="456"/>
      <c r="J970" s="456"/>
      <c r="K970" s="456"/>
      <c r="L970" s="456"/>
      <c r="M970" s="456"/>
      <c r="N970" s="456"/>
      <c r="O970" s="456"/>
      <c r="P970" s="456"/>
      <c r="Q970" s="456"/>
      <c r="R970" s="456"/>
      <c r="S970" s="456"/>
      <c r="T970" s="456"/>
      <c r="U970" s="456"/>
      <c r="V970" s="456"/>
      <c r="W970" s="456"/>
      <c r="X970" s="456"/>
      <c r="Y970" s="456"/>
      <c r="Z970" s="456"/>
    </row>
    <row r="971" spans="1:26" ht="11.25" customHeight="1">
      <c r="A971" s="456"/>
      <c r="B971" s="456"/>
      <c r="C971" s="456"/>
      <c r="D971" s="456"/>
      <c r="E971" s="456"/>
      <c r="F971" s="456"/>
      <c r="G971" s="456"/>
      <c r="H971" s="456"/>
      <c r="I971" s="456"/>
      <c r="J971" s="456"/>
      <c r="K971" s="456"/>
      <c r="L971" s="456"/>
      <c r="M971" s="456"/>
      <c r="N971" s="456"/>
      <c r="O971" s="456"/>
      <c r="P971" s="456"/>
      <c r="Q971" s="456"/>
      <c r="R971" s="456"/>
      <c r="S971" s="456"/>
      <c r="T971" s="456"/>
      <c r="U971" s="456"/>
      <c r="V971" s="456"/>
      <c r="W971" s="456"/>
      <c r="X971" s="456"/>
      <c r="Y971" s="456"/>
      <c r="Z971" s="456"/>
    </row>
    <row r="972" spans="1:26" ht="11.25" customHeight="1">
      <c r="A972" s="456"/>
      <c r="B972" s="456"/>
      <c r="C972" s="456"/>
      <c r="D972" s="456"/>
      <c r="E972" s="456"/>
      <c r="F972" s="456"/>
      <c r="G972" s="456"/>
      <c r="H972" s="456"/>
      <c r="I972" s="456"/>
      <c r="J972" s="456"/>
      <c r="K972" s="456"/>
      <c r="L972" s="456"/>
      <c r="M972" s="456"/>
      <c r="N972" s="456"/>
      <c r="O972" s="456"/>
      <c r="P972" s="456"/>
      <c r="Q972" s="456"/>
      <c r="R972" s="456"/>
      <c r="S972" s="456"/>
      <c r="T972" s="456"/>
      <c r="U972" s="456"/>
      <c r="V972" s="456"/>
      <c r="W972" s="456"/>
      <c r="X972" s="456"/>
      <c r="Y972" s="456"/>
      <c r="Z972" s="456"/>
    </row>
    <row r="973" spans="1:26" ht="11.25" customHeight="1">
      <c r="A973" s="456"/>
      <c r="B973" s="456"/>
      <c r="C973" s="456"/>
      <c r="D973" s="456"/>
      <c r="E973" s="456"/>
      <c r="F973" s="456"/>
      <c r="G973" s="456"/>
      <c r="H973" s="456"/>
      <c r="I973" s="456"/>
      <c r="J973" s="456"/>
      <c r="K973" s="456"/>
      <c r="L973" s="456"/>
      <c r="M973" s="456"/>
      <c r="N973" s="456"/>
      <c r="O973" s="456"/>
      <c r="P973" s="456"/>
      <c r="Q973" s="456"/>
      <c r="R973" s="456"/>
      <c r="S973" s="456"/>
      <c r="T973" s="456"/>
      <c r="U973" s="456"/>
      <c r="V973" s="456"/>
      <c r="W973" s="456"/>
      <c r="X973" s="456"/>
      <c r="Y973" s="456"/>
      <c r="Z973" s="456"/>
    </row>
    <row r="974" spans="1:26" ht="11.25" customHeight="1">
      <c r="A974" s="456"/>
      <c r="B974" s="456"/>
      <c r="C974" s="456"/>
      <c r="D974" s="456"/>
      <c r="E974" s="456"/>
      <c r="F974" s="456"/>
      <c r="G974" s="456"/>
      <c r="H974" s="456"/>
      <c r="I974" s="456"/>
      <c r="J974" s="456"/>
      <c r="K974" s="456"/>
      <c r="L974" s="456"/>
      <c r="M974" s="456"/>
      <c r="N974" s="456"/>
      <c r="O974" s="456"/>
      <c r="P974" s="456"/>
      <c r="Q974" s="456"/>
      <c r="R974" s="456"/>
      <c r="S974" s="456"/>
      <c r="T974" s="456"/>
      <c r="U974" s="456"/>
      <c r="V974" s="456"/>
      <c r="W974" s="456"/>
      <c r="X974" s="456"/>
      <c r="Y974" s="456"/>
      <c r="Z974" s="456"/>
    </row>
    <row r="975" spans="1:26" ht="11.25" customHeight="1">
      <c r="A975" s="456"/>
      <c r="B975" s="456"/>
      <c r="C975" s="456"/>
      <c r="D975" s="456"/>
      <c r="E975" s="456"/>
      <c r="F975" s="456"/>
      <c r="G975" s="456"/>
      <c r="H975" s="456"/>
      <c r="I975" s="456"/>
      <c r="J975" s="456"/>
      <c r="K975" s="456"/>
      <c r="L975" s="456"/>
      <c r="M975" s="456"/>
      <c r="N975" s="456"/>
      <c r="O975" s="456"/>
      <c r="P975" s="456"/>
      <c r="Q975" s="456"/>
      <c r="R975" s="456"/>
      <c r="S975" s="456"/>
      <c r="T975" s="456"/>
      <c r="U975" s="456"/>
      <c r="V975" s="456"/>
      <c r="W975" s="456"/>
      <c r="X975" s="456"/>
      <c r="Y975" s="456"/>
      <c r="Z975" s="456"/>
    </row>
    <row r="976" spans="1:26" ht="11.25" customHeight="1">
      <c r="A976" s="456"/>
      <c r="B976" s="456"/>
      <c r="C976" s="456"/>
      <c r="D976" s="456"/>
      <c r="E976" s="456"/>
      <c r="F976" s="456"/>
      <c r="G976" s="456"/>
      <c r="H976" s="456"/>
      <c r="I976" s="456"/>
      <c r="J976" s="456"/>
      <c r="K976" s="456"/>
      <c r="L976" s="456"/>
      <c r="M976" s="456"/>
      <c r="N976" s="456"/>
      <c r="O976" s="456"/>
      <c r="P976" s="456"/>
      <c r="Q976" s="456"/>
      <c r="R976" s="456"/>
      <c r="S976" s="456"/>
      <c r="T976" s="456"/>
      <c r="U976" s="456"/>
      <c r="V976" s="456"/>
      <c r="W976" s="456"/>
      <c r="X976" s="456"/>
      <c r="Y976" s="456"/>
      <c r="Z976" s="456"/>
    </row>
    <row r="977" spans="1:26" ht="11.25" customHeight="1">
      <c r="A977" s="456"/>
      <c r="B977" s="456"/>
      <c r="C977" s="456"/>
      <c r="D977" s="456"/>
      <c r="E977" s="456"/>
      <c r="F977" s="456"/>
      <c r="G977" s="456"/>
      <c r="H977" s="456"/>
      <c r="I977" s="456"/>
      <c r="J977" s="456"/>
      <c r="K977" s="456"/>
      <c r="L977" s="456"/>
      <c r="M977" s="456"/>
      <c r="N977" s="456"/>
      <c r="O977" s="456"/>
      <c r="P977" s="456"/>
      <c r="Q977" s="456"/>
      <c r="R977" s="456"/>
      <c r="S977" s="456"/>
      <c r="T977" s="456"/>
      <c r="U977" s="456"/>
      <c r="V977" s="456"/>
      <c r="W977" s="456"/>
      <c r="X977" s="456"/>
      <c r="Y977" s="456"/>
      <c r="Z977" s="456"/>
    </row>
    <row r="978" spans="1:26" ht="11.25" customHeight="1">
      <c r="A978" s="456"/>
      <c r="B978" s="456"/>
      <c r="C978" s="456"/>
      <c r="D978" s="456"/>
      <c r="E978" s="456"/>
      <c r="F978" s="456"/>
      <c r="G978" s="456"/>
      <c r="H978" s="456"/>
      <c r="I978" s="456"/>
      <c r="J978" s="456"/>
      <c r="K978" s="456"/>
      <c r="L978" s="456"/>
      <c r="M978" s="456"/>
      <c r="N978" s="456"/>
      <c r="O978" s="456"/>
      <c r="P978" s="456"/>
      <c r="Q978" s="456"/>
      <c r="R978" s="456"/>
      <c r="S978" s="456"/>
      <c r="T978" s="456"/>
      <c r="U978" s="456"/>
      <c r="V978" s="456"/>
      <c r="W978" s="456"/>
      <c r="X978" s="456"/>
      <c r="Y978" s="456"/>
      <c r="Z978" s="456"/>
    </row>
    <row r="979" spans="1:26" ht="11.25" customHeight="1">
      <c r="A979" s="456"/>
      <c r="B979" s="456"/>
      <c r="C979" s="456"/>
      <c r="D979" s="456"/>
      <c r="E979" s="456"/>
      <c r="F979" s="456"/>
      <c r="G979" s="456"/>
      <c r="H979" s="456"/>
      <c r="I979" s="456"/>
      <c r="J979" s="456"/>
      <c r="K979" s="456"/>
      <c r="L979" s="456"/>
      <c r="M979" s="456"/>
      <c r="N979" s="456"/>
      <c r="O979" s="456"/>
      <c r="P979" s="456"/>
      <c r="Q979" s="456"/>
      <c r="R979" s="456"/>
      <c r="S979" s="456"/>
      <c r="T979" s="456"/>
      <c r="U979" s="456"/>
      <c r="V979" s="456"/>
      <c r="W979" s="456"/>
      <c r="X979" s="456"/>
      <c r="Y979" s="456"/>
      <c r="Z979" s="456"/>
    </row>
    <row r="980" spans="1:26" ht="11.25" customHeight="1">
      <c r="A980" s="456"/>
      <c r="B980" s="456"/>
      <c r="C980" s="456"/>
      <c r="D980" s="456"/>
      <c r="E980" s="456"/>
      <c r="F980" s="456"/>
      <c r="G980" s="456"/>
      <c r="H980" s="456"/>
      <c r="I980" s="456"/>
      <c r="J980" s="456"/>
      <c r="K980" s="456"/>
      <c r="L980" s="456"/>
      <c r="M980" s="456"/>
      <c r="N980" s="456"/>
      <c r="O980" s="456"/>
      <c r="P980" s="456"/>
      <c r="Q980" s="456"/>
      <c r="R980" s="456"/>
      <c r="S980" s="456"/>
      <c r="T980" s="456"/>
      <c r="U980" s="456"/>
      <c r="V980" s="456"/>
      <c r="W980" s="456"/>
      <c r="X980" s="456"/>
      <c r="Y980" s="456"/>
      <c r="Z980" s="456"/>
    </row>
    <row r="981" spans="1:26" ht="11.25" customHeight="1">
      <c r="A981" s="456"/>
      <c r="B981" s="456"/>
      <c r="C981" s="456"/>
      <c r="D981" s="456"/>
      <c r="E981" s="456"/>
      <c r="F981" s="456"/>
      <c r="G981" s="456"/>
      <c r="H981" s="456"/>
      <c r="I981" s="456"/>
      <c r="J981" s="456"/>
      <c r="K981" s="456"/>
      <c r="L981" s="456"/>
      <c r="M981" s="456"/>
      <c r="N981" s="456"/>
      <c r="O981" s="456"/>
      <c r="P981" s="456"/>
      <c r="Q981" s="456"/>
      <c r="R981" s="456"/>
      <c r="S981" s="456"/>
      <c r="T981" s="456"/>
      <c r="U981" s="456"/>
      <c r="V981" s="456"/>
      <c r="W981" s="456"/>
      <c r="X981" s="456"/>
      <c r="Y981" s="456"/>
      <c r="Z981" s="456"/>
    </row>
    <row r="982" spans="1:26" ht="11.25" customHeight="1">
      <c r="A982" s="456"/>
      <c r="B982" s="456"/>
      <c r="C982" s="456"/>
      <c r="D982" s="456"/>
      <c r="E982" s="456"/>
      <c r="F982" s="456"/>
      <c r="G982" s="456"/>
      <c r="H982" s="456"/>
      <c r="I982" s="456"/>
      <c r="J982" s="456"/>
      <c r="K982" s="456"/>
      <c r="L982" s="456"/>
      <c r="M982" s="456"/>
      <c r="N982" s="456"/>
      <c r="O982" s="456"/>
      <c r="P982" s="456"/>
      <c r="Q982" s="456"/>
      <c r="R982" s="456"/>
      <c r="S982" s="456"/>
      <c r="T982" s="456"/>
      <c r="U982" s="456"/>
      <c r="V982" s="456"/>
      <c r="W982" s="456"/>
      <c r="X982" s="456"/>
      <c r="Y982" s="456"/>
      <c r="Z982" s="456"/>
    </row>
    <row r="983" spans="1:26" ht="11.25" customHeight="1">
      <c r="A983" s="456"/>
      <c r="B983" s="456"/>
      <c r="C983" s="456"/>
      <c r="D983" s="456"/>
      <c r="E983" s="456"/>
      <c r="F983" s="456"/>
      <c r="G983" s="456"/>
      <c r="H983" s="456"/>
      <c r="I983" s="456"/>
      <c r="J983" s="456"/>
      <c r="K983" s="456"/>
      <c r="L983" s="456"/>
      <c r="M983" s="456"/>
      <c r="N983" s="456"/>
      <c r="O983" s="456"/>
      <c r="P983" s="456"/>
      <c r="Q983" s="456"/>
      <c r="R983" s="456"/>
      <c r="S983" s="456"/>
      <c r="T983" s="456"/>
      <c r="U983" s="456"/>
      <c r="V983" s="456"/>
      <c r="W983" s="456"/>
      <c r="X983" s="456"/>
      <c r="Y983" s="456"/>
      <c r="Z983" s="456"/>
    </row>
    <row r="984" spans="1:26" ht="11.25" customHeight="1">
      <c r="A984" s="456"/>
      <c r="B984" s="456"/>
      <c r="C984" s="456"/>
      <c r="D984" s="456"/>
      <c r="E984" s="456"/>
      <c r="F984" s="456"/>
      <c r="G984" s="456"/>
      <c r="H984" s="456"/>
      <c r="I984" s="456"/>
      <c r="J984" s="456"/>
      <c r="K984" s="456"/>
      <c r="L984" s="456"/>
      <c r="M984" s="456"/>
      <c r="N984" s="456"/>
      <c r="O984" s="456"/>
      <c r="P984" s="456"/>
      <c r="Q984" s="456"/>
      <c r="R984" s="456"/>
      <c r="S984" s="456"/>
      <c r="T984" s="456"/>
      <c r="U984" s="456"/>
      <c r="V984" s="456"/>
      <c r="W984" s="456"/>
      <c r="X984" s="456"/>
      <c r="Y984" s="456"/>
      <c r="Z984" s="456"/>
    </row>
    <row r="985" spans="1:26" ht="11.25" customHeight="1">
      <c r="A985" s="456"/>
      <c r="B985" s="456"/>
      <c r="C985" s="456"/>
      <c r="D985" s="456"/>
      <c r="E985" s="456"/>
      <c r="F985" s="456"/>
      <c r="G985" s="456"/>
      <c r="H985" s="456"/>
      <c r="I985" s="456"/>
      <c r="J985" s="456"/>
      <c r="K985" s="456"/>
      <c r="L985" s="456"/>
      <c r="M985" s="456"/>
      <c r="N985" s="456"/>
      <c r="O985" s="456"/>
      <c r="P985" s="456"/>
      <c r="Q985" s="456"/>
      <c r="R985" s="456"/>
      <c r="S985" s="456"/>
      <c r="T985" s="456"/>
      <c r="U985" s="456"/>
      <c r="V985" s="456"/>
      <c r="W985" s="456"/>
      <c r="X985" s="456"/>
      <c r="Y985" s="456"/>
      <c r="Z985" s="456"/>
    </row>
    <row r="986" spans="1:26" ht="11.25" customHeight="1">
      <c r="A986" s="456"/>
      <c r="B986" s="456"/>
      <c r="C986" s="456"/>
      <c r="D986" s="456"/>
      <c r="E986" s="456"/>
      <c r="F986" s="456"/>
      <c r="G986" s="456"/>
      <c r="H986" s="456"/>
      <c r="I986" s="456"/>
      <c r="J986" s="456"/>
      <c r="K986" s="456"/>
      <c r="L986" s="456"/>
      <c r="M986" s="456"/>
      <c r="N986" s="456"/>
      <c r="O986" s="456"/>
      <c r="P986" s="456"/>
      <c r="Q986" s="456"/>
      <c r="R986" s="456"/>
      <c r="S986" s="456"/>
      <c r="T986" s="456"/>
      <c r="U986" s="456"/>
      <c r="V986" s="456"/>
      <c r="W986" s="456"/>
      <c r="X986" s="456"/>
      <c r="Y986" s="456"/>
      <c r="Z986" s="456"/>
    </row>
    <row r="987" spans="1:26" ht="11.25" customHeight="1">
      <c r="A987" s="456"/>
      <c r="B987" s="456"/>
      <c r="C987" s="456"/>
      <c r="D987" s="456"/>
      <c r="E987" s="456"/>
      <c r="F987" s="456"/>
      <c r="G987" s="456"/>
      <c r="H987" s="456"/>
      <c r="I987" s="456"/>
      <c r="J987" s="456"/>
      <c r="K987" s="456"/>
      <c r="L987" s="456"/>
      <c r="M987" s="456"/>
      <c r="N987" s="456"/>
      <c r="O987" s="456"/>
      <c r="P987" s="456"/>
      <c r="Q987" s="456"/>
      <c r="R987" s="456"/>
      <c r="S987" s="456"/>
      <c r="T987" s="456"/>
      <c r="U987" s="456"/>
      <c r="V987" s="456"/>
      <c r="W987" s="456"/>
      <c r="X987" s="456"/>
      <c r="Y987" s="456"/>
      <c r="Z987" s="456"/>
    </row>
    <row r="988" spans="1:26" ht="11.25" customHeight="1">
      <c r="A988" s="456"/>
      <c r="B988" s="456"/>
      <c r="C988" s="456"/>
      <c r="D988" s="456"/>
      <c r="E988" s="456"/>
      <c r="F988" s="456"/>
      <c r="G988" s="456"/>
      <c r="H988" s="456"/>
      <c r="I988" s="456"/>
      <c r="J988" s="456"/>
      <c r="K988" s="456"/>
      <c r="L988" s="456"/>
      <c r="M988" s="456"/>
      <c r="N988" s="456"/>
      <c r="O988" s="456"/>
      <c r="P988" s="456"/>
      <c r="Q988" s="456"/>
      <c r="R988" s="456"/>
      <c r="S988" s="456"/>
      <c r="T988" s="456"/>
      <c r="U988" s="456"/>
      <c r="V988" s="456"/>
      <c r="W988" s="456"/>
      <c r="X988" s="456"/>
      <c r="Y988" s="456"/>
      <c r="Z988" s="456"/>
    </row>
    <row r="989" spans="1:26" ht="11.25" customHeight="1">
      <c r="A989" s="456"/>
      <c r="B989" s="456"/>
      <c r="C989" s="456"/>
      <c r="D989" s="456"/>
      <c r="E989" s="456"/>
      <c r="F989" s="456"/>
      <c r="G989" s="456"/>
      <c r="H989" s="456"/>
      <c r="I989" s="456"/>
      <c r="J989" s="456"/>
      <c r="K989" s="456"/>
      <c r="L989" s="456"/>
      <c r="M989" s="456"/>
      <c r="N989" s="456"/>
      <c r="O989" s="456"/>
      <c r="P989" s="456"/>
      <c r="Q989" s="456"/>
      <c r="R989" s="456"/>
      <c r="S989" s="456"/>
      <c r="T989" s="456"/>
      <c r="U989" s="456"/>
      <c r="V989" s="456"/>
      <c r="W989" s="456"/>
      <c r="X989" s="456"/>
      <c r="Y989" s="456"/>
      <c r="Z989" s="456"/>
    </row>
    <row r="990" spans="1:26" ht="11.25" customHeight="1">
      <c r="A990" s="456"/>
      <c r="B990" s="456"/>
      <c r="C990" s="456"/>
      <c r="D990" s="456"/>
      <c r="E990" s="456"/>
      <c r="F990" s="456"/>
      <c r="G990" s="456"/>
      <c r="H990" s="456"/>
      <c r="I990" s="456"/>
      <c r="J990" s="456"/>
      <c r="K990" s="456"/>
      <c r="L990" s="456"/>
      <c r="M990" s="456"/>
      <c r="N990" s="456"/>
      <c r="O990" s="456"/>
      <c r="P990" s="456"/>
      <c r="Q990" s="456"/>
      <c r="R990" s="456"/>
      <c r="S990" s="456"/>
      <c r="T990" s="456"/>
      <c r="U990" s="456"/>
      <c r="V990" s="456"/>
      <c r="W990" s="456"/>
      <c r="X990" s="456"/>
      <c r="Y990" s="456"/>
      <c r="Z990" s="456"/>
    </row>
  </sheetData>
  <pageMargins left="0.7" right="0.7" top="0.75" bottom="0.75" header="0" footer="0"/>
  <pageSetup orientation="landscape"/>
  <headerFooter>
    <oddFooter>&amp;RSABAK - GENERIK NON STANDARD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"/>
  <dimension ref="A1:Z1000"/>
  <sheetViews>
    <sheetView showGridLines="0" topLeftCell="A23" workbookViewId="0">
      <selection activeCell="E51" sqref="E51"/>
    </sheetView>
  </sheetViews>
  <sheetFormatPr defaultColWidth="12.42578125" defaultRowHeight="15" customHeight="1"/>
  <cols>
    <col min="1" max="1" width="9.140625" customWidth="1"/>
    <col min="2" max="2" width="3.140625" customWidth="1"/>
    <col min="3" max="3" width="20" customWidth="1"/>
    <col min="4" max="14" width="12.42578125" customWidth="1"/>
    <col min="15" max="26" width="8" customWidth="1"/>
  </cols>
  <sheetData>
    <row r="1" spans="1:26" ht="11.25" customHeight="1">
      <c r="A1" s="456"/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  <c r="X1" s="456"/>
      <c r="Y1" s="456"/>
      <c r="Z1" s="456"/>
    </row>
    <row r="2" spans="1:26" ht="11.25" customHeight="1">
      <c r="A2" s="456"/>
      <c r="B2" s="456"/>
      <c r="C2" s="458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</row>
    <row r="3" spans="1:26" ht="11.25" customHeight="1">
      <c r="A3" s="456"/>
      <c r="B3" s="456"/>
      <c r="C3" s="456" t="s">
        <v>779</v>
      </c>
      <c r="D3" s="459">
        <f>+Assumption!G340</f>
        <v>0.35</v>
      </c>
      <c r="E3" s="456"/>
      <c r="F3" s="456"/>
      <c r="G3" s="456"/>
      <c r="H3" s="456"/>
      <c r="I3" s="456"/>
      <c r="J3" s="456"/>
      <c r="K3" s="456"/>
      <c r="L3" s="456"/>
      <c r="M3" s="456"/>
      <c r="N3" s="456"/>
      <c r="O3" s="456"/>
      <c r="P3" s="456"/>
      <c r="Q3" s="456"/>
      <c r="R3" s="456"/>
      <c r="S3" s="456"/>
      <c r="T3" s="456"/>
      <c r="U3" s="456"/>
      <c r="V3" s="456"/>
      <c r="W3" s="456"/>
      <c r="X3" s="456"/>
      <c r="Y3" s="456"/>
      <c r="Z3" s="456"/>
    </row>
    <row r="4" spans="1:26" ht="11.25" customHeight="1">
      <c r="A4" s="456"/>
      <c r="B4" s="456"/>
      <c r="C4" s="456"/>
      <c r="D4" s="456"/>
      <c r="E4" s="456"/>
      <c r="F4" s="456"/>
      <c r="G4" s="456"/>
      <c r="H4" s="456"/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</row>
    <row r="5" spans="1:26" ht="11.25" customHeight="1">
      <c r="A5" s="456"/>
      <c r="B5" s="456"/>
      <c r="C5" s="691"/>
      <c r="D5" s="692">
        <f>+IF(MONTH(Historical!K13)=12,Historical!K13,Historical!I13)</f>
        <v>45291</v>
      </c>
      <c r="E5" s="692">
        <f t="shared" ref="E5:N5" si="0">DATE(YEAR(D5)+1,MONTH(D5),DAY(D5))</f>
        <v>45657</v>
      </c>
      <c r="F5" s="692">
        <f t="shared" si="0"/>
        <v>46022</v>
      </c>
      <c r="G5" s="692">
        <f t="shared" si="0"/>
        <v>46387</v>
      </c>
      <c r="H5" s="692">
        <f t="shared" si="0"/>
        <v>46752</v>
      </c>
      <c r="I5" s="692">
        <f t="shared" si="0"/>
        <v>47118</v>
      </c>
      <c r="J5" s="692">
        <f t="shared" si="0"/>
        <v>47483</v>
      </c>
      <c r="K5" s="692">
        <f t="shared" si="0"/>
        <v>47848</v>
      </c>
      <c r="L5" s="692">
        <f t="shared" si="0"/>
        <v>48213</v>
      </c>
      <c r="M5" s="692">
        <f t="shared" si="0"/>
        <v>48579</v>
      </c>
      <c r="N5" s="692">
        <f t="shared" si="0"/>
        <v>48944</v>
      </c>
      <c r="O5" s="456"/>
      <c r="P5" s="456"/>
      <c r="Q5" s="456"/>
      <c r="R5" s="456"/>
      <c r="S5" s="456"/>
      <c r="T5" s="456"/>
      <c r="U5" s="456"/>
      <c r="V5" s="456"/>
      <c r="W5" s="456"/>
      <c r="X5" s="456"/>
      <c r="Y5" s="456"/>
      <c r="Z5" s="456"/>
    </row>
    <row r="6" spans="1:26" ht="11.25" customHeight="1">
      <c r="A6" s="456"/>
      <c r="B6" s="456"/>
      <c r="C6" s="456" t="s">
        <v>238</v>
      </c>
      <c r="D6" s="453">
        <f>+IF(MONTH(Historical!K13)=12,Historical!K133,Historical!I133)</f>
        <v>32740</v>
      </c>
      <c r="E6" s="453">
        <f>+Projection!L103</f>
        <v>30435</v>
      </c>
      <c r="F6" s="453">
        <f>+Projection!N103</f>
        <v>36965.5</v>
      </c>
      <c r="G6" s="453">
        <f>+Projection!P103</f>
        <v>40662.049999999981</v>
      </c>
      <c r="H6" s="453">
        <f>+Projection!R103</f>
        <v>44728.255000000048</v>
      </c>
      <c r="I6" s="453">
        <f>+Projection!T103</f>
        <v>49201.08050000004</v>
      </c>
      <c r="J6" s="453">
        <f>+Projection!Z103</f>
        <v>15778.25185597868</v>
      </c>
      <c r="K6" s="453">
        <f>+Projection!AB103</f>
        <v>15778.25185597868</v>
      </c>
      <c r="L6" s="453">
        <f>+Projection!AD103</f>
        <v>15778.25185597868</v>
      </c>
      <c r="M6" s="453">
        <f>+Projection!AF103</f>
        <v>15778.25185597868</v>
      </c>
      <c r="N6" s="453">
        <f>+Projection!AH103</f>
        <v>15778.25185597868</v>
      </c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</row>
    <row r="7" spans="1:26" ht="11.25" customHeight="1">
      <c r="A7" s="456"/>
      <c r="B7" s="456"/>
      <c r="C7" s="456" t="s">
        <v>780</v>
      </c>
      <c r="D7" s="453">
        <f t="shared" ref="D7:N7" si="1">+D6*(1-$D$3)</f>
        <v>21281</v>
      </c>
      <c r="E7" s="453">
        <f t="shared" si="1"/>
        <v>19782.75</v>
      </c>
      <c r="F7" s="453">
        <f t="shared" si="1"/>
        <v>24027.575000000001</v>
      </c>
      <c r="G7" s="453">
        <f t="shared" si="1"/>
        <v>26430.33249999999</v>
      </c>
      <c r="H7" s="453">
        <f t="shared" si="1"/>
        <v>29073.365750000034</v>
      </c>
      <c r="I7" s="453">
        <f t="shared" si="1"/>
        <v>31980.702325000027</v>
      </c>
      <c r="J7" s="453">
        <f t="shared" si="1"/>
        <v>10255.863706386142</v>
      </c>
      <c r="K7" s="453">
        <f t="shared" si="1"/>
        <v>10255.863706386142</v>
      </c>
      <c r="L7" s="453">
        <f t="shared" si="1"/>
        <v>10255.863706386142</v>
      </c>
      <c r="M7" s="453">
        <f t="shared" si="1"/>
        <v>10255.863706386142</v>
      </c>
      <c r="N7" s="453">
        <f t="shared" si="1"/>
        <v>10255.863706386142</v>
      </c>
      <c r="O7" s="456"/>
      <c r="P7" s="456"/>
      <c r="Q7" s="456"/>
      <c r="R7" s="456"/>
      <c r="S7" s="456"/>
      <c r="T7" s="456"/>
      <c r="U7" s="456"/>
      <c r="V7" s="456"/>
      <c r="W7" s="456"/>
      <c r="X7" s="456"/>
      <c r="Y7" s="456"/>
      <c r="Z7" s="456"/>
    </row>
    <row r="8" spans="1:26" ht="11.25" customHeight="1">
      <c r="A8" s="456"/>
      <c r="B8" s="456"/>
      <c r="C8" s="456" t="s">
        <v>781</v>
      </c>
      <c r="D8" s="453">
        <f>+IF(MONTH(Historical!K13)=12,(Historical!K19+Historical!K20-Historical!K39),(Historical!I19+Historical!I20-Historical!I39))</f>
        <v>-1498</v>
      </c>
      <c r="E8" s="453">
        <f>+(Projection!L12+Projection!L13-Projection!L32)</f>
        <v>30806.972222222223</v>
      </c>
      <c r="F8" s="453">
        <f>+(Projection!N12+Projection!N13-Projection!N32)</f>
        <v>36923.333333333336</v>
      </c>
      <c r="G8" s="453">
        <f>+(Projection!P12+Projection!P13-Projection!P32)</f>
        <v>40635.833333333328</v>
      </c>
      <c r="H8" s="453">
        <f>+(Projection!R12+Projection!R13-Projection!R32)</f>
        <v>44699.416666666672</v>
      </c>
      <c r="I8" s="453">
        <f>+(Projection!T12+Projection!T13-Projection!T32)</f>
        <v>49169.358333333337</v>
      </c>
      <c r="J8" s="453">
        <f>+(Projection!Z12+Projection!Z13-Projection!Z32)</f>
        <v>-2901.1190303333315</v>
      </c>
      <c r="K8" s="453">
        <f>+(Projection!AB12+Projection!AB13-Projection!AB32)</f>
        <v>36549.77287866667</v>
      </c>
      <c r="L8" s="453">
        <f>+(Projection!AD12+Projection!AD13-Projection!AD32)</f>
        <v>36549.77287866667</v>
      </c>
      <c r="M8" s="453">
        <f>+(Projection!AF12+Projection!AF13-Projection!AF32)</f>
        <v>36549.77287866667</v>
      </c>
      <c r="N8" s="453">
        <f>+(Projection!AH12+Projection!AH13-Projection!AH32)</f>
        <v>36549.77287866667</v>
      </c>
      <c r="O8" s="456"/>
      <c r="P8" s="456"/>
      <c r="Q8" s="456"/>
      <c r="R8" s="456"/>
      <c r="S8" s="456"/>
      <c r="T8" s="456"/>
      <c r="U8" s="456"/>
      <c r="V8" s="456"/>
      <c r="W8" s="456"/>
      <c r="X8" s="456"/>
      <c r="Y8" s="456"/>
      <c r="Z8" s="456"/>
    </row>
    <row r="9" spans="1:26" ht="11.25" customHeight="1">
      <c r="A9" s="456"/>
      <c r="B9" s="456"/>
      <c r="C9" s="456" t="s">
        <v>782</v>
      </c>
      <c r="D9" s="453">
        <f>+IF(MONTH(Historical!K13)=12,Historical!I19+Historical!I20-Historical!I39,Historical!G19+Historical!G20-Historical!G39)</f>
        <v>-1499</v>
      </c>
      <c r="E9" s="453">
        <f t="shared" ref="E9:N9" si="2">+D8</f>
        <v>-1498</v>
      </c>
      <c r="F9" s="453">
        <f t="shared" si="2"/>
        <v>30806.972222222223</v>
      </c>
      <c r="G9" s="453">
        <f t="shared" si="2"/>
        <v>36923.333333333336</v>
      </c>
      <c r="H9" s="453">
        <f t="shared" si="2"/>
        <v>40635.833333333328</v>
      </c>
      <c r="I9" s="453">
        <f t="shared" si="2"/>
        <v>44699.416666666672</v>
      </c>
      <c r="J9" s="453">
        <f t="shared" si="2"/>
        <v>49169.358333333337</v>
      </c>
      <c r="K9" s="453">
        <f t="shared" si="2"/>
        <v>-2901.1190303333315</v>
      </c>
      <c r="L9" s="453">
        <f t="shared" si="2"/>
        <v>36549.77287866667</v>
      </c>
      <c r="M9" s="453">
        <f t="shared" si="2"/>
        <v>36549.77287866667</v>
      </c>
      <c r="N9" s="453">
        <f t="shared" si="2"/>
        <v>36549.77287866667</v>
      </c>
      <c r="O9" s="456"/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</row>
    <row r="10" spans="1:26" ht="11.25" customHeight="1">
      <c r="A10" s="456"/>
      <c r="B10" s="456"/>
      <c r="C10" s="693" t="s">
        <v>783</v>
      </c>
      <c r="D10" s="694">
        <v>0</v>
      </c>
      <c r="E10" s="694">
        <f>+CF!U61</f>
        <v>20</v>
      </c>
      <c r="F10" s="694">
        <f>+CF!AH61</f>
        <v>0</v>
      </c>
      <c r="G10" s="694">
        <f>+CF!AU61</f>
        <v>0</v>
      </c>
      <c r="H10" s="694">
        <f>+CF!BH61</f>
        <v>0</v>
      </c>
      <c r="I10" s="694">
        <f>+CF!BU61</f>
        <v>0</v>
      </c>
      <c r="J10" s="694">
        <f>+CF!CH61</f>
        <v>0</v>
      </c>
      <c r="K10" s="694">
        <f>+CF!CJ61</f>
        <v>0</v>
      </c>
      <c r="L10" s="694">
        <f>+CF!CL61</f>
        <v>0</v>
      </c>
      <c r="M10" s="694">
        <f>+CF!CN61</f>
        <v>0</v>
      </c>
      <c r="N10" s="694">
        <f>+CF!CP61</f>
        <v>0</v>
      </c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</row>
    <row r="11" spans="1:26" ht="11.25" customHeight="1">
      <c r="A11" s="456"/>
      <c r="B11" s="456"/>
      <c r="C11" s="458" t="s">
        <v>784</v>
      </c>
      <c r="D11" s="460">
        <f t="shared" ref="D11:N11" si="3">+D7-(D8-D9)-D10</f>
        <v>21280</v>
      </c>
      <c r="E11" s="460">
        <f t="shared" si="3"/>
        <v>-12542.222222222223</v>
      </c>
      <c r="F11" s="460">
        <f t="shared" si="3"/>
        <v>17911.213888888888</v>
      </c>
      <c r="G11" s="460">
        <f t="shared" si="3"/>
        <v>22717.832499999997</v>
      </c>
      <c r="H11" s="460">
        <f t="shared" si="3"/>
        <v>25009.782416666691</v>
      </c>
      <c r="I11" s="460">
        <f t="shared" si="3"/>
        <v>27510.760658333362</v>
      </c>
      <c r="J11" s="460">
        <f t="shared" si="3"/>
        <v>62326.341070052804</v>
      </c>
      <c r="K11" s="460">
        <f t="shared" si="3"/>
        <v>-29195.028202613856</v>
      </c>
      <c r="L11" s="460">
        <f t="shared" si="3"/>
        <v>10255.863706386142</v>
      </c>
      <c r="M11" s="460">
        <f t="shared" si="3"/>
        <v>10255.863706386142</v>
      </c>
      <c r="N11" s="460">
        <f t="shared" si="3"/>
        <v>10255.863706386142</v>
      </c>
      <c r="O11" s="456"/>
      <c r="P11" s="456"/>
      <c r="Q11" s="456"/>
      <c r="R11" s="456"/>
      <c r="S11" s="456"/>
      <c r="T11" s="456"/>
      <c r="U11" s="456"/>
      <c r="V11" s="456"/>
      <c r="W11" s="456"/>
      <c r="X11" s="456"/>
      <c r="Y11" s="456"/>
      <c r="Z11" s="456"/>
    </row>
    <row r="12" spans="1:26" ht="6.75" customHeight="1">
      <c r="A12" s="456"/>
      <c r="B12" s="456"/>
      <c r="C12" s="456"/>
      <c r="D12" s="453"/>
      <c r="E12" s="453"/>
      <c r="F12" s="453"/>
      <c r="G12" s="453"/>
      <c r="H12" s="453"/>
      <c r="I12" s="453"/>
      <c r="J12" s="453"/>
      <c r="K12" s="453"/>
      <c r="L12" s="453"/>
      <c r="M12" s="453"/>
      <c r="N12" s="453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</row>
    <row r="13" spans="1:26" ht="11.25" hidden="1" customHeight="1">
      <c r="A13" s="456"/>
      <c r="B13" s="456"/>
      <c r="C13" s="458" t="s">
        <v>800</v>
      </c>
      <c r="D13" s="460">
        <f>+IF(MONTH(Historical!K13)=12,Historical!I46+Historical!I49,Historical!G46+Historical!G49)</f>
        <v>6502</v>
      </c>
      <c r="E13" s="460">
        <f>+Projection!L39+Projection!L42</f>
        <v>0</v>
      </c>
      <c r="F13" s="460">
        <f>+Projection!L39+Projection!L42</f>
        <v>0</v>
      </c>
      <c r="G13" s="460">
        <f>+Projection!N39+Projection!N42</f>
        <v>0</v>
      </c>
      <c r="H13" s="460">
        <f>+Projection!P39+Projection!P42</f>
        <v>0</v>
      </c>
      <c r="I13" s="460">
        <f>+Projection!R39+Projection!R42</f>
        <v>0</v>
      </c>
      <c r="J13" s="460">
        <f>+Projection!T39+Projection!T42</f>
        <v>0</v>
      </c>
      <c r="K13" s="460">
        <f>+Projection!V39+Projection!V42</f>
        <v>0</v>
      </c>
      <c r="L13" s="460" t="e">
        <f>+Projection!X39+Projection!X42</f>
        <v>#VALUE!</v>
      </c>
      <c r="M13" s="460">
        <f>+Projection!Z39+Projection!Z42</f>
        <v>0</v>
      </c>
      <c r="N13" s="460">
        <f>+Projection!AB39+Projection!AB42</f>
        <v>0</v>
      </c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456"/>
      <c r="Z13" s="456"/>
    </row>
    <row r="14" spans="1:26" ht="11.25" hidden="1" customHeight="1">
      <c r="A14" s="456"/>
      <c r="B14" s="456"/>
      <c r="C14" s="691" t="s">
        <v>801</v>
      </c>
      <c r="D14" s="695">
        <f>+IF(MONTH(Historical!K13)=12,Historical!K118,Historical!I118)</f>
        <v>1500</v>
      </c>
      <c r="E14" s="695">
        <f>+Projection!L87</f>
        <v>6674.358964553202</v>
      </c>
      <c r="F14" s="695">
        <f>+Projection!N87</f>
        <v>10795.893049355596</v>
      </c>
      <c r="G14" s="695">
        <f>+Projection!P87</f>
        <v>8815.9982985207498</v>
      </c>
      <c r="H14" s="695">
        <f>+Projection!R87</f>
        <v>6863.7429174403387</v>
      </c>
      <c r="I14" s="695">
        <f>+Projection!T87</f>
        <v>4561.5336907411775</v>
      </c>
      <c r="J14" s="695">
        <f>+Projection!Z87</f>
        <v>4338.4399999999996</v>
      </c>
      <c r="K14" s="695">
        <f>+Projection!AB87</f>
        <v>4338.4399999999996</v>
      </c>
      <c r="L14" s="695">
        <f>+Projection!AD87</f>
        <v>4338.4399999999996</v>
      </c>
      <c r="M14" s="695">
        <f>+Projection!AF87</f>
        <v>4338.4399999999996</v>
      </c>
      <c r="N14" s="695">
        <f>+Projection!AH87</f>
        <v>4338.4399999999996</v>
      </c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456"/>
      <c r="Z14" s="456"/>
    </row>
    <row r="15" spans="1:26" ht="5.25" hidden="1" customHeight="1">
      <c r="A15" s="456"/>
      <c r="B15" s="456"/>
      <c r="C15" s="456"/>
      <c r="D15" s="453"/>
      <c r="E15" s="453"/>
      <c r="F15" s="453"/>
      <c r="G15" s="453"/>
      <c r="H15" s="453"/>
      <c r="I15" s="453"/>
      <c r="J15" s="453"/>
      <c r="K15" s="453"/>
      <c r="L15" s="453"/>
      <c r="M15" s="453"/>
      <c r="N15" s="453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456"/>
      <c r="Z15" s="456"/>
    </row>
    <row r="16" spans="1:26" ht="11.25" hidden="1" customHeight="1">
      <c r="A16" s="456"/>
      <c r="B16" s="456"/>
      <c r="C16" s="458" t="s">
        <v>802</v>
      </c>
      <c r="D16" s="460">
        <f t="shared" ref="D16:N16" si="4">+D11-D13-D14</f>
        <v>13278</v>
      </c>
      <c r="E16" s="460">
        <f t="shared" si="4"/>
        <v>-19216.581186775424</v>
      </c>
      <c r="F16" s="460">
        <f t="shared" si="4"/>
        <v>7115.3208395332913</v>
      </c>
      <c r="G16" s="460">
        <f t="shared" si="4"/>
        <v>13901.834201479247</v>
      </c>
      <c r="H16" s="460">
        <f t="shared" si="4"/>
        <v>18146.039499226354</v>
      </c>
      <c r="I16" s="460">
        <f t="shared" si="4"/>
        <v>22949.226967592185</v>
      </c>
      <c r="J16" s="460">
        <f t="shared" si="4"/>
        <v>57987.901070052802</v>
      </c>
      <c r="K16" s="460">
        <f t="shared" si="4"/>
        <v>-33533.468202613854</v>
      </c>
      <c r="L16" s="460" t="e">
        <f t="shared" si="4"/>
        <v>#VALUE!</v>
      </c>
      <c r="M16" s="460">
        <f t="shared" si="4"/>
        <v>5917.4237063861428</v>
      </c>
      <c r="N16" s="460">
        <f t="shared" si="4"/>
        <v>5917.4237063861428</v>
      </c>
      <c r="O16" s="456"/>
      <c r="P16" s="456"/>
      <c r="Q16" s="456"/>
      <c r="R16" s="456"/>
      <c r="S16" s="456"/>
      <c r="T16" s="456"/>
      <c r="U16" s="456"/>
      <c r="V16" s="456"/>
      <c r="W16" s="456"/>
      <c r="X16" s="456"/>
      <c r="Y16" s="456"/>
      <c r="Z16" s="456"/>
    </row>
    <row r="17" spans="1:26" ht="11.25" customHeight="1">
      <c r="A17" s="456"/>
      <c r="B17" s="456"/>
      <c r="C17" s="456"/>
      <c r="D17" s="456"/>
      <c r="E17" s="456"/>
      <c r="F17" s="456"/>
      <c r="G17" s="456"/>
      <c r="H17" s="456"/>
      <c r="I17" s="456"/>
      <c r="J17" s="456"/>
      <c r="K17" s="456"/>
      <c r="L17" s="456"/>
      <c r="M17" s="456"/>
      <c r="N17" s="456"/>
      <c r="O17" s="456"/>
      <c r="P17" s="456"/>
      <c r="Q17" s="456"/>
      <c r="R17" s="456"/>
      <c r="S17" s="456"/>
      <c r="T17" s="456"/>
      <c r="U17" s="456"/>
      <c r="V17" s="456"/>
      <c r="W17" s="456"/>
      <c r="X17" s="456"/>
      <c r="Y17" s="456"/>
      <c r="Z17" s="456"/>
    </row>
    <row r="18" spans="1:26" ht="11.25" customHeight="1">
      <c r="A18" s="456"/>
      <c r="B18" s="456"/>
      <c r="C18" s="456"/>
      <c r="D18" s="456"/>
      <c r="E18" s="456"/>
      <c r="F18" s="456"/>
      <c r="G18" s="456"/>
      <c r="H18" s="456"/>
      <c r="I18" s="456"/>
      <c r="J18" s="456"/>
      <c r="K18" s="456"/>
      <c r="L18" s="456"/>
      <c r="M18" s="456"/>
      <c r="N18" s="456"/>
      <c r="O18" s="456"/>
      <c r="P18" s="456"/>
      <c r="Q18" s="456"/>
      <c r="R18" s="456"/>
      <c r="S18" s="456"/>
      <c r="T18" s="456"/>
      <c r="U18" s="456"/>
      <c r="V18" s="456"/>
      <c r="W18" s="456"/>
      <c r="X18" s="456"/>
      <c r="Y18" s="456"/>
      <c r="Z18" s="456"/>
    </row>
    <row r="19" spans="1:26" ht="11.25" customHeight="1">
      <c r="A19" s="456"/>
      <c r="B19" s="456"/>
      <c r="C19" s="458" t="s">
        <v>786</v>
      </c>
      <c r="D19" s="456"/>
      <c r="E19" s="456"/>
      <c r="F19" s="456"/>
      <c r="G19" s="456"/>
      <c r="H19" s="456"/>
      <c r="I19" s="456"/>
      <c r="J19" s="456"/>
      <c r="K19" s="456"/>
      <c r="L19" s="456"/>
      <c r="M19" s="456"/>
      <c r="N19" s="456"/>
      <c r="O19" s="456"/>
      <c r="P19" s="456"/>
      <c r="Q19" s="456"/>
      <c r="R19" s="456"/>
      <c r="S19" s="456"/>
      <c r="T19" s="456"/>
      <c r="U19" s="456"/>
      <c r="V19" s="456"/>
      <c r="W19" s="456"/>
      <c r="X19" s="456"/>
      <c r="Y19" s="456"/>
      <c r="Z19" s="456"/>
    </row>
    <row r="20" spans="1:26" ht="11.25" customHeight="1">
      <c r="A20" s="456"/>
      <c r="B20" s="456"/>
      <c r="C20" s="456" t="s">
        <v>787</v>
      </c>
      <c r="D20" s="456"/>
      <c r="E20" s="456"/>
      <c r="F20" s="456"/>
      <c r="G20" s="456"/>
      <c r="H20" s="456"/>
      <c r="I20" s="456"/>
      <c r="J20" s="456"/>
      <c r="K20" s="456"/>
      <c r="L20" s="456"/>
      <c r="M20" s="456"/>
      <c r="N20" s="456"/>
      <c r="O20" s="456"/>
      <c r="P20" s="456"/>
      <c r="Q20" s="456"/>
      <c r="R20" s="456"/>
      <c r="S20" s="456"/>
      <c r="T20" s="456"/>
      <c r="U20" s="456"/>
      <c r="V20" s="456"/>
      <c r="W20" s="456"/>
      <c r="X20" s="456"/>
      <c r="Y20" s="456"/>
      <c r="Z20" s="456"/>
    </row>
    <row r="21" spans="1:26" ht="11.25" customHeight="1">
      <c r="A21" s="456"/>
      <c r="B21" s="456"/>
      <c r="C21" s="456" t="s">
        <v>788</v>
      </c>
      <c r="D21" s="792">
        <v>7.4999999999999997E-2</v>
      </c>
      <c r="E21" s="456" t="s">
        <v>789</v>
      </c>
      <c r="F21" s="456" t="s">
        <v>790</v>
      </c>
      <c r="G21" s="456"/>
      <c r="H21" s="456"/>
      <c r="I21" s="456"/>
      <c r="J21" s="456"/>
      <c r="K21" s="456"/>
      <c r="L21" s="456"/>
      <c r="M21" s="456"/>
      <c r="N21" s="456"/>
      <c r="O21" s="456"/>
      <c r="P21" s="456"/>
      <c r="Q21" s="456"/>
      <c r="R21" s="456"/>
      <c r="S21" s="456"/>
      <c r="T21" s="456"/>
      <c r="U21" s="456"/>
      <c r="V21" s="456"/>
      <c r="W21" s="456"/>
      <c r="X21" s="456"/>
      <c r="Y21" s="456"/>
      <c r="Z21" s="456"/>
    </row>
    <row r="22" spans="1:26" ht="11.25" customHeight="1">
      <c r="A22" s="456"/>
      <c r="B22" s="456"/>
      <c r="C22" s="456" t="s">
        <v>791</v>
      </c>
      <c r="D22" s="792">
        <v>0.06</v>
      </c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</row>
    <row r="23" spans="1:26" ht="11.25" customHeight="1">
      <c r="A23" s="456"/>
      <c r="B23" s="456"/>
      <c r="C23" s="456" t="s">
        <v>792</v>
      </c>
      <c r="D23" s="456"/>
      <c r="E23" s="456"/>
      <c r="F23" s="456"/>
      <c r="G23" s="456"/>
      <c r="H23" s="456"/>
      <c r="I23" s="456"/>
      <c r="J23" s="456"/>
      <c r="K23" s="456"/>
      <c r="L23" s="456"/>
      <c r="M23" s="456"/>
      <c r="N23" s="456"/>
      <c r="O23" s="456"/>
      <c r="P23" s="456"/>
      <c r="Q23" s="456"/>
      <c r="R23" s="456"/>
      <c r="S23" s="456"/>
      <c r="T23" s="456"/>
      <c r="U23" s="456"/>
      <c r="V23" s="456"/>
      <c r="W23" s="456"/>
      <c r="X23" s="456"/>
      <c r="Y23" s="456"/>
      <c r="Z23" s="456"/>
    </row>
    <row r="24" spans="1:26" ht="11.25" customHeight="1">
      <c r="A24" s="456"/>
      <c r="B24" s="456"/>
      <c r="C24" s="456" t="s">
        <v>793</v>
      </c>
      <c r="D24" s="459">
        <f>+Assumption!H252</f>
        <v>0.6</v>
      </c>
      <c r="E24" s="456"/>
      <c r="F24" s="456"/>
      <c r="G24" s="456"/>
      <c r="H24" s="456"/>
      <c r="I24" s="456"/>
      <c r="J24" s="456"/>
      <c r="K24" s="456"/>
      <c r="L24" s="456"/>
      <c r="M24" s="456"/>
      <c r="N24" s="456"/>
      <c r="O24" s="456"/>
      <c r="P24" s="456"/>
      <c r="Q24" s="456"/>
      <c r="R24" s="456"/>
      <c r="S24" s="456"/>
      <c r="T24" s="456"/>
      <c r="U24" s="456"/>
      <c r="V24" s="456"/>
      <c r="W24" s="456"/>
      <c r="X24" s="456"/>
      <c r="Y24" s="456"/>
      <c r="Z24" s="456"/>
    </row>
    <row r="25" spans="1:26" ht="11.25" customHeight="1">
      <c r="A25" s="456"/>
      <c r="B25" s="456"/>
      <c r="C25" s="456" t="s">
        <v>794</v>
      </c>
      <c r="D25" s="459">
        <f>+Assumption!H253</f>
        <v>0.4</v>
      </c>
      <c r="E25" s="456"/>
      <c r="F25" s="456"/>
      <c r="G25" s="456"/>
      <c r="H25" s="456"/>
      <c r="I25" s="456"/>
      <c r="J25" s="456"/>
      <c r="K25" s="456"/>
      <c r="L25" s="456"/>
      <c r="M25" s="456"/>
      <c r="N25" s="456"/>
      <c r="O25" s="456"/>
      <c r="P25" s="456"/>
      <c r="Q25" s="456"/>
      <c r="R25" s="456"/>
      <c r="S25" s="456"/>
      <c r="T25" s="456"/>
      <c r="U25" s="456"/>
      <c r="V25" s="456"/>
      <c r="W25" s="456"/>
      <c r="X25" s="456"/>
      <c r="Y25" s="456"/>
      <c r="Z25" s="456"/>
    </row>
    <row r="26" spans="1:26" ht="11.25" customHeight="1">
      <c r="A26" s="456"/>
      <c r="B26" s="456"/>
      <c r="C26" s="456"/>
      <c r="D26" s="456"/>
      <c r="E26" s="456"/>
      <c r="F26" s="456"/>
      <c r="G26" s="456"/>
      <c r="H26" s="456"/>
      <c r="I26" s="456"/>
      <c r="J26" s="456"/>
      <c r="K26" s="456"/>
      <c r="L26" s="456"/>
      <c r="M26" s="456"/>
      <c r="N26" s="456"/>
      <c r="O26" s="456"/>
      <c r="P26" s="456"/>
      <c r="Q26" s="456"/>
      <c r="R26" s="456"/>
      <c r="S26" s="456"/>
      <c r="T26" s="456"/>
      <c r="U26" s="456"/>
      <c r="V26" s="456"/>
      <c r="W26" s="456"/>
      <c r="X26" s="456"/>
      <c r="Y26" s="456"/>
      <c r="Z26" s="456"/>
    </row>
    <row r="27" spans="1:26" ht="11.25" customHeight="1">
      <c r="A27" s="456"/>
      <c r="B27" s="456"/>
      <c r="C27" s="457" t="s">
        <v>795</v>
      </c>
      <c r="D27" s="459">
        <f>+D21*D24*(1-D3)+D25*D22</f>
        <v>5.3249999999999999E-2</v>
      </c>
      <c r="E27" s="456"/>
      <c r="F27" s="456"/>
      <c r="G27" s="456"/>
      <c r="H27" s="456"/>
      <c r="I27" s="456"/>
      <c r="J27" s="456"/>
      <c r="K27" s="456"/>
      <c r="L27" s="456"/>
      <c r="M27" s="456"/>
      <c r="N27" s="456"/>
      <c r="O27" s="456"/>
      <c r="P27" s="456"/>
      <c r="Q27" s="456"/>
      <c r="R27" s="456"/>
      <c r="S27" s="456"/>
      <c r="T27" s="456"/>
      <c r="U27" s="456"/>
      <c r="V27" s="456"/>
      <c r="W27" s="456"/>
      <c r="X27" s="456"/>
      <c r="Y27" s="456"/>
      <c r="Z27" s="456"/>
    </row>
    <row r="28" spans="1:26" ht="11.25" customHeight="1">
      <c r="A28" s="456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P28" s="456"/>
      <c r="Q28" s="456"/>
      <c r="R28" s="456"/>
      <c r="S28" s="456"/>
      <c r="T28" s="456"/>
      <c r="U28" s="456"/>
      <c r="V28" s="456"/>
      <c r="W28" s="456"/>
      <c r="X28" s="456"/>
      <c r="Y28" s="456"/>
      <c r="Z28" s="456"/>
    </row>
    <row r="29" spans="1:26" ht="11.25" customHeight="1">
      <c r="A29" s="456"/>
      <c r="B29" s="456"/>
      <c r="C29" s="458" t="s">
        <v>803</v>
      </c>
      <c r="D29" s="460">
        <f t="shared" ref="D29:N29" si="5">+D11</f>
        <v>21280</v>
      </c>
      <c r="E29" s="460">
        <f t="shared" si="5"/>
        <v>-12542.222222222223</v>
      </c>
      <c r="F29" s="460">
        <f t="shared" si="5"/>
        <v>17911.213888888888</v>
      </c>
      <c r="G29" s="460">
        <f t="shared" si="5"/>
        <v>22717.832499999997</v>
      </c>
      <c r="H29" s="460">
        <f t="shared" si="5"/>
        <v>25009.782416666691</v>
      </c>
      <c r="I29" s="460">
        <f t="shared" si="5"/>
        <v>27510.760658333362</v>
      </c>
      <c r="J29" s="460">
        <f t="shared" si="5"/>
        <v>62326.341070052804</v>
      </c>
      <c r="K29" s="460">
        <f t="shared" si="5"/>
        <v>-29195.028202613856</v>
      </c>
      <c r="L29" s="460">
        <f t="shared" si="5"/>
        <v>10255.863706386142</v>
      </c>
      <c r="M29" s="460">
        <f t="shared" si="5"/>
        <v>10255.863706386142</v>
      </c>
      <c r="N29" s="460">
        <f t="shared" si="5"/>
        <v>10255.863706386142</v>
      </c>
      <c r="O29" s="456"/>
      <c r="P29" s="456"/>
      <c r="Q29" s="456"/>
      <c r="R29" s="456"/>
      <c r="S29" s="456"/>
      <c r="T29" s="456"/>
      <c r="U29" s="456"/>
      <c r="V29" s="456"/>
      <c r="W29" s="456"/>
      <c r="X29" s="456"/>
      <c r="Y29" s="456"/>
      <c r="Z29" s="456"/>
    </row>
    <row r="30" spans="1:26" ht="11.25" customHeight="1">
      <c r="A30" s="456"/>
      <c r="B30" s="456"/>
      <c r="C30" s="456" t="s">
        <v>785</v>
      </c>
      <c r="D30" s="462" t="s">
        <v>74</v>
      </c>
      <c r="E30" s="463">
        <f t="shared" ref="E30:N30" si="6">IF(D29=0,0,E29/D29-1)</f>
        <v>-1.5893901420217209</v>
      </c>
      <c r="F30" s="463">
        <f t="shared" si="6"/>
        <v>-2.4280733965272852</v>
      </c>
      <c r="G30" s="463">
        <f t="shared" si="6"/>
        <v>0.26835805998011475</v>
      </c>
      <c r="H30" s="463">
        <f t="shared" si="6"/>
        <v>0.10088770205813846</v>
      </c>
      <c r="I30" s="463">
        <f t="shared" si="6"/>
        <v>0.10000000000000009</v>
      </c>
      <c r="J30" s="463">
        <f t="shared" si="6"/>
        <v>1.2655259098106164</v>
      </c>
      <c r="K30" s="463">
        <f t="shared" si="6"/>
        <v>-1.4684219818038025</v>
      </c>
      <c r="L30" s="463">
        <f t="shared" si="6"/>
        <v>-1.3512880218923002</v>
      </c>
      <c r="M30" s="463">
        <f t="shared" si="6"/>
        <v>0</v>
      </c>
      <c r="N30" s="463">
        <f t="shared" si="6"/>
        <v>0</v>
      </c>
      <c r="O30" s="456"/>
      <c r="P30" s="456"/>
      <c r="Q30" s="456"/>
      <c r="R30" s="456"/>
      <c r="S30" s="456"/>
      <c r="T30" s="456"/>
      <c r="U30" s="456"/>
      <c r="V30" s="456"/>
      <c r="W30" s="456"/>
      <c r="X30" s="456"/>
      <c r="Y30" s="456"/>
      <c r="Z30" s="456"/>
    </row>
    <row r="31" spans="1:26" ht="11.25" customHeight="1">
      <c r="A31" s="456"/>
      <c r="B31" s="456"/>
      <c r="C31" s="456" t="s">
        <v>804</v>
      </c>
      <c r="D31" s="461">
        <f>+AVERAGE(I30:J30)</f>
        <v>0.68276295490530825</v>
      </c>
      <c r="E31" s="456"/>
      <c r="F31" s="456"/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V31" s="456"/>
      <c r="W31" s="456"/>
      <c r="X31" s="456"/>
      <c r="Y31" s="456"/>
      <c r="Z31" s="456"/>
    </row>
    <row r="32" spans="1:26" ht="11.25" customHeight="1">
      <c r="A32" s="456"/>
      <c r="B32" s="456"/>
      <c r="C32" s="691" t="s">
        <v>805</v>
      </c>
      <c r="D32" s="691"/>
      <c r="E32" s="691"/>
      <c r="F32" s="691"/>
      <c r="G32" s="691"/>
      <c r="H32" s="691"/>
      <c r="I32" s="691"/>
      <c r="J32" s="691"/>
      <c r="K32" s="691"/>
      <c r="L32" s="691"/>
      <c r="M32" s="691"/>
      <c r="N32" s="691">
        <f>IF((D27-D31)&lt;&gt;0,N29*(1+N30)/(D27-D31),0)</f>
        <v>-16291.743682906155</v>
      </c>
      <c r="O32" s="456"/>
      <c r="P32" s="456"/>
      <c r="Q32" s="456"/>
      <c r="R32" s="456"/>
      <c r="S32" s="456"/>
      <c r="T32" s="456"/>
      <c r="U32" s="456"/>
      <c r="V32" s="456"/>
      <c r="W32" s="456"/>
      <c r="X32" s="456"/>
      <c r="Y32" s="456"/>
      <c r="Z32" s="456"/>
    </row>
    <row r="33" spans="1:26" ht="11.25" customHeight="1">
      <c r="A33" s="456"/>
      <c r="B33" s="456"/>
      <c r="C33" s="458" t="s">
        <v>806</v>
      </c>
      <c r="D33" s="460">
        <f t="shared" ref="D33:N33" si="7">+D32+D29</f>
        <v>21280</v>
      </c>
      <c r="E33" s="460">
        <f t="shared" si="7"/>
        <v>-12542.222222222223</v>
      </c>
      <c r="F33" s="460">
        <f t="shared" si="7"/>
        <v>17911.213888888888</v>
      </c>
      <c r="G33" s="460">
        <f t="shared" si="7"/>
        <v>22717.832499999997</v>
      </c>
      <c r="H33" s="460">
        <f t="shared" si="7"/>
        <v>25009.782416666691</v>
      </c>
      <c r="I33" s="460">
        <f t="shared" si="7"/>
        <v>27510.760658333362</v>
      </c>
      <c r="J33" s="460">
        <f t="shared" si="7"/>
        <v>62326.341070052804</v>
      </c>
      <c r="K33" s="460">
        <f t="shared" si="7"/>
        <v>-29195.028202613856</v>
      </c>
      <c r="L33" s="460">
        <f t="shared" si="7"/>
        <v>10255.863706386142</v>
      </c>
      <c r="M33" s="460">
        <f t="shared" si="7"/>
        <v>10255.863706386142</v>
      </c>
      <c r="N33" s="460">
        <f t="shared" si="7"/>
        <v>-6035.8799765200129</v>
      </c>
      <c r="O33" s="456"/>
      <c r="P33" s="456"/>
      <c r="Q33" s="456"/>
      <c r="R33" s="456"/>
      <c r="S33" s="456"/>
      <c r="T33" s="456"/>
      <c r="U33" s="456"/>
      <c r="V33" s="456"/>
      <c r="W33" s="456"/>
      <c r="X33" s="456"/>
      <c r="Y33" s="456"/>
      <c r="Z33" s="456"/>
    </row>
    <row r="34" spans="1:26" ht="11.25" customHeight="1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</row>
    <row r="35" spans="1:26" ht="11.25" customHeight="1">
      <c r="A35" s="456"/>
      <c r="B35" s="456"/>
      <c r="C35" s="456"/>
      <c r="D35" s="456"/>
      <c r="E35" s="456">
        <f>+E33</f>
        <v>-12542.222222222223</v>
      </c>
      <c r="F35" s="456">
        <f t="shared" ref="F35:N35" si="8">+E35+F33</f>
        <v>5368.991666666665</v>
      </c>
      <c r="G35" s="456">
        <f t="shared" si="8"/>
        <v>28086.824166666662</v>
      </c>
      <c r="H35" s="456">
        <f t="shared" si="8"/>
        <v>53096.606583333356</v>
      </c>
      <c r="I35" s="456">
        <f t="shared" si="8"/>
        <v>80607.36724166671</v>
      </c>
      <c r="J35" s="456">
        <f t="shared" si="8"/>
        <v>142933.70831171953</v>
      </c>
      <c r="K35" s="456">
        <f t="shared" si="8"/>
        <v>113738.68010910567</v>
      </c>
      <c r="L35" s="456">
        <f t="shared" si="8"/>
        <v>123994.54381549181</v>
      </c>
      <c r="M35" s="456">
        <f t="shared" si="8"/>
        <v>134250.40752187796</v>
      </c>
      <c r="N35" s="456">
        <f t="shared" si="8"/>
        <v>128214.52754535795</v>
      </c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</row>
    <row r="36" spans="1:26" ht="11.25" customHeight="1">
      <c r="A36" s="456"/>
      <c r="B36" s="456"/>
      <c r="C36" s="456"/>
      <c r="D36" s="456"/>
      <c r="E36" s="456">
        <f t="shared" ref="E36:N36" si="9">+IF(E35&lt;0,1,0)</f>
        <v>1</v>
      </c>
      <c r="F36" s="456">
        <f t="shared" si="9"/>
        <v>0</v>
      </c>
      <c r="G36" s="456">
        <f t="shared" si="9"/>
        <v>0</v>
      </c>
      <c r="H36" s="456">
        <f t="shared" si="9"/>
        <v>0</v>
      </c>
      <c r="I36" s="456">
        <f t="shared" si="9"/>
        <v>0</v>
      </c>
      <c r="J36" s="456">
        <f t="shared" si="9"/>
        <v>0</v>
      </c>
      <c r="K36" s="456">
        <f t="shared" si="9"/>
        <v>0</v>
      </c>
      <c r="L36" s="456">
        <f t="shared" si="9"/>
        <v>0</v>
      </c>
      <c r="M36" s="456">
        <f t="shared" si="9"/>
        <v>0</v>
      </c>
      <c r="N36" s="456">
        <f t="shared" si="9"/>
        <v>0</v>
      </c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</row>
    <row r="37" spans="1:26" ht="11.25" customHeight="1">
      <c r="A37" s="456"/>
      <c r="B37" s="456"/>
      <c r="C37" s="456"/>
      <c r="D37" s="456"/>
      <c r="E37" s="456">
        <f t="shared" ref="E37:N37" si="10">+E36-F36</f>
        <v>1</v>
      </c>
      <c r="F37" s="456">
        <f t="shared" si="10"/>
        <v>0</v>
      </c>
      <c r="G37" s="456">
        <f t="shared" si="10"/>
        <v>0</v>
      </c>
      <c r="H37" s="456">
        <f t="shared" si="10"/>
        <v>0</v>
      </c>
      <c r="I37" s="456">
        <f t="shared" si="10"/>
        <v>0</v>
      </c>
      <c r="J37" s="456">
        <f t="shared" si="10"/>
        <v>0</v>
      </c>
      <c r="K37" s="456">
        <f t="shared" si="10"/>
        <v>0</v>
      </c>
      <c r="L37" s="456">
        <f t="shared" si="10"/>
        <v>0</v>
      </c>
      <c r="M37" s="456">
        <f t="shared" si="10"/>
        <v>0</v>
      </c>
      <c r="N37" s="456">
        <f t="shared" si="10"/>
        <v>0</v>
      </c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</row>
    <row r="38" spans="1:26" ht="11.25" customHeight="1">
      <c r="A38" s="456"/>
      <c r="B38" s="456"/>
      <c r="C38" s="456"/>
      <c r="D38" s="456"/>
      <c r="E38" s="456">
        <f t="shared" ref="E38:N38" si="11">IF(E37=0,0,+((0-E35)*12/(F35-E35))*E37)</f>
        <v>8.4029294496914346</v>
      </c>
      <c r="F38" s="456">
        <f t="shared" si="11"/>
        <v>0</v>
      </c>
      <c r="G38" s="456">
        <f t="shared" si="11"/>
        <v>0</v>
      </c>
      <c r="H38" s="456">
        <f t="shared" si="11"/>
        <v>0</v>
      </c>
      <c r="I38" s="456">
        <f t="shared" si="11"/>
        <v>0</v>
      </c>
      <c r="J38" s="456">
        <f t="shared" si="11"/>
        <v>0</v>
      </c>
      <c r="K38" s="456">
        <f t="shared" si="11"/>
        <v>0</v>
      </c>
      <c r="L38" s="456">
        <f t="shared" si="11"/>
        <v>0</v>
      </c>
      <c r="M38" s="456">
        <f t="shared" si="11"/>
        <v>0</v>
      </c>
      <c r="N38" s="456">
        <f t="shared" si="11"/>
        <v>0</v>
      </c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</row>
    <row r="39" spans="1:26" ht="11.25" customHeight="1">
      <c r="A39" s="456"/>
      <c r="B39" s="456"/>
      <c r="C39" s="456"/>
      <c r="D39" s="456"/>
      <c r="E39" s="456"/>
      <c r="F39" s="456"/>
      <c r="G39" s="456"/>
      <c r="H39" s="456"/>
      <c r="I39" s="456"/>
      <c r="J39" s="456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</row>
    <row r="40" spans="1:26" ht="11.25" customHeight="1">
      <c r="A40" s="456"/>
      <c r="B40" s="456"/>
      <c r="C40" s="464" t="s">
        <v>796</v>
      </c>
      <c r="D40" s="460">
        <f t="array" ref="D40">E33+NPV(D27,F33:N33)</f>
        <v>105522.98551674256</v>
      </c>
      <c r="E40" s="456"/>
      <c r="F40" s="456"/>
      <c r="G40" s="456"/>
      <c r="H40" s="456"/>
      <c r="I40" s="456"/>
      <c r="J40" s="456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</row>
    <row r="41" spans="1:26" ht="11.25" customHeight="1">
      <c r="A41" s="456"/>
      <c r="B41" s="456"/>
      <c r="C41" s="464" t="s">
        <v>797</v>
      </c>
      <c r="D41" s="465">
        <f>+IRR(E33:N33)</f>
        <v>1.6209943990133739</v>
      </c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P41" s="456"/>
      <c r="Q41" s="456"/>
      <c r="R41" s="456"/>
      <c r="S41" s="456"/>
      <c r="T41" s="456"/>
      <c r="U41" s="456"/>
      <c r="V41" s="456"/>
      <c r="W41" s="456"/>
      <c r="X41" s="456"/>
      <c r="Y41" s="456"/>
      <c r="Z41" s="456"/>
    </row>
    <row r="42" spans="1:26" ht="11.25" customHeight="1">
      <c r="A42" s="456"/>
      <c r="B42" s="456"/>
      <c r="C42" s="464" t="s">
        <v>798</v>
      </c>
      <c r="D42" s="466">
        <f>+SUM(F36:N36)</f>
        <v>0</v>
      </c>
      <c r="E42" s="458" t="s">
        <v>697</v>
      </c>
      <c r="F42" s="456"/>
      <c r="G42" s="456"/>
      <c r="H42" s="456"/>
      <c r="I42" s="456"/>
      <c r="J42" s="456"/>
      <c r="K42" s="456"/>
      <c r="L42" s="456"/>
      <c r="M42" s="456"/>
      <c r="N42" s="456"/>
      <c r="O42" s="456"/>
      <c r="P42" s="456"/>
      <c r="Q42" s="456"/>
      <c r="R42" s="456"/>
      <c r="S42" s="456"/>
      <c r="T42" s="456"/>
      <c r="U42" s="456"/>
      <c r="V42" s="456"/>
      <c r="W42" s="456"/>
      <c r="X42" s="456"/>
      <c r="Y42" s="456"/>
      <c r="Z42" s="456"/>
    </row>
    <row r="43" spans="1:26" ht="11.25" customHeight="1">
      <c r="A43" s="456"/>
      <c r="B43" s="456"/>
      <c r="C43" s="464"/>
      <c r="D43" s="466">
        <f>+ROUNDUP(SUM(E38:N38),0)</f>
        <v>9</v>
      </c>
      <c r="E43" s="458" t="s">
        <v>799</v>
      </c>
      <c r="F43" s="456"/>
      <c r="G43" s="456"/>
      <c r="H43" s="456"/>
      <c r="I43" s="456"/>
      <c r="J43" s="456"/>
      <c r="K43" s="456"/>
      <c r="L43" s="456"/>
      <c r="M43" s="456"/>
      <c r="N43" s="456"/>
      <c r="O43" s="456"/>
      <c r="P43" s="456"/>
      <c r="Q43" s="456"/>
      <c r="R43" s="456"/>
      <c r="S43" s="456"/>
      <c r="T43" s="456"/>
      <c r="U43" s="456"/>
      <c r="V43" s="456"/>
      <c r="W43" s="456"/>
      <c r="X43" s="456"/>
      <c r="Y43" s="456"/>
      <c r="Z43" s="456"/>
    </row>
    <row r="44" spans="1:26" ht="11.25" customHeight="1">
      <c r="A44" s="456"/>
      <c r="B44" s="456"/>
      <c r="C44" s="456"/>
      <c r="D44" s="456"/>
      <c r="E44" s="456"/>
      <c r="F44" s="456"/>
      <c r="G44" s="456"/>
      <c r="H44" s="456"/>
      <c r="I44" s="456"/>
      <c r="J44" s="456"/>
      <c r="K44" s="456"/>
      <c r="L44" s="456"/>
      <c r="M44" s="456"/>
      <c r="N44" s="456"/>
      <c r="O44" s="456"/>
      <c r="P44" s="456"/>
      <c r="Q44" s="456"/>
      <c r="R44" s="456"/>
      <c r="S44" s="456"/>
      <c r="T44" s="456"/>
      <c r="U44" s="456"/>
      <c r="V44" s="456"/>
      <c r="W44" s="456"/>
      <c r="X44" s="456"/>
      <c r="Y44" s="456"/>
      <c r="Z44" s="456"/>
    </row>
    <row r="45" spans="1:26" ht="11.25" customHeight="1">
      <c r="A45" s="456"/>
      <c r="B45" s="456"/>
      <c r="C45" s="456"/>
      <c r="D45" s="456"/>
      <c r="E45" s="456"/>
      <c r="F45" s="456"/>
      <c r="G45" s="456"/>
      <c r="H45" s="456"/>
      <c r="I45" s="456"/>
      <c r="J45" s="456"/>
      <c r="K45" s="456"/>
      <c r="L45" s="456"/>
      <c r="M45" s="456"/>
      <c r="N45" s="456"/>
      <c r="O45" s="456"/>
      <c r="P45" s="456"/>
      <c r="Q45" s="456"/>
      <c r="R45" s="456"/>
      <c r="S45" s="456"/>
      <c r="T45" s="456"/>
      <c r="U45" s="456"/>
      <c r="V45" s="456"/>
      <c r="W45" s="456"/>
      <c r="X45" s="456"/>
      <c r="Y45" s="456"/>
      <c r="Z45" s="456"/>
    </row>
    <row r="46" spans="1:26" ht="11.25" customHeight="1">
      <c r="A46" s="456"/>
      <c r="B46" s="456"/>
      <c r="C46" s="456"/>
      <c r="D46" s="456"/>
      <c r="E46" s="456"/>
      <c r="F46" s="456"/>
      <c r="G46" s="456"/>
      <c r="H46" s="456"/>
      <c r="I46" s="456"/>
      <c r="J46" s="456"/>
      <c r="K46" s="456"/>
      <c r="L46" s="456"/>
      <c r="M46" s="456"/>
      <c r="N46" s="456"/>
      <c r="O46" s="456"/>
      <c r="P46" s="456"/>
      <c r="Q46" s="456"/>
      <c r="R46" s="456"/>
      <c r="S46" s="456"/>
      <c r="T46" s="456"/>
      <c r="U46" s="456"/>
      <c r="V46" s="456"/>
      <c r="W46" s="456"/>
      <c r="X46" s="456"/>
      <c r="Y46" s="456"/>
      <c r="Z46" s="456"/>
    </row>
    <row r="47" spans="1:26" ht="11.25" customHeight="1">
      <c r="A47" s="456"/>
      <c r="B47" s="456"/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</row>
    <row r="48" spans="1:26" ht="11.25" customHeight="1">
      <c r="A48" s="456"/>
      <c r="B48" s="456"/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  <c r="Z48" s="456"/>
    </row>
    <row r="49" spans="1:26" ht="11.25" customHeight="1">
      <c r="A49" s="456"/>
      <c r="B49" s="456"/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</row>
    <row r="50" spans="1:26" ht="11.25" customHeight="1">
      <c r="A50" s="456"/>
      <c r="B50" s="456"/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</row>
    <row r="51" spans="1:26" ht="11.25" customHeight="1">
      <c r="A51" s="456"/>
      <c r="B51" s="456"/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</row>
    <row r="52" spans="1:26" ht="11.25" customHeight="1">
      <c r="A52" s="456"/>
      <c r="B52" s="456"/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</row>
    <row r="53" spans="1:26" ht="11.25" customHeight="1">
      <c r="A53" s="456"/>
      <c r="B53" s="456"/>
      <c r="C53" s="456"/>
      <c r="D53" s="456"/>
      <c r="E53" s="456"/>
      <c r="F53" s="456"/>
      <c r="G53" s="456"/>
      <c r="H53" s="456"/>
      <c r="I53" s="456"/>
      <c r="J53" s="456"/>
      <c r="K53" s="456"/>
      <c r="L53" s="456"/>
      <c r="M53" s="456"/>
      <c r="N53" s="456"/>
      <c r="O53" s="456"/>
      <c r="P53" s="456"/>
      <c r="Q53" s="456"/>
      <c r="R53" s="456"/>
      <c r="S53" s="456"/>
      <c r="T53" s="456"/>
      <c r="U53" s="456"/>
      <c r="V53" s="456"/>
      <c r="W53" s="456"/>
      <c r="X53" s="456"/>
      <c r="Y53" s="456"/>
      <c r="Z53" s="456"/>
    </row>
    <row r="54" spans="1:26" ht="11.25" customHeight="1">
      <c r="A54" s="456"/>
      <c r="B54" s="456"/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</row>
    <row r="55" spans="1:26" ht="11.25" customHeight="1">
      <c r="A55" s="456"/>
      <c r="B55" s="456"/>
      <c r="C55" s="456"/>
      <c r="D55" s="456"/>
      <c r="E55" s="456"/>
      <c r="F55" s="456"/>
      <c r="G55" s="456"/>
      <c r="H55" s="456"/>
      <c r="I55" s="456"/>
      <c r="J55" s="456"/>
      <c r="K55" s="456"/>
      <c r="L55" s="456"/>
      <c r="M55" s="456"/>
      <c r="N55" s="456"/>
      <c r="O55" s="456"/>
      <c r="P55" s="456"/>
      <c r="Q55" s="456"/>
      <c r="R55" s="456"/>
      <c r="S55" s="456"/>
      <c r="T55" s="456"/>
      <c r="U55" s="456"/>
      <c r="V55" s="456"/>
      <c r="W55" s="456"/>
      <c r="X55" s="456"/>
      <c r="Y55" s="456"/>
      <c r="Z55" s="456"/>
    </row>
    <row r="56" spans="1:26" ht="11.25" customHeight="1">
      <c r="A56" s="456"/>
      <c r="B56" s="456"/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</row>
    <row r="57" spans="1:26" ht="11.25" customHeight="1">
      <c r="A57" s="456"/>
      <c r="B57" s="456"/>
      <c r="C57" s="456"/>
      <c r="D57" s="456"/>
      <c r="E57" s="456"/>
      <c r="F57" s="456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</row>
    <row r="58" spans="1:26" ht="11.25" customHeight="1">
      <c r="A58" s="456"/>
      <c r="B58" s="456"/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</row>
    <row r="59" spans="1:26" ht="11.25" customHeight="1">
      <c r="A59" s="456"/>
      <c r="B59" s="456"/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</row>
    <row r="60" spans="1:26" ht="11.25" customHeight="1">
      <c r="A60" s="456"/>
      <c r="B60" s="456"/>
      <c r="C60" s="456"/>
      <c r="D60" s="456"/>
      <c r="E60" s="456"/>
      <c r="F60" s="456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</row>
    <row r="61" spans="1:26" ht="11.25" customHeight="1">
      <c r="A61" s="456"/>
      <c r="B61" s="456"/>
      <c r="C61" s="456"/>
      <c r="D61" s="456"/>
      <c r="E61" s="456"/>
      <c r="F61" s="456"/>
      <c r="G61" s="456"/>
      <c r="H61" s="456"/>
      <c r="I61" s="456"/>
      <c r="J61" s="456"/>
      <c r="K61" s="456"/>
      <c r="L61" s="456"/>
      <c r="M61" s="456"/>
      <c r="N61" s="456"/>
      <c r="O61" s="456"/>
      <c r="P61" s="456"/>
      <c r="Q61" s="456"/>
      <c r="R61" s="456"/>
      <c r="S61" s="456"/>
      <c r="T61" s="456"/>
      <c r="U61" s="456"/>
      <c r="V61" s="456"/>
      <c r="W61" s="456"/>
      <c r="X61" s="456"/>
      <c r="Y61" s="456"/>
      <c r="Z61" s="456"/>
    </row>
    <row r="62" spans="1:26" ht="11.25" customHeight="1">
      <c r="A62" s="456"/>
      <c r="B62" s="456"/>
      <c r="C62" s="456"/>
      <c r="D62" s="456"/>
      <c r="E62" s="456"/>
      <c r="F62" s="456"/>
      <c r="G62" s="456"/>
      <c r="H62" s="456"/>
      <c r="I62" s="456"/>
      <c r="J62" s="456"/>
      <c r="K62" s="456"/>
      <c r="L62" s="456"/>
      <c r="M62" s="456"/>
      <c r="N62" s="456"/>
      <c r="O62" s="456"/>
      <c r="P62" s="456"/>
      <c r="Q62" s="456"/>
      <c r="R62" s="456"/>
      <c r="S62" s="456"/>
      <c r="T62" s="456"/>
      <c r="U62" s="456"/>
      <c r="V62" s="456"/>
      <c r="W62" s="456"/>
      <c r="X62" s="456"/>
      <c r="Y62" s="456"/>
      <c r="Z62" s="456"/>
    </row>
    <row r="63" spans="1:26" ht="11.25" customHeight="1">
      <c r="A63" s="456"/>
      <c r="B63" s="456"/>
      <c r="C63" s="456"/>
      <c r="D63" s="456"/>
      <c r="E63" s="456"/>
      <c r="F63" s="456"/>
      <c r="G63" s="456"/>
      <c r="H63" s="456"/>
      <c r="I63" s="456"/>
      <c r="J63" s="456"/>
      <c r="K63" s="456"/>
      <c r="L63" s="456"/>
      <c r="M63" s="456"/>
      <c r="N63" s="456"/>
      <c r="O63" s="456"/>
      <c r="P63" s="456"/>
      <c r="Q63" s="456"/>
      <c r="R63" s="456"/>
      <c r="S63" s="456"/>
      <c r="T63" s="456"/>
      <c r="U63" s="456"/>
      <c r="V63" s="456"/>
      <c r="W63" s="456"/>
      <c r="X63" s="456"/>
      <c r="Y63" s="456"/>
      <c r="Z63" s="456"/>
    </row>
    <row r="64" spans="1:26" ht="11.25" customHeight="1">
      <c r="A64" s="456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56"/>
      <c r="Q64" s="456"/>
      <c r="R64" s="456"/>
      <c r="S64" s="456"/>
      <c r="T64" s="456"/>
      <c r="U64" s="456"/>
      <c r="V64" s="456"/>
      <c r="W64" s="456"/>
      <c r="X64" s="456"/>
      <c r="Y64" s="456"/>
      <c r="Z64" s="456"/>
    </row>
    <row r="65" spans="1:26" ht="11.25" customHeight="1">
      <c r="A65" s="456"/>
      <c r="B65" s="456"/>
      <c r="C65" s="456"/>
      <c r="D65" s="456"/>
      <c r="E65" s="456"/>
      <c r="F65" s="456"/>
      <c r="G65" s="456"/>
      <c r="H65" s="456"/>
      <c r="I65" s="456"/>
      <c r="J65" s="456"/>
      <c r="K65" s="456"/>
      <c r="L65" s="456"/>
      <c r="M65" s="456"/>
      <c r="N65" s="456"/>
      <c r="O65" s="456"/>
      <c r="P65" s="456"/>
      <c r="Q65" s="456"/>
      <c r="R65" s="456"/>
      <c r="S65" s="456"/>
      <c r="T65" s="456"/>
      <c r="U65" s="456"/>
      <c r="V65" s="456"/>
      <c r="W65" s="456"/>
      <c r="X65" s="456"/>
      <c r="Y65" s="456"/>
      <c r="Z65" s="456"/>
    </row>
    <row r="66" spans="1:26" ht="11.25" customHeight="1">
      <c r="A66" s="456"/>
      <c r="B66" s="456"/>
      <c r="C66" s="456"/>
      <c r="D66" s="456"/>
      <c r="E66" s="456"/>
      <c r="F66" s="456"/>
      <c r="G66" s="456"/>
      <c r="H66" s="456"/>
      <c r="I66" s="456"/>
      <c r="J66" s="456"/>
      <c r="K66" s="456"/>
      <c r="L66" s="456"/>
      <c r="M66" s="456"/>
      <c r="N66" s="456"/>
      <c r="O66" s="456"/>
      <c r="P66" s="456"/>
      <c r="Q66" s="456"/>
      <c r="R66" s="456"/>
      <c r="S66" s="456"/>
      <c r="T66" s="456"/>
      <c r="U66" s="456"/>
      <c r="V66" s="456"/>
      <c r="W66" s="456"/>
      <c r="X66" s="456"/>
      <c r="Y66" s="456"/>
      <c r="Z66" s="456"/>
    </row>
    <row r="67" spans="1:26" ht="11.25" customHeight="1">
      <c r="A67" s="456"/>
      <c r="B67" s="456"/>
      <c r="C67" s="456"/>
      <c r="D67" s="456"/>
      <c r="E67" s="456"/>
      <c r="F67" s="456"/>
      <c r="G67" s="456"/>
      <c r="H67" s="456"/>
      <c r="I67" s="456"/>
      <c r="J67" s="456"/>
      <c r="K67" s="456"/>
      <c r="L67" s="456"/>
      <c r="M67" s="456"/>
      <c r="N67" s="456"/>
      <c r="O67" s="456"/>
      <c r="P67" s="456"/>
      <c r="Q67" s="456"/>
      <c r="R67" s="456"/>
      <c r="S67" s="456"/>
      <c r="T67" s="456"/>
      <c r="U67" s="456"/>
      <c r="V67" s="456"/>
      <c r="W67" s="456"/>
      <c r="X67" s="456"/>
      <c r="Y67" s="456"/>
      <c r="Z67" s="456"/>
    </row>
    <row r="68" spans="1:26" ht="11.25" customHeight="1">
      <c r="A68" s="456"/>
      <c r="B68" s="456"/>
      <c r="C68" s="456"/>
      <c r="D68" s="456"/>
      <c r="E68" s="456"/>
      <c r="F68" s="456"/>
      <c r="G68" s="456"/>
      <c r="H68" s="456"/>
      <c r="I68" s="456"/>
      <c r="J68" s="456"/>
      <c r="K68" s="456"/>
      <c r="L68" s="456"/>
      <c r="M68" s="456"/>
      <c r="N68" s="456"/>
      <c r="O68" s="456"/>
      <c r="P68" s="456"/>
      <c r="Q68" s="456"/>
      <c r="R68" s="456"/>
      <c r="S68" s="456"/>
      <c r="T68" s="456"/>
      <c r="U68" s="456"/>
      <c r="V68" s="456"/>
      <c r="W68" s="456"/>
      <c r="X68" s="456"/>
      <c r="Y68" s="456"/>
      <c r="Z68" s="456"/>
    </row>
    <row r="69" spans="1:26" ht="11.25" customHeight="1">
      <c r="A69" s="456"/>
      <c r="B69" s="456"/>
      <c r="C69" s="456"/>
      <c r="D69" s="456"/>
      <c r="E69" s="456"/>
      <c r="F69" s="456"/>
      <c r="G69" s="456"/>
      <c r="H69" s="456"/>
      <c r="I69" s="456"/>
      <c r="J69" s="456"/>
      <c r="K69" s="456"/>
      <c r="L69" s="456"/>
      <c r="M69" s="456"/>
      <c r="N69" s="456"/>
      <c r="O69" s="456"/>
      <c r="P69" s="456"/>
      <c r="Q69" s="456"/>
      <c r="R69" s="456"/>
      <c r="S69" s="456"/>
      <c r="T69" s="456"/>
      <c r="U69" s="456"/>
      <c r="V69" s="456"/>
      <c r="W69" s="456"/>
      <c r="X69" s="456"/>
      <c r="Y69" s="456"/>
      <c r="Z69" s="456"/>
    </row>
    <row r="70" spans="1:26" ht="11.25" customHeight="1">
      <c r="A70" s="456"/>
      <c r="B70" s="456"/>
      <c r="C70" s="456"/>
      <c r="D70" s="456"/>
      <c r="E70" s="456"/>
      <c r="F70" s="456"/>
      <c r="G70" s="456"/>
      <c r="H70" s="456"/>
      <c r="I70" s="456"/>
      <c r="J70" s="456"/>
      <c r="K70" s="456"/>
      <c r="L70" s="456"/>
      <c r="M70" s="456"/>
      <c r="N70" s="456"/>
      <c r="O70" s="456"/>
      <c r="P70" s="456"/>
      <c r="Q70" s="456"/>
      <c r="R70" s="456"/>
      <c r="S70" s="456"/>
      <c r="T70" s="456"/>
      <c r="U70" s="456"/>
      <c r="V70" s="456"/>
      <c r="W70" s="456"/>
      <c r="X70" s="456"/>
      <c r="Y70" s="456"/>
      <c r="Z70" s="456"/>
    </row>
    <row r="71" spans="1:26" ht="11.25" customHeight="1">
      <c r="A71" s="456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6"/>
      <c r="Q71" s="456"/>
      <c r="R71" s="456"/>
      <c r="S71" s="456"/>
      <c r="T71" s="456"/>
      <c r="U71" s="456"/>
      <c r="V71" s="456"/>
      <c r="W71" s="456"/>
      <c r="X71" s="456"/>
      <c r="Y71" s="456"/>
      <c r="Z71" s="456"/>
    </row>
    <row r="72" spans="1:26" ht="11.25" customHeight="1">
      <c r="A72" s="456"/>
      <c r="B72" s="456"/>
      <c r="C72" s="456"/>
      <c r="D72" s="456"/>
      <c r="E72" s="456"/>
      <c r="F72" s="456"/>
      <c r="G72" s="456"/>
      <c r="H72" s="456"/>
      <c r="I72" s="456"/>
      <c r="J72" s="456"/>
      <c r="K72" s="456"/>
      <c r="L72" s="456"/>
      <c r="M72" s="456"/>
      <c r="N72" s="456"/>
      <c r="O72" s="456"/>
      <c r="P72" s="456"/>
      <c r="Q72" s="456"/>
      <c r="R72" s="456"/>
      <c r="S72" s="456"/>
      <c r="T72" s="456"/>
      <c r="U72" s="456"/>
      <c r="V72" s="456"/>
      <c r="W72" s="456"/>
      <c r="X72" s="456"/>
      <c r="Y72" s="456"/>
      <c r="Z72" s="456"/>
    </row>
    <row r="73" spans="1:26" ht="11.25" customHeight="1">
      <c r="A73" s="456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6"/>
      <c r="Q73" s="456"/>
      <c r="R73" s="456"/>
      <c r="S73" s="456"/>
      <c r="T73" s="456"/>
      <c r="U73" s="456"/>
      <c r="V73" s="456"/>
      <c r="W73" s="456"/>
      <c r="X73" s="456"/>
      <c r="Y73" s="456"/>
      <c r="Z73" s="456"/>
    </row>
    <row r="74" spans="1:26" ht="11.25" customHeight="1">
      <c r="A74" s="456"/>
      <c r="B74" s="456"/>
      <c r="C74" s="456"/>
      <c r="D74" s="456"/>
      <c r="E74" s="456"/>
      <c r="F74" s="456"/>
      <c r="G74" s="456"/>
      <c r="H74" s="456"/>
      <c r="I74" s="456"/>
      <c r="J74" s="456"/>
      <c r="K74" s="456"/>
      <c r="L74" s="456"/>
      <c r="M74" s="456"/>
      <c r="N74" s="456"/>
      <c r="O74" s="456"/>
      <c r="P74" s="456"/>
      <c r="Q74" s="456"/>
      <c r="R74" s="456"/>
      <c r="S74" s="456"/>
      <c r="T74" s="456"/>
      <c r="U74" s="456"/>
      <c r="V74" s="456"/>
      <c r="W74" s="456"/>
      <c r="X74" s="456"/>
      <c r="Y74" s="456"/>
      <c r="Z74" s="456"/>
    </row>
    <row r="75" spans="1:26" ht="11.25" customHeight="1">
      <c r="A75" s="456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6"/>
      <c r="Q75" s="456"/>
      <c r="R75" s="456"/>
      <c r="S75" s="456"/>
      <c r="T75" s="456"/>
      <c r="U75" s="456"/>
      <c r="V75" s="456"/>
      <c r="W75" s="456"/>
      <c r="X75" s="456"/>
      <c r="Y75" s="456"/>
      <c r="Z75" s="456"/>
    </row>
    <row r="76" spans="1:26" ht="11.25" customHeight="1">
      <c r="A76" s="456"/>
      <c r="B76" s="456"/>
      <c r="C76" s="456"/>
      <c r="D76" s="456"/>
      <c r="E76" s="456"/>
      <c r="F76" s="456"/>
      <c r="G76" s="456"/>
      <c r="H76" s="456"/>
      <c r="I76" s="456"/>
      <c r="J76" s="456"/>
      <c r="K76" s="456"/>
      <c r="L76" s="456"/>
      <c r="M76" s="456"/>
      <c r="N76" s="456"/>
      <c r="O76" s="456"/>
      <c r="P76" s="456"/>
      <c r="Q76" s="456"/>
      <c r="R76" s="456"/>
      <c r="S76" s="456"/>
      <c r="T76" s="456"/>
      <c r="U76" s="456"/>
      <c r="V76" s="456"/>
      <c r="W76" s="456"/>
      <c r="X76" s="456"/>
      <c r="Y76" s="456"/>
      <c r="Z76" s="456"/>
    </row>
    <row r="77" spans="1:26" ht="11.25" customHeight="1">
      <c r="A77" s="456"/>
      <c r="B77" s="456"/>
      <c r="C77" s="456"/>
      <c r="D77" s="456"/>
      <c r="E77" s="456"/>
      <c r="F77" s="456"/>
      <c r="G77" s="456"/>
      <c r="H77" s="456"/>
      <c r="I77" s="456"/>
      <c r="J77" s="456"/>
      <c r="K77" s="456"/>
      <c r="L77" s="456"/>
      <c r="M77" s="456"/>
      <c r="N77" s="456"/>
      <c r="O77" s="456"/>
      <c r="P77" s="456"/>
      <c r="Q77" s="456"/>
      <c r="R77" s="456"/>
      <c r="S77" s="456"/>
      <c r="T77" s="456"/>
      <c r="U77" s="456"/>
      <c r="V77" s="456"/>
      <c r="W77" s="456"/>
      <c r="X77" s="456"/>
      <c r="Y77" s="456"/>
      <c r="Z77" s="456"/>
    </row>
    <row r="78" spans="1:26" ht="11.25" customHeight="1">
      <c r="A78" s="456"/>
      <c r="B78" s="456"/>
      <c r="C78" s="456"/>
      <c r="D78" s="456"/>
      <c r="E78" s="456"/>
      <c r="F78" s="456"/>
      <c r="G78" s="456"/>
      <c r="H78" s="456"/>
      <c r="I78" s="456"/>
      <c r="J78" s="456"/>
      <c r="K78" s="456"/>
      <c r="L78" s="456"/>
      <c r="M78" s="456"/>
      <c r="N78" s="456"/>
      <c r="O78" s="456"/>
      <c r="P78" s="456"/>
      <c r="Q78" s="456"/>
      <c r="R78" s="456"/>
      <c r="S78" s="456"/>
      <c r="T78" s="456"/>
      <c r="U78" s="456"/>
      <c r="V78" s="456"/>
      <c r="W78" s="456"/>
      <c r="X78" s="456"/>
      <c r="Y78" s="456"/>
      <c r="Z78" s="456"/>
    </row>
    <row r="79" spans="1:26" ht="11.25" customHeight="1">
      <c r="A79" s="456"/>
      <c r="B79" s="456"/>
      <c r="C79" s="456"/>
      <c r="D79" s="456"/>
      <c r="E79" s="456"/>
      <c r="F79" s="456"/>
      <c r="G79" s="456"/>
      <c r="H79" s="456"/>
      <c r="I79" s="456"/>
      <c r="J79" s="456"/>
      <c r="K79" s="456"/>
      <c r="L79" s="456"/>
      <c r="M79" s="456"/>
      <c r="N79" s="456"/>
      <c r="O79" s="456"/>
      <c r="P79" s="456"/>
      <c r="Q79" s="456"/>
      <c r="R79" s="456"/>
      <c r="S79" s="456"/>
      <c r="T79" s="456"/>
      <c r="U79" s="456"/>
      <c r="V79" s="456"/>
      <c r="W79" s="456"/>
      <c r="X79" s="456"/>
      <c r="Y79" s="456"/>
      <c r="Z79" s="456"/>
    </row>
    <row r="80" spans="1:26" ht="11.25" customHeight="1">
      <c r="A80" s="456"/>
      <c r="B80" s="456"/>
      <c r="C80" s="456"/>
      <c r="D80" s="456"/>
      <c r="E80" s="456"/>
      <c r="F80" s="456"/>
      <c r="G80" s="456"/>
      <c r="H80" s="456"/>
      <c r="I80" s="456"/>
      <c r="J80" s="456"/>
      <c r="K80" s="456"/>
      <c r="L80" s="456"/>
      <c r="M80" s="456"/>
      <c r="N80" s="456"/>
      <c r="O80" s="456"/>
      <c r="P80" s="456"/>
      <c r="Q80" s="456"/>
      <c r="R80" s="456"/>
      <c r="S80" s="456"/>
      <c r="T80" s="456"/>
      <c r="U80" s="456"/>
      <c r="V80" s="456"/>
      <c r="W80" s="456"/>
      <c r="X80" s="456"/>
      <c r="Y80" s="456"/>
      <c r="Z80" s="456"/>
    </row>
    <row r="81" spans="1:26" ht="11.25" customHeight="1">
      <c r="A81" s="456"/>
      <c r="B81" s="456"/>
      <c r="C81" s="456"/>
      <c r="D81" s="456"/>
      <c r="E81" s="456"/>
      <c r="F81" s="456"/>
      <c r="G81" s="456"/>
      <c r="H81" s="456"/>
      <c r="I81" s="456"/>
      <c r="J81" s="456"/>
      <c r="K81" s="456"/>
      <c r="L81" s="456"/>
      <c r="M81" s="456"/>
      <c r="N81" s="456"/>
      <c r="O81" s="456"/>
      <c r="P81" s="456"/>
      <c r="Q81" s="456"/>
      <c r="R81" s="456"/>
      <c r="S81" s="456"/>
      <c r="T81" s="456"/>
      <c r="U81" s="456"/>
      <c r="V81" s="456"/>
      <c r="W81" s="456"/>
      <c r="X81" s="456"/>
      <c r="Y81" s="456"/>
      <c r="Z81" s="456"/>
    </row>
    <row r="82" spans="1:26" ht="11.25" customHeight="1">
      <c r="A82" s="456"/>
      <c r="B82" s="456"/>
      <c r="C82" s="456"/>
      <c r="D82" s="456"/>
      <c r="E82" s="456"/>
      <c r="F82" s="456"/>
      <c r="G82" s="456"/>
      <c r="H82" s="456"/>
      <c r="I82" s="456"/>
      <c r="J82" s="456"/>
      <c r="K82" s="456"/>
      <c r="L82" s="456"/>
      <c r="M82" s="456"/>
      <c r="N82" s="456"/>
      <c r="O82" s="456"/>
      <c r="P82" s="456"/>
      <c r="Q82" s="456"/>
      <c r="R82" s="456"/>
      <c r="S82" s="456"/>
      <c r="T82" s="456"/>
      <c r="U82" s="456"/>
      <c r="V82" s="456"/>
      <c r="W82" s="456"/>
      <c r="X82" s="456"/>
      <c r="Y82" s="456"/>
      <c r="Z82" s="456"/>
    </row>
    <row r="83" spans="1:26" ht="11.25" customHeight="1">
      <c r="A83" s="456"/>
      <c r="B83" s="456"/>
      <c r="C83" s="456"/>
      <c r="D83" s="456"/>
      <c r="E83" s="456"/>
      <c r="F83" s="456"/>
      <c r="G83" s="456"/>
      <c r="H83" s="456"/>
      <c r="I83" s="456"/>
      <c r="J83" s="456"/>
      <c r="K83" s="456"/>
      <c r="L83" s="456"/>
      <c r="M83" s="456"/>
      <c r="N83" s="456"/>
      <c r="O83" s="456"/>
      <c r="P83" s="456"/>
      <c r="Q83" s="456"/>
      <c r="R83" s="456"/>
      <c r="S83" s="456"/>
      <c r="T83" s="456"/>
      <c r="U83" s="456"/>
      <c r="V83" s="456"/>
      <c r="W83" s="456"/>
      <c r="X83" s="456"/>
      <c r="Y83" s="456"/>
      <c r="Z83" s="456"/>
    </row>
    <row r="84" spans="1:26" ht="11.25" customHeight="1">
      <c r="A84" s="456"/>
      <c r="B84" s="456"/>
      <c r="C84" s="456"/>
      <c r="D84" s="456"/>
      <c r="E84" s="456"/>
      <c r="F84" s="456"/>
      <c r="G84" s="456"/>
      <c r="H84" s="456"/>
      <c r="I84" s="456"/>
      <c r="J84" s="456"/>
      <c r="K84" s="456"/>
      <c r="L84" s="456"/>
      <c r="M84" s="456"/>
      <c r="N84" s="456"/>
      <c r="O84" s="456"/>
      <c r="P84" s="456"/>
      <c r="Q84" s="456"/>
      <c r="R84" s="456"/>
      <c r="S84" s="456"/>
      <c r="T84" s="456"/>
      <c r="U84" s="456"/>
      <c r="V84" s="456"/>
      <c r="W84" s="456"/>
      <c r="X84" s="456"/>
      <c r="Y84" s="456"/>
      <c r="Z84" s="456"/>
    </row>
    <row r="85" spans="1:26" ht="11.25" customHeight="1">
      <c r="A85" s="456"/>
      <c r="B85" s="456"/>
      <c r="C85" s="456"/>
      <c r="D85" s="456"/>
      <c r="E85" s="456"/>
      <c r="F85" s="456"/>
      <c r="G85" s="456"/>
      <c r="H85" s="456"/>
      <c r="I85" s="456"/>
      <c r="J85" s="456"/>
      <c r="K85" s="456"/>
      <c r="L85" s="456"/>
      <c r="M85" s="456"/>
      <c r="N85" s="456"/>
      <c r="O85" s="456"/>
      <c r="P85" s="456"/>
      <c r="Q85" s="456"/>
      <c r="R85" s="456"/>
      <c r="S85" s="456"/>
      <c r="T85" s="456"/>
      <c r="U85" s="456"/>
      <c r="V85" s="456"/>
      <c r="W85" s="456"/>
      <c r="X85" s="456"/>
      <c r="Y85" s="456"/>
      <c r="Z85" s="456"/>
    </row>
    <row r="86" spans="1:26" ht="11.25" customHeight="1">
      <c r="A86" s="456"/>
      <c r="B86" s="456"/>
      <c r="C86" s="456"/>
      <c r="D86" s="456"/>
      <c r="E86" s="456"/>
      <c r="F86" s="456"/>
      <c r="G86" s="456"/>
      <c r="H86" s="456"/>
      <c r="I86" s="456"/>
      <c r="J86" s="456"/>
      <c r="K86" s="456"/>
      <c r="L86" s="456"/>
      <c r="M86" s="456"/>
      <c r="N86" s="456"/>
      <c r="O86" s="456"/>
      <c r="P86" s="456"/>
      <c r="Q86" s="456"/>
      <c r="R86" s="456"/>
      <c r="S86" s="456"/>
      <c r="T86" s="456"/>
      <c r="U86" s="456"/>
      <c r="V86" s="456"/>
      <c r="W86" s="456"/>
      <c r="X86" s="456"/>
      <c r="Y86" s="456"/>
      <c r="Z86" s="456"/>
    </row>
    <row r="87" spans="1:26" ht="11.25" customHeight="1">
      <c r="A87" s="456"/>
      <c r="B87" s="456"/>
      <c r="C87" s="456"/>
      <c r="D87" s="456"/>
      <c r="E87" s="456"/>
      <c r="F87" s="456"/>
      <c r="G87" s="456"/>
      <c r="H87" s="456"/>
      <c r="I87" s="456"/>
      <c r="J87" s="456"/>
      <c r="K87" s="456"/>
      <c r="L87" s="456"/>
      <c r="M87" s="456"/>
      <c r="N87" s="456"/>
      <c r="O87" s="456"/>
      <c r="P87" s="456"/>
      <c r="Q87" s="456"/>
      <c r="R87" s="456"/>
      <c r="S87" s="456"/>
      <c r="T87" s="456"/>
      <c r="U87" s="456"/>
      <c r="V87" s="456"/>
      <c r="W87" s="456"/>
      <c r="X87" s="456"/>
      <c r="Y87" s="456"/>
      <c r="Z87" s="456"/>
    </row>
    <row r="88" spans="1:26" ht="11.25" customHeight="1">
      <c r="A88" s="456"/>
      <c r="B88" s="456"/>
      <c r="C88" s="456"/>
      <c r="D88" s="456"/>
      <c r="E88" s="456"/>
      <c r="F88" s="456"/>
      <c r="G88" s="456"/>
      <c r="H88" s="456"/>
      <c r="I88" s="456"/>
      <c r="J88" s="456"/>
      <c r="K88" s="456"/>
      <c r="L88" s="456"/>
      <c r="M88" s="456"/>
      <c r="N88" s="456"/>
      <c r="O88" s="456"/>
      <c r="P88" s="456"/>
      <c r="Q88" s="456"/>
      <c r="R88" s="456"/>
      <c r="S88" s="456"/>
      <c r="T88" s="456"/>
      <c r="U88" s="456"/>
      <c r="V88" s="456"/>
      <c r="W88" s="456"/>
      <c r="X88" s="456"/>
      <c r="Y88" s="456"/>
      <c r="Z88" s="456"/>
    </row>
    <row r="89" spans="1:26" ht="11.25" customHeight="1">
      <c r="A89" s="456"/>
      <c r="B89" s="456"/>
      <c r="C89" s="456"/>
      <c r="D89" s="456"/>
      <c r="E89" s="456"/>
      <c r="F89" s="456"/>
      <c r="G89" s="456"/>
      <c r="H89" s="456"/>
      <c r="I89" s="456"/>
      <c r="J89" s="456"/>
      <c r="K89" s="456"/>
      <c r="L89" s="456"/>
      <c r="M89" s="456"/>
      <c r="N89" s="456"/>
      <c r="O89" s="456"/>
      <c r="P89" s="456"/>
      <c r="Q89" s="456"/>
      <c r="R89" s="456"/>
      <c r="S89" s="456"/>
      <c r="T89" s="456"/>
      <c r="U89" s="456"/>
      <c r="V89" s="456"/>
      <c r="W89" s="456"/>
      <c r="X89" s="456"/>
      <c r="Y89" s="456"/>
      <c r="Z89" s="456"/>
    </row>
    <row r="90" spans="1:26" ht="11.25" customHeight="1">
      <c r="A90" s="456"/>
      <c r="B90" s="456"/>
      <c r="C90" s="456"/>
      <c r="D90" s="456"/>
      <c r="E90" s="456"/>
      <c r="F90" s="456"/>
      <c r="G90" s="456"/>
      <c r="H90" s="456"/>
      <c r="I90" s="456"/>
      <c r="J90" s="456"/>
      <c r="K90" s="456"/>
      <c r="L90" s="456"/>
      <c r="M90" s="456"/>
      <c r="N90" s="456"/>
      <c r="O90" s="456"/>
      <c r="P90" s="456"/>
      <c r="Q90" s="456"/>
      <c r="R90" s="456"/>
      <c r="S90" s="456"/>
      <c r="T90" s="456"/>
      <c r="U90" s="456"/>
      <c r="V90" s="456"/>
      <c r="W90" s="456"/>
      <c r="X90" s="456"/>
      <c r="Y90" s="456"/>
      <c r="Z90" s="456"/>
    </row>
    <row r="91" spans="1:26" ht="11.25" customHeight="1">
      <c r="A91" s="456"/>
      <c r="B91" s="456"/>
      <c r="C91" s="456"/>
      <c r="D91" s="456"/>
      <c r="E91" s="456"/>
      <c r="F91" s="456"/>
      <c r="G91" s="456"/>
      <c r="H91" s="456"/>
      <c r="I91" s="456"/>
      <c r="J91" s="456"/>
      <c r="K91" s="456"/>
      <c r="L91" s="456"/>
      <c r="M91" s="456"/>
      <c r="N91" s="456"/>
      <c r="O91" s="456"/>
      <c r="P91" s="456"/>
      <c r="Q91" s="456"/>
      <c r="R91" s="456"/>
      <c r="S91" s="456"/>
      <c r="T91" s="456"/>
      <c r="U91" s="456"/>
      <c r="V91" s="456"/>
      <c r="W91" s="456"/>
      <c r="X91" s="456"/>
      <c r="Y91" s="456"/>
      <c r="Z91" s="456"/>
    </row>
    <row r="92" spans="1:26" ht="11.25" customHeight="1">
      <c r="A92" s="456"/>
      <c r="B92" s="456"/>
      <c r="C92" s="456"/>
      <c r="D92" s="456"/>
      <c r="E92" s="456"/>
      <c r="F92" s="456"/>
      <c r="G92" s="456"/>
      <c r="H92" s="456"/>
      <c r="I92" s="456"/>
      <c r="J92" s="456"/>
      <c r="K92" s="456"/>
      <c r="L92" s="456"/>
      <c r="M92" s="456"/>
      <c r="N92" s="456"/>
      <c r="O92" s="456"/>
      <c r="P92" s="456"/>
      <c r="Q92" s="456"/>
      <c r="R92" s="456"/>
      <c r="S92" s="456"/>
      <c r="T92" s="456"/>
      <c r="U92" s="456"/>
      <c r="V92" s="456"/>
      <c r="W92" s="456"/>
      <c r="X92" s="456"/>
      <c r="Y92" s="456"/>
      <c r="Z92" s="456"/>
    </row>
    <row r="93" spans="1:26" ht="11.25" customHeight="1">
      <c r="A93" s="456"/>
      <c r="B93" s="456"/>
      <c r="C93" s="456"/>
      <c r="D93" s="456"/>
      <c r="E93" s="456"/>
      <c r="F93" s="456"/>
      <c r="G93" s="456"/>
      <c r="H93" s="456"/>
      <c r="I93" s="456"/>
      <c r="J93" s="456"/>
      <c r="K93" s="456"/>
      <c r="L93" s="456"/>
      <c r="M93" s="456"/>
      <c r="N93" s="456"/>
      <c r="O93" s="456"/>
      <c r="P93" s="456"/>
      <c r="Q93" s="456"/>
      <c r="R93" s="456"/>
      <c r="S93" s="456"/>
      <c r="T93" s="456"/>
      <c r="U93" s="456"/>
      <c r="V93" s="456"/>
      <c r="W93" s="456"/>
      <c r="X93" s="456"/>
      <c r="Y93" s="456"/>
      <c r="Z93" s="456"/>
    </row>
    <row r="94" spans="1:26" ht="11.25" customHeight="1">
      <c r="A94" s="456"/>
      <c r="B94" s="456"/>
      <c r="C94" s="456"/>
      <c r="D94" s="456"/>
      <c r="E94" s="456"/>
      <c r="F94" s="456"/>
      <c r="G94" s="456"/>
      <c r="H94" s="456"/>
      <c r="I94" s="456"/>
      <c r="J94" s="456"/>
      <c r="K94" s="456"/>
      <c r="L94" s="456"/>
      <c r="M94" s="456"/>
      <c r="N94" s="456"/>
      <c r="O94" s="456"/>
      <c r="P94" s="456"/>
      <c r="Q94" s="456"/>
      <c r="R94" s="456"/>
      <c r="S94" s="456"/>
      <c r="T94" s="456"/>
      <c r="U94" s="456"/>
      <c r="V94" s="456"/>
      <c r="W94" s="456"/>
      <c r="X94" s="456"/>
      <c r="Y94" s="456"/>
      <c r="Z94" s="456"/>
    </row>
    <row r="95" spans="1:26" ht="11.25" customHeight="1">
      <c r="A95" s="456"/>
      <c r="B95" s="456"/>
      <c r="C95" s="456"/>
      <c r="D95" s="456"/>
      <c r="E95" s="456"/>
      <c r="F95" s="456"/>
      <c r="G95" s="456"/>
      <c r="H95" s="456"/>
      <c r="I95" s="456"/>
      <c r="J95" s="456"/>
      <c r="K95" s="456"/>
      <c r="L95" s="456"/>
      <c r="M95" s="456"/>
      <c r="N95" s="456"/>
      <c r="O95" s="456"/>
      <c r="P95" s="456"/>
      <c r="Q95" s="456"/>
      <c r="R95" s="456"/>
      <c r="S95" s="456"/>
      <c r="T95" s="456"/>
      <c r="U95" s="456"/>
      <c r="V95" s="456"/>
      <c r="W95" s="456"/>
      <c r="X95" s="456"/>
      <c r="Y95" s="456"/>
      <c r="Z95" s="456"/>
    </row>
    <row r="96" spans="1:26" ht="11.25" customHeight="1">
      <c r="A96" s="456"/>
      <c r="B96" s="456"/>
      <c r="C96" s="456"/>
      <c r="D96" s="456"/>
      <c r="E96" s="456"/>
      <c r="F96" s="456"/>
      <c r="G96" s="456"/>
      <c r="H96" s="456"/>
      <c r="I96" s="456"/>
      <c r="J96" s="456"/>
      <c r="K96" s="456"/>
      <c r="L96" s="456"/>
      <c r="M96" s="456"/>
      <c r="N96" s="456"/>
      <c r="O96" s="456"/>
      <c r="P96" s="456"/>
      <c r="Q96" s="456"/>
      <c r="R96" s="456"/>
      <c r="S96" s="456"/>
      <c r="T96" s="456"/>
      <c r="U96" s="456"/>
      <c r="V96" s="456"/>
      <c r="W96" s="456"/>
      <c r="X96" s="456"/>
      <c r="Y96" s="456"/>
      <c r="Z96" s="456"/>
    </row>
    <row r="97" spans="1:26" ht="11.25" customHeight="1">
      <c r="A97" s="456"/>
      <c r="B97" s="456"/>
      <c r="C97" s="456"/>
      <c r="D97" s="456"/>
      <c r="E97" s="456"/>
      <c r="F97" s="456"/>
      <c r="G97" s="456"/>
      <c r="H97" s="456"/>
      <c r="I97" s="456"/>
      <c r="J97" s="456"/>
      <c r="K97" s="456"/>
      <c r="L97" s="456"/>
      <c r="M97" s="456"/>
      <c r="N97" s="456"/>
      <c r="O97" s="456"/>
      <c r="P97" s="456"/>
      <c r="Q97" s="456"/>
      <c r="R97" s="456"/>
      <c r="S97" s="456"/>
      <c r="T97" s="456"/>
      <c r="U97" s="456"/>
      <c r="V97" s="456"/>
      <c r="W97" s="456"/>
      <c r="X97" s="456"/>
      <c r="Y97" s="456"/>
      <c r="Z97" s="456"/>
    </row>
    <row r="98" spans="1:26" ht="11.25" customHeight="1">
      <c r="A98" s="456"/>
      <c r="B98" s="456"/>
      <c r="C98" s="456"/>
      <c r="D98" s="456"/>
      <c r="E98" s="456"/>
      <c r="F98" s="456"/>
      <c r="G98" s="456"/>
      <c r="H98" s="456"/>
      <c r="I98" s="456"/>
      <c r="J98" s="456"/>
      <c r="K98" s="456"/>
      <c r="L98" s="456"/>
      <c r="M98" s="456"/>
      <c r="N98" s="456"/>
      <c r="O98" s="456"/>
      <c r="P98" s="456"/>
      <c r="Q98" s="456"/>
      <c r="R98" s="456"/>
      <c r="S98" s="456"/>
      <c r="T98" s="456"/>
      <c r="U98" s="456"/>
      <c r="V98" s="456"/>
      <c r="W98" s="456"/>
      <c r="X98" s="456"/>
      <c r="Y98" s="456"/>
      <c r="Z98" s="456"/>
    </row>
    <row r="99" spans="1:26" ht="11.25" customHeight="1">
      <c r="A99" s="456"/>
      <c r="B99" s="456"/>
      <c r="C99" s="456"/>
      <c r="D99" s="456"/>
      <c r="E99" s="456"/>
      <c r="F99" s="456"/>
      <c r="G99" s="456"/>
      <c r="H99" s="456"/>
      <c r="I99" s="456"/>
      <c r="J99" s="456"/>
      <c r="K99" s="456"/>
      <c r="L99" s="456"/>
      <c r="M99" s="456"/>
      <c r="N99" s="456"/>
      <c r="O99" s="456"/>
      <c r="P99" s="456"/>
      <c r="Q99" s="456"/>
      <c r="R99" s="456"/>
      <c r="S99" s="456"/>
      <c r="T99" s="456"/>
      <c r="U99" s="456"/>
      <c r="V99" s="456"/>
      <c r="W99" s="456"/>
      <c r="X99" s="456"/>
      <c r="Y99" s="456"/>
      <c r="Z99" s="456"/>
    </row>
    <row r="100" spans="1:26" ht="11.25" customHeight="1">
      <c r="A100" s="456"/>
      <c r="B100" s="456"/>
      <c r="C100" s="456"/>
      <c r="D100" s="456"/>
      <c r="E100" s="456"/>
      <c r="F100" s="456"/>
      <c r="G100" s="456"/>
      <c r="H100" s="456"/>
      <c r="I100" s="456"/>
      <c r="J100" s="456"/>
      <c r="K100" s="456"/>
      <c r="L100" s="456"/>
      <c r="M100" s="456"/>
      <c r="N100" s="456"/>
      <c r="O100" s="456"/>
      <c r="P100" s="456"/>
      <c r="Q100" s="456"/>
      <c r="R100" s="456"/>
      <c r="S100" s="456"/>
      <c r="T100" s="456"/>
      <c r="U100" s="456"/>
      <c r="V100" s="456"/>
      <c r="W100" s="456"/>
      <c r="X100" s="456"/>
      <c r="Y100" s="456"/>
      <c r="Z100" s="456"/>
    </row>
    <row r="101" spans="1:26" ht="11.25" customHeight="1">
      <c r="A101" s="456"/>
      <c r="B101" s="456"/>
      <c r="C101" s="456"/>
      <c r="D101" s="456"/>
      <c r="E101" s="456"/>
      <c r="F101" s="456"/>
      <c r="G101" s="456"/>
      <c r="H101" s="456"/>
      <c r="I101" s="456"/>
      <c r="J101" s="456"/>
      <c r="K101" s="456"/>
      <c r="L101" s="456"/>
      <c r="M101" s="456"/>
      <c r="N101" s="456"/>
      <c r="O101" s="456"/>
      <c r="P101" s="456"/>
      <c r="Q101" s="456"/>
      <c r="R101" s="456"/>
      <c r="S101" s="456"/>
      <c r="T101" s="456"/>
      <c r="U101" s="456"/>
      <c r="V101" s="456"/>
      <c r="W101" s="456"/>
      <c r="X101" s="456"/>
      <c r="Y101" s="456"/>
      <c r="Z101" s="456"/>
    </row>
    <row r="102" spans="1:26" ht="11.25" customHeight="1">
      <c r="A102" s="456"/>
      <c r="B102" s="456"/>
      <c r="C102" s="456"/>
      <c r="D102" s="456"/>
      <c r="E102" s="456"/>
      <c r="F102" s="456"/>
      <c r="G102" s="456"/>
      <c r="H102" s="456"/>
      <c r="I102" s="456"/>
      <c r="J102" s="456"/>
      <c r="K102" s="456"/>
      <c r="L102" s="456"/>
      <c r="M102" s="456"/>
      <c r="N102" s="456"/>
      <c r="O102" s="456"/>
      <c r="P102" s="456"/>
      <c r="Q102" s="456"/>
      <c r="R102" s="456"/>
      <c r="S102" s="456"/>
      <c r="T102" s="456"/>
      <c r="U102" s="456"/>
      <c r="V102" s="456"/>
      <c r="W102" s="456"/>
      <c r="X102" s="456"/>
      <c r="Y102" s="456"/>
      <c r="Z102" s="456"/>
    </row>
    <row r="103" spans="1:26" ht="11.25" customHeight="1">
      <c r="A103" s="456"/>
      <c r="B103" s="456"/>
      <c r="C103" s="456"/>
      <c r="D103" s="456"/>
      <c r="E103" s="456"/>
      <c r="F103" s="456"/>
      <c r="G103" s="456"/>
      <c r="H103" s="456"/>
      <c r="I103" s="456"/>
      <c r="J103" s="456"/>
      <c r="K103" s="456"/>
      <c r="L103" s="456"/>
      <c r="M103" s="456"/>
      <c r="N103" s="456"/>
      <c r="O103" s="456"/>
      <c r="P103" s="456"/>
      <c r="Q103" s="456"/>
      <c r="R103" s="456"/>
      <c r="S103" s="456"/>
      <c r="T103" s="456"/>
      <c r="U103" s="456"/>
      <c r="V103" s="456"/>
      <c r="W103" s="456"/>
      <c r="X103" s="456"/>
      <c r="Y103" s="456"/>
      <c r="Z103" s="456"/>
    </row>
    <row r="104" spans="1:26" ht="11.25" customHeight="1">
      <c r="A104" s="456"/>
      <c r="B104" s="456"/>
      <c r="C104" s="456"/>
      <c r="D104" s="456"/>
      <c r="E104" s="456"/>
      <c r="F104" s="456"/>
      <c r="G104" s="456"/>
      <c r="H104" s="456"/>
      <c r="I104" s="456"/>
      <c r="J104" s="456"/>
      <c r="K104" s="456"/>
      <c r="L104" s="456"/>
      <c r="M104" s="456"/>
      <c r="N104" s="456"/>
      <c r="O104" s="456"/>
      <c r="P104" s="456"/>
      <c r="Q104" s="456"/>
      <c r="R104" s="456"/>
      <c r="S104" s="456"/>
      <c r="T104" s="456"/>
      <c r="U104" s="456"/>
      <c r="V104" s="456"/>
      <c r="W104" s="456"/>
      <c r="X104" s="456"/>
      <c r="Y104" s="456"/>
      <c r="Z104" s="456"/>
    </row>
    <row r="105" spans="1:26" ht="11.25" customHeight="1">
      <c r="A105" s="456"/>
      <c r="B105" s="456"/>
      <c r="C105" s="456"/>
      <c r="D105" s="456"/>
      <c r="E105" s="456"/>
      <c r="F105" s="456"/>
      <c r="G105" s="456"/>
      <c r="H105" s="456"/>
      <c r="I105" s="456"/>
      <c r="J105" s="456"/>
      <c r="K105" s="456"/>
      <c r="L105" s="456"/>
      <c r="M105" s="456"/>
      <c r="N105" s="456"/>
      <c r="O105" s="456"/>
      <c r="P105" s="456"/>
      <c r="Q105" s="456"/>
      <c r="R105" s="456"/>
      <c r="S105" s="456"/>
      <c r="T105" s="456"/>
      <c r="U105" s="456"/>
      <c r="V105" s="456"/>
      <c r="W105" s="456"/>
      <c r="X105" s="456"/>
      <c r="Y105" s="456"/>
      <c r="Z105" s="456"/>
    </row>
    <row r="106" spans="1:26" ht="11.25" customHeight="1">
      <c r="A106" s="456"/>
      <c r="B106" s="456"/>
      <c r="C106" s="456"/>
      <c r="D106" s="456"/>
      <c r="E106" s="456"/>
      <c r="F106" s="456"/>
      <c r="G106" s="456"/>
      <c r="H106" s="456"/>
      <c r="I106" s="456"/>
      <c r="J106" s="456"/>
      <c r="K106" s="456"/>
      <c r="L106" s="456"/>
      <c r="M106" s="456"/>
      <c r="N106" s="456"/>
      <c r="O106" s="456"/>
      <c r="P106" s="456"/>
      <c r="Q106" s="456"/>
      <c r="R106" s="456"/>
      <c r="S106" s="456"/>
      <c r="T106" s="456"/>
      <c r="U106" s="456"/>
      <c r="V106" s="456"/>
      <c r="W106" s="456"/>
      <c r="X106" s="456"/>
      <c r="Y106" s="456"/>
      <c r="Z106" s="456"/>
    </row>
    <row r="107" spans="1:26" ht="11.25" customHeight="1">
      <c r="A107" s="456"/>
      <c r="B107" s="456"/>
      <c r="C107" s="456"/>
      <c r="D107" s="456"/>
      <c r="E107" s="456"/>
      <c r="F107" s="456"/>
      <c r="G107" s="456"/>
      <c r="H107" s="456"/>
      <c r="I107" s="456"/>
      <c r="J107" s="456"/>
      <c r="K107" s="456"/>
      <c r="L107" s="456"/>
      <c r="M107" s="456"/>
      <c r="N107" s="456"/>
      <c r="O107" s="456"/>
      <c r="P107" s="456"/>
      <c r="Q107" s="456"/>
      <c r="R107" s="456"/>
      <c r="S107" s="456"/>
      <c r="T107" s="456"/>
      <c r="U107" s="456"/>
      <c r="V107" s="456"/>
      <c r="W107" s="456"/>
      <c r="X107" s="456"/>
      <c r="Y107" s="456"/>
      <c r="Z107" s="456"/>
    </row>
    <row r="108" spans="1:26" ht="11.25" customHeight="1">
      <c r="A108" s="456"/>
      <c r="B108" s="456"/>
      <c r="C108" s="456"/>
      <c r="D108" s="456"/>
      <c r="E108" s="456"/>
      <c r="F108" s="456"/>
      <c r="G108" s="456"/>
      <c r="H108" s="456"/>
      <c r="I108" s="456"/>
      <c r="J108" s="456"/>
      <c r="K108" s="456"/>
      <c r="L108" s="456"/>
      <c r="M108" s="456"/>
      <c r="N108" s="456"/>
      <c r="O108" s="456"/>
      <c r="P108" s="456"/>
      <c r="Q108" s="456"/>
      <c r="R108" s="456"/>
      <c r="S108" s="456"/>
      <c r="T108" s="456"/>
      <c r="U108" s="456"/>
      <c r="V108" s="456"/>
      <c r="W108" s="456"/>
      <c r="X108" s="456"/>
      <c r="Y108" s="456"/>
      <c r="Z108" s="456"/>
    </row>
    <row r="109" spans="1:26" ht="11.25" customHeight="1">
      <c r="A109" s="456"/>
      <c r="B109" s="456"/>
      <c r="C109" s="456"/>
      <c r="D109" s="456"/>
      <c r="E109" s="456"/>
      <c r="F109" s="456"/>
      <c r="G109" s="456"/>
      <c r="H109" s="456"/>
      <c r="I109" s="456"/>
      <c r="J109" s="456"/>
      <c r="K109" s="456"/>
      <c r="L109" s="456"/>
      <c r="M109" s="456"/>
      <c r="N109" s="456"/>
      <c r="O109" s="456"/>
      <c r="P109" s="456"/>
      <c r="Q109" s="456"/>
      <c r="R109" s="456"/>
      <c r="S109" s="456"/>
      <c r="T109" s="456"/>
      <c r="U109" s="456"/>
      <c r="V109" s="456"/>
      <c r="W109" s="456"/>
      <c r="X109" s="456"/>
      <c r="Y109" s="456"/>
      <c r="Z109" s="456"/>
    </row>
    <row r="110" spans="1:26" ht="11.25" customHeight="1">
      <c r="A110" s="456"/>
      <c r="B110" s="456"/>
      <c r="C110" s="456"/>
      <c r="D110" s="456"/>
      <c r="E110" s="456"/>
      <c r="F110" s="456"/>
      <c r="G110" s="456"/>
      <c r="H110" s="456"/>
      <c r="I110" s="456"/>
      <c r="J110" s="456"/>
      <c r="K110" s="456"/>
      <c r="L110" s="456"/>
      <c r="M110" s="456"/>
      <c r="N110" s="456"/>
      <c r="O110" s="456"/>
      <c r="P110" s="456"/>
      <c r="Q110" s="456"/>
      <c r="R110" s="456"/>
      <c r="S110" s="456"/>
      <c r="T110" s="456"/>
      <c r="U110" s="456"/>
      <c r="V110" s="456"/>
      <c r="W110" s="456"/>
      <c r="X110" s="456"/>
      <c r="Y110" s="456"/>
      <c r="Z110" s="456"/>
    </row>
    <row r="111" spans="1:26" ht="11.25" customHeight="1">
      <c r="A111" s="456"/>
      <c r="B111" s="456"/>
      <c r="C111" s="456"/>
      <c r="D111" s="456"/>
      <c r="E111" s="456"/>
      <c r="F111" s="456"/>
      <c r="G111" s="456"/>
      <c r="H111" s="456"/>
      <c r="I111" s="456"/>
      <c r="J111" s="456"/>
      <c r="K111" s="456"/>
      <c r="L111" s="456"/>
      <c r="M111" s="456"/>
      <c r="N111" s="456"/>
      <c r="O111" s="456"/>
      <c r="P111" s="456"/>
      <c r="Q111" s="456"/>
      <c r="R111" s="456"/>
      <c r="S111" s="456"/>
      <c r="T111" s="456"/>
      <c r="U111" s="456"/>
      <c r="V111" s="456"/>
      <c r="W111" s="456"/>
      <c r="X111" s="456"/>
      <c r="Y111" s="456"/>
      <c r="Z111" s="456"/>
    </row>
    <row r="112" spans="1:26" ht="11.25" customHeight="1">
      <c r="A112" s="456"/>
      <c r="B112" s="456"/>
      <c r="C112" s="456"/>
      <c r="D112" s="456"/>
      <c r="E112" s="456"/>
      <c r="F112" s="456"/>
      <c r="G112" s="456"/>
      <c r="H112" s="456"/>
      <c r="I112" s="456"/>
      <c r="J112" s="456"/>
      <c r="K112" s="456"/>
      <c r="L112" s="456"/>
      <c r="M112" s="456"/>
      <c r="N112" s="456"/>
      <c r="O112" s="456"/>
      <c r="P112" s="456"/>
      <c r="Q112" s="456"/>
      <c r="R112" s="456"/>
      <c r="S112" s="456"/>
      <c r="T112" s="456"/>
      <c r="U112" s="456"/>
      <c r="V112" s="456"/>
      <c r="W112" s="456"/>
      <c r="X112" s="456"/>
      <c r="Y112" s="456"/>
      <c r="Z112" s="456"/>
    </row>
    <row r="113" spans="1:26" ht="11.25" customHeight="1">
      <c r="A113" s="456"/>
      <c r="B113" s="456"/>
      <c r="C113" s="456"/>
      <c r="D113" s="456"/>
      <c r="E113" s="456"/>
      <c r="F113" s="456"/>
      <c r="G113" s="456"/>
      <c r="H113" s="456"/>
      <c r="I113" s="456"/>
      <c r="J113" s="456"/>
      <c r="K113" s="456"/>
      <c r="L113" s="456"/>
      <c r="M113" s="456"/>
      <c r="N113" s="456"/>
      <c r="O113" s="456"/>
      <c r="P113" s="456"/>
      <c r="Q113" s="456"/>
      <c r="R113" s="456"/>
      <c r="S113" s="456"/>
      <c r="T113" s="456"/>
      <c r="U113" s="456"/>
      <c r="V113" s="456"/>
      <c r="W113" s="456"/>
      <c r="X113" s="456"/>
      <c r="Y113" s="456"/>
      <c r="Z113" s="456"/>
    </row>
    <row r="114" spans="1:26" ht="11.25" customHeight="1">
      <c r="A114" s="456"/>
      <c r="B114" s="456"/>
      <c r="C114" s="456"/>
      <c r="D114" s="456"/>
      <c r="E114" s="456"/>
      <c r="F114" s="456"/>
      <c r="G114" s="456"/>
      <c r="H114" s="456"/>
      <c r="I114" s="456"/>
      <c r="J114" s="456"/>
      <c r="K114" s="456"/>
      <c r="L114" s="456"/>
      <c r="M114" s="456"/>
      <c r="N114" s="456"/>
      <c r="O114" s="456"/>
      <c r="P114" s="456"/>
      <c r="Q114" s="456"/>
      <c r="R114" s="456"/>
      <c r="S114" s="456"/>
      <c r="T114" s="456"/>
      <c r="U114" s="456"/>
      <c r="V114" s="456"/>
      <c r="W114" s="456"/>
      <c r="X114" s="456"/>
      <c r="Y114" s="456"/>
      <c r="Z114" s="456"/>
    </row>
    <row r="115" spans="1:26" ht="11.25" customHeight="1">
      <c r="A115" s="456"/>
      <c r="B115" s="456"/>
      <c r="C115" s="456"/>
      <c r="D115" s="456"/>
      <c r="E115" s="456"/>
      <c r="F115" s="456"/>
      <c r="G115" s="456"/>
      <c r="H115" s="456"/>
      <c r="I115" s="456"/>
      <c r="J115" s="456"/>
      <c r="K115" s="456"/>
      <c r="L115" s="456"/>
      <c r="M115" s="456"/>
      <c r="N115" s="456"/>
      <c r="O115" s="456"/>
      <c r="P115" s="456"/>
      <c r="Q115" s="456"/>
      <c r="R115" s="456"/>
      <c r="S115" s="456"/>
      <c r="T115" s="456"/>
      <c r="U115" s="456"/>
      <c r="V115" s="456"/>
      <c r="W115" s="456"/>
      <c r="X115" s="456"/>
      <c r="Y115" s="456"/>
      <c r="Z115" s="456"/>
    </row>
    <row r="116" spans="1:26" ht="11.25" customHeight="1">
      <c r="A116" s="456"/>
      <c r="B116" s="456"/>
      <c r="C116" s="456"/>
      <c r="D116" s="456"/>
      <c r="E116" s="456"/>
      <c r="F116" s="456"/>
      <c r="G116" s="456"/>
      <c r="H116" s="456"/>
      <c r="I116" s="456"/>
      <c r="J116" s="456"/>
      <c r="K116" s="456"/>
      <c r="L116" s="456"/>
      <c r="M116" s="456"/>
      <c r="N116" s="456"/>
      <c r="O116" s="456"/>
      <c r="P116" s="456"/>
      <c r="Q116" s="456"/>
      <c r="R116" s="456"/>
      <c r="S116" s="456"/>
      <c r="T116" s="456"/>
      <c r="U116" s="456"/>
      <c r="V116" s="456"/>
      <c r="W116" s="456"/>
      <c r="X116" s="456"/>
      <c r="Y116" s="456"/>
      <c r="Z116" s="456"/>
    </row>
    <row r="117" spans="1:26" ht="11.25" customHeight="1">
      <c r="A117" s="456"/>
      <c r="B117" s="456"/>
      <c r="C117" s="456"/>
      <c r="D117" s="456"/>
      <c r="E117" s="456"/>
      <c r="F117" s="456"/>
      <c r="G117" s="456"/>
      <c r="H117" s="456"/>
      <c r="I117" s="456"/>
      <c r="J117" s="456"/>
      <c r="K117" s="456"/>
      <c r="L117" s="456"/>
      <c r="M117" s="456"/>
      <c r="N117" s="456"/>
      <c r="O117" s="456"/>
      <c r="P117" s="456"/>
      <c r="Q117" s="456"/>
      <c r="R117" s="456"/>
      <c r="S117" s="456"/>
      <c r="T117" s="456"/>
      <c r="U117" s="456"/>
      <c r="V117" s="456"/>
      <c r="W117" s="456"/>
      <c r="X117" s="456"/>
      <c r="Y117" s="456"/>
      <c r="Z117" s="456"/>
    </row>
    <row r="118" spans="1:26" ht="11.25" customHeight="1">
      <c r="A118" s="456"/>
      <c r="B118" s="456"/>
      <c r="C118" s="456"/>
      <c r="D118" s="456"/>
      <c r="E118" s="456"/>
      <c r="F118" s="456"/>
      <c r="G118" s="456"/>
      <c r="H118" s="456"/>
      <c r="I118" s="456"/>
      <c r="J118" s="456"/>
      <c r="K118" s="456"/>
      <c r="L118" s="456"/>
      <c r="M118" s="456"/>
      <c r="N118" s="456"/>
      <c r="O118" s="456"/>
      <c r="P118" s="456"/>
      <c r="Q118" s="456"/>
      <c r="R118" s="456"/>
      <c r="S118" s="456"/>
      <c r="T118" s="456"/>
      <c r="U118" s="456"/>
      <c r="V118" s="456"/>
      <c r="W118" s="456"/>
      <c r="X118" s="456"/>
      <c r="Y118" s="456"/>
      <c r="Z118" s="456"/>
    </row>
    <row r="119" spans="1:26" ht="11.25" customHeight="1">
      <c r="A119" s="456"/>
      <c r="B119" s="456"/>
      <c r="C119" s="456"/>
      <c r="D119" s="456"/>
      <c r="E119" s="456"/>
      <c r="F119" s="456"/>
      <c r="G119" s="456"/>
      <c r="H119" s="456"/>
      <c r="I119" s="456"/>
      <c r="J119" s="456"/>
      <c r="K119" s="456"/>
      <c r="L119" s="456"/>
      <c r="M119" s="456"/>
      <c r="N119" s="456"/>
      <c r="O119" s="456"/>
      <c r="P119" s="456"/>
      <c r="Q119" s="456"/>
      <c r="R119" s="456"/>
      <c r="S119" s="456"/>
      <c r="T119" s="456"/>
      <c r="U119" s="456"/>
      <c r="V119" s="456"/>
      <c r="W119" s="456"/>
      <c r="X119" s="456"/>
      <c r="Y119" s="456"/>
      <c r="Z119" s="456"/>
    </row>
    <row r="120" spans="1:26" ht="11.25" customHeight="1">
      <c r="A120" s="456"/>
      <c r="B120" s="456"/>
      <c r="C120" s="456"/>
      <c r="D120" s="456"/>
      <c r="E120" s="456"/>
      <c r="F120" s="456"/>
      <c r="G120" s="456"/>
      <c r="H120" s="456"/>
      <c r="I120" s="456"/>
      <c r="J120" s="456"/>
      <c r="K120" s="456"/>
      <c r="L120" s="456"/>
      <c r="M120" s="456"/>
      <c r="N120" s="456"/>
      <c r="O120" s="456"/>
      <c r="P120" s="456"/>
      <c r="Q120" s="456"/>
      <c r="R120" s="456"/>
      <c r="S120" s="456"/>
      <c r="T120" s="456"/>
      <c r="U120" s="456"/>
      <c r="V120" s="456"/>
      <c r="W120" s="456"/>
      <c r="X120" s="456"/>
      <c r="Y120" s="456"/>
      <c r="Z120" s="456"/>
    </row>
    <row r="121" spans="1:26" ht="11.25" customHeight="1">
      <c r="A121" s="456"/>
      <c r="B121" s="456"/>
      <c r="C121" s="456"/>
      <c r="D121" s="456"/>
      <c r="E121" s="456"/>
      <c r="F121" s="456"/>
      <c r="G121" s="456"/>
      <c r="H121" s="456"/>
      <c r="I121" s="456"/>
      <c r="J121" s="456"/>
      <c r="K121" s="456"/>
      <c r="L121" s="456"/>
      <c r="M121" s="456"/>
      <c r="N121" s="456"/>
      <c r="O121" s="456"/>
      <c r="P121" s="456"/>
      <c r="Q121" s="456"/>
      <c r="R121" s="456"/>
      <c r="S121" s="456"/>
      <c r="T121" s="456"/>
      <c r="U121" s="456"/>
      <c r="V121" s="456"/>
      <c r="W121" s="456"/>
      <c r="X121" s="456"/>
      <c r="Y121" s="456"/>
      <c r="Z121" s="456"/>
    </row>
    <row r="122" spans="1:26" ht="11.25" customHeight="1">
      <c r="A122" s="456"/>
      <c r="B122" s="456"/>
      <c r="C122" s="456"/>
      <c r="D122" s="456"/>
      <c r="E122" s="456"/>
      <c r="F122" s="456"/>
      <c r="G122" s="456"/>
      <c r="H122" s="456"/>
      <c r="I122" s="456"/>
      <c r="J122" s="456"/>
      <c r="K122" s="456"/>
      <c r="L122" s="456"/>
      <c r="M122" s="456"/>
      <c r="N122" s="456"/>
      <c r="O122" s="456"/>
      <c r="P122" s="456"/>
      <c r="Q122" s="456"/>
      <c r="R122" s="456"/>
      <c r="S122" s="456"/>
      <c r="T122" s="456"/>
      <c r="U122" s="456"/>
      <c r="V122" s="456"/>
      <c r="W122" s="456"/>
      <c r="X122" s="456"/>
      <c r="Y122" s="456"/>
      <c r="Z122" s="456"/>
    </row>
    <row r="123" spans="1:26" ht="11.25" customHeight="1">
      <c r="A123" s="456"/>
      <c r="B123" s="456"/>
      <c r="C123" s="456"/>
      <c r="D123" s="456"/>
      <c r="E123" s="456"/>
      <c r="F123" s="456"/>
      <c r="G123" s="456"/>
      <c r="H123" s="456"/>
      <c r="I123" s="456"/>
      <c r="J123" s="456"/>
      <c r="K123" s="456"/>
      <c r="L123" s="456"/>
      <c r="M123" s="456"/>
      <c r="N123" s="456"/>
      <c r="O123" s="456"/>
      <c r="P123" s="456"/>
      <c r="Q123" s="456"/>
      <c r="R123" s="456"/>
      <c r="S123" s="456"/>
      <c r="T123" s="456"/>
      <c r="U123" s="456"/>
      <c r="V123" s="456"/>
      <c r="W123" s="456"/>
      <c r="X123" s="456"/>
      <c r="Y123" s="456"/>
      <c r="Z123" s="456"/>
    </row>
    <row r="124" spans="1:26" ht="11.25" customHeight="1">
      <c r="A124" s="456"/>
      <c r="B124" s="456"/>
      <c r="C124" s="456"/>
      <c r="D124" s="456"/>
      <c r="E124" s="456"/>
      <c r="F124" s="456"/>
      <c r="G124" s="456"/>
      <c r="H124" s="456"/>
      <c r="I124" s="456"/>
      <c r="J124" s="456"/>
      <c r="K124" s="456"/>
      <c r="L124" s="456"/>
      <c r="M124" s="456"/>
      <c r="N124" s="456"/>
      <c r="O124" s="456"/>
      <c r="P124" s="456"/>
      <c r="Q124" s="456"/>
      <c r="R124" s="456"/>
      <c r="S124" s="456"/>
      <c r="T124" s="456"/>
      <c r="U124" s="456"/>
      <c r="V124" s="456"/>
      <c r="W124" s="456"/>
      <c r="X124" s="456"/>
      <c r="Y124" s="456"/>
      <c r="Z124" s="456"/>
    </row>
    <row r="125" spans="1:26" ht="11.25" customHeight="1">
      <c r="A125" s="456"/>
      <c r="B125" s="456"/>
      <c r="C125" s="456"/>
      <c r="D125" s="456"/>
      <c r="E125" s="456"/>
      <c r="F125" s="456"/>
      <c r="G125" s="456"/>
      <c r="H125" s="456"/>
      <c r="I125" s="456"/>
      <c r="J125" s="456"/>
      <c r="K125" s="456"/>
      <c r="L125" s="456"/>
      <c r="M125" s="456"/>
      <c r="N125" s="456"/>
      <c r="O125" s="456"/>
      <c r="P125" s="456"/>
      <c r="Q125" s="456"/>
      <c r="R125" s="456"/>
      <c r="S125" s="456"/>
      <c r="T125" s="456"/>
      <c r="U125" s="456"/>
      <c r="V125" s="456"/>
      <c r="W125" s="456"/>
      <c r="X125" s="456"/>
      <c r="Y125" s="456"/>
      <c r="Z125" s="456"/>
    </row>
    <row r="126" spans="1:26" ht="11.25" customHeight="1">
      <c r="A126" s="456"/>
      <c r="B126" s="456"/>
      <c r="C126" s="456"/>
      <c r="D126" s="456"/>
      <c r="E126" s="456"/>
      <c r="F126" s="456"/>
      <c r="G126" s="456"/>
      <c r="H126" s="456"/>
      <c r="I126" s="456"/>
      <c r="J126" s="456"/>
      <c r="K126" s="456"/>
      <c r="L126" s="456"/>
      <c r="M126" s="456"/>
      <c r="N126" s="456"/>
      <c r="O126" s="456"/>
      <c r="P126" s="456"/>
      <c r="Q126" s="456"/>
      <c r="R126" s="456"/>
      <c r="S126" s="456"/>
      <c r="T126" s="456"/>
      <c r="U126" s="456"/>
      <c r="V126" s="456"/>
      <c r="W126" s="456"/>
      <c r="X126" s="456"/>
      <c r="Y126" s="456"/>
      <c r="Z126" s="456"/>
    </row>
    <row r="127" spans="1:26" ht="11.25" customHeight="1">
      <c r="A127" s="456"/>
      <c r="B127" s="456"/>
      <c r="C127" s="456"/>
      <c r="D127" s="456"/>
      <c r="E127" s="456"/>
      <c r="F127" s="456"/>
      <c r="G127" s="456"/>
      <c r="H127" s="456"/>
      <c r="I127" s="456"/>
      <c r="J127" s="456"/>
      <c r="K127" s="456"/>
      <c r="L127" s="456"/>
      <c r="M127" s="456"/>
      <c r="N127" s="456"/>
      <c r="O127" s="456"/>
      <c r="P127" s="456"/>
      <c r="Q127" s="456"/>
      <c r="R127" s="456"/>
      <c r="S127" s="456"/>
      <c r="T127" s="456"/>
      <c r="U127" s="456"/>
      <c r="V127" s="456"/>
      <c r="W127" s="456"/>
      <c r="X127" s="456"/>
      <c r="Y127" s="456"/>
      <c r="Z127" s="456"/>
    </row>
    <row r="128" spans="1:26" ht="11.25" customHeight="1">
      <c r="A128" s="456"/>
      <c r="B128" s="456"/>
      <c r="C128" s="456"/>
      <c r="D128" s="456"/>
      <c r="E128" s="456"/>
      <c r="F128" s="456"/>
      <c r="G128" s="456"/>
      <c r="H128" s="456"/>
      <c r="I128" s="456"/>
      <c r="J128" s="456"/>
      <c r="K128" s="456"/>
      <c r="L128" s="456"/>
      <c r="M128" s="456"/>
      <c r="N128" s="456"/>
      <c r="O128" s="456"/>
      <c r="P128" s="456"/>
      <c r="Q128" s="456"/>
      <c r="R128" s="456"/>
      <c r="S128" s="456"/>
      <c r="T128" s="456"/>
      <c r="U128" s="456"/>
      <c r="V128" s="456"/>
      <c r="W128" s="456"/>
      <c r="X128" s="456"/>
      <c r="Y128" s="456"/>
      <c r="Z128" s="456"/>
    </row>
    <row r="129" spans="1:26" ht="11.25" customHeight="1">
      <c r="A129" s="456"/>
      <c r="B129" s="456"/>
      <c r="C129" s="456"/>
      <c r="D129" s="456"/>
      <c r="E129" s="456"/>
      <c r="F129" s="456"/>
      <c r="G129" s="456"/>
      <c r="H129" s="456"/>
      <c r="I129" s="456"/>
      <c r="J129" s="456"/>
      <c r="K129" s="456"/>
      <c r="L129" s="456"/>
      <c r="M129" s="456"/>
      <c r="N129" s="456"/>
      <c r="O129" s="456"/>
      <c r="P129" s="456"/>
      <c r="Q129" s="456"/>
      <c r="R129" s="456"/>
      <c r="S129" s="456"/>
      <c r="T129" s="456"/>
      <c r="U129" s="456"/>
      <c r="V129" s="456"/>
      <c r="W129" s="456"/>
      <c r="X129" s="456"/>
      <c r="Y129" s="456"/>
      <c r="Z129" s="456"/>
    </row>
    <row r="130" spans="1:26" ht="11.25" customHeight="1">
      <c r="A130" s="456"/>
      <c r="B130" s="456"/>
      <c r="C130" s="456"/>
      <c r="D130" s="456"/>
      <c r="E130" s="456"/>
      <c r="F130" s="456"/>
      <c r="G130" s="456"/>
      <c r="H130" s="456"/>
      <c r="I130" s="456"/>
      <c r="J130" s="456"/>
      <c r="K130" s="456"/>
      <c r="L130" s="456"/>
      <c r="M130" s="456"/>
      <c r="N130" s="456"/>
      <c r="O130" s="456"/>
      <c r="P130" s="456"/>
      <c r="Q130" s="456"/>
      <c r="R130" s="456"/>
      <c r="S130" s="456"/>
      <c r="T130" s="456"/>
      <c r="U130" s="456"/>
      <c r="V130" s="456"/>
      <c r="W130" s="456"/>
      <c r="X130" s="456"/>
      <c r="Y130" s="456"/>
      <c r="Z130" s="456"/>
    </row>
    <row r="131" spans="1:26" ht="11.25" customHeight="1">
      <c r="A131" s="456"/>
      <c r="B131" s="456"/>
      <c r="C131" s="456"/>
      <c r="D131" s="456"/>
      <c r="E131" s="456"/>
      <c r="F131" s="456"/>
      <c r="G131" s="456"/>
      <c r="H131" s="456"/>
      <c r="I131" s="456"/>
      <c r="J131" s="456"/>
      <c r="K131" s="456"/>
      <c r="L131" s="456"/>
      <c r="M131" s="456"/>
      <c r="N131" s="456"/>
      <c r="O131" s="456"/>
      <c r="P131" s="456"/>
      <c r="Q131" s="456"/>
      <c r="R131" s="456"/>
      <c r="S131" s="456"/>
      <c r="T131" s="456"/>
      <c r="U131" s="456"/>
      <c r="V131" s="456"/>
      <c r="W131" s="456"/>
      <c r="X131" s="456"/>
      <c r="Y131" s="456"/>
      <c r="Z131" s="456"/>
    </row>
    <row r="132" spans="1:26" ht="11.25" customHeight="1">
      <c r="A132" s="456"/>
      <c r="B132" s="456"/>
      <c r="C132" s="456"/>
      <c r="D132" s="456"/>
      <c r="E132" s="456"/>
      <c r="F132" s="456"/>
      <c r="G132" s="456"/>
      <c r="H132" s="456"/>
      <c r="I132" s="456"/>
      <c r="J132" s="456"/>
      <c r="K132" s="456"/>
      <c r="L132" s="456"/>
      <c r="M132" s="456"/>
      <c r="N132" s="456"/>
      <c r="O132" s="456"/>
      <c r="P132" s="456"/>
      <c r="Q132" s="456"/>
      <c r="R132" s="456"/>
      <c r="S132" s="456"/>
      <c r="T132" s="456"/>
      <c r="U132" s="456"/>
      <c r="V132" s="456"/>
      <c r="W132" s="456"/>
      <c r="X132" s="456"/>
      <c r="Y132" s="456"/>
      <c r="Z132" s="456"/>
    </row>
    <row r="133" spans="1:26" ht="11.25" customHeight="1">
      <c r="A133" s="456"/>
      <c r="B133" s="456"/>
      <c r="C133" s="456"/>
      <c r="D133" s="456"/>
      <c r="E133" s="456"/>
      <c r="F133" s="456"/>
      <c r="G133" s="456"/>
      <c r="H133" s="456"/>
      <c r="I133" s="456"/>
      <c r="J133" s="456"/>
      <c r="K133" s="456"/>
      <c r="L133" s="456"/>
      <c r="M133" s="456"/>
      <c r="N133" s="456"/>
      <c r="O133" s="456"/>
      <c r="P133" s="456"/>
      <c r="Q133" s="456"/>
      <c r="R133" s="456"/>
      <c r="S133" s="456"/>
      <c r="T133" s="456"/>
      <c r="U133" s="456"/>
      <c r="V133" s="456"/>
      <c r="W133" s="456"/>
      <c r="X133" s="456"/>
      <c r="Y133" s="456"/>
      <c r="Z133" s="456"/>
    </row>
    <row r="134" spans="1:26" ht="11.25" customHeight="1">
      <c r="A134" s="456"/>
      <c r="B134" s="456"/>
      <c r="C134" s="456"/>
      <c r="D134" s="456"/>
      <c r="E134" s="456"/>
      <c r="F134" s="456"/>
      <c r="G134" s="456"/>
      <c r="H134" s="456"/>
      <c r="I134" s="456"/>
      <c r="J134" s="456"/>
      <c r="K134" s="456"/>
      <c r="L134" s="456"/>
      <c r="M134" s="456"/>
      <c r="N134" s="456"/>
      <c r="O134" s="456"/>
      <c r="P134" s="456"/>
      <c r="Q134" s="456"/>
      <c r="R134" s="456"/>
      <c r="S134" s="456"/>
      <c r="T134" s="456"/>
      <c r="U134" s="456"/>
      <c r="V134" s="456"/>
      <c r="W134" s="456"/>
      <c r="X134" s="456"/>
      <c r="Y134" s="456"/>
      <c r="Z134" s="456"/>
    </row>
    <row r="135" spans="1:26" ht="11.25" customHeight="1">
      <c r="A135" s="456"/>
      <c r="B135" s="456"/>
      <c r="C135" s="456"/>
      <c r="D135" s="456"/>
      <c r="E135" s="456"/>
      <c r="F135" s="456"/>
      <c r="G135" s="456"/>
      <c r="H135" s="456"/>
      <c r="I135" s="456"/>
      <c r="J135" s="456"/>
      <c r="K135" s="456"/>
      <c r="L135" s="456"/>
      <c r="M135" s="456"/>
      <c r="N135" s="456"/>
      <c r="O135" s="456"/>
      <c r="P135" s="456"/>
      <c r="Q135" s="456"/>
      <c r="R135" s="456"/>
      <c r="S135" s="456"/>
      <c r="T135" s="456"/>
      <c r="U135" s="456"/>
      <c r="V135" s="456"/>
      <c r="W135" s="456"/>
      <c r="X135" s="456"/>
      <c r="Y135" s="456"/>
      <c r="Z135" s="456"/>
    </row>
    <row r="136" spans="1:26" ht="11.25" customHeight="1">
      <c r="A136" s="456"/>
      <c r="B136" s="456"/>
      <c r="C136" s="456"/>
      <c r="D136" s="456"/>
      <c r="E136" s="456"/>
      <c r="F136" s="456"/>
      <c r="G136" s="456"/>
      <c r="H136" s="456"/>
      <c r="I136" s="456"/>
      <c r="J136" s="456"/>
      <c r="K136" s="456"/>
      <c r="L136" s="456"/>
      <c r="M136" s="456"/>
      <c r="N136" s="456"/>
      <c r="O136" s="456"/>
      <c r="P136" s="456"/>
      <c r="Q136" s="456"/>
      <c r="R136" s="456"/>
      <c r="S136" s="456"/>
      <c r="T136" s="456"/>
      <c r="U136" s="456"/>
      <c r="V136" s="456"/>
      <c r="W136" s="456"/>
      <c r="X136" s="456"/>
      <c r="Y136" s="456"/>
      <c r="Z136" s="456"/>
    </row>
    <row r="137" spans="1:26" ht="11.25" customHeight="1">
      <c r="A137" s="456"/>
      <c r="B137" s="456"/>
      <c r="C137" s="456"/>
      <c r="D137" s="456"/>
      <c r="E137" s="456"/>
      <c r="F137" s="456"/>
      <c r="G137" s="456"/>
      <c r="H137" s="456"/>
      <c r="I137" s="456"/>
      <c r="J137" s="456"/>
      <c r="K137" s="456"/>
      <c r="L137" s="456"/>
      <c r="M137" s="456"/>
      <c r="N137" s="456"/>
      <c r="O137" s="456"/>
      <c r="P137" s="456"/>
      <c r="Q137" s="456"/>
      <c r="R137" s="456"/>
      <c r="S137" s="456"/>
      <c r="T137" s="456"/>
      <c r="U137" s="456"/>
      <c r="V137" s="456"/>
      <c r="W137" s="456"/>
      <c r="X137" s="456"/>
      <c r="Y137" s="456"/>
      <c r="Z137" s="456"/>
    </row>
    <row r="138" spans="1:26" ht="11.25" customHeight="1">
      <c r="A138" s="456"/>
      <c r="B138" s="456"/>
      <c r="C138" s="456"/>
      <c r="D138" s="456"/>
      <c r="E138" s="456"/>
      <c r="F138" s="456"/>
      <c r="G138" s="456"/>
      <c r="H138" s="456"/>
      <c r="I138" s="456"/>
      <c r="J138" s="456"/>
      <c r="K138" s="456"/>
      <c r="L138" s="456"/>
      <c r="M138" s="456"/>
      <c r="N138" s="456"/>
      <c r="O138" s="456"/>
      <c r="P138" s="456"/>
      <c r="Q138" s="456"/>
      <c r="R138" s="456"/>
      <c r="S138" s="456"/>
      <c r="T138" s="456"/>
      <c r="U138" s="456"/>
      <c r="V138" s="456"/>
      <c r="W138" s="456"/>
      <c r="X138" s="456"/>
      <c r="Y138" s="456"/>
      <c r="Z138" s="456"/>
    </row>
    <row r="139" spans="1:26" ht="11.25" customHeight="1">
      <c r="A139" s="456"/>
      <c r="B139" s="456"/>
      <c r="C139" s="456"/>
      <c r="D139" s="456"/>
      <c r="E139" s="456"/>
      <c r="F139" s="456"/>
      <c r="G139" s="456"/>
      <c r="H139" s="456"/>
      <c r="I139" s="456"/>
      <c r="J139" s="456"/>
      <c r="K139" s="456"/>
      <c r="L139" s="456"/>
      <c r="M139" s="456"/>
      <c r="N139" s="456"/>
      <c r="O139" s="456"/>
      <c r="P139" s="456"/>
      <c r="Q139" s="456"/>
      <c r="R139" s="456"/>
      <c r="S139" s="456"/>
      <c r="T139" s="456"/>
      <c r="U139" s="456"/>
      <c r="V139" s="456"/>
      <c r="W139" s="456"/>
      <c r="X139" s="456"/>
      <c r="Y139" s="456"/>
      <c r="Z139" s="456"/>
    </row>
    <row r="140" spans="1:26" ht="11.25" customHeight="1">
      <c r="A140" s="456"/>
      <c r="B140" s="456"/>
      <c r="C140" s="456"/>
      <c r="D140" s="456"/>
      <c r="E140" s="456"/>
      <c r="F140" s="456"/>
      <c r="G140" s="456"/>
      <c r="H140" s="456"/>
      <c r="I140" s="456"/>
      <c r="J140" s="456"/>
      <c r="K140" s="456"/>
      <c r="L140" s="456"/>
      <c r="M140" s="456"/>
      <c r="N140" s="456"/>
      <c r="O140" s="456"/>
      <c r="P140" s="456"/>
      <c r="Q140" s="456"/>
      <c r="R140" s="456"/>
      <c r="S140" s="456"/>
      <c r="T140" s="456"/>
      <c r="U140" s="456"/>
      <c r="V140" s="456"/>
      <c r="W140" s="456"/>
      <c r="X140" s="456"/>
      <c r="Y140" s="456"/>
      <c r="Z140" s="456"/>
    </row>
    <row r="141" spans="1:26" ht="11.25" customHeight="1">
      <c r="A141" s="456"/>
      <c r="B141" s="456"/>
      <c r="C141" s="456"/>
      <c r="D141" s="456"/>
      <c r="E141" s="456"/>
      <c r="F141" s="456"/>
      <c r="G141" s="456"/>
      <c r="H141" s="456"/>
      <c r="I141" s="456"/>
      <c r="J141" s="456"/>
      <c r="K141" s="456"/>
      <c r="L141" s="456"/>
      <c r="M141" s="456"/>
      <c r="N141" s="456"/>
      <c r="O141" s="456"/>
      <c r="P141" s="456"/>
      <c r="Q141" s="456"/>
      <c r="R141" s="456"/>
      <c r="S141" s="456"/>
      <c r="T141" s="456"/>
      <c r="U141" s="456"/>
      <c r="V141" s="456"/>
      <c r="W141" s="456"/>
      <c r="X141" s="456"/>
      <c r="Y141" s="456"/>
      <c r="Z141" s="456"/>
    </row>
    <row r="142" spans="1:26" ht="11.25" customHeight="1">
      <c r="A142" s="456"/>
      <c r="B142" s="456"/>
      <c r="C142" s="456"/>
      <c r="D142" s="456"/>
      <c r="E142" s="456"/>
      <c r="F142" s="456"/>
      <c r="G142" s="456"/>
      <c r="H142" s="456"/>
      <c r="I142" s="456"/>
      <c r="J142" s="456"/>
      <c r="K142" s="456"/>
      <c r="L142" s="456"/>
      <c r="M142" s="456"/>
      <c r="N142" s="456"/>
      <c r="O142" s="456"/>
      <c r="P142" s="456"/>
      <c r="Q142" s="456"/>
      <c r="R142" s="456"/>
      <c r="S142" s="456"/>
      <c r="T142" s="456"/>
      <c r="U142" s="456"/>
      <c r="V142" s="456"/>
      <c r="W142" s="456"/>
      <c r="X142" s="456"/>
      <c r="Y142" s="456"/>
      <c r="Z142" s="456"/>
    </row>
    <row r="143" spans="1:26" ht="11.25" customHeight="1">
      <c r="A143" s="456"/>
      <c r="B143" s="456"/>
      <c r="C143" s="456"/>
      <c r="D143" s="456"/>
      <c r="E143" s="456"/>
      <c r="F143" s="456"/>
      <c r="G143" s="456"/>
      <c r="H143" s="456"/>
      <c r="I143" s="456"/>
      <c r="J143" s="456"/>
      <c r="K143" s="456"/>
      <c r="L143" s="456"/>
      <c r="M143" s="456"/>
      <c r="N143" s="456"/>
      <c r="O143" s="456"/>
      <c r="P143" s="456"/>
      <c r="Q143" s="456"/>
      <c r="R143" s="456"/>
      <c r="S143" s="456"/>
      <c r="T143" s="456"/>
      <c r="U143" s="456"/>
      <c r="V143" s="456"/>
      <c r="W143" s="456"/>
      <c r="X143" s="456"/>
      <c r="Y143" s="456"/>
      <c r="Z143" s="456"/>
    </row>
    <row r="144" spans="1:26" ht="11.25" customHeight="1">
      <c r="A144" s="456"/>
      <c r="B144" s="456"/>
      <c r="C144" s="456"/>
      <c r="D144" s="456"/>
      <c r="E144" s="456"/>
      <c r="F144" s="456"/>
      <c r="G144" s="456"/>
      <c r="H144" s="456"/>
      <c r="I144" s="456"/>
      <c r="J144" s="456"/>
      <c r="K144" s="456"/>
      <c r="L144" s="456"/>
      <c r="M144" s="456"/>
      <c r="N144" s="456"/>
      <c r="O144" s="456"/>
      <c r="P144" s="456"/>
      <c r="Q144" s="456"/>
      <c r="R144" s="456"/>
      <c r="S144" s="456"/>
      <c r="T144" s="456"/>
      <c r="U144" s="456"/>
      <c r="V144" s="456"/>
      <c r="W144" s="456"/>
      <c r="X144" s="456"/>
      <c r="Y144" s="456"/>
      <c r="Z144" s="456"/>
    </row>
    <row r="145" spans="1:26" ht="11.25" customHeight="1">
      <c r="A145" s="456"/>
      <c r="B145" s="456"/>
      <c r="C145" s="456"/>
      <c r="D145" s="456"/>
      <c r="E145" s="456"/>
      <c r="F145" s="456"/>
      <c r="G145" s="456"/>
      <c r="H145" s="456"/>
      <c r="I145" s="456"/>
      <c r="J145" s="456"/>
      <c r="K145" s="456"/>
      <c r="L145" s="456"/>
      <c r="M145" s="456"/>
      <c r="N145" s="456"/>
      <c r="O145" s="456"/>
      <c r="P145" s="456"/>
      <c r="Q145" s="456"/>
      <c r="R145" s="456"/>
      <c r="S145" s="456"/>
      <c r="T145" s="456"/>
      <c r="U145" s="456"/>
      <c r="V145" s="456"/>
      <c r="W145" s="456"/>
      <c r="X145" s="456"/>
      <c r="Y145" s="456"/>
      <c r="Z145" s="456"/>
    </row>
    <row r="146" spans="1:26" ht="11.25" customHeight="1">
      <c r="A146" s="456"/>
      <c r="B146" s="456"/>
      <c r="C146" s="456"/>
      <c r="D146" s="456"/>
      <c r="E146" s="456"/>
      <c r="F146" s="456"/>
      <c r="G146" s="456"/>
      <c r="H146" s="456"/>
      <c r="I146" s="456"/>
      <c r="J146" s="456"/>
      <c r="K146" s="456"/>
      <c r="L146" s="456"/>
      <c r="M146" s="456"/>
      <c r="N146" s="456"/>
      <c r="O146" s="456"/>
      <c r="P146" s="456"/>
      <c r="Q146" s="456"/>
      <c r="R146" s="456"/>
      <c r="S146" s="456"/>
      <c r="T146" s="456"/>
      <c r="U146" s="456"/>
      <c r="V146" s="456"/>
      <c r="W146" s="456"/>
      <c r="X146" s="456"/>
      <c r="Y146" s="456"/>
      <c r="Z146" s="456"/>
    </row>
    <row r="147" spans="1:26" ht="11.25" customHeight="1">
      <c r="A147" s="456"/>
      <c r="B147" s="456"/>
      <c r="C147" s="456"/>
      <c r="D147" s="456"/>
      <c r="E147" s="456"/>
      <c r="F147" s="456"/>
      <c r="G147" s="456"/>
      <c r="H147" s="456"/>
      <c r="I147" s="456"/>
      <c r="J147" s="456"/>
      <c r="K147" s="456"/>
      <c r="L147" s="456"/>
      <c r="M147" s="456"/>
      <c r="N147" s="456"/>
      <c r="O147" s="456"/>
      <c r="P147" s="456"/>
      <c r="Q147" s="456"/>
      <c r="R147" s="456"/>
      <c r="S147" s="456"/>
      <c r="T147" s="456"/>
      <c r="U147" s="456"/>
      <c r="V147" s="456"/>
      <c r="W147" s="456"/>
      <c r="X147" s="456"/>
      <c r="Y147" s="456"/>
      <c r="Z147" s="456"/>
    </row>
    <row r="148" spans="1:26" ht="11.25" customHeight="1">
      <c r="A148" s="456"/>
      <c r="B148" s="456"/>
      <c r="C148" s="456"/>
      <c r="D148" s="456"/>
      <c r="E148" s="456"/>
      <c r="F148" s="456"/>
      <c r="G148" s="456"/>
      <c r="H148" s="456"/>
      <c r="I148" s="456"/>
      <c r="J148" s="456"/>
      <c r="K148" s="456"/>
      <c r="L148" s="456"/>
      <c r="M148" s="456"/>
      <c r="N148" s="456"/>
      <c r="O148" s="456"/>
      <c r="P148" s="456"/>
      <c r="Q148" s="456"/>
      <c r="R148" s="456"/>
      <c r="S148" s="456"/>
      <c r="T148" s="456"/>
      <c r="U148" s="456"/>
      <c r="V148" s="456"/>
      <c r="W148" s="456"/>
      <c r="X148" s="456"/>
      <c r="Y148" s="456"/>
      <c r="Z148" s="456"/>
    </row>
    <row r="149" spans="1:26" ht="11.25" customHeight="1">
      <c r="A149" s="456"/>
      <c r="B149" s="456"/>
      <c r="C149" s="456"/>
      <c r="D149" s="456"/>
      <c r="E149" s="456"/>
      <c r="F149" s="456"/>
      <c r="G149" s="456"/>
      <c r="H149" s="456"/>
      <c r="I149" s="456"/>
      <c r="J149" s="456"/>
      <c r="K149" s="456"/>
      <c r="L149" s="456"/>
      <c r="M149" s="456"/>
      <c r="N149" s="456"/>
      <c r="O149" s="456"/>
      <c r="P149" s="456"/>
      <c r="Q149" s="456"/>
      <c r="R149" s="456"/>
      <c r="S149" s="456"/>
      <c r="T149" s="456"/>
      <c r="U149" s="456"/>
      <c r="V149" s="456"/>
      <c r="W149" s="456"/>
      <c r="X149" s="456"/>
      <c r="Y149" s="456"/>
      <c r="Z149" s="456"/>
    </row>
    <row r="150" spans="1:26" ht="11.25" customHeight="1">
      <c r="A150" s="456"/>
      <c r="B150" s="456"/>
      <c r="C150" s="456"/>
      <c r="D150" s="456"/>
      <c r="E150" s="456"/>
      <c r="F150" s="456"/>
      <c r="G150" s="456"/>
      <c r="H150" s="456"/>
      <c r="I150" s="456"/>
      <c r="J150" s="456"/>
      <c r="K150" s="456"/>
      <c r="L150" s="456"/>
      <c r="M150" s="456"/>
      <c r="N150" s="456"/>
      <c r="O150" s="456"/>
      <c r="P150" s="456"/>
      <c r="Q150" s="456"/>
      <c r="R150" s="456"/>
      <c r="S150" s="456"/>
      <c r="T150" s="456"/>
      <c r="U150" s="456"/>
      <c r="V150" s="456"/>
      <c r="W150" s="456"/>
      <c r="X150" s="456"/>
      <c r="Y150" s="456"/>
      <c r="Z150" s="456"/>
    </row>
    <row r="151" spans="1:26" ht="11.25" customHeight="1">
      <c r="A151" s="456"/>
      <c r="B151" s="456"/>
      <c r="C151" s="456"/>
      <c r="D151" s="456"/>
      <c r="E151" s="456"/>
      <c r="F151" s="456"/>
      <c r="G151" s="456"/>
      <c r="H151" s="456"/>
      <c r="I151" s="456"/>
      <c r="J151" s="456"/>
      <c r="K151" s="456"/>
      <c r="L151" s="456"/>
      <c r="M151" s="456"/>
      <c r="N151" s="456"/>
      <c r="O151" s="456"/>
      <c r="P151" s="456"/>
      <c r="Q151" s="456"/>
      <c r="R151" s="456"/>
      <c r="S151" s="456"/>
      <c r="T151" s="456"/>
      <c r="U151" s="456"/>
      <c r="V151" s="456"/>
      <c r="W151" s="456"/>
      <c r="X151" s="456"/>
      <c r="Y151" s="456"/>
      <c r="Z151" s="456"/>
    </row>
    <row r="152" spans="1:26" ht="11.25" customHeight="1">
      <c r="A152" s="456"/>
      <c r="B152" s="456"/>
      <c r="C152" s="456"/>
      <c r="D152" s="456"/>
      <c r="E152" s="456"/>
      <c r="F152" s="456"/>
      <c r="G152" s="456"/>
      <c r="H152" s="456"/>
      <c r="I152" s="456"/>
      <c r="J152" s="456"/>
      <c r="K152" s="456"/>
      <c r="L152" s="456"/>
      <c r="M152" s="456"/>
      <c r="N152" s="456"/>
      <c r="O152" s="456"/>
      <c r="P152" s="456"/>
      <c r="Q152" s="456"/>
      <c r="R152" s="456"/>
      <c r="S152" s="456"/>
      <c r="T152" s="456"/>
      <c r="U152" s="456"/>
      <c r="V152" s="456"/>
      <c r="W152" s="456"/>
      <c r="X152" s="456"/>
      <c r="Y152" s="456"/>
      <c r="Z152" s="456"/>
    </row>
    <row r="153" spans="1:26" ht="11.25" customHeight="1">
      <c r="A153" s="456"/>
      <c r="B153" s="456"/>
      <c r="C153" s="456"/>
      <c r="D153" s="456"/>
      <c r="E153" s="456"/>
      <c r="F153" s="456"/>
      <c r="G153" s="456"/>
      <c r="H153" s="456"/>
      <c r="I153" s="456"/>
      <c r="J153" s="456"/>
      <c r="K153" s="456"/>
      <c r="L153" s="456"/>
      <c r="M153" s="456"/>
      <c r="N153" s="456"/>
      <c r="O153" s="456"/>
      <c r="P153" s="456"/>
      <c r="Q153" s="456"/>
      <c r="R153" s="456"/>
      <c r="S153" s="456"/>
      <c r="T153" s="456"/>
      <c r="U153" s="456"/>
      <c r="V153" s="456"/>
      <c r="W153" s="456"/>
      <c r="X153" s="456"/>
      <c r="Y153" s="456"/>
      <c r="Z153" s="456"/>
    </row>
    <row r="154" spans="1:26" ht="11.25" customHeight="1">
      <c r="A154" s="456"/>
      <c r="B154" s="456"/>
      <c r="C154" s="456"/>
      <c r="D154" s="456"/>
      <c r="E154" s="456"/>
      <c r="F154" s="456"/>
      <c r="G154" s="456"/>
      <c r="H154" s="456"/>
      <c r="I154" s="456"/>
      <c r="J154" s="456"/>
      <c r="K154" s="456"/>
      <c r="L154" s="456"/>
      <c r="M154" s="456"/>
      <c r="N154" s="456"/>
      <c r="O154" s="456"/>
      <c r="P154" s="456"/>
      <c r="Q154" s="456"/>
      <c r="R154" s="456"/>
      <c r="S154" s="456"/>
      <c r="T154" s="456"/>
      <c r="U154" s="456"/>
      <c r="V154" s="456"/>
      <c r="W154" s="456"/>
      <c r="X154" s="456"/>
      <c r="Y154" s="456"/>
      <c r="Z154" s="456"/>
    </row>
    <row r="155" spans="1:26" ht="11.25" customHeight="1">
      <c r="A155" s="456"/>
      <c r="B155" s="456"/>
      <c r="C155" s="456"/>
      <c r="D155" s="456"/>
      <c r="E155" s="456"/>
      <c r="F155" s="456"/>
      <c r="G155" s="456"/>
      <c r="H155" s="456"/>
      <c r="I155" s="456"/>
      <c r="J155" s="456"/>
      <c r="K155" s="456"/>
      <c r="L155" s="456"/>
      <c r="M155" s="456"/>
      <c r="N155" s="456"/>
      <c r="O155" s="456"/>
      <c r="P155" s="456"/>
      <c r="Q155" s="456"/>
      <c r="R155" s="456"/>
      <c r="S155" s="456"/>
      <c r="T155" s="456"/>
      <c r="U155" s="456"/>
      <c r="V155" s="456"/>
      <c r="W155" s="456"/>
      <c r="X155" s="456"/>
      <c r="Y155" s="456"/>
      <c r="Z155" s="456"/>
    </row>
    <row r="156" spans="1:26" ht="11.25" customHeight="1">
      <c r="A156" s="456"/>
      <c r="B156" s="456"/>
      <c r="C156" s="456"/>
      <c r="D156" s="456"/>
      <c r="E156" s="456"/>
      <c r="F156" s="456"/>
      <c r="G156" s="456"/>
      <c r="H156" s="456"/>
      <c r="I156" s="456"/>
      <c r="J156" s="456"/>
      <c r="K156" s="456"/>
      <c r="L156" s="456"/>
      <c r="M156" s="456"/>
      <c r="N156" s="456"/>
      <c r="O156" s="456"/>
      <c r="P156" s="456"/>
      <c r="Q156" s="456"/>
      <c r="R156" s="456"/>
      <c r="S156" s="456"/>
      <c r="T156" s="456"/>
      <c r="U156" s="456"/>
      <c r="V156" s="456"/>
      <c r="W156" s="456"/>
      <c r="X156" s="456"/>
      <c r="Y156" s="456"/>
      <c r="Z156" s="456"/>
    </row>
    <row r="157" spans="1:26" ht="11.25" customHeight="1">
      <c r="A157" s="456"/>
      <c r="B157" s="456"/>
      <c r="C157" s="456"/>
      <c r="D157" s="456"/>
      <c r="E157" s="456"/>
      <c r="F157" s="456"/>
      <c r="G157" s="456"/>
      <c r="H157" s="456"/>
      <c r="I157" s="456"/>
      <c r="J157" s="456"/>
      <c r="K157" s="456"/>
      <c r="L157" s="456"/>
      <c r="M157" s="456"/>
      <c r="N157" s="456"/>
      <c r="O157" s="456"/>
      <c r="P157" s="456"/>
      <c r="Q157" s="456"/>
      <c r="R157" s="456"/>
      <c r="S157" s="456"/>
      <c r="T157" s="456"/>
      <c r="U157" s="456"/>
      <c r="V157" s="456"/>
      <c r="W157" s="456"/>
      <c r="X157" s="456"/>
      <c r="Y157" s="456"/>
      <c r="Z157" s="456"/>
    </row>
    <row r="158" spans="1:26" ht="11.25" customHeight="1">
      <c r="A158" s="456"/>
      <c r="B158" s="456"/>
      <c r="C158" s="456"/>
      <c r="D158" s="456"/>
      <c r="E158" s="456"/>
      <c r="F158" s="456"/>
      <c r="G158" s="456"/>
      <c r="H158" s="456"/>
      <c r="I158" s="456"/>
      <c r="J158" s="456"/>
      <c r="K158" s="456"/>
      <c r="L158" s="456"/>
      <c r="M158" s="456"/>
      <c r="N158" s="456"/>
      <c r="O158" s="456"/>
      <c r="P158" s="456"/>
      <c r="Q158" s="456"/>
      <c r="R158" s="456"/>
      <c r="S158" s="456"/>
      <c r="T158" s="456"/>
      <c r="U158" s="456"/>
      <c r="V158" s="456"/>
      <c r="W158" s="456"/>
      <c r="X158" s="456"/>
      <c r="Y158" s="456"/>
      <c r="Z158" s="456"/>
    </row>
    <row r="159" spans="1:26" ht="11.25" customHeight="1">
      <c r="A159" s="456"/>
      <c r="B159" s="456"/>
      <c r="C159" s="456"/>
      <c r="D159" s="456"/>
      <c r="E159" s="456"/>
      <c r="F159" s="456"/>
      <c r="G159" s="456"/>
      <c r="H159" s="456"/>
      <c r="I159" s="456"/>
      <c r="J159" s="456"/>
      <c r="K159" s="456"/>
      <c r="L159" s="456"/>
      <c r="M159" s="456"/>
      <c r="N159" s="456"/>
      <c r="O159" s="456"/>
      <c r="P159" s="456"/>
      <c r="Q159" s="456"/>
      <c r="R159" s="456"/>
      <c r="S159" s="456"/>
      <c r="T159" s="456"/>
      <c r="U159" s="456"/>
      <c r="V159" s="456"/>
      <c r="W159" s="456"/>
      <c r="X159" s="456"/>
      <c r="Y159" s="456"/>
      <c r="Z159" s="456"/>
    </row>
    <row r="160" spans="1:26" ht="11.25" customHeight="1">
      <c r="A160" s="456"/>
      <c r="B160" s="456"/>
      <c r="C160" s="456"/>
      <c r="D160" s="456"/>
      <c r="E160" s="456"/>
      <c r="F160" s="456"/>
      <c r="G160" s="456"/>
      <c r="H160" s="456"/>
      <c r="I160" s="456"/>
      <c r="J160" s="456"/>
      <c r="K160" s="456"/>
      <c r="L160" s="456"/>
      <c r="M160" s="456"/>
      <c r="N160" s="456"/>
      <c r="O160" s="456"/>
      <c r="P160" s="456"/>
      <c r="Q160" s="456"/>
      <c r="R160" s="456"/>
      <c r="S160" s="456"/>
      <c r="T160" s="456"/>
      <c r="U160" s="456"/>
      <c r="V160" s="456"/>
      <c r="W160" s="456"/>
      <c r="X160" s="456"/>
      <c r="Y160" s="456"/>
      <c r="Z160" s="456"/>
    </row>
    <row r="161" spans="1:26" ht="11.25" customHeight="1">
      <c r="A161" s="456"/>
      <c r="B161" s="456"/>
      <c r="C161" s="456"/>
      <c r="D161" s="456"/>
      <c r="E161" s="456"/>
      <c r="F161" s="456"/>
      <c r="G161" s="456"/>
      <c r="H161" s="456"/>
      <c r="I161" s="456"/>
      <c r="J161" s="456"/>
      <c r="K161" s="456"/>
      <c r="L161" s="456"/>
      <c r="M161" s="456"/>
      <c r="N161" s="456"/>
      <c r="O161" s="456"/>
      <c r="P161" s="456"/>
      <c r="Q161" s="456"/>
      <c r="R161" s="456"/>
      <c r="S161" s="456"/>
      <c r="T161" s="456"/>
      <c r="U161" s="456"/>
      <c r="V161" s="456"/>
      <c r="W161" s="456"/>
      <c r="X161" s="456"/>
      <c r="Y161" s="456"/>
      <c r="Z161" s="456"/>
    </row>
    <row r="162" spans="1:26" ht="11.25" customHeight="1">
      <c r="A162" s="456"/>
      <c r="B162" s="456"/>
      <c r="C162" s="456"/>
      <c r="D162" s="456"/>
      <c r="E162" s="456"/>
      <c r="F162" s="456"/>
      <c r="G162" s="456"/>
      <c r="H162" s="456"/>
      <c r="I162" s="456"/>
      <c r="J162" s="456"/>
      <c r="K162" s="456"/>
      <c r="L162" s="456"/>
      <c r="M162" s="456"/>
      <c r="N162" s="456"/>
      <c r="O162" s="456"/>
      <c r="P162" s="456"/>
      <c r="Q162" s="456"/>
      <c r="R162" s="456"/>
      <c r="S162" s="456"/>
      <c r="T162" s="456"/>
      <c r="U162" s="456"/>
      <c r="V162" s="456"/>
      <c r="W162" s="456"/>
      <c r="X162" s="456"/>
      <c r="Y162" s="456"/>
      <c r="Z162" s="456"/>
    </row>
    <row r="163" spans="1:26" ht="11.25" customHeight="1">
      <c r="A163" s="456"/>
      <c r="B163" s="456"/>
      <c r="C163" s="456"/>
      <c r="D163" s="456"/>
      <c r="E163" s="456"/>
      <c r="F163" s="456"/>
      <c r="G163" s="456"/>
      <c r="H163" s="456"/>
      <c r="I163" s="456"/>
      <c r="J163" s="456"/>
      <c r="K163" s="456"/>
      <c r="L163" s="456"/>
      <c r="M163" s="456"/>
      <c r="N163" s="456"/>
      <c r="O163" s="456"/>
      <c r="P163" s="456"/>
      <c r="Q163" s="456"/>
      <c r="R163" s="456"/>
      <c r="S163" s="456"/>
      <c r="T163" s="456"/>
      <c r="U163" s="456"/>
      <c r="V163" s="456"/>
      <c r="W163" s="456"/>
      <c r="X163" s="456"/>
      <c r="Y163" s="456"/>
      <c r="Z163" s="456"/>
    </row>
    <row r="164" spans="1:26" ht="11.25" customHeight="1">
      <c r="A164" s="456"/>
      <c r="B164" s="456"/>
      <c r="C164" s="456"/>
      <c r="D164" s="456"/>
      <c r="E164" s="456"/>
      <c r="F164" s="456"/>
      <c r="G164" s="456"/>
      <c r="H164" s="456"/>
      <c r="I164" s="456"/>
      <c r="J164" s="456"/>
      <c r="K164" s="456"/>
      <c r="L164" s="456"/>
      <c r="M164" s="456"/>
      <c r="N164" s="456"/>
      <c r="O164" s="456"/>
      <c r="P164" s="456"/>
      <c r="Q164" s="456"/>
      <c r="R164" s="456"/>
      <c r="S164" s="456"/>
      <c r="T164" s="456"/>
      <c r="U164" s="456"/>
      <c r="V164" s="456"/>
      <c r="W164" s="456"/>
      <c r="X164" s="456"/>
      <c r="Y164" s="456"/>
      <c r="Z164" s="456"/>
    </row>
    <row r="165" spans="1:26" ht="11.25" customHeight="1">
      <c r="A165" s="456"/>
      <c r="B165" s="456"/>
      <c r="C165" s="456"/>
      <c r="D165" s="456"/>
      <c r="E165" s="456"/>
      <c r="F165" s="456"/>
      <c r="G165" s="456"/>
      <c r="H165" s="456"/>
      <c r="I165" s="456"/>
      <c r="J165" s="456"/>
      <c r="K165" s="456"/>
      <c r="L165" s="456"/>
      <c r="M165" s="456"/>
      <c r="N165" s="456"/>
      <c r="O165" s="456"/>
      <c r="P165" s="456"/>
      <c r="Q165" s="456"/>
      <c r="R165" s="456"/>
      <c r="S165" s="456"/>
      <c r="T165" s="456"/>
      <c r="U165" s="456"/>
      <c r="V165" s="456"/>
      <c r="W165" s="456"/>
      <c r="X165" s="456"/>
      <c r="Y165" s="456"/>
      <c r="Z165" s="456"/>
    </row>
    <row r="166" spans="1:26" ht="11.25" customHeight="1">
      <c r="A166" s="456"/>
      <c r="B166" s="456"/>
      <c r="C166" s="456"/>
      <c r="D166" s="456"/>
      <c r="E166" s="456"/>
      <c r="F166" s="456"/>
      <c r="G166" s="456"/>
      <c r="H166" s="456"/>
      <c r="I166" s="456"/>
      <c r="J166" s="456"/>
      <c r="K166" s="456"/>
      <c r="L166" s="456"/>
      <c r="M166" s="456"/>
      <c r="N166" s="456"/>
      <c r="O166" s="456"/>
      <c r="P166" s="456"/>
      <c r="Q166" s="456"/>
      <c r="R166" s="456"/>
      <c r="S166" s="456"/>
      <c r="T166" s="456"/>
      <c r="U166" s="456"/>
      <c r="V166" s="456"/>
      <c r="W166" s="456"/>
      <c r="X166" s="456"/>
      <c r="Y166" s="456"/>
      <c r="Z166" s="456"/>
    </row>
    <row r="167" spans="1:26" ht="11.25" customHeight="1">
      <c r="A167" s="456"/>
      <c r="B167" s="456"/>
      <c r="C167" s="456"/>
      <c r="D167" s="456"/>
      <c r="E167" s="456"/>
      <c r="F167" s="456"/>
      <c r="G167" s="456"/>
      <c r="H167" s="456"/>
      <c r="I167" s="456"/>
      <c r="J167" s="456"/>
      <c r="K167" s="456"/>
      <c r="L167" s="456"/>
      <c r="M167" s="456"/>
      <c r="N167" s="456"/>
      <c r="O167" s="456"/>
      <c r="P167" s="456"/>
      <c r="Q167" s="456"/>
      <c r="R167" s="456"/>
      <c r="S167" s="456"/>
      <c r="T167" s="456"/>
      <c r="U167" s="456"/>
      <c r="V167" s="456"/>
      <c r="W167" s="456"/>
      <c r="X167" s="456"/>
      <c r="Y167" s="456"/>
      <c r="Z167" s="456"/>
    </row>
    <row r="168" spans="1:26" ht="11.25" customHeight="1">
      <c r="A168" s="456"/>
      <c r="B168" s="456"/>
      <c r="C168" s="456"/>
      <c r="D168" s="456"/>
      <c r="E168" s="456"/>
      <c r="F168" s="456"/>
      <c r="G168" s="456"/>
      <c r="H168" s="456"/>
      <c r="I168" s="456"/>
      <c r="J168" s="456"/>
      <c r="K168" s="456"/>
      <c r="L168" s="456"/>
      <c r="M168" s="456"/>
      <c r="N168" s="456"/>
      <c r="O168" s="456"/>
      <c r="P168" s="456"/>
      <c r="Q168" s="456"/>
      <c r="R168" s="456"/>
      <c r="S168" s="456"/>
      <c r="T168" s="456"/>
      <c r="U168" s="456"/>
      <c r="V168" s="456"/>
      <c r="W168" s="456"/>
      <c r="X168" s="456"/>
      <c r="Y168" s="456"/>
      <c r="Z168" s="456"/>
    </row>
    <row r="169" spans="1:26" ht="11.25" customHeight="1">
      <c r="A169" s="456"/>
      <c r="B169" s="456"/>
      <c r="C169" s="456"/>
      <c r="D169" s="456"/>
      <c r="E169" s="456"/>
      <c r="F169" s="456"/>
      <c r="G169" s="456"/>
      <c r="H169" s="456"/>
      <c r="I169" s="456"/>
      <c r="J169" s="456"/>
      <c r="K169" s="456"/>
      <c r="L169" s="456"/>
      <c r="M169" s="456"/>
      <c r="N169" s="456"/>
      <c r="O169" s="456"/>
      <c r="P169" s="456"/>
      <c r="Q169" s="456"/>
      <c r="R169" s="456"/>
      <c r="S169" s="456"/>
      <c r="T169" s="456"/>
      <c r="U169" s="456"/>
      <c r="V169" s="456"/>
      <c r="W169" s="456"/>
      <c r="X169" s="456"/>
      <c r="Y169" s="456"/>
      <c r="Z169" s="456"/>
    </row>
    <row r="170" spans="1:26" ht="11.25" customHeight="1">
      <c r="A170" s="456"/>
      <c r="B170" s="456"/>
      <c r="C170" s="456"/>
      <c r="D170" s="456"/>
      <c r="E170" s="456"/>
      <c r="F170" s="456"/>
      <c r="G170" s="456"/>
      <c r="H170" s="456"/>
      <c r="I170" s="456"/>
      <c r="J170" s="456"/>
      <c r="K170" s="456"/>
      <c r="L170" s="456"/>
      <c r="M170" s="456"/>
      <c r="N170" s="456"/>
      <c r="O170" s="456"/>
      <c r="P170" s="456"/>
      <c r="Q170" s="456"/>
      <c r="R170" s="456"/>
      <c r="S170" s="456"/>
      <c r="T170" s="456"/>
      <c r="U170" s="456"/>
      <c r="V170" s="456"/>
      <c r="W170" s="456"/>
      <c r="X170" s="456"/>
      <c r="Y170" s="456"/>
      <c r="Z170" s="456"/>
    </row>
    <row r="171" spans="1:26" ht="11.25" customHeight="1">
      <c r="A171" s="456"/>
      <c r="B171" s="456"/>
      <c r="C171" s="456"/>
      <c r="D171" s="456"/>
      <c r="E171" s="456"/>
      <c r="F171" s="456"/>
      <c r="G171" s="456"/>
      <c r="H171" s="456"/>
      <c r="I171" s="456"/>
      <c r="J171" s="456"/>
      <c r="K171" s="456"/>
      <c r="L171" s="456"/>
      <c r="M171" s="456"/>
      <c r="N171" s="456"/>
      <c r="O171" s="456"/>
      <c r="P171" s="456"/>
      <c r="Q171" s="456"/>
      <c r="R171" s="456"/>
      <c r="S171" s="456"/>
      <c r="T171" s="456"/>
      <c r="U171" s="456"/>
      <c r="V171" s="456"/>
      <c r="W171" s="456"/>
      <c r="X171" s="456"/>
      <c r="Y171" s="456"/>
      <c r="Z171" s="456"/>
    </row>
    <row r="172" spans="1:26" ht="11.25" customHeight="1">
      <c r="A172" s="456"/>
      <c r="B172" s="456"/>
      <c r="C172" s="456"/>
      <c r="D172" s="456"/>
      <c r="E172" s="456"/>
      <c r="F172" s="456"/>
      <c r="G172" s="456"/>
      <c r="H172" s="456"/>
      <c r="I172" s="456"/>
      <c r="J172" s="456"/>
      <c r="K172" s="456"/>
      <c r="L172" s="456"/>
      <c r="M172" s="456"/>
      <c r="N172" s="456"/>
      <c r="O172" s="456"/>
      <c r="P172" s="456"/>
      <c r="Q172" s="456"/>
      <c r="R172" s="456"/>
      <c r="S172" s="456"/>
      <c r="T172" s="456"/>
      <c r="U172" s="456"/>
      <c r="V172" s="456"/>
      <c r="W172" s="456"/>
      <c r="X172" s="456"/>
      <c r="Y172" s="456"/>
      <c r="Z172" s="456"/>
    </row>
    <row r="173" spans="1:26" ht="11.25" customHeight="1">
      <c r="A173" s="456"/>
      <c r="B173" s="456"/>
      <c r="C173" s="456"/>
      <c r="D173" s="456"/>
      <c r="E173" s="456"/>
      <c r="F173" s="456"/>
      <c r="G173" s="456"/>
      <c r="H173" s="456"/>
      <c r="I173" s="456"/>
      <c r="J173" s="456"/>
      <c r="K173" s="456"/>
      <c r="L173" s="456"/>
      <c r="M173" s="456"/>
      <c r="N173" s="456"/>
      <c r="O173" s="456"/>
      <c r="P173" s="456"/>
      <c r="Q173" s="456"/>
      <c r="R173" s="456"/>
      <c r="S173" s="456"/>
      <c r="T173" s="456"/>
      <c r="U173" s="456"/>
      <c r="V173" s="456"/>
      <c r="W173" s="456"/>
      <c r="X173" s="456"/>
      <c r="Y173" s="456"/>
      <c r="Z173" s="456"/>
    </row>
    <row r="174" spans="1:26" ht="11.25" customHeight="1">
      <c r="A174" s="456"/>
      <c r="B174" s="456"/>
      <c r="C174" s="456"/>
      <c r="D174" s="456"/>
      <c r="E174" s="456"/>
      <c r="F174" s="456"/>
      <c r="G174" s="456"/>
      <c r="H174" s="456"/>
      <c r="I174" s="456"/>
      <c r="J174" s="456"/>
      <c r="K174" s="456"/>
      <c r="L174" s="456"/>
      <c r="M174" s="456"/>
      <c r="N174" s="456"/>
      <c r="O174" s="456"/>
      <c r="P174" s="456"/>
      <c r="Q174" s="456"/>
      <c r="R174" s="456"/>
      <c r="S174" s="456"/>
      <c r="T174" s="456"/>
      <c r="U174" s="456"/>
      <c r="V174" s="456"/>
      <c r="W174" s="456"/>
      <c r="X174" s="456"/>
      <c r="Y174" s="456"/>
      <c r="Z174" s="456"/>
    </row>
    <row r="175" spans="1:26" ht="11.25" customHeight="1">
      <c r="A175" s="456"/>
      <c r="B175" s="456"/>
      <c r="C175" s="456"/>
      <c r="D175" s="456"/>
      <c r="E175" s="456"/>
      <c r="F175" s="456"/>
      <c r="G175" s="456"/>
      <c r="H175" s="456"/>
      <c r="I175" s="456"/>
      <c r="J175" s="456"/>
      <c r="K175" s="456"/>
      <c r="L175" s="456"/>
      <c r="M175" s="456"/>
      <c r="N175" s="456"/>
      <c r="O175" s="456"/>
      <c r="P175" s="456"/>
      <c r="Q175" s="456"/>
      <c r="R175" s="456"/>
      <c r="S175" s="456"/>
      <c r="T175" s="456"/>
      <c r="U175" s="456"/>
      <c r="V175" s="456"/>
      <c r="W175" s="456"/>
      <c r="X175" s="456"/>
      <c r="Y175" s="456"/>
      <c r="Z175" s="456"/>
    </row>
    <row r="176" spans="1:26" ht="11.25" customHeight="1">
      <c r="A176" s="456"/>
      <c r="B176" s="456"/>
      <c r="C176" s="456"/>
      <c r="D176" s="456"/>
      <c r="E176" s="456"/>
      <c r="F176" s="456"/>
      <c r="G176" s="456"/>
      <c r="H176" s="456"/>
      <c r="I176" s="456"/>
      <c r="J176" s="456"/>
      <c r="K176" s="456"/>
      <c r="L176" s="456"/>
      <c r="M176" s="456"/>
      <c r="N176" s="456"/>
      <c r="O176" s="456"/>
      <c r="P176" s="456"/>
      <c r="Q176" s="456"/>
      <c r="R176" s="456"/>
      <c r="S176" s="456"/>
      <c r="T176" s="456"/>
      <c r="U176" s="456"/>
      <c r="V176" s="456"/>
      <c r="W176" s="456"/>
      <c r="X176" s="456"/>
      <c r="Y176" s="456"/>
      <c r="Z176" s="456"/>
    </row>
    <row r="177" spans="1:26" ht="11.25" customHeight="1">
      <c r="A177" s="456"/>
      <c r="B177" s="456"/>
      <c r="C177" s="456"/>
      <c r="D177" s="456"/>
      <c r="E177" s="456"/>
      <c r="F177" s="456"/>
      <c r="G177" s="456"/>
      <c r="H177" s="456"/>
      <c r="I177" s="456"/>
      <c r="J177" s="456"/>
      <c r="K177" s="456"/>
      <c r="L177" s="456"/>
      <c r="M177" s="456"/>
      <c r="N177" s="456"/>
      <c r="O177" s="456"/>
      <c r="P177" s="456"/>
      <c r="Q177" s="456"/>
      <c r="R177" s="456"/>
      <c r="S177" s="456"/>
      <c r="T177" s="456"/>
      <c r="U177" s="456"/>
      <c r="V177" s="456"/>
      <c r="W177" s="456"/>
      <c r="X177" s="456"/>
      <c r="Y177" s="456"/>
      <c r="Z177" s="456"/>
    </row>
    <row r="178" spans="1:26" ht="11.25" customHeight="1">
      <c r="A178" s="456"/>
      <c r="B178" s="456"/>
      <c r="C178" s="456"/>
      <c r="D178" s="456"/>
      <c r="E178" s="456"/>
      <c r="F178" s="456"/>
      <c r="G178" s="456"/>
      <c r="H178" s="456"/>
      <c r="I178" s="456"/>
      <c r="J178" s="456"/>
      <c r="K178" s="456"/>
      <c r="L178" s="456"/>
      <c r="M178" s="456"/>
      <c r="N178" s="456"/>
      <c r="O178" s="456"/>
      <c r="P178" s="456"/>
      <c r="Q178" s="456"/>
      <c r="R178" s="456"/>
      <c r="S178" s="456"/>
      <c r="T178" s="456"/>
      <c r="U178" s="456"/>
      <c r="V178" s="456"/>
      <c r="W178" s="456"/>
      <c r="X178" s="456"/>
      <c r="Y178" s="456"/>
      <c r="Z178" s="456"/>
    </row>
    <row r="179" spans="1:26" ht="11.25" customHeight="1">
      <c r="A179" s="456"/>
      <c r="B179" s="456"/>
      <c r="C179" s="456"/>
      <c r="D179" s="456"/>
      <c r="E179" s="456"/>
      <c r="F179" s="456"/>
      <c r="G179" s="456"/>
      <c r="H179" s="456"/>
      <c r="I179" s="456"/>
      <c r="J179" s="456"/>
      <c r="K179" s="456"/>
      <c r="L179" s="456"/>
      <c r="M179" s="456"/>
      <c r="N179" s="456"/>
      <c r="O179" s="456"/>
      <c r="P179" s="456"/>
      <c r="Q179" s="456"/>
      <c r="R179" s="456"/>
      <c r="S179" s="456"/>
      <c r="T179" s="456"/>
      <c r="U179" s="456"/>
      <c r="V179" s="456"/>
      <c r="W179" s="456"/>
      <c r="X179" s="456"/>
      <c r="Y179" s="456"/>
      <c r="Z179" s="456"/>
    </row>
    <row r="180" spans="1:26" ht="11.25" customHeight="1">
      <c r="A180" s="456"/>
      <c r="B180" s="456"/>
      <c r="C180" s="456"/>
      <c r="D180" s="456"/>
      <c r="E180" s="456"/>
      <c r="F180" s="456"/>
      <c r="G180" s="456"/>
      <c r="H180" s="456"/>
      <c r="I180" s="456"/>
      <c r="J180" s="456"/>
      <c r="K180" s="456"/>
      <c r="L180" s="456"/>
      <c r="M180" s="456"/>
      <c r="N180" s="456"/>
      <c r="O180" s="456"/>
      <c r="P180" s="456"/>
      <c r="Q180" s="456"/>
      <c r="R180" s="456"/>
      <c r="S180" s="456"/>
      <c r="T180" s="456"/>
      <c r="U180" s="456"/>
      <c r="V180" s="456"/>
      <c r="W180" s="456"/>
      <c r="X180" s="456"/>
      <c r="Y180" s="456"/>
      <c r="Z180" s="456"/>
    </row>
    <row r="181" spans="1:26" ht="11.25" customHeight="1">
      <c r="A181" s="456"/>
      <c r="B181" s="456"/>
      <c r="C181" s="456"/>
      <c r="D181" s="456"/>
      <c r="E181" s="456"/>
      <c r="F181" s="456"/>
      <c r="G181" s="456"/>
      <c r="H181" s="456"/>
      <c r="I181" s="456"/>
      <c r="J181" s="456"/>
      <c r="K181" s="456"/>
      <c r="L181" s="456"/>
      <c r="M181" s="456"/>
      <c r="N181" s="456"/>
      <c r="O181" s="456"/>
      <c r="P181" s="456"/>
      <c r="Q181" s="456"/>
      <c r="R181" s="456"/>
      <c r="S181" s="456"/>
      <c r="T181" s="456"/>
      <c r="U181" s="456"/>
      <c r="V181" s="456"/>
      <c r="W181" s="456"/>
      <c r="X181" s="456"/>
      <c r="Y181" s="456"/>
      <c r="Z181" s="456"/>
    </row>
    <row r="182" spans="1:26" ht="11.25" customHeight="1">
      <c r="A182" s="456"/>
      <c r="B182" s="456"/>
      <c r="C182" s="456"/>
      <c r="D182" s="456"/>
      <c r="E182" s="456"/>
      <c r="F182" s="456"/>
      <c r="G182" s="456"/>
      <c r="H182" s="456"/>
      <c r="I182" s="456"/>
      <c r="J182" s="456"/>
      <c r="K182" s="456"/>
      <c r="L182" s="456"/>
      <c r="M182" s="456"/>
      <c r="N182" s="456"/>
      <c r="O182" s="456"/>
      <c r="P182" s="456"/>
      <c r="Q182" s="456"/>
      <c r="R182" s="456"/>
      <c r="S182" s="456"/>
      <c r="T182" s="456"/>
      <c r="U182" s="456"/>
      <c r="V182" s="456"/>
      <c r="W182" s="456"/>
      <c r="X182" s="456"/>
      <c r="Y182" s="456"/>
      <c r="Z182" s="456"/>
    </row>
    <row r="183" spans="1:26" ht="11.25" customHeight="1">
      <c r="A183" s="456"/>
      <c r="B183" s="456"/>
      <c r="C183" s="456"/>
      <c r="D183" s="456"/>
      <c r="E183" s="456"/>
      <c r="F183" s="456"/>
      <c r="G183" s="456"/>
      <c r="H183" s="456"/>
      <c r="I183" s="456"/>
      <c r="J183" s="456"/>
      <c r="K183" s="456"/>
      <c r="L183" s="456"/>
      <c r="M183" s="456"/>
      <c r="N183" s="456"/>
      <c r="O183" s="456"/>
      <c r="P183" s="456"/>
      <c r="Q183" s="456"/>
      <c r="R183" s="456"/>
      <c r="S183" s="456"/>
      <c r="T183" s="456"/>
      <c r="U183" s="456"/>
      <c r="V183" s="456"/>
      <c r="W183" s="456"/>
      <c r="X183" s="456"/>
      <c r="Y183" s="456"/>
      <c r="Z183" s="456"/>
    </row>
    <row r="184" spans="1:26" ht="11.25" customHeight="1">
      <c r="A184" s="456"/>
      <c r="B184" s="456"/>
      <c r="C184" s="456"/>
      <c r="D184" s="456"/>
      <c r="E184" s="456"/>
      <c r="F184" s="456"/>
      <c r="G184" s="456"/>
      <c r="H184" s="456"/>
      <c r="I184" s="456"/>
      <c r="J184" s="456"/>
      <c r="K184" s="456"/>
      <c r="L184" s="456"/>
      <c r="M184" s="456"/>
      <c r="N184" s="456"/>
      <c r="O184" s="456"/>
      <c r="P184" s="456"/>
      <c r="Q184" s="456"/>
      <c r="R184" s="456"/>
      <c r="S184" s="456"/>
      <c r="T184" s="456"/>
      <c r="U184" s="456"/>
      <c r="V184" s="456"/>
      <c r="W184" s="456"/>
      <c r="X184" s="456"/>
      <c r="Y184" s="456"/>
      <c r="Z184" s="456"/>
    </row>
    <row r="185" spans="1:26" ht="11.25" customHeight="1">
      <c r="A185" s="456"/>
      <c r="B185" s="456"/>
      <c r="C185" s="456"/>
      <c r="D185" s="456"/>
      <c r="E185" s="456"/>
      <c r="F185" s="456"/>
      <c r="G185" s="456"/>
      <c r="H185" s="456"/>
      <c r="I185" s="456"/>
      <c r="J185" s="456"/>
      <c r="K185" s="456"/>
      <c r="L185" s="456"/>
      <c r="M185" s="456"/>
      <c r="N185" s="456"/>
      <c r="O185" s="456"/>
      <c r="P185" s="456"/>
      <c r="Q185" s="456"/>
      <c r="R185" s="456"/>
      <c r="S185" s="456"/>
      <c r="T185" s="456"/>
      <c r="U185" s="456"/>
      <c r="V185" s="456"/>
      <c r="W185" s="456"/>
      <c r="X185" s="456"/>
      <c r="Y185" s="456"/>
      <c r="Z185" s="456"/>
    </row>
    <row r="186" spans="1:26" ht="11.25" customHeight="1">
      <c r="A186" s="456"/>
      <c r="B186" s="456"/>
      <c r="C186" s="456"/>
      <c r="D186" s="456"/>
      <c r="E186" s="456"/>
      <c r="F186" s="456"/>
      <c r="G186" s="456"/>
      <c r="H186" s="456"/>
      <c r="I186" s="456"/>
      <c r="J186" s="456"/>
      <c r="K186" s="456"/>
      <c r="L186" s="456"/>
      <c r="M186" s="456"/>
      <c r="N186" s="456"/>
      <c r="O186" s="456"/>
      <c r="P186" s="456"/>
      <c r="Q186" s="456"/>
      <c r="R186" s="456"/>
      <c r="S186" s="456"/>
      <c r="T186" s="456"/>
      <c r="U186" s="456"/>
      <c r="V186" s="456"/>
      <c r="W186" s="456"/>
      <c r="X186" s="456"/>
      <c r="Y186" s="456"/>
      <c r="Z186" s="456"/>
    </row>
    <row r="187" spans="1:26" ht="11.25" customHeight="1">
      <c r="A187" s="456"/>
      <c r="B187" s="456"/>
      <c r="C187" s="456"/>
      <c r="D187" s="456"/>
      <c r="E187" s="456"/>
      <c r="F187" s="456"/>
      <c r="G187" s="456"/>
      <c r="H187" s="456"/>
      <c r="I187" s="456"/>
      <c r="J187" s="456"/>
      <c r="K187" s="456"/>
      <c r="L187" s="456"/>
      <c r="M187" s="456"/>
      <c r="N187" s="456"/>
      <c r="O187" s="456"/>
      <c r="P187" s="456"/>
      <c r="Q187" s="456"/>
      <c r="R187" s="456"/>
      <c r="S187" s="456"/>
      <c r="T187" s="456"/>
      <c r="U187" s="456"/>
      <c r="V187" s="456"/>
      <c r="W187" s="456"/>
      <c r="X187" s="456"/>
      <c r="Y187" s="456"/>
      <c r="Z187" s="456"/>
    </row>
    <row r="188" spans="1:26" ht="11.25" customHeight="1">
      <c r="A188" s="456"/>
      <c r="B188" s="456"/>
      <c r="C188" s="456"/>
      <c r="D188" s="456"/>
      <c r="E188" s="456"/>
      <c r="F188" s="456"/>
      <c r="G188" s="456"/>
      <c r="H188" s="456"/>
      <c r="I188" s="456"/>
      <c r="J188" s="456"/>
      <c r="K188" s="456"/>
      <c r="L188" s="456"/>
      <c r="M188" s="456"/>
      <c r="N188" s="456"/>
      <c r="O188" s="456"/>
      <c r="P188" s="456"/>
      <c r="Q188" s="456"/>
      <c r="R188" s="456"/>
      <c r="S188" s="456"/>
      <c r="T188" s="456"/>
      <c r="U188" s="456"/>
      <c r="V188" s="456"/>
      <c r="W188" s="456"/>
      <c r="X188" s="456"/>
      <c r="Y188" s="456"/>
      <c r="Z188" s="456"/>
    </row>
    <row r="189" spans="1:26" ht="11.25" customHeight="1">
      <c r="A189" s="456"/>
      <c r="B189" s="456"/>
      <c r="C189" s="456"/>
      <c r="D189" s="456"/>
      <c r="E189" s="456"/>
      <c r="F189" s="456"/>
      <c r="G189" s="456"/>
      <c r="H189" s="456"/>
      <c r="I189" s="456"/>
      <c r="J189" s="456"/>
      <c r="K189" s="456"/>
      <c r="L189" s="456"/>
      <c r="M189" s="456"/>
      <c r="N189" s="456"/>
      <c r="O189" s="456"/>
      <c r="P189" s="456"/>
      <c r="Q189" s="456"/>
      <c r="R189" s="456"/>
      <c r="S189" s="456"/>
      <c r="T189" s="456"/>
      <c r="U189" s="456"/>
      <c r="V189" s="456"/>
      <c r="W189" s="456"/>
      <c r="X189" s="456"/>
      <c r="Y189" s="456"/>
      <c r="Z189" s="456"/>
    </row>
    <row r="190" spans="1:26" ht="11.25" customHeight="1">
      <c r="A190" s="456"/>
      <c r="B190" s="456"/>
      <c r="C190" s="456"/>
      <c r="D190" s="456"/>
      <c r="E190" s="456"/>
      <c r="F190" s="456"/>
      <c r="G190" s="456"/>
      <c r="H190" s="456"/>
      <c r="I190" s="456"/>
      <c r="J190" s="456"/>
      <c r="K190" s="456"/>
      <c r="L190" s="456"/>
      <c r="M190" s="456"/>
      <c r="N190" s="456"/>
      <c r="O190" s="456"/>
      <c r="P190" s="456"/>
      <c r="Q190" s="456"/>
      <c r="R190" s="456"/>
      <c r="S190" s="456"/>
      <c r="T190" s="456"/>
      <c r="U190" s="456"/>
      <c r="V190" s="456"/>
      <c r="W190" s="456"/>
      <c r="X190" s="456"/>
      <c r="Y190" s="456"/>
      <c r="Z190" s="456"/>
    </row>
    <row r="191" spans="1:26" ht="11.25" customHeight="1">
      <c r="A191" s="456"/>
      <c r="B191" s="456"/>
      <c r="C191" s="456"/>
      <c r="D191" s="456"/>
      <c r="E191" s="456"/>
      <c r="F191" s="456"/>
      <c r="G191" s="456"/>
      <c r="H191" s="456"/>
      <c r="I191" s="456"/>
      <c r="J191" s="456"/>
      <c r="K191" s="456"/>
      <c r="L191" s="456"/>
      <c r="M191" s="456"/>
      <c r="N191" s="456"/>
      <c r="O191" s="456"/>
      <c r="P191" s="456"/>
      <c r="Q191" s="456"/>
      <c r="R191" s="456"/>
      <c r="S191" s="456"/>
      <c r="T191" s="456"/>
      <c r="U191" s="456"/>
      <c r="V191" s="456"/>
      <c r="W191" s="456"/>
      <c r="X191" s="456"/>
      <c r="Y191" s="456"/>
      <c r="Z191" s="456"/>
    </row>
    <row r="192" spans="1:26" ht="11.25" customHeight="1">
      <c r="A192" s="456"/>
      <c r="B192" s="456"/>
      <c r="C192" s="456"/>
      <c r="D192" s="456"/>
      <c r="E192" s="456"/>
      <c r="F192" s="456"/>
      <c r="G192" s="456"/>
      <c r="H192" s="456"/>
      <c r="I192" s="456"/>
      <c r="J192" s="456"/>
      <c r="K192" s="456"/>
      <c r="L192" s="456"/>
      <c r="M192" s="456"/>
      <c r="N192" s="456"/>
      <c r="O192" s="456"/>
      <c r="P192" s="456"/>
      <c r="Q192" s="456"/>
      <c r="R192" s="456"/>
      <c r="S192" s="456"/>
      <c r="T192" s="456"/>
      <c r="U192" s="456"/>
      <c r="V192" s="456"/>
      <c r="W192" s="456"/>
      <c r="X192" s="456"/>
      <c r="Y192" s="456"/>
      <c r="Z192" s="456"/>
    </row>
    <row r="193" spans="1:26" ht="11.25" customHeight="1">
      <c r="A193" s="456"/>
      <c r="B193" s="456"/>
      <c r="C193" s="456"/>
      <c r="D193" s="456"/>
      <c r="E193" s="456"/>
      <c r="F193" s="456"/>
      <c r="G193" s="456"/>
      <c r="H193" s="456"/>
      <c r="I193" s="456"/>
      <c r="J193" s="456"/>
      <c r="K193" s="456"/>
      <c r="L193" s="456"/>
      <c r="M193" s="456"/>
      <c r="N193" s="456"/>
      <c r="O193" s="456"/>
      <c r="P193" s="456"/>
      <c r="Q193" s="456"/>
      <c r="R193" s="456"/>
      <c r="S193" s="456"/>
      <c r="T193" s="456"/>
      <c r="U193" s="456"/>
      <c r="V193" s="456"/>
      <c r="W193" s="456"/>
      <c r="X193" s="456"/>
      <c r="Y193" s="456"/>
      <c r="Z193" s="456"/>
    </row>
    <row r="194" spans="1:26" ht="11.25" customHeight="1">
      <c r="A194" s="456"/>
      <c r="B194" s="456"/>
      <c r="C194" s="456"/>
      <c r="D194" s="456"/>
      <c r="E194" s="456"/>
      <c r="F194" s="456"/>
      <c r="G194" s="456"/>
      <c r="H194" s="456"/>
      <c r="I194" s="456"/>
      <c r="J194" s="456"/>
      <c r="K194" s="456"/>
      <c r="L194" s="456"/>
      <c r="M194" s="456"/>
      <c r="N194" s="456"/>
      <c r="O194" s="456"/>
      <c r="P194" s="456"/>
      <c r="Q194" s="456"/>
      <c r="R194" s="456"/>
      <c r="S194" s="456"/>
      <c r="T194" s="456"/>
      <c r="U194" s="456"/>
      <c r="V194" s="456"/>
      <c r="W194" s="456"/>
      <c r="X194" s="456"/>
      <c r="Y194" s="456"/>
      <c r="Z194" s="456"/>
    </row>
    <row r="195" spans="1:26" ht="11.25" customHeight="1">
      <c r="A195" s="456"/>
      <c r="B195" s="456"/>
      <c r="C195" s="456"/>
      <c r="D195" s="456"/>
      <c r="E195" s="456"/>
      <c r="F195" s="456"/>
      <c r="G195" s="456"/>
      <c r="H195" s="456"/>
      <c r="I195" s="456"/>
      <c r="J195" s="456"/>
      <c r="K195" s="456"/>
      <c r="L195" s="456"/>
      <c r="M195" s="456"/>
      <c r="N195" s="456"/>
      <c r="O195" s="456"/>
      <c r="P195" s="456"/>
      <c r="Q195" s="456"/>
      <c r="R195" s="456"/>
      <c r="S195" s="456"/>
      <c r="T195" s="456"/>
      <c r="U195" s="456"/>
      <c r="V195" s="456"/>
      <c r="W195" s="456"/>
      <c r="X195" s="456"/>
      <c r="Y195" s="456"/>
      <c r="Z195" s="456"/>
    </row>
    <row r="196" spans="1:26" ht="11.25" customHeight="1">
      <c r="A196" s="456"/>
      <c r="B196" s="456"/>
      <c r="C196" s="456"/>
      <c r="D196" s="456"/>
      <c r="E196" s="456"/>
      <c r="F196" s="456"/>
      <c r="G196" s="456"/>
      <c r="H196" s="456"/>
      <c r="I196" s="456"/>
      <c r="J196" s="456"/>
      <c r="K196" s="456"/>
      <c r="L196" s="456"/>
      <c r="M196" s="456"/>
      <c r="N196" s="456"/>
      <c r="O196" s="456"/>
      <c r="P196" s="456"/>
      <c r="Q196" s="456"/>
      <c r="R196" s="456"/>
      <c r="S196" s="456"/>
      <c r="T196" s="456"/>
      <c r="U196" s="456"/>
      <c r="V196" s="456"/>
      <c r="W196" s="456"/>
      <c r="X196" s="456"/>
      <c r="Y196" s="456"/>
      <c r="Z196" s="456"/>
    </row>
    <row r="197" spans="1:26" ht="11.25" customHeight="1">
      <c r="A197" s="456"/>
      <c r="B197" s="456"/>
      <c r="C197" s="456"/>
      <c r="D197" s="456"/>
      <c r="E197" s="456"/>
      <c r="F197" s="456"/>
      <c r="G197" s="456"/>
      <c r="H197" s="456"/>
      <c r="I197" s="456"/>
      <c r="J197" s="456"/>
      <c r="K197" s="456"/>
      <c r="L197" s="456"/>
      <c r="M197" s="456"/>
      <c r="N197" s="456"/>
      <c r="O197" s="456"/>
      <c r="P197" s="456"/>
      <c r="Q197" s="456"/>
      <c r="R197" s="456"/>
      <c r="S197" s="456"/>
      <c r="T197" s="456"/>
      <c r="U197" s="456"/>
      <c r="V197" s="456"/>
      <c r="W197" s="456"/>
      <c r="X197" s="456"/>
      <c r="Y197" s="456"/>
      <c r="Z197" s="456"/>
    </row>
    <row r="198" spans="1:26" ht="11.25" customHeight="1">
      <c r="A198" s="456"/>
      <c r="B198" s="456"/>
      <c r="C198" s="456"/>
      <c r="D198" s="456"/>
      <c r="E198" s="456"/>
      <c r="F198" s="456"/>
      <c r="G198" s="456"/>
      <c r="H198" s="456"/>
      <c r="I198" s="456"/>
      <c r="J198" s="456"/>
      <c r="K198" s="456"/>
      <c r="L198" s="456"/>
      <c r="M198" s="456"/>
      <c r="N198" s="456"/>
      <c r="O198" s="456"/>
      <c r="P198" s="456"/>
      <c r="Q198" s="456"/>
      <c r="R198" s="456"/>
      <c r="S198" s="456"/>
      <c r="T198" s="456"/>
      <c r="U198" s="456"/>
      <c r="V198" s="456"/>
      <c r="W198" s="456"/>
      <c r="X198" s="456"/>
      <c r="Y198" s="456"/>
      <c r="Z198" s="456"/>
    </row>
    <row r="199" spans="1:26" ht="11.25" customHeight="1">
      <c r="A199" s="456"/>
      <c r="B199" s="456"/>
      <c r="C199" s="456"/>
      <c r="D199" s="456"/>
      <c r="E199" s="456"/>
      <c r="F199" s="456"/>
      <c r="G199" s="456"/>
      <c r="H199" s="456"/>
      <c r="I199" s="456"/>
      <c r="J199" s="456"/>
      <c r="K199" s="456"/>
      <c r="L199" s="456"/>
      <c r="M199" s="456"/>
      <c r="N199" s="456"/>
      <c r="O199" s="456"/>
      <c r="P199" s="456"/>
      <c r="Q199" s="456"/>
      <c r="R199" s="456"/>
      <c r="S199" s="456"/>
      <c r="T199" s="456"/>
      <c r="U199" s="456"/>
      <c r="V199" s="456"/>
      <c r="W199" s="456"/>
      <c r="X199" s="456"/>
      <c r="Y199" s="456"/>
      <c r="Z199" s="456"/>
    </row>
    <row r="200" spans="1:26" ht="11.25" customHeight="1">
      <c r="A200" s="456"/>
      <c r="B200" s="456"/>
      <c r="C200" s="456"/>
      <c r="D200" s="456"/>
      <c r="E200" s="456"/>
      <c r="F200" s="456"/>
      <c r="G200" s="456"/>
      <c r="H200" s="456"/>
      <c r="I200" s="456"/>
      <c r="J200" s="456"/>
      <c r="K200" s="456"/>
      <c r="L200" s="456"/>
      <c r="M200" s="456"/>
      <c r="N200" s="456"/>
      <c r="O200" s="456"/>
      <c r="P200" s="456"/>
      <c r="Q200" s="456"/>
      <c r="R200" s="456"/>
      <c r="S200" s="456"/>
      <c r="T200" s="456"/>
      <c r="U200" s="456"/>
      <c r="V200" s="456"/>
      <c r="W200" s="456"/>
      <c r="X200" s="456"/>
      <c r="Y200" s="456"/>
      <c r="Z200" s="456"/>
    </row>
    <row r="201" spans="1:26" ht="11.25" customHeight="1">
      <c r="A201" s="456"/>
      <c r="B201" s="456"/>
      <c r="C201" s="456"/>
      <c r="D201" s="456"/>
      <c r="E201" s="456"/>
      <c r="F201" s="456"/>
      <c r="G201" s="456"/>
      <c r="H201" s="456"/>
      <c r="I201" s="456"/>
      <c r="J201" s="456"/>
      <c r="K201" s="456"/>
      <c r="L201" s="456"/>
      <c r="M201" s="456"/>
      <c r="N201" s="456"/>
      <c r="O201" s="456"/>
      <c r="P201" s="456"/>
      <c r="Q201" s="456"/>
      <c r="R201" s="456"/>
      <c r="S201" s="456"/>
      <c r="T201" s="456"/>
      <c r="U201" s="456"/>
      <c r="V201" s="456"/>
      <c r="W201" s="456"/>
      <c r="X201" s="456"/>
      <c r="Y201" s="456"/>
      <c r="Z201" s="456"/>
    </row>
    <row r="202" spans="1:26" ht="11.25" customHeight="1">
      <c r="A202" s="456"/>
      <c r="B202" s="456"/>
      <c r="C202" s="456"/>
      <c r="D202" s="456"/>
      <c r="E202" s="456"/>
      <c r="F202" s="456"/>
      <c r="G202" s="456"/>
      <c r="H202" s="456"/>
      <c r="I202" s="456"/>
      <c r="J202" s="456"/>
      <c r="K202" s="456"/>
      <c r="L202" s="456"/>
      <c r="M202" s="456"/>
      <c r="N202" s="456"/>
      <c r="O202" s="456"/>
      <c r="P202" s="456"/>
      <c r="Q202" s="456"/>
      <c r="R202" s="456"/>
      <c r="S202" s="456"/>
      <c r="T202" s="456"/>
      <c r="U202" s="456"/>
      <c r="V202" s="456"/>
      <c r="W202" s="456"/>
      <c r="X202" s="456"/>
      <c r="Y202" s="456"/>
      <c r="Z202" s="456"/>
    </row>
    <row r="203" spans="1:26" ht="11.25" customHeight="1">
      <c r="A203" s="456"/>
      <c r="B203" s="456"/>
      <c r="C203" s="456"/>
      <c r="D203" s="456"/>
      <c r="E203" s="456"/>
      <c r="F203" s="456"/>
      <c r="G203" s="456"/>
      <c r="H203" s="456"/>
      <c r="I203" s="456"/>
      <c r="J203" s="456"/>
      <c r="K203" s="456"/>
      <c r="L203" s="456"/>
      <c r="M203" s="456"/>
      <c r="N203" s="456"/>
      <c r="O203" s="456"/>
      <c r="P203" s="456"/>
      <c r="Q203" s="456"/>
      <c r="R203" s="456"/>
      <c r="S203" s="456"/>
      <c r="T203" s="456"/>
      <c r="U203" s="456"/>
      <c r="V203" s="456"/>
      <c r="W203" s="456"/>
      <c r="X203" s="456"/>
      <c r="Y203" s="456"/>
      <c r="Z203" s="456"/>
    </row>
    <row r="204" spans="1:26" ht="11.25" customHeight="1">
      <c r="A204" s="456"/>
      <c r="B204" s="456"/>
      <c r="C204" s="456"/>
      <c r="D204" s="456"/>
      <c r="E204" s="456"/>
      <c r="F204" s="456"/>
      <c r="G204" s="456"/>
      <c r="H204" s="456"/>
      <c r="I204" s="456"/>
      <c r="J204" s="456"/>
      <c r="K204" s="456"/>
      <c r="L204" s="456"/>
      <c r="M204" s="456"/>
      <c r="N204" s="456"/>
      <c r="O204" s="456"/>
      <c r="P204" s="456"/>
      <c r="Q204" s="456"/>
      <c r="R204" s="456"/>
      <c r="S204" s="456"/>
      <c r="T204" s="456"/>
      <c r="U204" s="456"/>
      <c r="V204" s="456"/>
      <c r="W204" s="456"/>
      <c r="X204" s="456"/>
      <c r="Y204" s="456"/>
      <c r="Z204" s="456"/>
    </row>
    <row r="205" spans="1:26" ht="11.25" customHeight="1">
      <c r="A205" s="456"/>
      <c r="B205" s="456"/>
      <c r="C205" s="456"/>
      <c r="D205" s="456"/>
      <c r="E205" s="456"/>
      <c r="F205" s="456"/>
      <c r="G205" s="456"/>
      <c r="H205" s="456"/>
      <c r="I205" s="456"/>
      <c r="J205" s="456"/>
      <c r="K205" s="456"/>
      <c r="L205" s="456"/>
      <c r="M205" s="456"/>
      <c r="N205" s="456"/>
      <c r="O205" s="456"/>
      <c r="P205" s="456"/>
      <c r="Q205" s="456"/>
      <c r="R205" s="456"/>
      <c r="S205" s="456"/>
      <c r="T205" s="456"/>
      <c r="U205" s="456"/>
      <c r="V205" s="456"/>
      <c r="W205" s="456"/>
      <c r="X205" s="456"/>
      <c r="Y205" s="456"/>
      <c r="Z205" s="456"/>
    </row>
    <row r="206" spans="1:26" ht="11.25" customHeight="1">
      <c r="A206" s="456"/>
      <c r="B206" s="456"/>
      <c r="C206" s="456"/>
      <c r="D206" s="456"/>
      <c r="E206" s="456"/>
      <c r="F206" s="456"/>
      <c r="G206" s="456"/>
      <c r="H206" s="456"/>
      <c r="I206" s="456"/>
      <c r="J206" s="456"/>
      <c r="K206" s="456"/>
      <c r="L206" s="456"/>
      <c r="M206" s="456"/>
      <c r="N206" s="456"/>
      <c r="O206" s="456"/>
      <c r="P206" s="456"/>
      <c r="Q206" s="456"/>
      <c r="R206" s="456"/>
      <c r="S206" s="456"/>
      <c r="T206" s="456"/>
      <c r="U206" s="456"/>
      <c r="V206" s="456"/>
      <c r="W206" s="456"/>
      <c r="X206" s="456"/>
      <c r="Y206" s="456"/>
      <c r="Z206" s="456"/>
    </row>
    <row r="207" spans="1:26" ht="11.25" customHeight="1">
      <c r="A207" s="456"/>
      <c r="B207" s="456"/>
      <c r="C207" s="456"/>
      <c r="D207" s="456"/>
      <c r="E207" s="456"/>
      <c r="F207" s="456"/>
      <c r="G207" s="456"/>
      <c r="H207" s="456"/>
      <c r="I207" s="456"/>
      <c r="J207" s="456"/>
      <c r="K207" s="456"/>
      <c r="L207" s="456"/>
      <c r="M207" s="456"/>
      <c r="N207" s="456"/>
      <c r="O207" s="456"/>
      <c r="P207" s="456"/>
      <c r="Q207" s="456"/>
      <c r="R207" s="456"/>
      <c r="S207" s="456"/>
      <c r="T207" s="456"/>
      <c r="U207" s="456"/>
      <c r="V207" s="456"/>
      <c r="W207" s="456"/>
      <c r="X207" s="456"/>
      <c r="Y207" s="456"/>
      <c r="Z207" s="456"/>
    </row>
    <row r="208" spans="1:26" ht="11.25" customHeight="1">
      <c r="A208" s="456"/>
      <c r="B208" s="456"/>
      <c r="C208" s="456"/>
      <c r="D208" s="456"/>
      <c r="E208" s="456"/>
      <c r="F208" s="456"/>
      <c r="G208" s="456"/>
      <c r="H208" s="456"/>
      <c r="I208" s="456"/>
      <c r="J208" s="456"/>
      <c r="K208" s="456"/>
      <c r="L208" s="456"/>
      <c r="M208" s="456"/>
      <c r="N208" s="456"/>
      <c r="O208" s="456"/>
      <c r="P208" s="456"/>
      <c r="Q208" s="456"/>
      <c r="R208" s="456"/>
      <c r="S208" s="456"/>
      <c r="T208" s="456"/>
      <c r="U208" s="456"/>
      <c r="V208" s="456"/>
      <c r="W208" s="456"/>
      <c r="X208" s="456"/>
      <c r="Y208" s="456"/>
      <c r="Z208" s="456"/>
    </row>
    <row r="209" spans="1:26" ht="11.25" customHeight="1">
      <c r="A209" s="456"/>
      <c r="B209" s="456"/>
      <c r="C209" s="456"/>
      <c r="D209" s="456"/>
      <c r="E209" s="456"/>
      <c r="F209" s="456"/>
      <c r="G209" s="456"/>
      <c r="H209" s="456"/>
      <c r="I209" s="456"/>
      <c r="J209" s="456"/>
      <c r="K209" s="456"/>
      <c r="L209" s="456"/>
      <c r="M209" s="456"/>
      <c r="N209" s="456"/>
      <c r="O209" s="456"/>
      <c r="P209" s="456"/>
      <c r="Q209" s="456"/>
      <c r="R209" s="456"/>
      <c r="S209" s="456"/>
      <c r="T209" s="456"/>
      <c r="U209" s="456"/>
      <c r="V209" s="456"/>
      <c r="W209" s="456"/>
      <c r="X209" s="456"/>
      <c r="Y209" s="456"/>
      <c r="Z209" s="456"/>
    </row>
    <row r="210" spans="1:26" ht="11.25" customHeight="1">
      <c r="A210" s="456"/>
      <c r="B210" s="456"/>
      <c r="C210" s="456"/>
      <c r="D210" s="456"/>
      <c r="E210" s="456"/>
      <c r="F210" s="456"/>
      <c r="G210" s="456"/>
      <c r="H210" s="456"/>
      <c r="I210" s="456"/>
      <c r="J210" s="456"/>
      <c r="K210" s="456"/>
      <c r="L210" s="456"/>
      <c r="M210" s="456"/>
      <c r="N210" s="456"/>
      <c r="O210" s="456"/>
      <c r="P210" s="456"/>
      <c r="Q210" s="456"/>
      <c r="R210" s="456"/>
      <c r="S210" s="456"/>
      <c r="T210" s="456"/>
      <c r="U210" s="456"/>
      <c r="V210" s="456"/>
      <c r="W210" s="456"/>
      <c r="X210" s="456"/>
      <c r="Y210" s="456"/>
      <c r="Z210" s="456"/>
    </row>
    <row r="211" spans="1:26" ht="11.25" customHeight="1">
      <c r="A211" s="456"/>
      <c r="B211" s="456"/>
      <c r="C211" s="456"/>
      <c r="D211" s="456"/>
      <c r="E211" s="456"/>
      <c r="F211" s="456"/>
      <c r="G211" s="456"/>
      <c r="H211" s="456"/>
      <c r="I211" s="456"/>
      <c r="J211" s="456"/>
      <c r="K211" s="456"/>
      <c r="L211" s="456"/>
      <c r="M211" s="456"/>
      <c r="N211" s="456"/>
      <c r="O211" s="456"/>
      <c r="P211" s="456"/>
      <c r="Q211" s="456"/>
      <c r="R211" s="456"/>
      <c r="S211" s="456"/>
      <c r="T211" s="456"/>
      <c r="U211" s="456"/>
      <c r="V211" s="456"/>
      <c r="W211" s="456"/>
      <c r="X211" s="456"/>
      <c r="Y211" s="456"/>
      <c r="Z211" s="456"/>
    </row>
    <row r="212" spans="1:26" ht="11.25" customHeight="1">
      <c r="A212" s="456"/>
      <c r="B212" s="456"/>
      <c r="C212" s="456"/>
      <c r="D212" s="456"/>
      <c r="E212" s="456"/>
      <c r="F212" s="456"/>
      <c r="G212" s="456"/>
      <c r="H212" s="456"/>
      <c r="I212" s="456"/>
      <c r="J212" s="456"/>
      <c r="K212" s="456"/>
      <c r="L212" s="456"/>
      <c r="M212" s="456"/>
      <c r="N212" s="456"/>
      <c r="O212" s="456"/>
      <c r="P212" s="456"/>
      <c r="Q212" s="456"/>
      <c r="R212" s="456"/>
      <c r="S212" s="456"/>
      <c r="T212" s="456"/>
      <c r="U212" s="456"/>
      <c r="V212" s="456"/>
      <c r="W212" s="456"/>
      <c r="X212" s="456"/>
      <c r="Y212" s="456"/>
      <c r="Z212" s="456"/>
    </row>
    <row r="213" spans="1:26" ht="11.25" customHeight="1">
      <c r="A213" s="456"/>
      <c r="B213" s="456"/>
      <c r="C213" s="456"/>
      <c r="D213" s="456"/>
      <c r="E213" s="456"/>
      <c r="F213" s="456"/>
      <c r="G213" s="456"/>
      <c r="H213" s="456"/>
      <c r="I213" s="456"/>
      <c r="J213" s="456"/>
      <c r="K213" s="456"/>
      <c r="L213" s="456"/>
      <c r="M213" s="456"/>
      <c r="N213" s="456"/>
      <c r="O213" s="456"/>
      <c r="P213" s="456"/>
      <c r="Q213" s="456"/>
      <c r="R213" s="456"/>
      <c r="S213" s="456"/>
      <c r="T213" s="456"/>
      <c r="U213" s="456"/>
      <c r="V213" s="456"/>
      <c r="W213" s="456"/>
      <c r="X213" s="456"/>
      <c r="Y213" s="456"/>
      <c r="Z213" s="456"/>
    </row>
    <row r="214" spans="1:26" ht="11.25" customHeight="1">
      <c r="A214" s="456"/>
      <c r="B214" s="456"/>
      <c r="C214" s="456"/>
      <c r="D214" s="456"/>
      <c r="E214" s="456"/>
      <c r="F214" s="456"/>
      <c r="G214" s="456"/>
      <c r="H214" s="456"/>
      <c r="I214" s="456"/>
      <c r="J214" s="456"/>
      <c r="K214" s="456"/>
      <c r="L214" s="456"/>
      <c r="M214" s="456"/>
      <c r="N214" s="456"/>
      <c r="O214" s="456"/>
      <c r="P214" s="456"/>
      <c r="Q214" s="456"/>
      <c r="R214" s="456"/>
      <c r="S214" s="456"/>
      <c r="T214" s="456"/>
      <c r="U214" s="456"/>
      <c r="V214" s="456"/>
      <c r="W214" s="456"/>
      <c r="X214" s="456"/>
      <c r="Y214" s="456"/>
      <c r="Z214" s="456"/>
    </row>
    <row r="215" spans="1:26" ht="11.25" customHeight="1">
      <c r="A215" s="456"/>
      <c r="B215" s="456"/>
      <c r="C215" s="456"/>
      <c r="D215" s="456"/>
      <c r="E215" s="456"/>
      <c r="F215" s="456"/>
      <c r="G215" s="456"/>
      <c r="H215" s="456"/>
      <c r="I215" s="456"/>
      <c r="J215" s="456"/>
      <c r="K215" s="456"/>
      <c r="L215" s="456"/>
      <c r="M215" s="456"/>
      <c r="N215" s="456"/>
      <c r="O215" s="456"/>
      <c r="P215" s="456"/>
      <c r="Q215" s="456"/>
      <c r="R215" s="456"/>
      <c r="S215" s="456"/>
      <c r="T215" s="456"/>
      <c r="U215" s="456"/>
      <c r="V215" s="456"/>
      <c r="W215" s="456"/>
      <c r="X215" s="456"/>
      <c r="Y215" s="456"/>
      <c r="Z215" s="456"/>
    </row>
    <row r="216" spans="1:26" ht="11.25" customHeight="1">
      <c r="A216" s="456"/>
      <c r="B216" s="456"/>
      <c r="C216" s="456"/>
      <c r="D216" s="456"/>
      <c r="E216" s="456"/>
      <c r="F216" s="456"/>
      <c r="G216" s="456"/>
      <c r="H216" s="456"/>
      <c r="I216" s="456"/>
      <c r="J216" s="456"/>
      <c r="K216" s="456"/>
      <c r="L216" s="456"/>
      <c r="M216" s="456"/>
      <c r="N216" s="456"/>
      <c r="O216" s="456"/>
      <c r="P216" s="456"/>
      <c r="Q216" s="456"/>
      <c r="R216" s="456"/>
      <c r="S216" s="456"/>
      <c r="T216" s="456"/>
      <c r="U216" s="456"/>
      <c r="V216" s="456"/>
      <c r="W216" s="456"/>
      <c r="X216" s="456"/>
      <c r="Y216" s="456"/>
      <c r="Z216" s="456"/>
    </row>
    <row r="217" spans="1:26" ht="11.25" customHeight="1">
      <c r="A217" s="456"/>
      <c r="B217" s="456"/>
      <c r="C217" s="456"/>
      <c r="D217" s="456"/>
      <c r="E217" s="456"/>
      <c r="F217" s="456"/>
      <c r="G217" s="456"/>
      <c r="H217" s="456"/>
      <c r="I217" s="456"/>
      <c r="J217" s="456"/>
      <c r="K217" s="456"/>
      <c r="L217" s="456"/>
      <c r="M217" s="456"/>
      <c r="N217" s="456"/>
      <c r="O217" s="456"/>
      <c r="P217" s="456"/>
      <c r="Q217" s="456"/>
      <c r="R217" s="456"/>
      <c r="S217" s="456"/>
      <c r="T217" s="456"/>
      <c r="U217" s="456"/>
      <c r="V217" s="456"/>
      <c r="W217" s="456"/>
      <c r="X217" s="456"/>
      <c r="Y217" s="456"/>
      <c r="Z217" s="456"/>
    </row>
    <row r="218" spans="1:26" ht="11.25" customHeight="1">
      <c r="A218" s="456"/>
      <c r="B218" s="456"/>
      <c r="C218" s="456"/>
      <c r="D218" s="456"/>
      <c r="E218" s="456"/>
      <c r="F218" s="456"/>
      <c r="G218" s="456"/>
      <c r="H218" s="456"/>
      <c r="I218" s="456"/>
      <c r="J218" s="456"/>
      <c r="K218" s="456"/>
      <c r="L218" s="456"/>
      <c r="M218" s="456"/>
      <c r="N218" s="456"/>
      <c r="O218" s="456"/>
      <c r="P218" s="456"/>
      <c r="Q218" s="456"/>
      <c r="R218" s="456"/>
      <c r="S218" s="456"/>
      <c r="T218" s="456"/>
      <c r="U218" s="456"/>
      <c r="V218" s="456"/>
      <c r="W218" s="456"/>
      <c r="X218" s="456"/>
      <c r="Y218" s="456"/>
      <c r="Z218" s="456"/>
    </row>
    <row r="219" spans="1:26" ht="11.25" customHeight="1">
      <c r="A219" s="456"/>
      <c r="B219" s="456"/>
      <c r="C219" s="456"/>
      <c r="D219" s="456"/>
      <c r="E219" s="456"/>
      <c r="F219" s="456"/>
      <c r="G219" s="456"/>
      <c r="H219" s="456"/>
      <c r="I219" s="456"/>
      <c r="J219" s="456"/>
      <c r="K219" s="456"/>
      <c r="L219" s="456"/>
      <c r="M219" s="456"/>
      <c r="N219" s="456"/>
      <c r="O219" s="456"/>
      <c r="P219" s="456"/>
      <c r="Q219" s="456"/>
      <c r="R219" s="456"/>
      <c r="S219" s="456"/>
      <c r="T219" s="456"/>
      <c r="U219" s="456"/>
      <c r="V219" s="456"/>
      <c r="W219" s="456"/>
      <c r="X219" s="456"/>
      <c r="Y219" s="456"/>
      <c r="Z219" s="456"/>
    </row>
    <row r="220" spans="1:26" ht="11.25" customHeight="1">
      <c r="A220" s="456"/>
      <c r="B220" s="456"/>
      <c r="C220" s="456"/>
      <c r="D220" s="456"/>
      <c r="E220" s="456"/>
      <c r="F220" s="456"/>
      <c r="G220" s="456"/>
      <c r="H220" s="456"/>
      <c r="I220" s="456"/>
      <c r="J220" s="456"/>
      <c r="K220" s="456"/>
      <c r="L220" s="456"/>
      <c r="M220" s="456"/>
      <c r="N220" s="456"/>
      <c r="O220" s="456"/>
      <c r="P220" s="456"/>
      <c r="Q220" s="456"/>
      <c r="R220" s="456"/>
      <c r="S220" s="456"/>
      <c r="T220" s="456"/>
      <c r="U220" s="456"/>
      <c r="V220" s="456"/>
      <c r="W220" s="456"/>
      <c r="X220" s="456"/>
      <c r="Y220" s="456"/>
      <c r="Z220" s="456"/>
    </row>
    <row r="221" spans="1:26" ht="11.25" customHeight="1">
      <c r="A221" s="456"/>
      <c r="B221" s="456"/>
      <c r="C221" s="456"/>
      <c r="D221" s="456"/>
      <c r="E221" s="456"/>
      <c r="F221" s="456"/>
      <c r="G221" s="456"/>
      <c r="H221" s="456"/>
      <c r="I221" s="456"/>
      <c r="J221" s="456"/>
      <c r="K221" s="456"/>
      <c r="L221" s="456"/>
      <c r="M221" s="456"/>
      <c r="N221" s="456"/>
      <c r="O221" s="456"/>
      <c r="P221" s="456"/>
      <c r="Q221" s="456"/>
      <c r="R221" s="456"/>
      <c r="S221" s="456"/>
      <c r="T221" s="456"/>
      <c r="U221" s="456"/>
      <c r="V221" s="456"/>
      <c r="W221" s="456"/>
      <c r="X221" s="456"/>
      <c r="Y221" s="456"/>
      <c r="Z221" s="456"/>
    </row>
    <row r="222" spans="1:26" ht="11.25" customHeight="1">
      <c r="A222" s="456"/>
      <c r="B222" s="456"/>
      <c r="C222" s="456"/>
      <c r="D222" s="456"/>
      <c r="E222" s="456"/>
      <c r="F222" s="456"/>
      <c r="G222" s="456"/>
      <c r="H222" s="456"/>
      <c r="I222" s="456"/>
      <c r="J222" s="456"/>
      <c r="K222" s="456"/>
      <c r="L222" s="456"/>
      <c r="M222" s="456"/>
      <c r="N222" s="456"/>
      <c r="O222" s="456"/>
      <c r="P222" s="456"/>
      <c r="Q222" s="456"/>
      <c r="R222" s="456"/>
      <c r="S222" s="456"/>
      <c r="T222" s="456"/>
      <c r="U222" s="456"/>
      <c r="V222" s="456"/>
      <c r="W222" s="456"/>
      <c r="X222" s="456"/>
      <c r="Y222" s="456"/>
      <c r="Z222" s="456"/>
    </row>
    <row r="223" spans="1:26" ht="11.25" customHeight="1">
      <c r="A223" s="456"/>
      <c r="B223" s="456"/>
      <c r="C223" s="456"/>
      <c r="D223" s="456"/>
      <c r="E223" s="456"/>
      <c r="F223" s="456"/>
      <c r="G223" s="456"/>
      <c r="H223" s="456"/>
      <c r="I223" s="456"/>
      <c r="J223" s="456"/>
      <c r="K223" s="456"/>
      <c r="L223" s="456"/>
      <c r="M223" s="456"/>
      <c r="N223" s="456"/>
      <c r="O223" s="456"/>
      <c r="P223" s="456"/>
      <c r="Q223" s="456"/>
      <c r="R223" s="456"/>
      <c r="S223" s="456"/>
      <c r="T223" s="456"/>
      <c r="U223" s="456"/>
      <c r="V223" s="456"/>
      <c r="W223" s="456"/>
      <c r="X223" s="456"/>
      <c r="Y223" s="456"/>
      <c r="Z223" s="456"/>
    </row>
    <row r="224" spans="1:26" ht="11.25" customHeight="1">
      <c r="A224" s="456"/>
      <c r="B224" s="456"/>
      <c r="C224" s="456"/>
      <c r="D224" s="456"/>
      <c r="E224" s="456"/>
      <c r="F224" s="456"/>
      <c r="G224" s="456"/>
      <c r="H224" s="456"/>
      <c r="I224" s="456"/>
      <c r="J224" s="456"/>
      <c r="K224" s="456"/>
      <c r="L224" s="456"/>
      <c r="M224" s="456"/>
      <c r="N224" s="456"/>
      <c r="O224" s="456"/>
      <c r="P224" s="456"/>
      <c r="Q224" s="456"/>
      <c r="R224" s="456"/>
      <c r="S224" s="456"/>
      <c r="T224" s="456"/>
      <c r="U224" s="456"/>
      <c r="V224" s="456"/>
      <c r="W224" s="456"/>
      <c r="X224" s="456"/>
      <c r="Y224" s="456"/>
      <c r="Z224" s="456"/>
    </row>
    <row r="225" spans="1:26" ht="11.25" customHeight="1">
      <c r="A225" s="456"/>
      <c r="B225" s="456"/>
      <c r="C225" s="456"/>
      <c r="D225" s="456"/>
      <c r="E225" s="456"/>
      <c r="F225" s="456"/>
      <c r="G225" s="456"/>
      <c r="H225" s="456"/>
      <c r="I225" s="456"/>
      <c r="J225" s="456"/>
      <c r="K225" s="456"/>
      <c r="L225" s="456"/>
      <c r="M225" s="456"/>
      <c r="N225" s="456"/>
      <c r="O225" s="456"/>
      <c r="P225" s="456"/>
      <c r="Q225" s="456"/>
      <c r="R225" s="456"/>
      <c r="S225" s="456"/>
      <c r="T225" s="456"/>
      <c r="U225" s="456"/>
      <c r="V225" s="456"/>
      <c r="W225" s="456"/>
      <c r="X225" s="456"/>
      <c r="Y225" s="456"/>
      <c r="Z225" s="456"/>
    </row>
    <row r="226" spans="1:26" ht="11.25" customHeight="1">
      <c r="A226" s="456"/>
      <c r="B226" s="456"/>
      <c r="C226" s="456"/>
      <c r="D226" s="456"/>
      <c r="E226" s="456"/>
      <c r="F226" s="456"/>
      <c r="G226" s="456"/>
      <c r="H226" s="456"/>
      <c r="I226" s="456"/>
      <c r="J226" s="456"/>
      <c r="K226" s="456"/>
      <c r="L226" s="456"/>
      <c r="M226" s="456"/>
      <c r="N226" s="456"/>
      <c r="O226" s="456"/>
      <c r="P226" s="456"/>
      <c r="Q226" s="456"/>
      <c r="R226" s="456"/>
      <c r="S226" s="456"/>
      <c r="T226" s="456"/>
      <c r="U226" s="456"/>
      <c r="V226" s="456"/>
      <c r="W226" s="456"/>
      <c r="X226" s="456"/>
      <c r="Y226" s="456"/>
      <c r="Z226" s="456"/>
    </row>
    <row r="227" spans="1:26" ht="11.25" customHeight="1">
      <c r="A227" s="456"/>
      <c r="B227" s="456"/>
      <c r="C227" s="456"/>
      <c r="D227" s="456"/>
      <c r="E227" s="456"/>
      <c r="F227" s="456"/>
      <c r="G227" s="456"/>
      <c r="H227" s="456"/>
      <c r="I227" s="456"/>
      <c r="J227" s="456"/>
      <c r="K227" s="456"/>
      <c r="L227" s="456"/>
      <c r="M227" s="456"/>
      <c r="N227" s="456"/>
      <c r="O227" s="456"/>
      <c r="P227" s="456"/>
      <c r="Q227" s="456"/>
      <c r="R227" s="456"/>
      <c r="S227" s="456"/>
      <c r="T227" s="456"/>
      <c r="U227" s="456"/>
      <c r="V227" s="456"/>
      <c r="W227" s="456"/>
      <c r="X227" s="456"/>
      <c r="Y227" s="456"/>
      <c r="Z227" s="456"/>
    </row>
    <row r="228" spans="1:26" ht="11.25" customHeight="1">
      <c r="A228" s="456"/>
      <c r="B228" s="456"/>
      <c r="C228" s="456"/>
      <c r="D228" s="456"/>
      <c r="E228" s="456"/>
      <c r="F228" s="456"/>
      <c r="G228" s="456"/>
      <c r="H228" s="456"/>
      <c r="I228" s="456"/>
      <c r="J228" s="456"/>
      <c r="K228" s="456"/>
      <c r="L228" s="456"/>
      <c r="M228" s="456"/>
      <c r="N228" s="456"/>
      <c r="O228" s="456"/>
      <c r="P228" s="456"/>
      <c r="Q228" s="456"/>
      <c r="R228" s="456"/>
      <c r="S228" s="456"/>
      <c r="T228" s="456"/>
      <c r="U228" s="456"/>
      <c r="V228" s="456"/>
      <c r="W228" s="456"/>
      <c r="X228" s="456"/>
      <c r="Y228" s="456"/>
      <c r="Z228" s="456"/>
    </row>
    <row r="229" spans="1:26" ht="11.25" customHeight="1">
      <c r="A229" s="456"/>
      <c r="B229" s="456"/>
      <c r="C229" s="456"/>
      <c r="D229" s="456"/>
      <c r="E229" s="456"/>
      <c r="F229" s="456"/>
      <c r="G229" s="456"/>
      <c r="H229" s="456"/>
      <c r="I229" s="456"/>
      <c r="J229" s="456"/>
      <c r="K229" s="456"/>
      <c r="L229" s="456"/>
      <c r="M229" s="456"/>
      <c r="N229" s="456"/>
      <c r="O229" s="456"/>
      <c r="P229" s="456"/>
      <c r="Q229" s="456"/>
      <c r="R229" s="456"/>
      <c r="S229" s="456"/>
      <c r="T229" s="456"/>
      <c r="U229" s="456"/>
      <c r="V229" s="456"/>
      <c r="W229" s="456"/>
      <c r="X229" s="456"/>
      <c r="Y229" s="456"/>
      <c r="Z229" s="456"/>
    </row>
    <row r="230" spans="1:26" ht="11.25" customHeight="1">
      <c r="A230" s="456"/>
      <c r="B230" s="456"/>
      <c r="C230" s="456"/>
      <c r="D230" s="456"/>
      <c r="E230" s="456"/>
      <c r="F230" s="456"/>
      <c r="G230" s="456"/>
      <c r="H230" s="456"/>
      <c r="I230" s="456"/>
      <c r="J230" s="456"/>
      <c r="K230" s="456"/>
      <c r="L230" s="456"/>
      <c r="M230" s="456"/>
      <c r="N230" s="456"/>
      <c r="O230" s="456"/>
      <c r="P230" s="456"/>
      <c r="Q230" s="456"/>
      <c r="R230" s="456"/>
      <c r="S230" s="456"/>
      <c r="T230" s="456"/>
      <c r="U230" s="456"/>
      <c r="V230" s="456"/>
      <c r="W230" s="456"/>
      <c r="X230" s="456"/>
      <c r="Y230" s="456"/>
      <c r="Z230" s="456"/>
    </row>
    <row r="231" spans="1:26" ht="11.25" customHeight="1">
      <c r="A231" s="456"/>
      <c r="B231" s="456"/>
      <c r="C231" s="456"/>
      <c r="D231" s="456"/>
      <c r="E231" s="456"/>
      <c r="F231" s="456"/>
      <c r="G231" s="456"/>
      <c r="H231" s="456"/>
      <c r="I231" s="456"/>
      <c r="J231" s="456"/>
      <c r="K231" s="456"/>
      <c r="L231" s="456"/>
      <c r="M231" s="456"/>
      <c r="N231" s="456"/>
      <c r="O231" s="456"/>
      <c r="P231" s="456"/>
      <c r="Q231" s="456"/>
      <c r="R231" s="456"/>
      <c r="S231" s="456"/>
      <c r="T231" s="456"/>
      <c r="U231" s="456"/>
      <c r="V231" s="456"/>
      <c r="W231" s="456"/>
      <c r="X231" s="456"/>
      <c r="Y231" s="456"/>
      <c r="Z231" s="456"/>
    </row>
    <row r="232" spans="1:26" ht="11.25" customHeight="1">
      <c r="A232" s="456"/>
      <c r="B232" s="456"/>
      <c r="C232" s="456"/>
      <c r="D232" s="456"/>
      <c r="E232" s="456"/>
      <c r="F232" s="456"/>
      <c r="G232" s="456"/>
      <c r="H232" s="456"/>
      <c r="I232" s="456"/>
      <c r="J232" s="456"/>
      <c r="K232" s="456"/>
      <c r="L232" s="456"/>
      <c r="M232" s="456"/>
      <c r="N232" s="456"/>
      <c r="O232" s="456"/>
      <c r="P232" s="456"/>
      <c r="Q232" s="456"/>
      <c r="R232" s="456"/>
      <c r="S232" s="456"/>
      <c r="T232" s="456"/>
      <c r="U232" s="456"/>
      <c r="V232" s="456"/>
      <c r="W232" s="456"/>
      <c r="X232" s="456"/>
      <c r="Y232" s="456"/>
      <c r="Z232" s="456"/>
    </row>
    <row r="233" spans="1:26" ht="11.25" customHeight="1">
      <c r="A233" s="456"/>
      <c r="B233" s="456"/>
      <c r="C233" s="456"/>
      <c r="D233" s="456"/>
      <c r="E233" s="456"/>
      <c r="F233" s="456"/>
      <c r="G233" s="456"/>
      <c r="H233" s="456"/>
      <c r="I233" s="456"/>
      <c r="J233" s="456"/>
      <c r="K233" s="456"/>
      <c r="L233" s="456"/>
      <c r="M233" s="456"/>
      <c r="N233" s="456"/>
      <c r="O233" s="456"/>
      <c r="P233" s="456"/>
      <c r="Q233" s="456"/>
      <c r="R233" s="456"/>
      <c r="S233" s="456"/>
      <c r="T233" s="456"/>
      <c r="U233" s="456"/>
      <c r="V233" s="456"/>
      <c r="W233" s="456"/>
      <c r="X233" s="456"/>
      <c r="Y233" s="456"/>
      <c r="Z233" s="456"/>
    </row>
    <row r="234" spans="1:26" ht="11.25" customHeight="1">
      <c r="A234" s="456"/>
      <c r="B234" s="456"/>
      <c r="C234" s="456"/>
      <c r="D234" s="456"/>
      <c r="E234" s="456"/>
      <c r="F234" s="456"/>
      <c r="G234" s="456"/>
      <c r="H234" s="456"/>
      <c r="I234" s="456"/>
      <c r="J234" s="456"/>
      <c r="K234" s="456"/>
      <c r="L234" s="456"/>
      <c r="M234" s="456"/>
      <c r="N234" s="456"/>
      <c r="O234" s="456"/>
      <c r="P234" s="456"/>
      <c r="Q234" s="456"/>
      <c r="R234" s="456"/>
      <c r="S234" s="456"/>
      <c r="T234" s="456"/>
      <c r="U234" s="456"/>
      <c r="V234" s="456"/>
      <c r="W234" s="456"/>
      <c r="X234" s="456"/>
      <c r="Y234" s="456"/>
      <c r="Z234" s="456"/>
    </row>
    <row r="235" spans="1:26" ht="11.25" customHeight="1">
      <c r="A235" s="456"/>
      <c r="B235" s="456"/>
      <c r="C235" s="456"/>
      <c r="D235" s="456"/>
      <c r="E235" s="456"/>
      <c r="F235" s="456"/>
      <c r="G235" s="456"/>
      <c r="H235" s="456"/>
      <c r="I235" s="456"/>
      <c r="J235" s="456"/>
      <c r="K235" s="456"/>
      <c r="L235" s="456"/>
      <c r="M235" s="456"/>
      <c r="N235" s="456"/>
      <c r="O235" s="456"/>
      <c r="P235" s="456"/>
      <c r="Q235" s="456"/>
      <c r="R235" s="456"/>
      <c r="S235" s="456"/>
      <c r="T235" s="456"/>
      <c r="U235" s="456"/>
      <c r="V235" s="456"/>
      <c r="W235" s="456"/>
      <c r="X235" s="456"/>
      <c r="Y235" s="456"/>
      <c r="Z235" s="456"/>
    </row>
    <row r="236" spans="1:26" ht="11.25" customHeight="1">
      <c r="A236" s="456"/>
      <c r="B236" s="456"/>
      <c r="C236" s="456"/>
      <c r="D236" s="456"/>
      <c r="E236" s="456"/>
      <c r="F236" s="456"/>
      <c r="G236" s="456"/>
      <c r="H236" s="456"/>
      <c r="I236" s="456"/>
      <c r="J236" s="456"/>
      <c r="K236" s="456"/>
      <c r="L236" s="456"/>
      <c r="M236" s="456"/>
      <c r="N236" s="456"/>
      <c r="O236" s="456"/>
      <c r="P236" s="456"/>
      <c r="Q236" s="456"/>
      <c r="R236" s="456"/>
      <c r="S236" s="456"/>
      <c r="T236" s="456"/>
      <c r="U236" s="456"/>
      <c r="V236" s="456"/>
      <c r="W236" s="456"/>
      <c r="X236" s="456"/>
      <c r="Y236" s="456"/>
      <c r="Z236" s="456"/>
    </row>
    <row r="237" spans="1:26" ht="11.25" customHeight="1">
      <c r="A237" s="456"/>
      <c r="B237" s="456"/>
      <c r="C237" s="456"/>
      <c r="D237" s="456"/>
      <c r="E237" s="456"/>
      <c r="F237" s="456"/>
      <c r="G237" s="456"/>
      <c r="H237" s="456"/>
      <c r="I237" s="456"/>
      <c r="J237" s="456"/>
      <c r="K237" s="456"/>
      <c r="L237" s="456"/>
      <c r="M237" s="456"/>
      <c r="N237" s="456"/>
      <c r="O237" s="456"/>
      <c r="P237" s="456"/>
      <c r="Q237" s="456"/>
      <c r="R237" s="456"/>
      <c r="S237" s="456"/>
      <c r="T237" s="456"/>
      <c r="U237" s="456"/>
      <c r="V237" s="456"/>
      <c r="W237" s="456"/>
      <c r="X237" s="456"/>
      <c r="Y237" s="456"/>
      <c r="Z237" s="456"/>
    </row>
    <row r="238" spans="1:26" ht="11.25" customHeight="1">
      <c r="A238" s="456"/>
      <c r="B238" s="456"/>
      <c r="C238" s="456"/>
      <c r="D238" s="456"/>
      <c r="E238" s="456"/>
      <c r="F238" s="456"/>
      <c r="G238" s="456"/>
      <c r="H238" s="456"/>
      <c r="I238" s="456"/>
      <c r="J238" s="456"/>
      <c r="K238" s="456"/>
      <c r="L238" s="456"/>
      <c r="M238" s="456"/>
      <c r="N238" s="456"/>
      <c r="O238" s="456"/>
      <c r="P238" s="456"/>
      <c r="Q238" s="456"/>
      <c r="R238" s="456"/>
      <c r="S238" s="456"/>
      <c r="T238" s="456"/>
      <c r="U238" s="456"/>
      <c r="V238" s="456"/>
      <c r="W238" s="456"/>
      <c r="X238" s="456"/>
      <c r="Y238" s="456"/>
      <c r="Z238" s="456"/>
    </row>
    <row r="239" spans="1:26" ht="11.25" customHeight="1">
      <c r="A239" s="456"/>
      <c r="B239" s="456"/>
      <c r="C239" s="456"/>
      <c r="D239" s="456"/>
      <c r="E239" s="456"/>
      <c r="F239" s="456"/>
      <c r="G239" s="456"/>
      <c r="H239" s="456"/>
      <c r="I239" s="456"/>
      <c r="J239" s="456"/>
      <c r="K239" s="456"/>
      <c r="L239" s="456"/>
      <c r="M239" s="456"/>
      <c r="N239" s="456"/>
      <c r="O239" s="456"/>
      <c r="P239" s="456"/>
      <c r="Q239" s="456"/>
      <c r="R239" s="456"/>
      <c r="S239" s="456"/>
      <c r="T239" s="456"/>
      <c r="U239" s="456"/>
      <c r="V239" s="456"/>
      <c r="W239" s="456"/>
      <c r="X239" s="456"/>
      <c r="Y239" s="456"/>
      <c r="Z239" s="456"/>
    </row>
    <row r="240" spans="1:26" ht="11.25" customHeight="1">
      <c r="A240" s="456"/>
      <c r="B240" s="456"/>
      <c r="C240" s="456"/>
      <c r="D240" s="456"/>
      <c r="E240" s="456"/>
      <c r="F240" s="456"/>
      <c r="G240" s="456"/>
      <c r="H240" s="456"/>
      <c r="I240" s="456"/>
      <c r="J240" s="456"/>
      <c r="K240" s="456"/>
      <c r="L240" s="456"/>
      <c r="M240" s="456"/>
      <c r="N240" s="456"/>
      <c r="O240" s="456"/>
      <c r="P240" s="456"/>
      <c r="Q240" s="456"/>
      <c r="R240" s="456"/>
      <c r="S240" s="456"/>
      <c r="T240" s="456"/>
      <c r="U240" s="456"/>
      <c r="V240" s="456"/>
      <c r="W240" s="456"/>
      <c r="X240" s="456"/>
      <c r="Y240" s="456"/>
      <c r="Z240" s="456"/>
    </row>
    <row r="241" spans="1:26" ht="11.25" customHeight="1">
      <c r="A241" s="456"/>
      <c r="B241" s="456"/>
      <c r="C241" s="456"/>
      <c r="D241" s="456"/>
      <c r="E241" s="456"/>
      <c r="F241" s="456"/>
      <c r="G241" s="456"/>
      <c r="H241" s="456"/>
      <c r="I241" s="456"/>
      <c r="J241" s="456"/>
      <c r="K241" s="456"/>
      <c r="L241" s="456"/>
      <c r="M241" s="456"/>
      <c r="N241" s="456"/>
      <c r="O241" s="456"/>
      <c r="P241" s="456"/>
      <c r="Q241" s="456"/>
      <c r="R241" s="456"/>
      <c r="S241" s="456"/>
      <c r="T241" s="456"/>
      <c r="U241" s="456"/>
      <c r="V241" s="456"/>
      <c r="W241" s="456"/>
      <c r="X241" s="456"/>
      <c r="Y241" s="456"/>
      <c r="Z241" s="456"/>
    </row>
    <row r="242" spans="1:26" ht="11.25" customHeight="1">
      <c r="A242" s="456"/>
      <c r="B242" s="456"/>
      <c r="C242" s="456"/>
      <c r="D242" s="456"/>
      <c r="E242" s="456"/>
      <c r="F242" s="456"/>
      <c r="G242" s="456"/>
      <c r="H242" s="456"/>
      <c r="I242" s="456"/>
      <c r="J242" s="456"/>
      <c r="K242" s="456"/>
      <c r="L242" s="456"/>
      <c r="M242" s="456"/>
      <c r="N242" s="456"/>
      <c r="O242" s="456"/>
      <c r="P242" s="456"/>
      <c r="Q242" s="456"/>
      <c r="R242" s="456"/>
      <c r="S242" s="456"/>
      <c r="T242" s="456"/>
      <c r="U242" s="456"/>
      <c r="V242" s="456"/>
      <c r="W242" s="456"/>
      <c r="X242" s="456"/>
      <c r="Y242" s="456"/>
      <c r="Z242" s="456"/>
    </row>
    <row r="243" spans="1:26" ht="11.25" customHeight="1">
      <c r="A243" s="456"/>
      <c r="B243" s="456"/>
      <c r="C243" s="456"/>
      <c r="D243" s="456"/>
      <c r="E243" s="456"/>
      <c r="F243" s="456"/>
      <c r="G243" s="456"/>
      <c r="H243" s="456"/>
      <c r="I243" s="456"/>
      <c r="J243" s="456"/>
      <c r="K243" s="456"/>
      <c r="L243" s="456"/>
      <c r="M243" s="456"/>
      <c r="N243" s="456"/>
      <c r="O243" s="456"/>
      <c r="P243" s="456"/>
      <c r="Q243" s="456"/>
      <c r="R243" s="456"/>
      <c r="S243" s="456"/>
      <c r="T243" s="456"/>
      <c r="U243" s="456"/>
      <c r="V243" s="456"/>
      <c r="W243" s="456"/>
      <c r="X243" s="456"/>
      <c r="Y243" s="456"/>
      <c r="Z243" s="456"/>
    </row>
    <row r="244" spans="1:26" ht="11.25" customHeight="1">
      <c r="A244" s="456"/>
      <c r="B244" s="456"/>
      <c r="C244" s="456"/>
      <c r="D244" s="456"/>
      <c r="E244" s="456"/>
      <c r="F244" s="456"/>
      <c r="G244" s="456"/>
      <c r="H244" s="456"/>
      <c r="I244" s="456"/>
      <c r="J244" s="456"/>
      <c r="K244" s="456"/>
      <c r="L244" s="456"/>
      <c r="M244" s="456"/>
      <c r="N244" s="456"/>
      <c r="O244" s="456"/>
      <c r="P244" s="456"/>
      <c r="Q244" s="456"/>
      <c r="R244" s="456"/>
      <c r="S244" s="456"/>
      <c r="T244" s="456"/>
      <c r="U244" s="456"/>
      <c r="V244" s="456"/>
      <c r="W244" s="456"/>
      <c r="X244" s="456"/>
      <c r="Y244" s="456"/>
      <c r="Z244" s="456"/>
    </row>
    <row r="245" spans="1:26" ht="11.25" customHeight="1">
      <c r="A245" s="456"/>
      <c r="B245" s="456"/>
      <c r="C245" s="456"/>
      <c r="D245" s="456"/>
      <c r="E245" s="456"/>
      <c r="F245" s="456"/>
      <c r="G245" s="456"/>
      <c r="H245" s="456"/>
      <c r="I245" s="456"/>
      <c r="J245" s="456"/>
      <c r="K245" s="456"/>
      <c r="L245" s="456"/>
      <c r="M245" s="456"/>
      <c r="N245" s="456"/>
      <c r="O245" s="456"/>
      <c r="P245" s="456"/>
      <c r="Q245" s="456"/>
      <c r="R245" s="456"/>
      <c r="S245" s="456"/>
      <c r="T245" s="456"/>
      <c r="U245" s="456"/>
      <c r="V245" s="456"/>
      <c r="W245" s="456"/>
      <c r="X245" s="456"/>
      <c r="Y245" s="456"/>
      <c r="Z245" s="456"/>
    </row>
    <row r="246" spans="1:26" ht="11.25" customHeight="1">
      <c r="A246" s="456"/>
      <c r="B246" s="456"/>
      <c r="C246" s="456"/>
      <c r="D246" s="456"/>
      <c r="E246" s="456"/>
      <c r="F246" s="456"/>
      <c r="G246" s="456"/>
      <c r="H246" s="456"/>
      <c r="I246" s="456"/>
      <c r="J246" s="456"/>
      <c r="K246" s="456"/>
      <c r="L246" s="456"/>
      <c r="M246" s="456"/>
      <c r="N246" s="456"/>
      <c r="O246" s="456"/>
      <c r="P246" s="456"/>
      <c r="Q246" s="456"/>
      <c r="R246" s="456"/>
      <c r="S246" s="456"/>
      <c r="T246" s="456"/>
      <c r="U246" s="456"/>
      <c r="V246" s="456"/>
      <c r="W246" s="456"/>
      <c r="X246" s="456"/>
      <c r="Y246" s="456"/>
      <c r="Z246" s="456"/>
    </row>
    <row r="247" spans="1:26" ht="11.25" customHeight="1">
      <c r="A247" s="456"/>
      <c r="B247" s="456"/>
      <c r="C247" s="456"/>
      <c r="D247" s="456"/>
      <c r="E247" s="456"/>
      <c r="F247" s="456"/>
      <c r="G247" s="456"/>
      <c r="H247" s="456"/>
      <c r="I247" s="456"/>
      <c r="J247" s="456"/>
      <c r="K247" s="456"/>
      <c r="L247" s="456"/>
      <c r="M247" s="456"/>
      <c r="N247" s="456"/>
      <c r="O247" s="456"/>
      <c r="P247" s="456"/>
      <c r="Q247" s="456"/>
      <c r="R247" s="456"/>
      <c r="S247" s="456"/>
      <c r="T247" s="456"/>
      <c r="U247" s="456"/>
      <c r="V247" s="456"/>
      <c r="W247" s="456"/>
      <c r="X247" s="456"/>
      <c r="Y247" s="456"/>
      <c r="Z247" s="456"/>
    </row>
    <row r="248" spans="1:26" ht="11.25" customHeight="1">
      <c r="A248" s="456"/>
      <c r="B248" s="456"/>
      <c r="C248" s="456"/>
      <c r="D248" s="456"/>
      <c r="E248" s="456"/>
      <c r="F248" s="456"/>
      <c r="G248" s="456"/>
      <c r="H248" s="456"/>
      <c r="I248" s="456"/>
      <c r="J248" s="456"/>
      <c r="K248" s="456"/>
      <c r="L248" s="456"/>
      <c r="M248" s="456"/>
      <c r="N248" s="456"/>
      <c r="O248" s="456"/>
      <c r="P248" s="456"/>
      <c r="Q248" s="456"/>
      <c r="R248" s="456"/>
      <c r="S248" s="456"/>
      <c r="T248" s="456"/>
      <c r="U248" s="456"/>
      <c r="V248" s="456"/>
      <c r="W248" s="456"/>
      <c r="X248" s="456"/>
      <c r="Y248" s="456"/>
      <c r="Z248" s="456"/>
    </row>
    <row r="249" spans="1:26" ht="11.25" customHeight="1">
      <c r="A249" s="456"/>
      <c r="B249" s="456"/>
      <c r="C249" s="456"/>
      <c r="D249" s="456"/>
      <c r="E249" s="456"/>
      <c r="F249" s="456"/>
      <c r="G249" s="456"/>
      <c r="H249" s="456"/>
      <c r="I249" s="456"/>
      <c r="J249" s="456"/>
      <c r="K249" s="456"/>
      <c r="L249" s="456"/>
      <c r="M249" s="456"/>
      <c r="N249" s="456"/>
      <c r="O249" s="456"/>
      <c r="P249" s="456"/>
      <c r="Q249" s="456"/>
      <c r="R249" s="456"/>
      <c r="S249" s="456"/>
      <c r="T249" s="456"/>
      <c r="U249" s="456"/>
      <c r="V249" s="456"/>
      <c r="W249" s="456"/>
      <c r="X249" s="456"/>
      <c r="Y249" s="456"/>
      <c r="Z249" s="456"/>
    </row>
    <row r="250" spans="1:26" ht="11.25" customHeight="1">
      <c r="A250" s="456"/>
      <c r="B250" s="456"/>
      <c r="C250" s="456"/>
      <c r="D250" s="456"/>
      <c r="E250" s="456"/>
      <c r="F250" s="456"/>
      <c r="G250" s="456"/>
      <c r="H250" s="456"/>
      <c r="I250" s="456"/>
      <c r="J250" s="456"/>
      <c r="K250" s="456"/>
      <c r="L250" s="456"/>
      <c r="M250" s="456"/>
      <c r="N250" s="456"/>
      <c r="O250" s="456"/>
      <c r="P250" s="456"/>
      <c r="Q250" s="456"/>
      <c r="R250" s="456"/>
      <c r="S250" s="456"/>
      <c r="T250" s="456"/>
      <c r="U250" s="456"/>
      <c r="V250" s="456"/>
      <c r="W250" s="456"/>
      <c r="X250" s="456"/>
      <c r="Y250" s="456"/>
      <c r="Z250" s="456"/>
    </row>
    <row r="251" spans="1:26" ht="11.25" customHeight="1">
      <c r="A251" s="456"/>
      <c r="B251" s="456"/>
      <c r="C251" s="456"/>
      <c r="D251" s="456"/>
      <c r="E251" s="456"/>
      <c r="F251" s="456"/>
      <c r="G251" s="456"/>
      <c r="H251" s="456"/>
      <c r="I251" s="456"/>
      <c r="J251" s="456"/>
      <c r="K251" s="456"/>
      <c r="L251" s="456"/>
      <c r="M251" s="456"/>
      <c r="N251" s="456"/>
      <c r="O251" s="456"/>
      <c r="P251" s="456"/>
      <c r="Q251" s="456"/>
      <c r="R251" s="456"/>
      <c r="S251" s="456"/>
      <c r="T251" s="456"/>
      <c r="U251" s="456"/>
      <c r="V251" s="456"/>
      <c r="W251" s="456"/>
      <c r="X251" s="456"/>
      <c r="Y251" s="456"/>
      <c r="Z251" s="456"/>
    </row>
    <row r="252" spans="1:26" ht="11.25" customHeight="1">
      <c r="A252" s="456"/>
      <c r="B252" s="456"/>
      <c r="C252" s="456"/>
      <c r="D252" s="456"/>
      <c r="E252" s="456"/>
      <c r="F252" s="456"/>
      <c r="G252" s="456"/>
      <c r="H252" s="456"/>
      <c r="I252" s="456"/>
      <c r="J252" s="456"/>
      <c r="K252" s="456"/>
      <c r="L252" s="456"/>
      <c r="M252" s="456"/>
      <c r="N252" s="456"/>
      <c r="O252" s="456"/>
      <c r="P252" s="456"/>
      <c r="Q252" s="456"/>
      <c r="R252" s="456"/>
      <c r="S252" s="456"/>
      <c r="T252" s="456"/>
      <c r="U252" s="456"/>
      <c r="V252" s="456"/>
      <c r="W252" s="456"/>
      <c r="X252" s="456"/>
      <c r="Y252" s="456"/>
      <c r="Z252" s="456"/>
    </row>
    <row r="253" spans="1:26" ht="11.25" customHeight="1">
      <c r="A253" s="456"/>
      <c r="B253" s="456"/>
      <c r="C253" s="456"/>
      <c r="D253" s="456"/>
      <c r="E253" s="456"/>
      <c r="F253" s="456"/>
      <c r="G253" s="456"/>
      <c r="H253" s="456"/>
      <c r="I253" s="456"/>
      <c r="J253" s="456"/>
      <c r="K253" s="456"/>
      <c r="L253" s="456"/>
      <c r="M253" s="456"/>
      <c r="N253" s="456"/>
      <c r="O253" s="456"/>
      <c r="P253" s="456"/>
      <c r="Q253" s="456"/>
      <c r="R253" s="456"/>
      <c r="S253" s="456"/>
      <c r="T253" s="456"/>
      <c r="U253" s="456"/>
      <c r="V253" s="456"/>
      <c r="W253" s="456"/>
      <c r="X253" s="456"/>
      <c r="Y253" s="456"/>
      <c r="Z253" s="456"/>
    </row>
    <row r="254" spans="1:26" ht="11.25" customHeight="1">
      <c r="A254" s="456"/>
      <c r="B254" s="456"/>
      <c r="C254" s="456"/>
      <c r="D254" s="456"/>
      <c r="E254" s="456"/>
      <c r="F254" s="456"/>
      <c r="G254" s="456"/>
      <c r="H254" s="456"/>
      <c r="I254" s="456"/>
      <c r="J254" s="456"/>
      <c r="K254" s="456"/>
      <c r="L254" s="456"/>
      <c r="M254" s="456"/>
      <c r="N254" s="456"/>
      <c r="O254" s="456"/>
      <c r="P254" s="456"/>
      <c r="Q254" s="456"/>
      <c r="R254" s="456"/>
      <c r="S254" s="456"/>
      <c r="T254" s="456"/>
      <c r="U254" s="456"/>
      <c r="V254" s="456"/>
      <c r="W254" s="456"/>
      <c r="X254" s="456"/>
      <c r="Y254" s="456"/>
      <c r="Z254" s="456"/>
    </row>
    <row r="255" spans="1:26" ht="11.25" customHeight="1">
      <c r="A255" s="456"/>
      <c r="B255" s="456"/>
      <c r="C255" s="456"/>
      <c r="D255" s="456"/>
      <c r="E255" s="456"/>
      <c r="F255" s="456"/>
      <c r="G255" s="456"/>
      <c r="H255" s="456"/>
      <c r="I255" s="456"/>
      <c r="J255" s="456"/>
      <c r="K255" s="456"/>
      <c r="L255" s="456"/>
      <c r="M255" s="456"/>
      <c r="N255" s="456"/>
      <c r="O255" s="456"/>
      <c r="P255" s="456"/>
      <c r="Q255" s="456"/>
      <c r="R255" s="456"/>
      <c r="S255" s="456"/>
      <c r="T255" s="456"/>
      <c r="U255" s="456"/>
      <c r="V255" s="456"/>
      <c r="W255" s="456"/>
      <c r="X255" s="456"/>
      <c r="Y255" s="456"/>
      <c r="Z255" s="456"/>
    </row>
    <row r="256" spans="1:26" ht="11.25" customHeight="1">
      <c r="A256" s="456"/>
      <c r="B256" s="456"/>
      <c r="C256" s="456"/>
      <c r="D256" s="456"/>
      <c r="E256" s="456"/>
      <c r="F256" s="456"/>
      <c r="G256" s="456"/>
      <c r="H256" s="456"/>
      <c r="I256" s="456"/>
      <c r="J256" s="456"/>
      <c r="K256" s="456"/>
      <c r="L256" s="456"/>
      <c r="M256" s="456"/>
      <c r="N256" s="456"/>
      <c r="O256" s="456"/>
      <c r="P256" s="456"/>
      <c r="Q256" s="456"/>
      <c r="R256" s="456"/>
      <c r="S256" s="456"/>
      <c r="T256" s="456"/>
      <c r="U256" s="456"/>
      <c r="V256" s="456"/>
      <c r="W256" s="456"/>
      <c r="X256" s="456"/>
      <c r="Y256" s="456"/>
      <c r="Z256" s="456"/>
    </row>
    <row r="257" spans="1:26" ht="11.25" customHeight="1">
      <c r="A257" s="456"/>
      <c r="B257" s="456"/>
      <c r="C257" s="456"/>
      <c r="D257" s="456"/>
      <c r="E257" s="456"/>
      <c r="F257" s="456"/>
      <c r="G257" s="456"/>
      <c r="H257" s="456"/>
      <c r="I257" s="456"/>
      <c r="J257" s="456"/>
      <c r="K257" s="456"/>
      <c r="L257" s="456"/>
      <c r="M257" s="456"/>
      <c r="N257" s="456"/>
      <c r="O257" s="456"/>
      <c r="P257" s="456"/>
      <c r="Q257" s="456"/>
      <c r="R257" s="456"/>
      <c r="S257" s="456"/>
      <c r="T257" s="456"/>
      <c r="U257" s="456"/>
      <c r="V257" s="456"/>
      <c r="W257" s="456"/>
      <c r="X257" s="456"/>
      <c r="Y257" s="456"/>
      <c r="Z257" s="456"/>
    </row>
    <row r="258" spans="1:26" ht="11.25" customHeight="1">
      <c r="A258" s="456"/>
      <c r="B258" s="456"/>
      <c r="C258" s="456"/>
      <c r="D258" s="456"/>
      <c r="E258" s="456"/>
      <c r="F258" s="456"/>
      <c r="G258" s="456"/>
      <c r="H258" s="456"/>
      <c r="I258" s="456"/>
      <c r="J258" s="456"/>
      <c r="K258" s="456"/>
      <c r="L258" s="456"/>
      <c r="M258" s="456"/>
      <c r="N258" s="456"/>
      <c r="O258" s="456"/>
      <c r="P258" s="456"/>
      <c r="Q258" s="456"/>
      <c r="R258" s="456"/>
      <c r="S258" s="456"/>
      <c r="T258" s="456"/>
      <c r="U258" s="456"/>
      <c r="V258" s="456"/>
      <c r="W258" s="456"/>
      <c r="X258" s="456"/>
      <c r="Y258" s="456"/>
      <c r="Z258" s="456"/>
    </row>
    <row r="259" spans="1:26" ht="11.25" customHeight="1">
      <c r="A259" s="456"/>
      <c r="B259" s="456"/>
      <c r="C259" s="456"/>
      <c r="D259" s="456"/>
      <c r="E259" s="456"/>
      <c r="F259" s="456"/>
      <c r="G259" s="456"/>
      <c r="H259" s="456"/>
      <c r="I259" s="456"/>
      <c r="J259" s="456"/>
      <c r="K259" s="456"/>
      <c r="L259" s="456"/>
      <c r="M259" s="456"/>
      <c r="N259" s="456"/>
      <c r="O259" s="456"/>
      <c r="P259" s="456"/>
      <c r="Q259" s="456"/>
      <c r="R259" s="456"/>
      <c r="S259" s="456"/>
      <c r="T259" s="456"/>
      <c r="U259" s="456"/>
      <c r="V259" s="456"/>
      <c r="W259" s="456"/>
      <c r="X259" s="456"/>
      <c r="Y259" s="456"/>
      <c r="Z259" s="456"/>
    </row>
    <row r="260" spans="1:26" ht="11.25" customHeight="1">
      <c r="A260" s="456"/>
      <c r="B260" s="456"/>
      <c r="C260" s="456"/>
      <c r="D260" s="456"/>
      <c r="E260" s="456"/>
      <c r="F260" s="456"/>
      <c r="G260" s="456"/>
      <c r="H260" s="456"/>
      <c r="I260" s="456"/>
      <c r="J260" s="456"/>
      <c r="K260" s="456"/>
      <c r="L260" s="456"/>
      <c r="M260" s="456"/>
      <c r="N260" s="456"/>
      <c r="O260" s="456"/>
      <c r="P260" s="456"/>
      <c r="Q260" s="456"/>
      <c r="R260" s="456"/>
      <c r="S260" s="456"/>
      <c r="T260" s="456"/>
      <c r="U260" s="456"/>
      <c r="V260" s="456"/>
      <c r="W260" s="456"/>
      <c r="X260" s="456"/>
      <c r="Y260" s="456"/>
      <c r="Z260" s="456"/>
    </row>
    <row r="261" spans="1:26" ht="11.25" customHeight="1">
      <c r="A261" s="456"/>
      <c r="B261" s="456"/>
      <c r="C261" s="456"/>
      <c r="D261" s="456"/>
      <c r="E261" s="456"/>
      <c r="F261" s="456"/>
      <c r="G261" s="456"/>
      <c r="H261" s="456"/>
      <c r="I261" s="456"/>
      <c r="J261" s="456"/>
      <c r="K261" s="456"/>
      <c r="L261" s="456"/>
      <c r="M261" s="456"/>
      <c r="N261" s="456"/>
      <c r="O261" s="456"/>
      <c r="P261" s="456"/>
      <c r="Q261" s="456"/>
      <c r="R261" s="456"/>
      <c r="S261" s="456"/>
      <c r="T261" s="456"/>
      <c r="U261" s="456"/>
      <c r="V261" s="456"/>
      <c r="W261" s="456"/>
      <c r="X261" s="456"/>
      <c r="Y261" s="456"/>
      <c r="Z261" s="456"/>
    </row>
    <row r="262" spans="1:26" ht="11.25" customHeight="1">
      <c r="A262" s="456"/>
      <c r="B262" s="456"/>
      <c r="C262" s="456"/>
      <c r="D262" s="456"/>
      <c r="E262" s="456"/>
      <c r="F262" s="456"/>
      <c r="G262" s="456"/>
      <c r="H262" s="456"/>
      <c r="I262" s="456"/>
      <c r="J262" s="456"/>
      <c r="K262" s="456"/>
      <c r="L262" s="456"/>
      <c r="M262" s="456"/>
      <c r="N262" s="456"/>
      <c r="O262" s="456"/>
      <c r="P262" s="456"/>
      <c r="Q262" s="456"/>
      <c r="R262" s="456"/>
      <c r="S262" s="456"/>
      <c r="T262" s="456"/>
      <c r="U262" s="456"/>
      <c r="V262" s="456"/>
      <c r="W262" s="456"/>
      <c r="X262" s="456"/>
      <c r="Y262" s="456"/>
      <c r="Z262" s="456"/>
    </row>
    <row r="263" spans="1:26" ht="11.25" customHeight="1">
      <c r="A263" s="456"/>
      <c r="B263" s="456"/>
      <c r="C263" s="456"/>
      <c r="D263" s="456"/>
      <c r="E263" s="456"/>
      <c r="F263" s="456"/>
      <c r="G263" s="456"/>
      <c r="H263" s="456"/>
      <c r="I263" s="456"/>
      <c r="J263" s="456"/>
      <c r="K263" s="456"/>
      <c r="L263" s="456"/>
      <c r="M263" s="456"/>
      <c r="N263" s="456"/>
      <c r="O263" s="456"/>
      <c r="P263" s="456"/>
      <c r="Q263" s="456"/>
      <c r="R263" s="456"/>
      <c r="S263" s="456"/>
      <c r="T263" s="456"/>
      <c r="U263" s="456"/>
      <c r="V263" s="456"/>
      <c r="W263" s="456"/>
      <c r="X263" s="456"/>
      <c r="Y263" s="456"/>
      <c r="Z263" s="456"/>
    </row>
    <row r="264" spans="1:26" ht="11.25" customHeight="1">
      <c r="A264" s="456"/>
      <c r="B264" s="456"/>
      <c r="C264" s="456"/>
      <c r="D264" s="456"/>
      <c r="E264" s="456"/>
      <c r="F264" s="456"/>
      <c r="G264" s="456"/>
      <c r="H264" s="456"/>
      <c r="I264" s="456"/>
      <c r="J264" s="456"/>
      <c r="K264" s="456"/>
      <c r="L264" s="456"/>
      <c r="M264" s="456"/>
      <c r="N264" s="456"/>
      <c r="O264" s="456"/>
      <c r="P264" s="456"/>
      <c r="Q264" s="456"/>
      <c r="R264" s="456"/>
      <c r="S264" s="456"/>
      <c r="T264" s="456"/>
      <c r="U264" s="456"/>
      <c r="V264" s="456"/>
      <c r="W264" s="456"/>
      <c r="X264" s="456"/>
      <c r="Y264" s="456"/>
      <c r="Z264" s="456"/>
    </row>
    <row r="265" spans="1:26" ht="11.25" customHeight="1">
      <c r="A265" s="456"/>
      <c r="B265" s="456"/>
      <c r="C265" s="456"/>
      <c r="D265" s="456"/>
      <c r="E265" s="456"/>
      <c r="F265" s="456"/>
      <c r="G265" s="456"/>
      <c r="H265" s="456"/>
      <c r="I265" s="456"/>
      <c r="J265" s="456"/>
      <c r="K265" s="456"/>
      <c r="L265" s="456"/>
      <c r="M265" s="456"/>
      <c r="N265" s="456"/>
      <c r="O265" s="456"/>
      <c r="P265" s="456"/>
      <c r="Q265" s="456"/>
      <c r="R265" s="456"/>
      <c r="S265" s="456"/>
      <c r="T265" s="456"/>
      <c r="U265" s="456"/>
      <c r="V265" s="456"/>
      <c r="W265" s="456"/>
      <c r="X265" s="456"/>
      <c r="Y265" s="456"/>
      <c r="Z265" s="456"/>
    </row>
    <row r="266" spans="1:26" ht="11.25" customHeight="1">
      <c r="A266" s="456"/>
      <c r="B266" s="456"/>
      <c r="C266" s="456"/>
      <c r="D266" s="456"/>
      <c r="E266" s="456"/>
      <c r="F266" s="456"/>
      <c r="G266" s="456"/>
      <c r="H266" s="456"/>
      <c r="I266" s="456"/>
      <c r="J266" s="456"/>
      <c r="K266" s="456"/>
      <c r="L266" s="456"/>
      <c r="M266" s="456"/>
      <c r="N266" s="456"/>
      <c r="O266" s="456"/>
      <c r="P266" s="456"/>
      <c r="Q266" s="456"/>
      <c r="R266" s="456"/>
      <c r="S266" s="456"/>
      <c r="T266" s="456"/>
      <c r="U266" s="456"/>
      <c r="V266" s="456"/>
      <c r="W266" s="456"/>
      <c r="X266" s="456"/>
      <c r="Y266" s="456"/>
      <c r="Z266" s="456"/>
    </row>
    <row r="267" spans="1:26" ht="11.25" customHeight="1">
      <c r="A267" s="456"/>
      <c r="B267" s="456"/>
      <c r="C267" s="456"/>
      <c r="D267" s="456"/>
      <c r="E267" s="456"/>
      <c r="F267" s="456"/>
      <c r="G267" s="456"/>
      <c r="H267" s="456"/>
      <c r="I267" s="456"/>
      <c r="J267" s="456"/>
      <c r="K267" s="456"/>
      <c r="L267" s="456"/>
      <c r="M267" s="456"/>
      <c r="N267" s="456"/>
      <c r="O267" s="456"/>
      <c r="P267" s="456"/>
      <c r="Q267" s="456"/>
      <c r="R267" s="456"/>
      <c r="S267" s="456"/>
      <c r="T267" s="456"/>
      <c r="U267" s="456"/>
      <c r="V267" s="456"/>
      <c r="W267" s="456"/>
      <c r="X267" s="456"/>
      <c r="Y267" s="456"/>
      <c r="Z267" s="456"/>
    </row>
    <row r="268" spans="1:26" ht="11.25" customHeight="1">
      <c r="A268" s="456"/>
      <c r="B268" s="456"/>
      <c r="C268" s="456"/>
      <c r="D268" s="456"/>
      <c r="E268" s="456"/>
      <c r="F268" s="456"/>
      <c r="G268" s="456"/>
      <c r="H268" s="456"/>
      <c r="I268" s="456"/>
      <c r="J268" s="456"/>
      <c r="K268" s="456"/>
      <c r="L268" s="456"/>
      <c r="M268" s="456"/>
      <c r="N268" s="456"/>
      <c r="O268" s="456"/>
      <c r="P268" s="456"/>
      <c r="Q268" s="456"/>
      <c r="R268" s="456"/>
      <c r="S268" s="456"/>
      <c r="T268" s="456"/>
      <c r="U268" s="456"/>
      <c r="V268" s="456"/>
      <c r="W268" s="456"/>
      <c r="X268" s="456"/>
      <c r="Y268" s="456"/>
      <c r="Z268" s="456"/>
    </row>
    <row r="269" spans="1:26" ht="11.25" customHeight="1">
      <c r="A269" s="456"/>
      <c r="B269" s="456"/>
      <c r="C269" s="456"/>
      <c r="D269" s="456"/>
      <c r="E269" s="456"/>
      <c r="F269" s="456"/>
      <c r="G269" s="456"/>
      <c r="H269" s="456"/>
      <c r="I269" s="456"/>
      <c r="J269" s="456"/>
      <c r="K269" s="456"/>
      <c r="L269" s="456"/>
      <c r="M269" s="456"/>
      <c r="N269" s="456"/>
      <c r="O269" s="456"/>
      <c r="P269" s="456"/>
      <c r="Q269" s="456"/>
      <c r="R269" s="456"/>
      <c r="S269" s="456"/>
      <c r="T269" s="456"/>
      <c r="U269" s="456"/>
      <c r="V269" s="456"/>
      <c r="W269" s="456"/>
      <c r="X269" s="456"/>
      <c r="Y269" s="456"/>
      <c r="Z269" s="456"/>
    </row>
    <row r="270" spans="1:26" ht="11.25" customHeight="1">
      <c r="A270" s="456"/>
      <c r="B270" s="456"/>
      <c r="C270" s="456"/>
      <c r="D270" s="456"/>
      <c r="E270" s="456"/>
      <c r="F270" s="456"/>
      <c r="G270" s="456"/>
      <c r="H270" s="456"/>
      <c r="I270" s="456"/>
      <c r="J270" s="456"/>
      <c r="K270" s="456"/>
      <c r="L270" s="456"/>
      <c r="M270" s="456"/>
      <c r="N270" s="456"/>
      <c r="O270" s="456"/>
      <c r="P270" s="456"/>
      <c r="Q270" s="456"/>
      <c r="R270" s="456"/>
      <c r="S270" s="456"/>
      <c r="T270" s="456"/>
      <c r="U270" s="456"/>
      <c r="V270" s="456"/>
      <c r="W270" s="456"/>
      <c r="X270" s="456"/>
      <c r="Y270" s="456"/>
      <c r="Z270" s="456"/>
    </row>
    <row r="271" spans="1:26" ht="11.25" customHeight="1">
      <c r="A271" s="456"/>
      <c r="B271" s="456"/>
      <c r="C271" s="456"/>
      <c r="D271" s="456"/>
      <c r="E271" s="456"/>
      <c r="F271" s="456"/>
      <c r="G271" s="456"/>
      <c r="H271" s="456"/>
      <c r="I271" s="456"/>
      <c r="J271" s="456"/>
      <c r="K271" s="456"/>
      <c r="L271" s="456"/>
      <c r="M271" s="456"/>
      <c r="N271" s="456"/>
      <c r="O271" s="456"/>
      <c r="P271" s="456"/>
      <c r="Q271" s="456"/>
      <c r="R271" s="456"/>
      <c r="S271" s="456"/>
      <c r="T271" s="456"/>
      <c r="U271" s="456"/>
      <c r="V271" s="456"/>
      <c r="W271" s="456"/>
      <c r="X271" s="456"/>
      <c r="Y271" s="456"/>
      <c r="Z271" s="456"/>
    </row>
    <row r="272" spans="1:26" ht="11.25" customHeight="1">
      <c r="A272" s="456"/>
      <c r="B272" s="456"/>
      <c r="C272" s="456"/>
      <c r="D272" s="456"/>
      <c r="E272" s="456"/>
      <c r="F272" s="456"/>
      <c r="G272" s="456"/>
      <c r="H272" s="456"/>
      <c r="I272" s="456"/>
      <c r="J272" s="456"/>
      <c r="K272" s="456"/>
      <c r="L272" s="456"/>
      <c r="M272" s="456"/>
      <c r="N272" s="456"/>
      <c r="O272" s="456"/>
      <c r="P272" s="456"/>
      <c r="Q272" s="456"/>
      <c r="R272" s="456"/>
      <c r="S272" s="456"/>
      <c r="T272" s="456"/>
      <c r="U272" s="456"/>
      <c r="V272" s="456"/>
      <c r="W272" s="456"/>
      <c r="X272" s="456"/>
      <c r="Y272" s="456"/>
      <c r="Z272" s="456"/>
    </row>
    <row r="273" spans="1:26" ht="11.25" customHeight="1">
      <c r="A273" s="456"/>
      <c r="B273" s="456"/>
      <c r="C273" s="456"/>
      <c r="D273" s="456"/>
      <c r="E273" s="456"/>
      <c r="F273" s="456"/>
      <c r="G273" s="456"/>
      <c r="H273" s="456"/>
      <c r="I273" s="456"/>
      <c r="J273" s="456"/>
      <c r="K273" s="456"/>
      <c r="L273" s="456"/>
      <c r="M273" s="456"/>
      <c r="N273" s="456"/>
      <c r="O273" s="456"/>
      <c r="P273" s="456"/>
      <c r="Q273" s="456"/>
      <c r="R273" s="456"/>
      <c r="S273" s="456"/>
      <c r="T273" s="456"/>
      <c r="U273" s="456"/>
      <c r="V273" s="456"/>
      <c r="W273" s="456"/>
      <c r="X273" s="456"/>
      <c r="Y273" s="456"/>
      <c r="Z273" s="456"/>
    </row>
    <row r="274" spans="1:26" ht="11.25" customHeight="1">
      <c r="A274" s="456"/>
      <c r="B274" s="456"/>
      <c r="C274" s="456"/>
      <c r="D274" s="456"/>
      <c r="E274" s="456"/>
      <c r="F274" s="456"/>
      <c r="G274" s="456"/>
      <c r="H274" s="456"/>
      <c r="I274" s="456"/>
      <c r="J274" s="456"/>
      <c r="K274" s="456"/>
      <c r="L274" s="456"/>
      <c r="M274" s="456"/>
      <c r="N274" s="456"/>
      <c r="O274" s="456"/>
      <c r="P274" s="456"/>
      <c r="Q274" s="456"/>
      <c r="R274" s="456"/>
      <c r="S274" s="456"/>
      <c r="T274" s="456"/>
      <c r="U274" s="456"/>
      <c r="V274" s="456"/>
      <c r="W274" s="456"/>
      <c r="X274" s="456"/>
      <c r="Y274" s="456"/>
      <c r="Z274" s="456"/>
    </row>
    <row r="275" spans="1:26" ht="11.25" customHeight="1">
      <c r="A275" s="456"/>
      <c r="B275" s="456"/>
      <c r="C275" s="456"/>
      <c r="D275" s="456"/>
      <c r="E275" s="456"/>
      <c r="F275" s="456"/>
      <c r="G275" s="456"/>
      <c r="H275" s="456"/>
      <c r="I275" s="456"/>
      <c r="J275" s="456"/>
      <c r="K275" s="456"/>
      <c r="L275" s="456"/>
      <c r="M275" s="456"/>
      <c r="N275" s="456"/>
      <c r="O275" s="456"/>
      <c r="P275" s="456"/>
      <c r="Q275" s="456"/>
      <c r="R275" s="456"/>
      <c r="S275" s="456"/>
      <c r="T275" s="456"/>
      <c r="U275" s="456"/>
      <c r="V275" s="456"/>
      <c r="W275" s="456"/>
      <c r="X275" s="456"/>
      <c r="Y275" s="456"/>
      <c r="Z275" s="456"/>
    </row>
    <row r="276" spans="1:26" ht="11.25" customHeight="1">
      <c r="A276" s="456"/>
      <c r="B276" s="456"/>
      <c r="C276" s="456"/>
      <c r="D276" s="456"/>
      <c r="E276" s="456"/>
      <c r="F276" s="456"/>
      <c r="G276" s="456"/>
      <c r="H276" s="456"/>
      <c r="I276" s="456"/>
      <c r="J276" s="456"/>
      <c r="K276" s="456"/>
      <c r="L276" s="456"/>
      <c r="M276" s="456"/>
      <c r="N276" s="456"/>
      <c r="O276" s="456"/>
      <c r="P276" s="456"/>
      <c r="Q276" s="456"/>
      <c r="R276" s="456"/>
      <c r="S276" s="456"/>
      <c r="T276" s="456"/>
      <c r="U276" s="456"/>
      <c r="V276" s="456"/>
      <c r="W276" s="456"/>
      <c r="X276" s="456"/>
      <c r="Y276" s="456"/>
      <c r="Z276" s="456"/>
    </row>
    <row r="277" spans="1:26" ht="11.25" customHeight="1">
      <c r="A277" s="456"/>
      <c r="B277" s="456"/>
      <c r="C277" s="456"/>
      <c r="D277" s="456"/>
      <c r="E277" s="456"/>
      <c r="F277" s="456"/>
      <c r="G277" s="456"/>
      <c r="H277" s="456"/>
      <c r="I277" s="456"/>
      <c r="J277" s="456"/>
      <c r="K277" s="456"/>
      <c r="L277" s="456"/>
      <c r="M277" s="456"/>
      <c r="N277" s="456"/>
      <c r="O277" s="456"/>
      <c r="P277" s="456"/>
      <c r="Q277" s="456"/>
      <c r="R277" s="456"/>
      <c r="S277" s="456"/>
      <c r="T277" s="456"/>
      <c r="U277" s="456"/>
      <c r="V277" s="456"/>
      <c r="W277" s="456"/>
      <c r="X277" s="456"/>
      <c r="Y277" s="456"/>
      <c r="Z277" s="456"/>
    </row>
    <row r="278" spans="1:26" ht="11.25" customHeight="1">
      <c r="A278" s="456"/>
      <c r="B278" s="456"/>
      <c r="C278" s="456"/>
      <c r="D278" s="456"/>
      <c r="E278" s="456"/>
      <c r="F278" s="456"/>
      <c r="G278" s="456"/>
      <c r="H278" s="456"/>
      <c r="I278" s="456"/>
      <c r="J278" s="456"/>
      <c r="K278" s="456"/>
      <c r="L278" s="456"/>
      <c r="M278" s="456"/>
      <c r="N278" s="456"/>
      <c r="O278" s="456"/>
      <c r="P278" s="456"/>
      <c r="Q278" s="456"/>
      <c r="R278" s="456"/>
      <c r="S278" s="456"/>
      <c r="T278" s="456"/>
      <c r="U278" s="456"/>
      <c r="V278" s="456"/>
      <c r="W278" s="456"/>
      <c r="X278" s="456"/>
      <c r="Y278" s="456"/>
      <c r="Z278" s="456"/>
    </row>
    <row r="279" spans="1:26" ht="11.25" customHeight="1">
      <c r="A279" s="456"/>
      <c r="B279" s="456"/>
      <c r="C279" s="456"/>
      <c r="D279" s="456"/>
      <c r="E279" s="456"/>
      <c r="F279" s="456"/>
      <c r="G279" s="456"/>
      <c r="H279" s="456"/>
      <c r="I279" s="456"/>
      <c r="J279" s="456"/>
      <c r="K279" s="456"/>
      <c r="L279" s="456"/>
      <c r="M279" s="456"/>
      <c r="N279" s="456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  <c r="Z279" s="456"/>
    </row>
    <row r="280" spans="1:26" ht="11.25" customHeight="1">
      <c r="A280" s="456"/>
      <c r="B280" s="456"/>
      <c r="C280" s="456"/>
      <c r="D280" s="456"/>
      <c r="E280" s="456"/>
      <c r="F280" s="456"/>
      <c r="G280" s="456"/>
      <c r="H280" s="456"/>
      <c r="I280" s="456"/>
      <c r="J280" s="456"/>
      <c r="K280" s="456"/>
      <c r="L280" s="456"/>
      <c r="M280" s="456"/>
      <c r="N280" s="456"/>
      <c r="O280" s="456"/>
      <c r="P280" s="456"/>
      <c r="Q280" s="456"/>
      <c r="R280" s="456"/>
      <c r="S280" s="456"/>
      <c r="T280" s="456"/>
      <c r="U280" s="456"/>
      <c r="V280" s="456"/>
      <c r="W280" s="456"/>
      <c r="X280" s="456"/>
      <c r="Y280" s="456"/>
      <c r="Z280" s="456"/>
    </row>
    <row r="281" spans="1:26" ht="11.25" customHeight="1">
      <c r="A281" s="456"/>
      <c r="B281" s="456"/>
      <c r="C281" s="456"/>
      <c r="D281" s="456"/>
      <c r="E281" s="456"/>
      <c r="F281" s="456"/>
      <c r="G281" s="456"/>
      <c r="H281" s="456"/>
      <c r="I281" s="456"/>
      <c r="J281" s="456"/>
      <c r="K281" s="456"/>
      <c r="L281" s="456"/>
      <c r="M281" s="456"/>
      <c r="N281" s="456"/>
      <c r="O281" s="456"/>
      <c r="P281" s="456"/>
      <c r="Q281" s="456"/>
      <c r="R281" s="456"/>
      <c r="S281" s="456"/>
      <c r="T281" s="456"/>
      <c r="U281" s="456"/>
      <c r="V281" s="456"/>
      <c r="W281" s="456"/>
      <c r="X281" s="456"/>
      <c r="Y281" s="456"/>
      <c r="Z281" s="456"/>
    </row>
    <row r="282" spans="1:26" ht="11.25" customHeight="1">
      <c r="A282" s="456"/>
      <c r="B282" s="456"/>
      <c r="C282" s="456"/>
      <c r="D282" s="456"/>
      <c r="E282" s="456"/>
      <c r="F282" s="456"/>
      <c r="G282" s="456"/>
      <c r="H282" s="456"/>
      <c r="I282" s="456"/>
      <c r="J282" s="456"/>
      <c r="K282" s="456"/>
      <c r="L282" s="456"/>
      <c r="M282" s="456"/>
      <c r="N282" s="456"/>
      <c r="O282" s="456"/>
      <c r="P282" s="456"/>
      <c r="Q282" s="456"/>
      <c r="R282" s="456"/>
      <c r="S282" s="456"/>
      <c r="T282" s="456"/>
      <c r="U282" s="456"/>
      <c r="V282" s="456"/>
      <c r="W282" s="456"/>
      <c r="X282" s="456"/>
      <c r="Y282" s="456"/>
      <c r="Z282" s="456"/>
    </row>
    <row r="283" spans="1:26" ht="11.25" customHeight="1">
      <c r="A283" s="456"/>
      <c r="B283" s="456"/>
      <c r="C283" s="456"/>
      <c r="D283" s="456"/>
      <c r="E283" s="456"/>
      <c r="F283" s="456"/>
      <c r="G283" s="456"/>
      <c r="H283" s="456"/>
      <c r="I283" s="456"/>
      <c r="J283" s="456"/>
      <c r="K283" s="456"/>
      <c r="L283" s="456"/>
      <c r="M283" s="456"/>
      <c r="N283" s="456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  <c r="Z283" s="456"/>
    </row>
    <row r="284" spans="1:26" ht="11.25" customHeight="1">
      <c r="A284" s="456"/>
      <c r="B284" s="456"/>
      <c r="C284" s="456"/>
      <c r="D284" s="456"/>
      <c r="E284" s="456"/>
      <c r="F284" s="456"/>
      <c r="G284" s="456"/>
      <c r="H284" s="456"/>
      <c r="I284" s="456"/>
      <c r="J284" s="456"/>
      <c r="K284" s="456"/>
      <c r="L284" s="456"/>
      <c r="M284" s="456"/>
      <c r="N284" s="456"/>
      <c r="O284" s="456"/>
      <c r="P284" s="456"/>
      <c r="Q284" s="456"/>
      <c r="R284" s="456"/>
      <c r="S284" s="456"/>
      <c r="T284" s="456"/>
      <c r="U284" s="456"/>
      <c r="V284" s="456"/>
      <c r="W284" s="456"/>
      <c r="X284" s="456"/>
      <c r="Y284" s="456"/>
      <c r="Z284" s="456"/>
    </row>
    <row r="285" spans="1:26" ht="11.25" customHeight="1">
      <c r="A285" s="456"/>
      <c r="B285" s="456"/>
      <c r="C285" s="456"/>
      <c r="D285" s="456"/>
      <c r="E285" s="456"/>
      <c r="F285" s="456"/>
      <c r="G285" s="456"/>
      <c r="H285" s="456"/>
      <c r="I285" s="456"/>
      <c r="J285" s="456"/>
      <c r="K285" s="456"/>
      <c r="L285" s="456"/>
      <c r="M285" s="456"/>
      <c r="N285" s="456"/>
      <c r="O285" s="456"/>
      <c r="P285" s="456"/>
      <c r="Q285" s="456"/>
      <c r="R285" s="456"/>
      <c r="S285" s="456"/>
      <c r="T285" s="456"/>
      <c r="U285" s="456"/>
      <c r="V285" s="456"/>
      <c r="W285" s="456"/>
      <c r="X285" s="456"/>
      <c r="Y285" s="456"/>
      <c r="Z285" s="456"/>
    </row>
    <row r="286" spans="1:26" ht="11.25" customHeight="1">
      <c r="A286" s="456"/>
      <c r="B286" s="456"/>
      <c r="C286" s="456"/>
      <c r="D286" s="456"/>
      <c r="E286" s="456"/>
      <c r="F286" s="456"/>
      <c r="G286" s="456"/>
      <c r="H286" s="456"/>
      <c r="I286" s="456"/>
      <c r="J286" s="456"/>
      <c r="K286" s="456"/>
      <c r="L286" s="456"/>
      <c r="M286" s="456"/>
      <c r="N286" s="456"/>
      <c r="O286" s="456"/>
      <c r="P286" s="456"/>
      <c r="Q286" s="456"/>
      <c r="R286" s="456"/>
      <c r="S286" s="456"/>
      <c r="T286" s="456"/>
      <c r="U286" s="456"/>
      <c r="V286" s="456"/>
      <c r="W286" s="456"/>
      <c r="X286" s="456"/>
      <c r="Y286" s="456"/>
      <c r="Z286" s="456"/>
    </row>
    <row r="287" spans="1:26" ht="11.25" customHeight="1">
      <c r="A287" s="456"/>
      <c r="B287" s="456"/>
      <c r="C287" s="456"/>
      <c r="D287" s="456"/>
      <c r="E287" s="456"/>
      <c r="F287" s="456"/>
      <c r="G287" s="456"/>
      <c r="H287" s="456"/>
      <c r="I287" s="456"/>
      <c r="J287" s="456"/>
      <c r="K287" s="456"/>
      <c r="L287" s="456"/>
      <c r="M287" s="456"/>
      <c r="N287" s="456"/>
      <c r="O287" s="456"/>
      <c r="P287" s="456"/>
      <c r="Q287" s="456"/>
      <c r="R287" s="456"/>
      <c r="S287" s="456"/>
      <c r="T287" s="456"/>
      <c r="U287" s="456"/>
      <c r="V287" s="456"/>
      <c r="W287" s="456"/>
      <c r="X287" s="456"/>
      <c r="Y287" s="456"/>
      <c r="Z287" s="456"/>
    </row>
    <row r="288" spans="1:26" ht="11.25" customHeight="1">
      <c r="A288" s="456"/>
      <c r="B288" s="456"/>
      <c r="C288" s="456"/>
      <c r="D288" s="456"/>
      <c r="E288" s="456"/>
      <c r="F288" s="456"/>
      <c r="G288" s="456"/>
      <c r="H288" s="456"/>
      <c r="I288" s="456"/>
      <c r="J288" s="456"/>
      <c r="K288" s="456"/>
      <c r="L288" s="456"/>
      <c r="M288" s="456"/>
      <c r="N288" s="456"/>
      <c r="O288" s="456"/>
      <c r="P288" s="456"/>
      <c r="Q288" s="456"/>
      <c r="R288" s="456"/>
      <c r="S288" s="456"/>
      <c r="T288" s="456"/>
      <c r="U288" s="456"/>
      <c r="V288" s="456"/>
      <c r="W288" s="456"/>
      <c r="X288" s="456"/>
      <c r="Y288" s="456"/>
      <c r="Z288" s="456"/>
    </row>
    <row r="289" spans="1:26" ht="11.25" customHeight="1">
      <c r="A289" s="456"/>
      <c r="B289" s="456"/>
      <c r="C289" s="456"/>
      <c r="D289" s="456"/>
      <c r="E289" s="456"/>
      <c r="F289" s="456"/>
      <c r="G289" s="456"/>
      <c r="H289" s="456"/>
      <c r="I289" s="456"/>
      <c r="J289" s="456"/>
      <c r="K289" s="456"/>
      <c r="L289" s="456"/>
      <c r="M289" s="456"/>
      <c r="N289" s="456"/>
      <c r="O289" s="456"/>
      <c r="P289" s="456"/>
      <c r="Q289" s="456"/>
      <c r="R289" s="456"/>
      <c r="S289" s="456"/>
      <c r="T289" s="456"/>
      <c r="U289" s="456"/>
      <c r="V289" s="456"/>
      <c r="W289" s="456"/>
      <c r="X289" s="456"/>
      <c r="Y289" s="456"/>
      <c r="Z289" s="456"/>
    </row>
    <row r="290" spans="1:26" ht="11.25" customHeight="1">
      <c r="A290" s="456"/>
      <c r="B290" s="456"/>
      <c r="C290" s="456"/>
      <c r="D290" s="456"/>
      <c r="E290" s="456"/>
      <c r="F290" s="456"/>
      <c r="G290" s="456"/>
      <c r="H290" s="456"/>
      <c r="I290" s="456"/>
      <c r="J290" s="456"/>
      <c r="K290" s="456"/>
      <c r="L290" s="456"/>
      <c r="M290" s="456"/>
      <c r="N290" s="456"/>
      <c r="O290" s="456"/>
      <c r="P290" s="456"/>
      <c r="Q290" s="456"/>
      <c r="R290" s="456"/>
      <c r="S290" s="456"/>
      <c r="T290" s="456"/>
      <c r="U290" s="456"/>
      <c r="V290" s="456"/>
      <c r="W290" s="456"/>
      <c r="X290" s="456"/>
      <c r="Y290" s="456"/>
      <c r="Z290" s="456"/>
    </row>
    <row r="291" spans="1:26" ht="11.25" customHeight="1">
      <c r="A291" s="456"/>
      <c r="B291" s="456"/>
      <c r="C291" s="456"/>
      <c r="D291" s="456"/>
      <c r="E291" s="456"/>
      <c r="F291" s="456"/>
      <c r="G291" s="456"/>
      <c r="H291" s="456"/>
      <c r="I291" s="456"/>
      <c r="J291" s="456"/>
      <c r="K291" s="456"/>
      <c r="L291" s="456"/>
      <c r="M291" s="456"/>
      <c r="N291" s="456"/>
      <c r="O291" s="456"/>
      <c r="P291" s="456"/>
      <c r="Q291" s="456"/>
      <c r="R291" s="456"/>
      <c r="S291" s="456"/>
      <c r="T291" s="456"/>
      <c r="U291" s="456"/>
      <c r="V291" s="456"/>
      <c r="W291" s="456"/>
      <c r="X291" s="456"/>
      <c r="Y291" s="456"/>
      <c r="Z291" s="456"/>
    </row>
    <row r="292" spans="1:26" ht="11.25" customHeight="1">
      <c r="A292" s="456"/>
      <c r="B292" s="456"/>
      <c r="C292" s="456"/>
      <c r="D292" s="456"/>
      <c r="E292" s="456"/>
      <c r="F292" s="456"/>
      <c r="G292" s="456"/>
      <c r="H292" s="456"/>
      <c r="I292" s="456"/>
      <c r="J292" s="456"/>
      <c r="K292" s="456"/>
      <c r="L292" s="456"/>
      <c r="M292" s="456"/>
      <c r="N292" s="456"/>
      <c r="O292" s="456"/>
      <c r="P292" s="456"/>
      <c r="Q292" s="456"/>
      <c r="R292" s="456"/>
      <c r="S292" s="456"/>
      <c r="T292" s="456"/>
      <c r="U292" s="456"/>
      <c r="V292" s="456"/>
      <c r="W292" s="456"/>
      <c r="X292" s="456"/>
      <c r="Y292" s="456"/>
      <c r="Z292" s="456"/>
    </row>
    <row r="293" spans="1:26" ht="11.25" customHeight="1">
      <c r="A293" s="456"/>
      <c r="B293" s="456"/>
      <c r="C293" s="456"/>
      <c r="D293" s="456"/>
      <c r="E293" s="456"/>
      <c r="F293" s="456"/>
      <c r="G293" s="456"/>
      <c r="H293" s="456"/>
      <c r="I293" s="456"/>
      <c r="J293" s="456"/>
      <c r="K293" s="456"/>
      <c r="L293" s="456"/>
      <c r="M293" s="456"/>
      <c r="N293" s="456"/>
      <c r="O293" s="456"/>
      <c r="P293" s="456"/>
      <c r="Q293" s="456"/>
      <c r="R293" s="456"/>
      <c r="S293" s="456"/>
      <c r="T293" s="456"/>
      <c r="U293" s="456"/>
      <c r="V293" s="456"/>
      <c r="W293" s="456"/>
      <c r="X293" s="456"/>
      <c r="Y293" s="456"/>
      <c r="Z293" s="456"/>
    </row>
    <row r="294" spans="1:26" ht="11.25" customHeight="1">
      <c r="A294" s="456"/>
      <c r="B294" s="456"/>
      <c r="C294" s="456"/>
      <c r="D294" s="456"/>
      <c r="E294" s="456"/>
      <c r="F294" s="456"/>
      <c r="G294" s="456"/>
      <c r="H294" s="456"/>
      <c r="I294" s="456"/>
      <c r="J294" s="456"/>
      <c r="K294" s="456"/>
      <c r="L294" s="456"/>
      <c r="M294" s="456"/>
      <c r="N294" s="456"/>
      <c r="O294" s="456"/>
      <c r="P294" s="456"/>
      <c r="Q294" s="456"/>
      <c r="R294" s="456"/>
      <c r="S294" s="456"/>
      <c r="T294" s="456"/>
      <c r="U294" s="456"/>
      <c r="V294" s="456"/>
      <c r="W294" s="456"/>
      <c r="X294" s="456"/>
      <c r="Y294" s="456"/>
      <c r="Z294" s="456"/>
    </row>
    <row r="295" spans="1:26" ht="11.25" customHeight="1">
      <c r="A295" s="456"/>
      <c r="B295" s="456"/>
      <c r="C295" s="456"/>
      <c r="D295" s="456"/>
      <c r="E295" s="456"/>
      <c r="F295" s="456"/>
      <c r="G295" s="456"/>
      <c r="H295" s="456"/>
      <c r="I295" s="456"/>
      <c r="J295" s="456"/>
      <c r="K295" s="456"/>
      <c r="L295" s="456"/>
      <c r="M295" s="456"/>
      <c r="N295" s="456"/>
      <c r="O295" s="456"/>
      <c r="P295" s="456"/>
      <c r="Q295" s="456"/>
      <c r="R295" s="456"/>
      <c r="S295" s="456"/>
      <c r="T295" s="456"/>
      <c r="U295" s="456"/>
      <c r="V295" s="456"/>
      <c r="W295" s="456"/>
      <c r="X295" s="456"/>
      <c r="Y295" s="456"/>
      <c r="Z295" s="456"/>
    </row>
    <row r="296" spans="1:26" ht="11.25" customHeight="1">
      <c r="A296" s="456"/>
      <c r="B296" s="456"/>
      <c r="C296" s="456"/>
      <c r="D296" s="456"/>
      <c r="E296" s="456"/>
      <c r="F296" s="456"/>
      <c r="G296" s="456"/>
      <c r="H296" s="456"/>
      <c r="I296" s="456"/>
      <c r="J296" s="456"/>
      <c r="K296" s="456"/>
      <c r="L296" s="456"/>
      <c r="M296" s="456"/>
      <c r="N296" s="456"/>
      <c r="O296" s="456"/>
      <c r="P296" s="456"/>
      <c r="Q296" s="456"/>
      <c r="R296" s="456"/>
      <c r="S296" s="456"/>
      <c r="T296" s="456"/>
      <c r="U296" s="456"/>
      <c r="V296" s="456"/>
      <c r="W296" s="456"/>
      <c r="X296" s="456"/>
      <c r="Y296" s="456"/>
      <c r="Z296" s="456"/>
    </row>
    <row r="297" spans="1:26" ht="11.25" customHeight="1">
      <c r="A297" s="456"/>
      <c r="B297" s="456"/>
      <c r="C297" s="456"/>
      <c r="D297" s="456"/>
      <c r="E297" s="456"/>
      <c r="F297" s="456"/>
      <c r="G297" s="456"/>
      <c r="H297" s="456"/>
      <c r="I297" s="456"/>
      <c r="J297" s="456"/>
      <c r="K297" s="456"/>
      <c r="L297" s="456"/>
      <c r="M297" s="456"/>
      <c r="N297" s="456"/>
      <c r="O297" s="456"/>
      <c r="P297" s="456"/>
      <c r="Q297" s="456"/>
      <c r="R297" s="456"/>
      <c r="S297" s="456"/>
      <c r="T297" s="456"/>
      <c r="U297" s="456"/>
      <c r="V297" s="456"/>
      <c r="W297" s="456"/>
      <c r="X297" s="456"/>
      <c r="Y297" s="456"/>
      <c r="Z297" s="456"/>
    </row>
    <row r="298" spans="1:26" ht="11.25" customHeight="1">
      <c r="A298" s="456"/>
      <c r="B298" s="456"/>
      <c r="C298" s="456"/>
      <c r="D298" s="456"/>
      <c r="E298" s="456"/>
      <c r="F298" s="456"/>
      <c r="G298" s="456"/>
      <c r="H298" s="456"/>
      <c r="I298" s="456"/>
      <c r="J298" s="456"/>
      <c r="K298" s="456"/>
      <c r="L298" s="456"/>
      <c r="M298" s="456"/>
      <c r="N298" s="456"/>
      <c r="O298" s="456"/>
      <c r="P298" s="456"/>
      <c r="Q298" s="456"/>
      <c r="R298" s="456"/>
      <c r="S298" s="456"/>
      <c r="T298" s="456"/>
      <c r="U298" s="456"/>
      <c r="V298" s="456"/>
      <c r="W298" s="456"/>
      <c r="X298" s="456"/>
      <c r="Y298" s="456"/>
      <c r="Z298" s="456"/>
    </row>
    <row r="299" spans="1:26" ht="11.25" customHeight="1">
      <c r="A299" s="456"/>
      <c r="B299" s="456"/>
      <c r="C299" s="456"/>
      <c r="D299" s="456"/>
      <c r="E299" s="456"/>
      <c r="F299" s="456"/>
      <c r="G299" s="456"/>
      <c r="H299" s="456"/>
      <c r="I299" s="456"/>
      <c r="J299" s="456"/>
      <c r="K299" s="456"/>
      <c r="L299" s="456"/>
      <c r="M299" s="456"/>
      <c r="N299" s="456"/>
      <c r="O299" s="456"/>
      <c r="P299" s="456"/>
      <c r="Q299" s="456"/>
      <c r="R299" s="456"/>
      <c r="S299" s="456"/>
      <c r="T299" s="456"/>
      <c r="U299" s="456"/>
      <c r="V299" s="456"/>
      <c r="W299" s="456"/>
      <c r="X299" s="456"/>
      <c r="Y299" s="456"/>
      <c r="Z299" s="456"/>
    </row>
    <row r="300" spans="1:26" ht="11.25" customHeight="1">
      <c r="A300" s="456"/>
      <c r="B300" s="456"/>
      <c r="C300" s="456"/>
      <c r="D300" s="456"/>
      <c r="E300" s="456"/>
      <c r="F300" s="456"/>
      <c r="G300" s="456"/>
      <c r="H300" s="456"/>
      <c r="I300" s="456"/>
      <c r="J300" s="456"/>
      <c r="K300" s="456"/>
      <c r="L300" s="456"/>
      <c r="M300" s="456"/>
      <c r="N300" s="456"/>
      <c r="O300" s="456"/>
      <c r="P300" s="456"/>
      <c r="Q300" s="456"/>
      <c r="R300" s="456"/>
      <c r="S300" s="456"/>
      <c r="T300" s="456"/>
      <c r="U300" s="456"/>
      <c r="V300" s="456"/>
      <c r="W300" s="456"/>
      <c r="X300" s="456"/>
      <c r="Y300" s="456"/>
      <c r="Z300" s="456"/>
    </row>
    <row r="301" spans="1:26" ht="11.25" customHeight="1">
      <c r="A301" s="456"/>
      <c r="B301" s="456"/>
      <c r="C301" s="456"/>
      <c r="D301" s="456"/>
      <c r="E301" s="456"/>
      <c r="F301" s="456"/>
      <c r="G301" s="456"/>
      <c r="H301" s="456"/>
      <c r="I301" s="456"/>
      <c r="J301" s="456"/>
      <c r="K301" s="456"/>
      <c r="L301" s="456"/>
      <c r="M301" s="456"/>
      <c r="N301" s="456"/>
      <c r="O301" s="456"/>
      <c r="P301" s="456"/>
      <c r="Q301" s="456"/>
      <c r="R301" s="456"/>
      <c r="S301" s="456"/>
      <c r="T301" s="456"/>
      <c r="U301" s="456"/>
      <c r="V301" s="456"/>
      <c r="W301" s="456"/>
      <c r="X301" s="456"/>
      <c r="Y301" s="456"/>
      <c r="Z301" s="456"/>
    </row>
    <row r="302" spans="1:26" ht="11.25" customHeight="1">
      <c r="A302" s="456"/>
      <c r="B302" s="456"/>
      <c r="C302" s="456"/>
      <c r="D302" s="456"/>
      <c r="E302" s="456"/>
      <c r="F302" s="456"/>
      <c r="G302" s="456"/>
      <c r="H302" s="456"/>
      <c r="I302" s="456"/>
      <c r="J302" s="456"/>
      <c r="K302" s="456"/>
      <c r="L302" s="456"/>
      <c r="M302" s="456"/>
      <c r="N302" s="456"/>
      <c r="O302" s="456"/>
      <c r="P302" s="456"/>
      <c r="Q302" s="456"/>
      <c r="R302" s="456"/>
      <c r="S302" s="456"/>
      <c r="T302" s="456"/>
      <c r="U302" s="456"/>
      <c r="V302" s="456"/>
      <c r="W302" s="456"/>
      <c r="X302" s="456"/>
      <c r="Y302" s="456"/>
      <c r="Z302" s="456"/>
    </row>
    <row r="303" spans="1:26" ht="11.25" customHeight="1">
      <c r="A303" s="456"/>
      <c r="B303" s="456"/>
      <c r="C303" s="456"/>
      <c r="D303" s="456"/>
      <c r="E303" s="456"/>
      <c r="F303" s="456"/>
      <c r="G303" s="456"/>
      <c r="H303" s="456"/>
      <c r="I303" s="456"/>
      <c r="J303" s="456"/>
      <c r="K303" s="456"/>
      <c r="L303" s="456"/>
      <c r="M303" s="456"/>
      <c r="N303" s="456"/>
      <c r="O303" s="456"/>
      <c r="P303" s="456"/>
      <c r="Q303" s="456"/>
      <c r="R303" s="456"/>
      <c r="S303" s="456"/>
      <c r="T303" s="456"/>
      <c r="U303" s="456"/>
      <c r="V303" s="456"/>
      <c r="W303" s="456"/>
      <c r="X303" s="456"/>
      <c r="Y303" s="456"/>
      <c r="Z303" s="456"/>
    </row>
    <row r="304" spans="1:26" ht="11.25" customHeight="1">
      <c r="A304" s="456"/>
      <c r="B304" s="456"/>
      <c r="C304" s="456"/>
      <c r="D304" s="456"/>
      <c r="E304" s="456"/>
      <c r="F304" s="456"/>
      <c r="G304" s="456"/>
      <c r="H304" s="456"/>
      <c r="I304" s="456"/>
      <c r="J304" s="456"/>
      <c r="K304" s="456"/>
      <c r="L304" s="456"/>
      <c r="M304" s="456"/>
      <c r="N304" s="456"/>
      <c r="O304" s="456"/>
      <c r="P304" s="456"/>
      <c r="Q304" s="456"/>
      <c r="R304" s="456"/>
      <c r="S304" s="456"/>
      <c r="T304" s="456"/>
      <c r="U304" s="456"/>
      <c r="V304" s="456"/>
      <c r="W304" s="456"/>
      <c r="X304" s="456"/>
      <c r="Y304" s="456"/>
      <c r="Z304" s="456"/>
    </row>
    <row r="305" spans="1:26" ht="11.25" customHeight="1">
      <c r="A305" s="456"/>
      <c r="B305" s="456"/>
      <c r="C305" s="456"/>
      <c r="D305" s="456"/>
      <c r="E305" s="456"/>
      <c r="F305" s="456"/>
      <c r="G305" s="456"/>
      <c r="H305" s="456"/>
      <c r="I305" s="456"/>
      <c r="J305" s="456"/>
      <c r="K305" s="456"/>
      <c r="L305" s="456"/>
      <c r="M305" s="456"/>
      <c r="N305" s="456"/>
      <c r="O305" s="456"/>
      <c r="P305" s="456"/>
      <c r="Q305" s="456"/>
      <c r="R305" s="456"/>
      <c r="S305" s="456"/>
      <c r="T305" s="456"/>
      <c r="U305" s="456"/>
      <c r="V305" s="456"/>
      <c r="W305" s="456"/>
      <c r="X305" s="456"/>
      <c r="Y305" s="456"/>
      <c r="Z305" s="456"/>
    </row>
    <row r="306" spans="1:26" ht="11.25" customHeight="1">
      <c r="A306" s="456"/>
      <c r="B306" s="456"/>
      <c r="C306" s="456"/>
      <c r="D306" s="456"/>
      <c r="E306" s="456"/>
      <c r="F306" s="456"/>
      <c r="G306" s="456"/>
      <c r="H306" s="456"/>
      <c r="I306" s="456"/>
      <c r="J306" s="456"/>
      <c r="K306" s="456"/>
      <c r="L306" s="456"/>
      <c r="M306" s="456"/>
      <c r="N306" s="456"/>
      <c r="O306" s="456"/>
      <c r="P306" s="456"/>
      <c r="Q306" s="456"/>
      <c r="R306" s="456"/>
      <c r="S306" s="456"/>
      <c r="T306" s="456"/>
      <c r="U306" s="456"/>
      <c r="V306" s="456"/>
      <c r="W306" s="456"/>
      <c r="X306" s="456"/>
      <c r="Y306" s="456"/>
      <c r="Z306" s="456"/>
    </row>
    <row r="307" spans="1:26" ht="11.25" customHeight="1">
      <c r="A307" s="456"/>
      <c r="B307" s="456"/>
      <c r="C307" s="456"/>
      <c r="D307" s="456"/>
      <c r="E307" s="456"/>
      <c r="F307" s="456"/>
      <c r="G307" s="456"/>
      <c r="H307" s="456"/>
      <c r="I307" s="456"/>
      <c r="J307" s="456"/>
      <c r="K307" s="456"/>
      <c r="L307" s="456"/>
      <c r="M307" s="456"/>
      <c r="N307" s="456"/>
      <c r="O307" s="456"/>
      <c r="P307" s="456"/>
      <c r="Q307" s="456"/>
      <c r="R307" s="456"/>
      <c r="S307" s="456"/>
      <c r="T307" s="456"/>
      <c r="U307" s="456"/>
      <c r="V307" s="456"/>
      <c r="W307" s="456"/>
      <c r="X307" s="456"/>
      <c r="Y307" s="456"/>
      <c r="Z307" s="456"/>
    </row>
    <row r="308" spans="1:26" ht="11.25" customHeight="1">
      <c r="A308" s="456"/>
      <c r="B308" s="456"/>
      <c r="C308" s="456"/>
      <c r="D308" s="456"/>
      <c r="E308" s="456"/>
      <c r="F308" s="456"/>
      <c r="G308" s="456"/>
      <c r="H308" s="456"/>
      <c r="I308" s="456"/>
      <c r="J308" s="456"/>
      <c r="K308" s="456"/>
      <c r="L308" s="456"/>
      <c r="M308" s="456"/>
      <c r="N308" s="456"/>
      <c r="O308" s="456"/>
      <c r="P308" s="456"/>
      <c r="Q308" s="456"/>
      <c r="R308" s="456"/>
      <c r="S308" s="456"/>
      <c r="T308" s="456"/>
      <c r="U308" s="456"/>
      <c r="V308" s="456"/>
      <c r="W308" s="456"/>
      <c r="X308" s="456"/>
      <c r="Y308" s="456"/>
      <c r="Z308" s="456"/>
    </row>
    <row r="309" spans="1:26" ht="11.25" customHeight="1">
      <c r="A309" s="456"/>
      <c r="B309" s="456"/>
      <c r="C309" s="456"/>
      <c r="D309" s="456"/>
      <c r="E309" s="456"/>
      <c r="F309" s="456"/>
      <c r="G309" s="456"/>
      <c r="H309" s="456"/>
      <c r="I309" s="456"/>
      <c r="J309" s="456"/>
      <c r="K309" s="456"/>
      <c r="L309" s="456"/>
      <c r="M309" s="456"/>
      <c r="N309" s="456"/>
      <c r="O309" s="456"/>
      <c r="P309" s="456"/>
      <c r="Q309" s="456"/>
      <c r="R309" s="456"/>
      <c r="S309" s="456"/>
      <c r="T309" s="456"/>
      <c r="U309" s="456"/>
      <c r="V309" s="456"/>
      <c r="W309" s="456"/>
      <c r="X309" s="456"/>
      <c r="Y309" s="456"/>
      <c r="Z309" s="456"/>
    </row>
    <row r="310" spans="1:26" ht="11.25" customHeight="1">
      <c r="A310" s="456"/>
      <c r="B310" s="456"/>
      <c r="C310" s="456"/>
      <c r="D310" s="456"/>
      <c r="E310" s="456"/>
      <c r="F310" s="456"/>
      <c r="G310" s="456"/>
      <c r="H310" s="456"/>
      <c r="I310" s="456"/>
      <c r="J310" s="456"/>
      <c r="K310" s="456"/>
      <c r="L310" s="456"/>
      <c r="M310" s="456"/>
      <c r="N310" s="456"/>
      <c r="O310" s="456"/>
      <c r="P310" s="456"/>
      <c r="Q310" s="456"/>
      <c r="R310" s="456"/>
      <c r="S310" s="456"/>
      <c r="T310" s="456"/>
      <c r="U310" s="456"/>
      <c r="V310" s="456"/>
      <c r="W310" s="456"/>
      <c r="X310" s="456"/>
      <c r="Y310" s="456"/>
      <c r="Z310" s="456"/>
    </row>
    <row r="311" spans="1:26" ht="11.25" customHeight="1">
      <c r="A311" s="456"/>
      <c r="B311" s="456"/>
      <c r="C311" s="456"/>
      <c r="D311" s="456"/>
      <c r="E311" s="456"/>
      <c r="F311" s="456"/>
      <c r="G311" s="456"/>
      <c r="H311" s="456"/>
      <c r="I311" s="456"/>
      <c r="J311" s="456"/>
      <c r="K311" s="456"/>
      <c r="L311" s="456"/>
      <c r="M311" s="456"/>
      <c r="N311" s="456"/>
      <c r="O311" s="456"/>
      <c r="P311" s="456"/>
      <c r="Q311" s="456"/>
      <c r="R311" s="456"/>
      <c r="S311" s="456"/>
      <c r="T311" s="456"/>
      <c r="U311" s="456"/>
      <c r="V311" s="456"/>
      <c r="W311" s="456"/>
      <c r="X311" s="456"/>
      <c r="Y311" s="456"/>
      <c r="Z311" s="456"/>
    </row>
    <row r="312" spans="1:26" ht="11.25" customHeight="1">
      <c r="A312" s="456"/>
      <c r="B312" s="456"/>
      <c r="C312" s="456"/>
      <c r="D312" s="456"/>
      <c r="E312" s="456"/>
      <c r="F312" s="456"/>
      <c r="G312" s="456"/>
      <c r="H312" s="456"/>
      <c r="I312" s="456"/>
      <c r="J312" s="456"/>
      <c r="K312" s="456"/>
      <c r="L312" s="456"/>
      <c r="M312" s="456"/>
      <c r="N312" s="456"/>
      <c r="O312" s="456"/>
      <c r="P312" s="456"/>
      <c r="Q312" s="456"/>
      <c r="R312" s="456"/>
      <c r="S312" s="456"/>
      <c r="T312" s="456"/>
      <c r="U312" s="456"/>
      <c r="V312" s="456"/>
      <c r="W312" s="456"/>
      <c r="X312" s="456"/>
      <c r="Y312" s="456"/>
      <c r="Z312" s="456"/>
    </row>
    <row r="313" spans="1:26" ht="11.25" customHeight="1">
      <c r="A313" s="456"/>
      <c r="B313" s="456"/>
      <c r="C313" s="456"/>
      <c r="D313" s="456"/>
      <c r="E313" s="456"/>
      <c r="F313" s="456"/>
      <c r="G313" s="456"/>
      <c r="H313" s="456"/>
      <c r="I313" s="456"/>
      <c r="J313" s="456"/>
      <c r="K313" s="456"/>
      <c r="L313" s="456"/>
      <c r="M313" s="456"/>
      <c r="N313" s="456"/>
      <c r="O313" s="456"/>
      <c r="P313" s="456"/>
      <c r="Q313" s="456"/>
      <c r="R313" s="456"/>
      <c r="S313" s="456"/>
      <c r="T313" s="456"/>
      <c r="U313" s="456"/>
      <c r="V313" s="456"/>
      <c r="W313" s="456"/>
      <c r="X313" s="456"/>
      <c r="Y313" s="456"/>
      <c r="Z313" s="456"/>
    </row>
    <row r="314" spans="1:26" ht="11.25" customHeight="1">
      <c r="A314" s="456"/>
      <c r="B314" s="456"/>
      <c r="C314" s="456"/>
      <c r="D314" s="456"/>
      <c r="E314" s="456"/>
      <c r="F314" s="456"/>
      <c r="G314" s="456"/>
      <c r="H314" s="456"/>
      <c r="I314" s="456"/>
      <c r="J314" s="456"/>
      <c r="K314" s="456"/>
      <c r="L314" s="456"/>
      <c r="M314" s="456"/>
      <c r="N314" s="456"/>
      <c r="O314" s="456"/>
      <c r="P314" s="456"/>
      <c r="Q314" s="456"/>
      <c r="R314" s="456"/>
      <c r="S314" s="456"/>
      <c r="T314" s="456"/>
      <c r="U314" s="456"/>
      <c r="V314" s="456"/>
      <c r="W314" s="456"/>
      <c r="X314" s="456"/>
      <c r="Y314" s="456"/>
      <c r="Z314" s="456"/>
    </row>
    <row r="315" spans="1:26" ht="11.25" customHeight="1">
      <c r="A315" s="456"/>
      <c r="B315" s="456"/>
      <c r="C315" s="456"/>
      <c r="D315" s="456"/>
      <c r="E315" s="456"/>
      <c r="F315" s="456"/>
      <c r="G315" s="456"/>
      <c r="H315" s="456"/>
      <c r="I315" s="456"/>
      <c r="J315" s="456"/>
      <c r="K315" s="456"/>
      <c r="L315" s="456"/>
      <c r="M315" s="456"/>
      <c r="N315" s="456"/>
      <c r="O315" s="456"/>
      <c r="P315" s="456"/>
      <c r="Q315" s="456"/>
      <c r="R315" s="456"/>
      <c r="S315" s="456"/>
      <c r="T315" s="456"/>
      <c r="U315" s="456"/>
      <c r="V315" s="456"/>
      <c r="W315" s="456"/>
      <c r="X315" s="456"/>
      <c r="Y315" s="456"/>
      <c r="Z315" s="456"/>
    </row>
    <row r="316" spans="1:26" ht="11.25" customHeight="1">
      <c r="A316" s="456"/>
      <c r="B316" s="456"/>
      <c r="C316" s="456"/>
      <c r="D316" s="456"/>
      <c r="E316" s="456"/>
      <c r="F316" s="456"/>
      <c r="G316" s="456"/>
      <c r="H316" s="456"/>
      <c r="I316" s="456"/>
      <c r="J316" s="456"/>
      <c r="K316" s="456"/>
      <c r="L316" s="456"/>
      <c r="M316" s="456"/>
      <c r="N316" s="456"/>
      <c r="O316" s="456"/>
      <c r="P316" s="456"/>
      <c r="Q316" s="456"/>
      <c r="R316" s="456"/>
      <c r="S316" s="456"/>
      <c r="T316" s="456"/>
      <c r="U316" s="456"/>
      <c r="V316" s="456"/>
      <c r="W316" s="456"/>
      <c r="X316" s="456"/>
      <c r="Y316" s="456"/>
      <c r="Z316" s="456"/>
    </row>
    <row r="317" spans="1:26" ht="11.25" customHeight="1">
      <c r="A317" s="456"/>
      <c r="B317" s="456"/>
      <c r="C317" s="456"/>
      <c r="D317" s="456"/>
      <c r="E317" s="456"/>
      <c r="F317" s="456"/>
      <c r="G317" s="456"/>
      <c r="H317" s="456"/>
      <c r="I317" s="456"/>
      <c r="J317" s="456"/>
      <c r="K317" s="456"/>
      <c r="L317" s="456"/>
      <c r="M317" s="456"/>
      <c r="N317" s="456"/>
      <c r="O317" s="456"/>
      <c r="P317" s="456"/>
      <c r="Q317" s="456"/>
      <c r="R317" s="456"/>
      <c r="S317" s="456"/>
      <c r="T317" s="456"/>
      <c r="U317" s="456"/>
      <c r="V317" s="456"/>
      <c r="W317" s="456"/>
      <c r="X317" s="456"/>
      <c r="Y317" s="456"/>
      <c r="Z317" s="456"/>
    </row>
    <row r="318" spans="1:26" ht="11.25" customHeight="1">
      <c r="A318" s="456"/>
      <c r="B318" s="456"/>
      <c r="C318" s="456"/>
      <c r="D318" s="456"/>
      <c r="E318" s="456"/>
      <c r="F318" s="456"/>
      <c r="G318" s="456"/>
      <c r="H318" s="456"/>
      <c r="I318" s="456"/>
      <c r="J318" s="456"/>
      <c r="K318" s="456"/>
      <c r="L318" s="456"/>
      <c r="M318" s="456"/>
      <c r="N318" s="456"/>
      <c r="O318" s="456"/>
      <c r="P318" s="456"/>
      <c r="Q318" s="456"/>
      <c r="R318" s="456"/>
      <c r="S318" s="456"/>
      <c r="T318" s="456"/>
      <c r="U318" s="456"/>
      <c r="V318" s="456"/>
      <c r="W318" s="456"/>
      <c r="X318" s="456"/>
      <c r="Y318" s="456"/>
      <c r="Z318" s="456"/>
    </row>
    <row r="319" spans="1:26" ht="11.25" customHeight="1">
      <c r="A319" s="456"/>
      <c r="B319" s="456"/>
      <c r="C319" s="456"/>
      <c r="D319" s="456"/>
      <c r="E319" s="456"/>
      <c r="F319" s="456"/>
      <c r="G319" s="456"/>
      <c r="H319" s="456"/>
      <c r="I319" s="456"/>
      <c r="J319" s="456"/>
      <c r="K319" s="456"/>
      <c r="L319" s="456"/>
      <c r="M319" s="456"/>
      <c r="N319" s="456"/>
      <c r="O319" s="456"/>
      <c r="P319" s="456"/>
      <c r="Q319" s="456"/>
      <c r="R319" s="456"/>
      <c r="S319" s="456"/>
      <c r="T319" s="456"/>
      <c r="U319" s="456"/>
      <c r="V319" s="456"/>
      <c r="W319" s="456"/>
      <c r="X319" s="456"/>
      <c r="Y319" s="456"/>
      <c r="Z319" s="456"/>
    </row>
    <row r="320" spans="1:26" ht="11.25" customHeight="1">
      <c r="A320" s="456"/>
      <c r="B320" s="456"/>
      <c r="C320" s="456"/>
      <c r="D320" s="456"/>
      <c r="E320" s="456"/>
      <c r="F320" s="456"/>
      <c r="G320" s="456"/>
      <c r="H320" s="456"/>
      <c r="I320" s="456"/>
      <c r="J320" s="456"/>
      <c r="K320" s="456"/>
      <c r="L320" s="456"/>
      <c r="M320" s="456"/>
      <c r="N320" s="456"/>
      <c r="O320" s="456"/>
      <c r="P320" s="456"/>
      <c r="Q320" s="456"/>
      <c r="R320" s="456"/>
      <c r="S320" s="456"/>
      <c r="T320" s="456"/>
      <c r="U320" s="456"/>
      <c r="V320" s="456"/>
      <c r="W320" s="456"/>
      <c r="X320" s="456"/>
      <c r="Y320" s="456"/>
      <c r="Z320" s="456"/>
    </row>
    <row r="321" spans="1:26" ht="11.25" customHeight="1">
      <c r="A321" s="456"/>
      <c r="B321" s="456"/>
      <c r="C321" s="456"/>
      <c r="D321" s="456"/>
      <c r="E321" s="456"/>
      <c r="F321" s="456"/>
      <c r="G321" s="456"/>
      <c r="H321" s="456"/>
      <c r="I321" s="456"/>
      <c r="J321" s="456"/>
      <c r="K321" s="456"/>
      <c r="L321" s="456"/>
      <c r="M321" s="456"/>
      <c r="N321" s="456"/>
      <c r="O321" s="456"/>
      <c r="P321" s="456"/>
      <c r="Q321" s="456"/>
      <c r="R321" s="456"/>
      <c r="S321" s="456"/>
      <c r="T321" s="456"/>
      <c r="U321" s="456"/>
      <c r="V321" s="456"/>
      <c r="W321" s="456"/>
      <c r="X321" s="456"/>
      <c r="Y321" s="456"/>
      <c r="Z321" s="456"/>
    </row>
    <row r="322" spans="1:26" ht="11.25" customHeight="1">
      <c r="A322" s="456"/>
      <c r="B322" s="456"/>
      <c r="C322" s="456"/>
      <c r="D322" s="456"/>
      <c r="E322" s="456"/>
      <c r="F322" s="456"/>
      <c r="G322" s="456"/>
      <c r="H322" s="456"/>
      <c r="I322" s="456"/>
      <c r="J322" s="456"/>
      <c r="K322" s="456"/>
      <c r="L322" s="456"/>
      <c r="M322" s="456"/>
      <c r="N322" s="456"/>
      <c r="O322" s="456"/>
      <c r="P322" s="456"/>
      <c r="Q322" s="456"/>
      <c r="R322" s="456"/>
      <c r="S322" s="456"/>
      <c r="T322" s="456"/>
      <c r="U322" s="456"/>
      <c r="V322" s="456"/>
      <c r="W322" s="456"/>
      <c r="X322" s="456"/>
      <c r="Y322" s="456"/>
      <c r="Z322" s="456"/>
    </row>
    <row r="323" spans="1:26" ht="11.25" customHeight="1">
      <c r="A323" s="456"/>
      <c r="B323" s="456"/>
      <c r="C323" s="456"/>
      <c r="D323" s="456"/>
      <c r="E323" s="456"/>
      <c r="F323" s="456"/>
      <c r="G323" s="456"/>
      <c r="H323" s="456"/>
      <c r="I323" s="456"/>
      <c r="J323" s="456"/>
      <c r="K323" s="456"/>
      <c r="L323" s="456"/>
      <c r="M323" s="456"/>
      <c r="N323" s="456"/>
      <c r="O323" s="456"/>
      <c r="P323" s="456"/>
      <c r="Q323" s="456"/>
      <c r="R323" s="456"/>
      <c r="S323" s="456"/>
      <c r="T323" s="456"/>
      <c r="U323" s="456"/>
      <c r="V323" s="456"/>
      <c r="W323" s="456"/>
      <c r="X323" s="456"/>
      <c r="Y323" s="456"/>
      <c r="Z323" s="456"/>
    </row>
    <row r="324" spans="1:26" ht="11.25" customHeight="1">
      <c r="A324" s="456"/>
      <c r="B324" s="456"/>
      <c r="C324" s="456"/>
      <c r="D324" s="456"/>
      <c r="E324" s="456"/>
      <c r="F324" s="456"/>
      <c r="G324" s="456"/>
      <c r="H324" s="456"/>
      <c r="I324" s="456"/>
      <c r="J324" s="456"/>
      <c r="K324" s="456"/>
      <c r="L324" s="456"/>
      <c r="M324" s="456"/>
      <c r="N324" s="456"/>
      <c r="O324" s="456"/>
      <c r="P324" s="456"/>
      <c r="Q324" s="456"/>
      <c r="R324" s="456"/>
      <c r="S324" s="456"/>
      <c r="T324" s="456"/>
      <c r="U324" s="456"/>
      <c r="V324" s="456"/>
      <c r="W324" s="456"/>
      <c r="X324" s="456"/>
      <c r="Y324" s="456"/>
      <c r="Z324" s="456"/>
    </row>
    <row r="325" spans="1:26" ht="11.25" customHeight="1">
      <c r="A325" s="456"/>
      <c r="B325" s="456"/>
      <c r="C325" s="456"/>
      <c r="D325" s="456"/>
      <c r="E325" s="456"/>
      <c r="F325" s="456"/>
      <c r="G325" s="456"/>
      <c r="H325" s="456"/>
      <c r="I325" s="456"/>
      <c r="J325" s="456"/>
      <c r="K325" s="456"/>
      <c r="L325" s="456"/>
      <c r="M325" s="456"/>
      <c r="N325" s="456"/>
      <c r="O325" s="456"/>
      <c r="P325" s="456"/>
      <c r="Q325" s="456"/>
      <c r="R325" s="456"/>
      <c r="S325" s="456"/>
      <c r="T325" s="456"/>
      <c r="U325" s="456"/>
      <c r="V325" s="456"/>
      <c r="W325" s="456"/>
      <c r="X325" s="456"/>
      <c r="Y325" s="456"/>
      <c r="Z325" s="456"/>
    </row>
    <row r="326" spans="1:26" ht="11.25" customHeight="1">
      <c r="A326" s="456"/>
      <c r="B326" s="456"/>
      <c r="C326" s="456"/>
      <c r="D326" s="456"/>
      <c r="E326" s="456"/>
      <c r="F326" s="456"/>
      <c r="G326" s="456"/>
      <c r="H326" s="456"/>
      <c r="I326" s="456"/>
      <c r="J326" s="456"/>
      <c r="K326" s="456"/>
      <c r="L326" s="456"/>
      <c r="M326" s="456"/>
      <c r="N326" s="456"/>
      <c r="O326" s="456"/>
      <c r="P326" s="456"/>
      <c r="Q326" s="456"/>
      <c r="R326" s="456"/>
      <c r="S326" s="456"/>
      <c r="T326" s="456"/>
      <c r="U326" s="456"/>
      <c r="V326" s="456"/>
      <c r="W326" s="456"/>
      <c r="X326" s="456"/>
      <c r="Y326" s="456"/>
      <c r="Z326" s="456"/>
    </row>
    <row r="327" spans="1:26" ht="11.25" customHeight="1">
      <c r="A327" s="456"/>
      <c r="B327" s="456"/>
      <c r="C327" s="456"/>
      <c r="D327" s="456"/>
      <c r="E327" s="456"/>
      <c r="F327" s="456"/>
      <c r="G327" s="456"/>
      <c r="H327" s="456"/>
      <c r="I327" s="456"/>
      <c r="J327" s="456"/>
      <c r="K327" s="456"/>
      <c r="L327" s="456"/>
      <c r="M327" s="456"/>
      <c r="N327" s="456"/>
      <c r="O327" s="456"/>
      <c r="P327" s="456"/>
      <c r="Q327" s="456"/>
      <c r="R327" s="456"/>
      <c r="S327" s="456"/>
      <c r="T327" s="456"/>
      <c r="U327" s="456"/>
      <c r="V327" s="456"/>
      <c r="W327" s="456"/>
      <c r="X327" s="456"/>
      <c r="Y327" s="456"/>
      <c r="Z327" s="456"/>
    </row>
    <row r="328" spans="1:26" ht="11.25" customHeight="1">
      <c r="A328" s="456"/>
      <c r="B328" s="456"/>
      <c r="C328" s="456"/>
      <c r="D328" s="456"/>
      <c r="E328" s="456"/>
      <c r="F328" s="456"/>
      <c r="G328" s="456"/>
      <c r="H328" s="456"/>
      <c r="I328" s="456"/>
      <c r="J328" s="456"/>
      <c r="K328" s="456"/>
      <c r="L328" s="456"/>
      <c r="M328" s="456"/>
      <c r="N328" s="456"/>
      <c r="O328" s="456"/>
      <c r="P328" s="456"/>
      <c r="Q328" s="456"/>
      <c r="R328" s="456"/>
      <c r="S328" s="456"/>
      <c r="T328" s="456"/>
      <c r="U328" s="456"/>
      <c r="V328" s="456"/>
      <c r="W328" s="456"/>
      <c r="X328" s="456"/>
      <c r="Y328" s="456"/>
      <c r="Z328" s="456"/>
    </row>
    <row r="329" spans="1:26" ht="11.25" customHeight="1">
      <c r="A329" s="456"/>
      <c r="B329" s="456"/>
      <c r="C329" s="456"/>
      <c r="D329" s="456"/>
      <c r="E329" s="456"/>
      <c r="F329" s="456"/>
      <c r="G329" s="456"/>
      <c r="H329" s="456"/>
      <c r="I329" s="456"/>
      <c r="J329" s="456"/>
      <c r="K329" s="456"/>
      <c r="L329" s="456"/>
      <c r="M329" s="456"/>
      <c r="N329" s="456"/>
      <c r="O329" s="456"/>
      <c r="P329" s="456"/>
      <c r="Q329" s="456"/>
      <c r="R329" s="456"/>
      <c r="S329" s="456"/>
      <c r="T329" s="456"/>
      <c r="U329" s="456"/>
      <c r="V329" s="456"/>
      <c r="W329" s="456"/>
      <c r="X329" s="456"/>
      <c r="Y329" s="456"/>
      <c r="Z329" s="456"/>
    </row>
    <row r="330" spans="1:26" ht="11.25" customHeight="1">
      <c r="A330" s="456"/>
      <c r="B330" s="456"/>
      <c r="C330" s="456"/>
      <c r="D330" s="456"/>
      <c r="E330" s="456"/>
      <c r="F330" s="456"/>
      <c r="G330" s="456"/>
      <c r="H330" s="456"/>
      <c r="I330" s="456"/>
      <c r="J330" s="456"/>
      <c r="K330" s="456"/>
      <c r="L330" s="456"/>
      <c r="M330" s="456"/>
      <c r="N330" s="456"/>
      <c r="O330" s="456"/>
      <c r="P330" s="456"/>
      <c r="Q330" s="456"/>
      <c r="R330" s="456"/>
      <c r="S330" s="456"/>
      <c r="T330" s="456"/>
      <c r="U330" s="456"/>
      <c r="V330" s="456"/>
      <c r="W330" s="456"/>
      <c r="X330" s="456"/>
      <c r="Y330" s="456"/>
      <c r="Z330" s="456"/>
    </row>
    <row r="331" spans="1:26" ht="11.25" customHeight="1">
      <c r="A331" s="456"/>
      <c r="B331" s="456"/>
      <c r="C331" s="456"/>
      <c r="D331" s="456"/>
      <c r="E331" s="456"/>
      <c r="F331" s="456"/>
      <c r="G331" s="456"/>
      <c r="H331" s="456"/>
      <c r="I331" s="456"/>
      <c r="J331" s="456"/>
      <c r="K331" s="456"/>
      <c r="L331" s="456"/>
      <c r="M331" s="456"/>
      <c r="N331" s="456"/>
      <c r="O331" s="456"/>
      <c r="P331" s="456"/>
      <c r="Q331" s="456"/>
      <c r="R331" s="456"/>
      <c r="S331" s="456"/>
      <c r="T331" s="456"/>
      <c r="U331" s="456"/>
      <c r="V331" s="456"/>
      <c r="W331" s="456"/>
      <c r="X331" s="456"/>
      <c r="Y331" s="456"/>
      <c r="Z331" s="456"/>
    </row>
    <row r="332" spans="1:26" ht="11.25" customHeight="1">
      <c r="A332" s="456"/>
      <c r="B332" s="456"/>
      <c r="C332" s="456"/>
      <c r="D332" s="456"/>
      <c r="E332" s="456"/>
      <c r="F332" s="456"/>
      <c r="G332" s="456"/>
      <c r="H332" s="456"/>
      <c r="I332" s="456"/>
      <c r="J332" s="456"/>
      <c r="K332" s="456"/>
      <c r="L332" s="456"/>
      <c r="M332" s="456"/>
      <c r="N332" s="456"/>
      <c r="O332" s="456"/>
      <c r="P332" s="456"/>
      <c r="Q332" s="456"/>
      <c r="R332" s="456"/>
      <c r="S332" s="456"/>
      <c r="T332" s="456"/>
      <c r="U332" s="456"/>
      <c r="V332" s="456"/>
      <c r="W332" s="456"/>
      <c r="X332" s="456"/>
      <c r="Y332" s="456"/>
      <c r="Z332" s="456"/>
    </row>
    <row r="333" spans="1:26" ht="11.25" customHeight="1">
      <c r="A333" s="456"/>
      <c r="B333" s="456"/>
      <c r="C333" s="456"/>
      <c r="D333" s="456"/>
      <c r="E333" s="456"/>
      <c r="F333" s="456"/>
      <c r="G333" s="456"/>
      <c r="H333" s="456"/>
      <c r="I333" s="456"/>
      <c r="J333" s="456"/>
      <c r="K333" s="456"/>
      <c r="L333" s="456"/>
      <c r="M333" s="456"/>
      <c r="N333" s="456"/>
      <c r="O333" s="456"/>
      <c r="P333" s="456"/>
      <c r="Q333" s="456"/>
      <c r="R333" s="456"/>
      <c r="S333" s="456"/>
      <c r="T333" s="456"/>
      <c r="U333" s="456"/>
      <c r="V333" s="456"/>
      <c r="W333" s="456"/>
      <c r="X333" s="456"/>
      <c r="Y333" s="456"/>
      <c r="Z333" s="456"/>
    </row>
    <row r="334" spans="1:26" ht="11.25" customHeight="1">
      <c r="A334" s="456"/>
      <c r="B334" s="456"/>
      <c r="C334" s="456"/>
      <c r="D334" s="456"/>
      <c r="E334" s="456"/>
      <c r="F334" s="456"/>
      <c r="G334" s="456"/>
      <c r="H334" s="456"/>
      <c r="I334" s="456"/>
      <c r="J334" s="456"/>
      <c r="K334" s="456"/>
      <c r="L334" s="456"/>
      <c r="M334" s="456"/>
      <c r="N334" s="456"/>
      <c r="O334" s="456"/>
      <c r="P334" s="456"/>
      <c r="Q334" s="456"/>
      <c r="R334" s="456"/>
      <c r="S334" s="456"/>
      <c r="T334" s="456"/>
      <c r="U334" s="456"/>
      <c r="V334" s="456"/>
      <c r="W334" s="456"/>
      <c r="X334" s="456"/>
      <c r="Y334" s="456"/>
      <c r="Z334" s="456"/>
    </row>
    <row r="335" spans="1:26" ht="11.25" customHeight="1">
      <c r="A335" s="456"/>
      <c r="B335" s="456"/>
      <c r="C335" s="456"/>
      <c r="D335" s="456"/>
      <c r="E335" s="456"/>
      <c r="F335" s="456"/>
      <c r="G335" s="456"/>
      <c r="H335" s="456"/>
      <c r="I335" s="456"/>
      <c r="J335" s="456"/>
      <c r="K335" s="456"/>
      <c r="L335" s="456"/>
      <c r="M335" s="456"/>
      <c r="N335" s="456"/>
      <c r="O335" s="456"/>
      <c r="P335" s="456"/>
      <c r="Q335" s="456"/>
      <c r="R335" s="456"/>
      <c r="S335" s="456"/>
      <c r="T335" s="456"/>
      <c r="U335" s="456"/>
      <c r="V335" s="456"/>
      <c r="W335" s="456"/>
      <c r="X335" s="456"/>
      <c r="Y335" s="456"/>
      <c r="Z335" s="456"/>
    </row>
    <row r="336" spans="1:26" ht="11.25" customHeight="1">
      <c r="A336" s="456"/>
      <c r="B336" s="456"/>
      <c r="C336" s="456"/>
      <c r="D336" s="456"/>
      <c r="E336" s="456"/>
      <c r="F336" s="456"/>
      <c r="G336" s="456"/>
      <c r="H336" s="456"/>
      <c r="I336" s="456"/>
      <c r="J336" s="456"/>
      <c r="K336" s="456"/>
      <c r="L336" s="456"/>
      <c r="M336" s="456"/>
      <c r="N336" s="456"/>
      <c r="O336" s="456"/>
      <c r="P336" s="456"/>
      <c r="Q336" s="456"/>
      <c r="R336" s="456"/>
      <c r="S336" s="456"/>
      <c r="T336" s="456"/>
      <c r="U336" s="456"/>
      <c r="V336" s="456"/>
      <c r="W336" s="456"/>
      <c r="X336" s="456"/>
      <c r="Y336" s="456"/>
      <c r="Z336" s="456"/>
    </row>
    <row r="337" spans="1:26" ht="11.25" customHeight="1">
      <c r="A337" s="456"/>
      <c r="B337" s="456"/>
      <c r="C337" s="456"/>
      <c r="D337" s="456"/>
      <c r="E337" s="456"/>
      <c r="F337" s="456"/>
      <c r="G337" s="456"/>
      <c r="H337" s="456"/>
      <c r="I337" s="456"/>
      <c r="J337" s="456"/>
      <c r="K337" s="456"/>
      <c r="L337" s="456"/>
      <c r="M337" s="456"/>
      <c r="N337" s="456"/>
      <c r="O337" s="456"/>
      <c r="P337" s="456"/>
      <c r="Q337" s="456"/>
      <c r="R337" s="456"/>
      <c r="S337" s="456"/>
      <c r="T337" s="456"/>
      <c r="U337" s="456"/>
      <c r="V337" s="456"/>
      <c r="W337" s="456"/>
      <c r="X337" s="456"/>
      <c r="Y337" s="456"/>
      <c r="Z337" s="456"/>
    </row>
    <row r="338" spans="1:26" ht="11.25" customHeight="1">
      <c r="A338" s="456"/>
      <c r="B338" s="456"/>
      <c r="C338" s="456"/>
      <c r="D338" s="456"/>
      <c r="E338" s="456"/>
      <c r="F338" s="456"/>
      <c r="G338" s="456"/>
      <c r="H338" s="456"/>
      <c r="I338" s="456"/>
      <c r="J338" s="456"/>
      <c r="K338" s="456"/>
      <c r="L338" s="456"/>
      <c r="M338" s="456"/>
      <c r="N338" s="456"/>
      <c r="O338" s="456"/>
      <c r="P338" s="456"/>
      <c r="Q338" s="456"/>
      <c r="R338" s="456"/>
      <c r="S338" s="456"/>
      <c r="T338" s="456"/>
      <c r="U338" s="456"/>
      <c r="V338" s="456"/>
      <c r="W338" s="456"/>
      <c r="X338" s="456"/>
      <c r="Y338" s="456"/>
      <c r="Z338" s="456"/>
    </row>
    <row r="339" spans="1:26" ht="11.25" customHeight="1">
      <c r="A339" s="456"/>
      <c r="B339" s="456"/>
      <c r="C339" s="456"/>
      <c r="D339" s="456"/>
      <c r="E339" s="456"/>
      <c r="F339" s="456"/>
      <c r="G339" s="456"/>
      <c r="H339" s="456"/>
      <c r="I339" s="456"/>
      <c r="J339" s="456"/>
      <c r="K339" s="456"/>
      <c r="L339" s="456"/>
      <c r="M339" s="456"/>
      <c r="N339" s="456"/>
      <c r="O339" s="456"/>
      <c r="P339" s="456"/>
      <c r="Q339" s="456"/>
      <c r="R339" s="456"/>
      <c r="S339" s="456"/>
      <c r="T339" s="456"/>
      <c r="U339" s="456"/>
      <c r="V339" s="456"/>
      <c r="W339" s="456"/>
      <c r="X339" s="456"/>
      <c r="Y339" s="456"/>
      <c r="Z339" s="456"/>
    </row>
    <row r="340" spans="1:26" ht="11.25" customHeight="1">
      <c r="A340" s="456"/>
      <c r="B340" s="456"/>
      <c r="C340" s="456"/>
      <c r="D340" s="456"/>
      <c r="E340" s="456"/>
      <c r="F340" s="456"/>
      <c r="G340" s="456"/>
      <c r="H340" s="456"/>
      <c r="I340" s="456"/>
      <c r="J340" s="456"/>
      <c r="K340" s="456"/>
      <c r="L340" s="456"/>
      <c r="M340" s="456"/>
      <c r="N340" s="456"/>
      <c r="O340" s="456"/>
      <c r="P340" s="456"/>
      <c r="Q340" s="456"/>
      <c r="R340" s="456"/>
      <c r="S340" s="456"/>
      <c r="T340" s="456"/>
      <c r="U340" s="456"/>
      <c r="V340" s="456"/>
      <c r="W340" s="456"/>
      <c r="X340" s="456"/>
      <c r="Y340" s="456"/>
      <c r="Z340" s="456"/>
    </row>
    <row r="341" spans="1:26" ht="11.25" customHeight="1">
      <c r="A341" s="456"/>
      <c r="B341" s="456"/>
      <c r="C341" s="456"/>
      <c r="D341" s="456"/>
      <c r="E341" s="456"/>
      <c r="F341" s="456"/>
      <c r="G341" s="456"/>
      <c r="H341" s="456"/>
      <c r="I341" s="456"/>
      <c r="J341" s="456"/>
      <c r="K341" s="456"/>
      <c r="L341" s="456"/>
      <c r="M341" s="456"/>
      <c r="N341" s="456"/>
      <c r="O341" s="456"/>
      <c r="P341" s="456"/>
      <c r="Q341" s="456"/>
      <c r="R341" s="456"/>
      <c r="S341" s="456"/>
      <c r="T341" s="456"/>
      <c r="U341" s="456"/>
      <c r="V341" s="456"/>
      <c r="W341" s="456"/>
      <c r="X341" s="456"/>
      <c r="Y341" s="456"/>
      <c r="Z341" s="456"/>
    </row>
    <row r="342" spans="1:26" ht="11.25" customHeight="1">
      <c r="A342" s="456"/>
      <c r="B342" s="456"/>
      <c r="C342" s="456"/>
      <c r="D342" s="456"/>
      <c r="E342" s="456"/>
      <c r="F342" s="456"/>
      <c r="G342" s="456"/>
      <c r="H342" s="456"/>
      <c r="I342" s="456"/>
      <c r="J342" s="456"/>
      <c r="K342" s="456"/>
      <c r="L342" s="456"/>
      <c r="M342" s="456"/>
      <c r="N342" s="456"/>
      <c r="O342" s="456"/>
      <c r="P342" s="456"/>
      <c r="Q342" s="456"/>
      <c r="R342" s="456"/>
      <c r="S342" s="456"/>
      <c r="T342" s="456"/>
      <c r="U342" s="456"/>
      <c r="V342" s="456"/>
      <c r="W342" s="456"/>
      <c r="X342" s="456"/>
      <c r="Y342" s="456"/>
      <c r="Z342" s="456"/>
    </row>
    <row r="343" spans="1:26" ht="11.25" customHeight="1">
      <c r="A343" s="456"/>
      <c r="B343" s="456"/>
      <c r="C343" s="456"/>
      <c r="D343" s="456"/>
      <c r="E343" s="456"/>
      <c r="F343" s="456"/>
      <c r="G343" s="456"/>
      <c r="H343" s="456"/>
      <c r="I343" s="456"/>
      <c r="J343" s="456"/>
      <c r="K343" s="456"/>
      <c r="L343" s="456"/>
      <c r="M343" s="456"/>
      <c r="N343" s="456"/>
      <c r="O343" s="456"/>
      <c r="P343" s="456"/>
      <c r="Q343" s="456"/>
      <c r="R343" s="456"/>
      <c r="S343" s="456"/>
      <c r="T343" s="456"/>
      <c r="U343" s="456"/>
      <c r="V343" s="456"/>
      <c r="W343" s="456"/>
      <c r="X343" s="456"/>
      <c r="Y343" s="456"/>
      <c r="Z343" s="456"/>
    </row>
    <row r="344" spans="1:26" ht="11.25" customHeight="1">
      <c r="A344" s="456"/>
      <c r="B344" s="456"/>
      <c r="C344" s="456"/>
      <c r="D344" s="456"/>
      <c r="E344" s="456"/>
      <c r="F344" s="456"/>
      <c r="G344" s="456"/>
      <c r="H344" s="456"/>
      <c r="I344" s="456"/>
      <c r="J344" s="456"/>
      <c r="K344" s="456"/>
      <c r="L344" s="456"/>
      <c r="M344" s="456"/>
      <c r="N344" s="456"/>
      <c r="O344" s="456"/>
      <c r="P344" s="456"/>
      <c r="Q344" s="456"/>
      <c r="R344" s="456"/>
      <c r="S344" s="456"/>
      <c r="T344" s="456"/>
      <c r="U344" s="456"/>
      <c r="V344" s="456"/>
      <c r="W344" s="456"/>
      <c r="X344" s="456"/>
      <c r="Y344" s="456"/>
      <c r="Z344" s="456"/>
    </row>
    <row r="345" spans="1:26" ht="11.25" customHeight="1">
      <c r="A345" s="456"/>
      <c r="B345" s="456"/>
      <c r="C345" s="456"/>
      <c r="D345" s="456"/>
      <c r="E345" s="456"/>
      <c r="F345" s="456"/>
      <c r="G345" s="456"/>
      <c r="H345" s="456"/>
      <c r="I345" s="456"/>
      <c r="J345" s="456"/>
      <c r="K345" s="456"/>
      <c r="L345" s="456"/>
      <c r="M345" s="456"/>
      <c r="N345" s="456"/>
      <c r="O345" s="456"/>
      <c r="P345" s="456"/>
      <c r="Q345" s="456"/>
      <c r="R345" s="456"/>
      <c r="S345" s="456"/>
      <c r="T345" s="456"/>
      <c r="U345" s="456"/>
      <c r="V345" s="456"/>
      <c r="W345" s="456"/>
      <c r="X345" s="456"/>
      <c r="Y345" s="456"/>
      <c r="Z345" s="456"/>
    </row>
    <row r="346" spans="1:26" ht="11.25" customHeight="1">
      <c r="A346" s="456"/>
      <c r="B346" s="456"/>
      <c r="C346" s="456"/>
      <c r="D346" s="456"/>
      <c r="E346" s="456"/>
      <c r="F346" s="456"/>
      <c r="G346" s="456"/>
      <c r="H346" s="456"/>
      <c r="I346" s="456"/>
      <c r="J346" s="456"/>
      <c r="K346" s="456"/>
      <c r="L346" s="456"/>
      <c r="M346" s="456"/>
      <c r="N346" s="456"/>
      <c r="O346" s="456"/>
      <c r="P346" s="456"/>
      <c r="Q346" s="456"/>
      <c r="R346" s="456"/>
      <c r="S346" s="456"/>
      <c r="T346" s="456"/>
      <c r="U346" s="456"/>
      <c r="V346" s="456"/>
      <c r="W346" s="456"/>
      <c r="X346" s="456"/>
      <c r="Y346" s="456"/>
      <c r="Z346" s="456"/>
    </row>
    <row r="347" spans="1:26" ht="11.25" customHeight="1">
      <c r="A347" s="456"/>
      <c r="B347" s="456"/>
      <c r="C347" s="456"/>
      <c r="D347" s="456"/>
      <c r="E347" s="456"/>
      <c r="F347" s="456"/>
      <c r="G347" s="456"/>
      <c r="H347" s="456"/>
      <c r="I347" s="456"/>
      <c r="J347" s="456"/>
      <c r="K347" s="456"/>
      <c r="L347" s="456"/>
      <c r="M347" s="456"/>
      <c r="N347" s="456"/>
      <c r="O347" s="456"/>
      <c r="P347" s="456"/>
      <c r="Q347" s="456"/>
      <c r="R347" s="456"/>
      <c r="S347" s="456"/>
      <c r="T347" s="456"/>
      <c r="U347" s="456"/>
      <c r="V347" s="456"/>
      <c r="W347" s="456"/>
      <c r="X347" s="456"/>
      <c r="Y347" s="456"/>
      <c r="Z347" s="456"/>
    </row>
    <row r="348" spans="1:26" ht="11.25" customHeight="1">
      <c r="A348" s="456"/>
      <c r="B348" s="456"/>
      <c r="C348" s="456"/>
      <c r="D348" s="456"/>
      <c r="E348" s="456"/>
      <c r="F348" s="456"/>
      <c r="G348" s="456"/>
      <c r="H348" s="456"/>
      <c r="I348" s="456"/>
      <c r="J348" s="456"/>
      <c r="K348" s="456"/>
      <c r="L348" s="456"/>
      <c r="M348" s="456"/>
      <c r="N348" s="456"/>
      <c r="O348" s="456"/>
      <c r="P348" s="456"/>
      <c r="Q348" s="456"/>
      <c r="R348" s="456"/>
      <c r="S348" s="456"/>
      <c r="T348" s="456"/>
      <c r="U348" s="456"/>
      <c r="V348" s="456"/>
      <c r="W348" s="456"/>
      <c r="X348" s="456"/>
      <c r="Y348" s="456"/>
      <c r="Z348" s="456"/>
    </row>
    <row r="349" spans="1:26" ht="11.25" customHeight="1">
      <c r="A349" s="456"/>
      <c r="B349" s="456"/>
      <c r="C349" s="456"/>
      <c r="D349" s="456"/>
      <c r="E349" s="456"/>
      <c r="F349" s="456"/>
      <c r="G349" s="456"/>
      <c r="H349" s="456"/>
      <c r="I349" s="456"/>
      <c r="J349" s="456"/>
      <c r="K349" s="456"/>
      <c r="L349" s="456"/>
      <c r="M349" s="456"/>
      <c r="N349" s="456"/>
      <c r="O349" s="456"/>
      <c r="P349" s="456"/>
      <c r="Q349" s="456"/>
      <c r="R349" s="456"/>
      <c r="S349" s="456"/>
      <c r="T349" s="456"/>
      <c r="U349" s="456"/>
      <c r="V349" s="456"/>
      <c r="W349" s="456"/>
      <c r="X349" s="456"/>
      <c r="Y349" s="456"/>
      <c r="Z349" s="456"/>
    </row>
    <row r="350" spans="1:26" ht="11.25" customHeight="1">
      <c r="A350" s="456"/>
      <c r="B350" s="456"/>
      <c r="C350" s="456"/>
      <c r="D350" s="456"/>
      <c r="E350" s="456"/>
      <c r="F350" s="456"/>
      <c r="G350" s="456"/>
      <c r="H350" s="456"/>
      <c r="I350" s="456"/>
      <c r="J350" s="456"/>
      <c r="K350" s="456"/>
      <c r="L350" s="456"/>
      <c r="M350" s="456"/>
      <c r="N350" s="456"/>
      <c r="O350" s="456"/>
      <c r="P350" s="456"/>
      <c r="Q350" s="456"/>
      <c r="R350" s="456"/>
      <c r="S350" s="456"/>
      <c r="T350" s="456"/>
      <c r="U350" s="456"/>
      <c r="V350" s="456"/>
      <c r="W350" s="456"/>
      <c r="X350" s="456"/>
      <c r="Y350" s="456"/>
      <c r="Z350" s="456"/>
    </row>
    <row r="351" spans="1:26" ht="11.25" customHeight="1">
      <c r="A351" s="456"/>
      <c r="B351" s="456"/>
      <c r="C351" s="456"/>
      <c r="D351" s="456"/>
      <c r="E351" s="456"/>
      <c r="F351" s="456"/>
      <c r="G351" s="456"/>
      <c r="H351" s="456"/>
      <c r="I351" s="456"/>
      <c r="J351" s="456"/>
      <c r="K351" s="456"/>
      <c r="L351" s="456"/>
      <c r="M351" s="456"/>
      <c r="N351" s="456"/>
      <c r="O351" s="456"/>
      <c r="P351" s="456"/>
      <c r="Q351" s="456"/>
      <c r="R351" s="456"/>
      <c r="S351" s="456"/>
      <c r="T351" s="456"/>
      <c r="U351" s="456"/>
      <c r="V351" s="456"/>
      <c r="W351" s="456"/>
      <c r="X351" s="456"/>
      <c r="Y351" s="456"/>
      <c r="Z351" s="456"/>
    </row>
    <row r="352" spans="1:26" ht="11.25" customHeight="1">
      <c r="A352" s="456"/>
      <c r="B352" s="456"/>
      <c r="C352" s="456"/>
      <c r="D352" s="456"/>
      <c r="E352" s="456"/>
      <c r="F352" s="456"/>
      <c r="G352" s="456"/>
      <c r="H352" s="456"/>
      <c r="I352" s="456"/>
      <c r="J352" s="456"/>
      <c r="K352" s="456"/>
      <c r="L352" s="456"/>
      <c r="M352" s="456"/>
      <c r="N352" s="456"/>
      <c r="O352" s="456"/>
      <c r="P352" s="456"/>
      <c r="Q352" s="456"/>
      <c r="R352" s="456"/>
      <c r="S352" s="456"/>
      <c r="T352" s="456"/>
      <c r="U352" s="456"/>
      <c r="V352" s="456"/>
      <c r="W352" s="456"/>
      <c r="X352" s="456"/>
      <c r="Y352" s="456"/>
      <c r="Z352" s="456"/>
    </row>
    <row r="353" spans="1:26" ht="11.25" customHeight="1">
      <c r="A353" s="456"/>
      <c r="B353" s="456"/>
      <c r="C353" s="456"/>
      <c r="D353" s="456"/>
      <c r="E353" s="456"/>
      <c r="F353" s="456"/>
      <c r="G353" s="456"/>
      <c r="H353" s="456"/>
      <c r="I353" s="456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  <c r="Z353" s="456"/>
    </row>
    <row r="354" spans="1:26" ht="11.25" customHeight="1">
      <c r="A354" s="456"/>
      <c r="B354" s="456"/>
      <c r="C354" s="456"/>
      <c r="D354" s="456"/>
      <c r="E354" s="456"/>
      <c r="F354" s="456"/>
      <c r="G354" s="456"/>
      <c r="H354" s="456"/>
      <c r="I354" s="456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  <c r="Z354" s="456"/>
    </row>
    <row r="355" spans="1:26" ht="11.25" customHeight="1">
      <c r="A355" s="456"/>
      <c r="B355" s="456"/>
      <c r="C355" s="456"/>
      <c r="D355" s="456"/>
      <c r="E355" s="456"/>
      <c r="F355" s="456"/>
      <c r="G355" s="456"/>
      <c r="H355" s="456"/>
      <c r="I355" s="456"/>
      <c r="J355" s="456"/>
      <c r="K355" s="456"/>
      <c r="L355" s="456"/>
      <c r="M355" s="456"/>
      <c r="N355" s="456"/>
      <c r="O355" s="456"/>
      <c r="P355" s="456"/>
      <c r="Q355" s="456"/>
      <c r="R355" s="456"/>
      <c r="S355" s="456"/>
      <c r="T355" s="456"/>
      <c r="U355" s="456"/>
      <c r="V355" s="456"/>
      <c r="W355" s="456"/>
      <c r="X355" s="456"/>
      <c r="Y355" s="456"/>
      <c r="Z355" s="456"/>
    </row>
    <row r="356" spans="1:26" ht="11.25" customHeight="1">
      <c r="A356" s="456"/>
      <c r="B356" s="456"/>
      <c r="C356" s="456"/>
      <c r="D356" s="456"/>
      <c r="E356" s="456"/>
      <c r="F356" s="456"/>
      <c r="G356" s="456"/>
      <c r="H356" s="456"/>
      <c r="I356" s="456"/>
      <c r="J356" s="456"/>
      <c r="K356" s="456"/>
      <c r="L356" s="456"/>
      <c r="M356" s="456"/>
      <c r="N356" s="456"/>
      <c r="O356" s="456"/>
      <c r="P356" s="456"/>
      <c r="Q356" s="456"/>
      <c r="R356" s="456"/>
      <c r="S356" s="456"/>
      <c r="T356" s="456"/>
      <c r="U356" s="456"/>
      <c r="V356" s="456"/>
      <c r="W356" s="456"/>
      <c r="X356" s="456"/>
      <c r="Y356" s="456"/>
      <c r="Z356" s="456"/>
    </row>
    <row r="357" spans="1:26" ht="11.25" customHeight="1">
      <c r="A357" s="456"/>
      <c r="B357" s="456"/>
      <c r="C357" s="456"/>
      <c r="D357" s="456"/>
      <c r="E357" s="456"/>
      <c r="F357" s="456"/>
      <c r="G357" s="456"/>
      <c r="H357" s="456"/>
      <c r="I357" s="456"/>
      <c r="J357" s="456"/>
      <c r="K357" s="456"/>
      <c r="L357" s="456"/>
      <c r="M357" s="456"/>
      <c r="N357" s="456"/>
      <c r="O357" s="456"/>
      <c r="P357" s="456"/>
      <c r="Q357" s="456"/>
      <c r="R357" s="456"/>
      <c r="S357" s="456"/>
      <c r="T357" s="456"/>
      <c r="U357" s="456"/>
      <c r="V357" s="456"/>
      <c r="W357" s="456"/>
      <c r="X357" s="456"/>
      <c r="Y357" s="456"/>
      <c r="Z357" s="456"/>
    </row>
    <row r="358" spans="1:26" ht="11.25" customHeight="1">
      <c r="A358" s="456"/>
      <c r="B358" s="456"/>
      <c r="C358" s="456"/>
      <c r="D358" s="456"/>
      <c r="E358" s="456"/>
      <c r="F358" s="456"/>
      <c r="G358" s="456"/>
      <c r="H358" s="456"/>
      <c r="I358" s="456"/>
      <c r="J358" s="456"/>
      <c r="K358" s="456"/>
      <c r="L358" s="456"/>
      <c r="M358" s="456"/>
      <c r="N358" s="456"/>
      <c r="O358" s="456"/>
      <c r="P358" s="456"/>
      <c r="Q358" s="456"/>
      <c r="R358" s="456"/>
      <c r="S358" s="456"/>
      <c r="T358" s="456"/>
      <c r="U358" s="456"/>
      <c r="V358" s="456"/>
      <c r="W358" s="456"/>
      <c r="X358" s="456"/>
      <c r="Y358" s="456"/>
      <c r="Z358" s="456"/>
    </row>
    <row r="359" spans="1:26" ht="11.25" customHeight="1">
      <c r="A359" s="456"/>
      <c r="B359" s="456"/>
      <c r="C359" s="456"/>
      <c r="D359" s="456"/>
      <c r="E359" s="456"/>
      <c r="F359" s="456"/>
      <c r="G359" s="456"/>
      <c r="H359" s="456"/>
      <c r="I359" s="456"/>
      <c r="J359" s="456"/>
      <c r="K359" s="456"/>
      <c r="L359" s="456"/>
      <c r="M359" s="456"/>
      <c r="N359" s="456"/>
      <c r="O359" s="456"/>
      <c r="P359" s="456"/>
      <c r="Q359" s="456"/>
      <c r="R359" s="456"/>
      <c r="S359" s="456"/>
      <c r="T359" s="456"/>
      <c r="U359" s="456"/>
      <c r="V359" s="456"/>
      <c r="W359" s="456"/>
      <c r="X359" s="456"/>
      <c r="Y359" s="456"/>
      <c r="Z359" s="456"/>
    </row>
    <row r="360" spans="1:26" ht="11.25" customHeight="1">
      <c r="A360" s="456"/>
      <c r="B360" s="456"/>
      <c r="C360" s="456"/>
      <c r="D360" s="456"/>
      <c r="E360" s="456"/>
      <c r="F360" s="456"/>
      <c r="G360" s="456"/>
      <c r="H360" s="456"/>
      <c r="I360" s="456"/>
      <c r="J360" s="456"/>
      <c r="K360" s="456"/>
      <c r="L360" s="456"/>
      <c r="M360" s="456"/>
      <c r="N360" s="456"/>
      <c r="O360" s="456"/>
      <c r="P360" s="456"/>
      <c r="Q360" s="456"/>
      <c r="R360" s="456"/>
      <c r="S360" s="456"/>
      <c r="T360" s="456"/>
      <c r="U360" s="456"/>
      <c r="V360" s="456"/>
      <c r="W360" s="456"/>
      <c r="X360" s="456"/>
      <c r="Y360" s="456"/>
      <c r="Z360" s="456"/>
    </row>
    <row r="361" spans="1:26" ht="11.25" customHeight="1">
      <c r="A361" s="456"/>
      <c r="B361" s="456"/>
      <c r="C361" s="456"/>
      <c r="D361" s="456"/>
      <c r="E361" s="456"/>
      <c r="F361" s="456"/>
      <c r="G361" s="456"/>
      <c r="H361" s="456"/>
      <c r="I361" s="456"/>
      <c r="J361" s="456"/>
      <c r="K361" s="456"/>
      <c r="L361" s="456"/>
      <c r="M361" s="456"/>
      <c r="N361" s="456"/>
      <c r="O361" s="456"/>
      <c r="P361" s="456"/>
      <c r="Q361" s="456"/>
      <c r="R361" s="456"/>
      <c r="S361" s="456"/>
      <c r="T361" s="456"/>
      <c r="U361" s="456"/>
      <c r="V361" s="456"/>
      <c r="W361" s="456"/>
      <c r="X361" s="456"/>
      <c r="Y361" s="456"/>
      <c r="Z361" s="456"/>
    </row>
    <row r="362" spans="1:26" ht="11.25" customHeight="1">
      <c r="A362" s="456"/>
      <c r="B362" s="456"/>
      <c r="C362" s="456"/>
      <c r="D362" s="456"/>
      <c r="E362" s="456"/>
      <c r="F362" s="456"/>
      <c r="G362" s="456"/>
      <c r="H362" s="456"/>
      <c r="I362" s="456"/>
      <c r="J362" s="456"/>
      <c r="K362" s="456"/>
      <c r="L362" s="456"/>
      <c r="M362" s="456"/>
      <c r="N362" s="456"/>
      <c r="O362" s="456"/>
      <c r="P362" s="456"/>
      <c r="Q362" s="456"/>
      <c r="R362" s="456"/>
      <c r="S362" s="456"/>
      <c r="T362" s="456"/>
      <c r="U362" s="456"/>
      <c r="V362" s="456"/>
      <c r="W362" s="456"/>
      <c r="X362" s="456"/>
      <c r="Y362" s="456"/>
      <c r="Z362" s="456"/>
    </row>
    <row r="363" spans="1:26" ht="11.25" customHeight="1">
      <c r="A363" s="456"/>
      <c r="B363" s="456"/>
      <c r="C363" s="456"/>
      <c r="D363" s="456"/>
      <c r="E363" s="456"/>
      <c r="F363" s="456"/>
      <c r="G363" s="456"/>
      <c r="H363" s="456"/>
      <c r="I363" s="456"/>
      <c r="J363" s="456"/>
      <c r="K363" s="456"/>
      <c r="L363" s="456"/>
      <c r="M363" s="456"/>
      <c r="N363" s="456"/>
      <c r="O363" s="456"/>
      <c r="P363" s="456"/>
      <c r="Q363" s="456"/>
      <c r="R363" s="456"/>
      <c r="S363" s="456"/>
      <c r="T363" s="456"/>
      <c r="U363" s="456"/>
      <c r="V363" s="456"/>
      <c r="W363" s="456"/>
      <c r="X363" s="456"/>
      <c r="Y363" s="456"/>
      <c r="Z363" s="456"/>
    </row>
    <row r="364" spans="1:26" ht="11.25" customHeight="1">
      <c r="A364" s="456"/>
      <c r="B364" s="456"/>
      <c r="C364" s="456"/>
      <c r="D364" s="456"/>
      <c r="E364" s="456"/>
      <c r="F364" s="456"/>
      <c r="G364" s="456"/>
      <c r="H364" s="456"/>
      <c r="I364" s="456"/>
      <c r="J364" s="456"/>
      <c r="K364" s="456"/>
      <c r="L364" s="456"/>
      <c r="M364" s="456"/>
      <c r="N364" s="456"/>
      <c r="O364" s="456"/>
      <c r="P364" s="456"/>
      <c r="Q364" s="456"/>
      <c r="R364" s="456"/>
      <c r="S364" s="456"/>
      <c r="T364" s="456"/>
      <c r="U364" s="456"/>
      <c r="V364" s="456"/>
      <c r="W364" s="456"/>
      <c r="X364" s="456"/>
      <c r="Y364" s="456"/>
      <c r="Z364" s="456"/>
    </row>
    <row r="365" spans="1:26" ht="11.25" customHeight="1">
      <c r="A365" s="456"/>
      <c r="B365" s="456"/>
      <c r="C365" s="456"/>
      <c r="D365" s="456"/>
      <c r="E365" s="456"/>
      <c r="F365" s="456"/>
      <c r="G365" s="456"/>
      <c r="H365" s="456"/>
      <c r="I365" s="456"/>
      <c r="J365" s="456"/>
      <c r="K365" s="456"/>
      <c r="L365" s="456"/>
      <c r="M365" s="456"/>
      <c r="N365" s="456"/>
      <c r="O365" s="456"/>
      <c r="P365" s="456"/>
      <c r="Q365" s="456"/>
      <c r="R365" s="456"/>
      <c r="S365" s="456"/>
      <c r="T365" s="456"/>
      <c r="U365" s="456"/>
      <c r="V365" s="456"/>
      <c r="W365" s="456"/>
      <c r="X365" s="456"/>
      <c r="Y365" s="456"/>
      <c r="Z365" s="456"/>
    </row>
    <row r="366" spans="1:26" ht="11.25" customHeight="1">
      <c r="A366" s="456"/>
      <c r="B366" s="456"/>
      <c r="C366" s="456"/>
      <c r="D366" s="456"/>
      <c r="E366" s="456"/>
      <c r="F366" s="456"/>
      <c r="G366" s="456"/>
      <c r="H366" s="456"/>
      <c r="I366" s="456"/>
      <c r="J366" s="456"/>
      <c r="K366" s="456"/>
      <c r="L366" s="456"/>
      <c r="M366" s="456"/>
      <c r="N366" s="456"/>
      <c r="O366" s="456"/>
      <c r="P366" s="456"/>
      <c r="Q366" s="456"/>
      <c r="R366" s="456"/>
      <c r="S366" s="456"/>
      <c r="T366" s="456"/>
      <c r="U366" s="456"/>
      <c r="V366" s="456"/>
      <c r="W366" s="456"/>
      <c r="X366" s="456"/>
      <c r="Y366" s="456"/>
      <c r="Z366" s="456"/>
    </row>
    <row r="367" spans="1:26" ht="11.25" customHeight="1">
      <c r="A367" s="456"/>
      <c r="B367" s="456"/>
      <c r="C367" s="456"/>
      <c r="D367" s="456"/>
      <c r="E367" s="456"/>
      <c r="F367" s="456"/>
      <c r="G367" s="456"/>
      <c r="H367" s="456"/>
      <c r="I367" s="456"/>
      <c r="J367" s="456"/>
      <c r="K367" s="456"/>
      <c r="L367" s="456"/>
      <c r="M367" s="456"/>
      <c r="N367" s="456"/>
      <c r="O367" s="456"/>
      <c r="P367" s="456"/>
      <c r="Q367" s="456"/>
      <c r="R367" s="456"/>
      <c r="S367" s="456"/>
      <c r="T367" s="456"/>
      <c r="U367" s="456"/>
      <c r="V367" s="456"/>
      <c r="W367" s="456"/>
      <c r="X367" s="456"/>
      <c r="Y367" s="456"/>
      <c r="Z367" s="456"/>
    </row>
    <row r="368" spans="1:26" ht="11.25" customHeight="1">
      <c r="A368" s="456"/>
      <c r="B368" s="456"/>
      <c r="C368" s="456"/>
      <c r="D368" s="456"/>
      <c r="E368" s="456"/>
      <c r="F368" s="456"/>
      <c r="G368" s="456"/>
      <c r="H368" s="456"/>
      <c r="I368" s="456"/>
      <c r="J368" s="456"/>
      <c r="K368" s="456"/>
      <c r="L368" s="456"/>
      <c r="M368" s="456"/>
      <c r="N368" s="456"/>
      <c r="O368" s="456"/>
      <c r="P368" s="456"/>
      <c r="Q368" s="456"/>
      <c r="R368" s="456"/>
      <c r="S368" s="456"/>
      <c r="T368" s="456"/>
      <c r="U368" s="456"/>
      <c r="V368" s="456"/>
      <c r="W368" s="456"/>
      <c r="X368" s="456"/>
      <c r="Y368" s="456"/>
      <c r="Z368" s="456"/>
    </row>
    <row r="369" spans="1:26" ht="11.25" customHeight="1">
      <c r="A369" s="456"/>
      <c r="B369" s="456"/>
      <c r="C369" s="456"/>
      <c r="D369" s="456"/>
      <c r="E369" s="456"/>
      <c r="F369" s="456"/>
      <c r="G369" s="456"/>
      <c r="H369" s="456"/>
      <c r="I369" s="456"/>
      <c r="J369" s="456"/>
      <c r="K369" s="456"/>
      <c r="L369" s="456"/>
      <c r="M369" s="456"/>
      <c r="N369" s="456"/>
      <c r="O369" s="456"/>
      <c r="P369" s="456"/>
      <c r="Q369" s="456"/>
      <c r="R369" s="456"/>
      <c r="S369" s="456"/>
      <c r="T369" s="456"/>
      <c r="U369" s="456"/>
      <c r="V369" s="456"/>
      <c r="W369" s="456"/>
      <c r="X369" s="456"/>
      <c r="Y369" s="456"/>
      <c r="Z369" s="456"/>
    </row>
    <row r="370" spans="1:26" ht="11.25" customHeight="1">
      <c r="A370" s="456"/>
      <c r="B370" s="456"/>
      <c r="C370" s="456"/>
      <c r="D370" s="456"/>
      <c r="E370" s="456"/>
      <c r="F370" s="456"/>
      <c r="G370" s="456"/>
      <c r="H370" s="456"/>
      <c r="I370" s="456"/>
      <c r="J370" s="456"/>
      <c r="K370" s="456"/>
      <c r="L370" s="456"/>
      <c r="M370" s="456"/>
      <c r="N370" s="456"/>
      <c r="O370" s="456"/>
      <c r="P370" s="456"/>
      <c r="Q370" s="456"/>
      <c r="R370" s="456"/>
      <c r="S370" s="456"/>
      <c r="T370" s="456"/>
      <c r="U370" s="456"/>
      <c r="V370" s="456"/>
      <c r="W370" s="456"/>
      <c r="X370" s="456"/>
      <c r="Y370" s="456"/>
      <c r="Z370" s="456"/>
    </row>
    <row r="371" spans="1:26" ht="11.25" customHeight="1">
      <c r="A371" s="456"/>
      <c r="B371" s="456"/>
      <c r="C371" s="456"/>
      <c r="D371" s="456"/>
      <c r="E371" s="456"/>
      <c r="F371" s="456"/>
      <c r="G371" s="456"/>
      <c r="H371" s="456"/>
      <c r="I371" s="456"/>
      <c r="J371" s="456"/>
      <c r="K371" s="456"/>
      <c r="L371" s="456"/>
      <c r="M371" s="456"/>
      <c r="N371" s="456"/>
      <c r="O371" s="456"/>
      <c r="P371" s="456"/>
      <c r="Q371" s="456"/>
      <c r="R371" s="456"/>
      <c r="S371" s="456"/>
      <c r="T371" s="456"/>
      <c r="U371" s="456"/>
      <c r="V371" s="456"/>
      <c r="W371" s="456"/>
      <c r="X371" s="456"/>
      <c r="Y371" s="456"/>
      <c r="Z371" s="456"/>
    </row>
    <row r="372" spans="1:26" ht="11.25" customHeight="1">
      <c r="A372" s="456"/>
      <c r="B372" s="456"/>
      <c r="C372" s="456"/>
      <c r="D372" s="456"/>
      <c r="E372" s="456"/>
      <c r="F372" s="456"/>
      <c r="G372" s="456"/>
      <c r="H372" s="456"/>
      <c r="I372" s="456"/>
      <c r="J372" s="456"/>
      <c r="K372" s="456"/>
      <c r="L372" s="456"/>
      <c r="M372" s="456"/>
      <c r="N372" s="456"/>
      <c r="O372" s="456"/>
      <c r="P372" s="456"/>
      <c r="Q372" s="456"/>
      <c r="R372" s="456"/>
      <c r="S372" s="456"/>
      <c r="T372" s="456"/>
      <c r="U372" s="456"/>
      <c r="V372" s="456"/>
      <c r="W372" s="456"/>
      <c r="X372" s="456"/>
      <c r="Y372" s="456"/>
      <c r="Z372" s="456"/>
    </row>
    <row r="373" spans="1:26" ht="11.25" customHeight="1">
      <c r="A373" s="456"/>
      <c r="B373" s="456"/>
      <c r="C373" s="456"/>
      <c r="D373" s="456"/>
      <c r="E373" s="456"/>
      <c r="F373" s="456"/>
      <c r="G373" s="456"/>
      <c r="H373" s="456"/>
      <c r="I373" s="456"/>
      <c r="J373" s="456"/>
      <c r="K373" s="456"/>
      <c r="L373" s="456"/>
      <c r="M373" s="456"/>
      <c r="N373" s="456"/>
      <c r="O373" s="456"/>
      <c r="P373" s="456"/>
      <c r="Q373" s="456"/>
      <c r="R373" s="456"/>
      <c r="S373" s="456"/>
      <c r="T373" s="456"/>
      <c r="U373" s="456"/>
      <c r="V373" s="456"/>
      <c r="W373" s="456"/>
      <c r="X373" s="456"/>
      <c r="Y373" s="456"/>
      <c r="Z373" s="456"/>
    </row>
    <row r="374" spans="1:26" ht="11.25" customHeight="1">
      <c r="A374" s="456"/>
      <c r="B374" s="456"/>
      <c r="C374" s="456"/>
      <c r="D374" s="456"/>
      <c r="E374" s="456"/>
      <c r="F374" s="456"/>
      <c r="G374" s="456"/>
      <c r="H374" s="456"/>
      <c r="I374" s="456"/>
      <c r="J374" s="456"/>
      <c r="K374" s="456"/>
      <c r="L374" s="456"/>
      <c r="M374" s="456"/>
      <c r="N374" s="456"/>
      <c r="O374" s="456"/>
      <c r="P374" s="456"/>
      <c r="Q374" s="456"/>
      <c r="R374" s="456"/>
      <c r="S374" s="456"/>
      <c r="T374" s="456"/>
      <c r="U374" s="456"/>
      <c r="V374" s="456"/>
      <c r="W374" s="456"/>
      <c r="X374" s="456"/>
      <c r="Y374" s="456"/>
      <c r="Z374" s="456"/>
    </row>
    <row r="375" spans="1:26" ht="11.25" customHeight="1">
      <c r="A375" s="456"/>
      <c r="B375" s="456"/>
      <c r="C375" s="456"/>
      <c r="D375" s="456"/>
      <c r="E375" s="456"/>
      <c r="F375" s="456"/>
      <c r="G375" s="456"/>
      <c r="H375" s="456"/>
      <c r="I375" s="456"/>
      <c r="J375" s="456"/>
      <c r="K375" s="456"/>
      <c r="L375" s="456"/>
      <c r="M375" s="456"/>
      <c r="N375" s="456"/>
      <c r="O375" s="456"/>
      <c r="P375" s="456"/>
      <c r="Q375" s="456"/>
      <c r="R375" s="456"/>
      <c r="S375" s="456"/>
      <c r="T375" s="456"/>
      <c r="U375" s="456"/>
      <c r="V375" s="456"/>
      <c r="W375" s="456"/>
      <c r="X375" s="456"/>
      <c r="Y375" s="456"/>
      <c r="Z375" s="456"/>
    </row>
    <row r="376" spans="1:26" ht="11.25" customHeight="1">
      <c r="A376" s="456"/>
      <c r="B376" s="456"/>
      <c r="C376" s="456"/>
      <c r="D376" s="456"/>
      <c r="E376" s="456"/>
      <c r="F376" s="456"/>
      <c r="G376" s="456"/>
      <c r="H376" s="456"/>
      <c r="I376" s="456"/>
      <c r="J376" s="456"/>
      <c r="K376" s="456"/>
      <c r="L376" s="456"/>
      <c r="M376" s="456"/>
      <c r="N376" s="456"/>
      <c r="O376" s="456"/>
      <c r="P376" s="456"/>
      <c r="Q376" s="456"/>
      <c r="R376" s="456"/>
      <c r="S376" s="456"/>
      <c r="T376" s="456"/>
      <c r="U376" s="456"/>
      <c r="V376" s="456"/>
      <c r="W376" s="456"/>
      <c r="X376" s="456"/>
      <c r="Y376" s="456"/>
      <c r="Z376" s="456"/>
    </row>
    <row r="377" spans="1:26" ht="11.25" customHeight="1">
      <c r="A377" s="456"/>
      <c r="B377" s="456"/>
      <c r="C377" s="456"/>
      <c r="D377" s="456"/>
      <c r="E377" s="456"/>
      <c r="F377" s="456"/>
      <c r="G377" s="456"/>
      <c r="H377" s="456"/>
      <c r="I377" s="456"/>
      <c r="J377" s="456"/>
      <c r="K377" s="456"/>
      <c r="L377" s="456"/>
      <c r="M377" s="456"/>
      <c r="N377" s="456"/>
      <c r="O377" s="456"/>
      <c r="P377" s="456"/>
      <c r="Q377" s="456"/>
      <c r="R377" s="456"/>
      <c r="S377" s="456"/>
      <c r="T377" s="456"/>
      <c r="U377" s="456"/>
      <c r="V377" s="456"/>
      <c r="W377" s="456"/>
      <c r="X377" s="456"/>
      <c r="Y377" s="456"/>
      <c r="Z377" s="456"/>
    </row>
    <row r="378" spans="1:26" ht="11.25" customHeight="1">
      <c r="A378" s="456"/>
      <c r="B378" s="456"/>
      <c r="C378" s="456"/>
      <c r="D378" s="456"/>
      <c r="E378" s="456"/>
      <c r="F378" s="456"/>
      <c r="G378" s="456"/>
      <c r="H378" s="456"/>
      <c r="I378" s="456"/>
      <c r="J378" s="456"/>
      <c r="K378" s="456"/>
      <c r="L378" s="456"/>
      <c r="M378" s="456"/>
      <c r="N378" s="456"/>
      <c r="O378" s="456"/>
      <c r="P378" s="456"/>
      <c r="Q378" s="456"/>
      <c r="R378" s="456"/>
      <c r="S378" s="456"/>
      <c r="T378" s="456"/>
      <c r="U378" s="456"/>
      <c r="V378" s="456"/>
      <c r="W378" s="456"/>
      <c r="X378" s="456"/>
      <c r="Y378" s="456"/>
      <c r="Z378" s="456"/>
    </row>
    <row r="379" spans="1:26" ht="11.25" customHeight="1">
      <c r="A379" s="456"/>
      <c r="B379" s="456"/>
      <c r="C379" s="456"/>
      <c r="D379" s="456"/>
      <c r="E379" s="456"/>
      <c r="F379" s="456"/>
      <c r="G379" s="456"/>
      <c r="H379" s="456"/>
      <c r="I379" s="456"/>
      <c r="J379" s="456"/>
      <c r="K379" s="456"/>
      <c r="L379" s="456"/>
      <c r="M379" s="456"/>
      <c r="N379" s="456"/>
      <c r="O379" s="456"/>
      <c r="P379" s="456"/>
      <c r="Q379" s="456"/>
      <c r="R379" s="456"/>
      <c r="S379" s="456"/>
      <c r="T379" s="456"/>
      <c r="U379" s="456"/>
      <c r="V379" s="456"/>
      <c r="W379" s="456"/>
      <c r="X379" s="456"/>
      <c r="Y379" s="456"/>
      <c r="Z379" s="456"/>
    </row>
    <row r="380" spans="1:26" ht="11.25" customHeight="1">
      <c r="A380" s="456"/>
      <c r="B380" s="456"/>
      <c r="C380" s="456"/>
      <c r="D380" s="456"/>
      <c r="E380" s="456"/>
      <c r="F380" s="456"/>
      <c r="G380" s="456"/>
      <c r="H380" s="456"/>
      <c r="I380" s="456"/>
      <c r="J380" s="456"/>
      <c r="K380" s="456"/>
      <c r="L380" s="456"/>
      <c r="M380" s="456"/>
      <c r="N380" s="456"/>
      <c r="O380" s="456"/>
      <c r="P380" s="456"/>
      <c r="Q380" s="456"/>
      <c r="R380" s="456"/>
      <c r="S380" s="456"/>
      <c r="T380" s="456"/>
      <c r="U380" s="456"/>
      <c r="V380" s="456"/>
      <c r="W380" s="456"/>
      <c r="X380" s="456"/>
      <c r="Y380" s="456"/>
      <c r="Z380" s="456"/>
    </row>
    <row r="381" spans="1:26" ht="11.25" customHeight="1">
      <c r="A381" s="456"/>
      <c r="B381" s="456"/>
      <c r="C381" s="456"/>
      <c r="D381" s="456"/>
      <c r="E381" s="456"/>
      <c r="F381" s="456"/>
      <c r="G381" s="456"/>
      <c r="H381" s="456"/>
      <c r="I381" s="456"/>
      <c r="J381" s="456"/>
      <c r="K381" s="456"/>
      <c r="L381" s="456"/>
      <c r="M381" s="456"/>
      <c r="N381" s="456"/>
      <c r="O381" s="456"/>
      <c r="P381" s="456"/>
      <c r="Q381" s="456"/>
      <c r="R381" s="456"/>
      <c r="S381" s="456"/>
      <c r="T381" s="456"/>
      <c r="U381" s="456"/>
      <c r="V381" s="456"/>
      <c r="W381" s="456"/>
      <c r="X381" s="456"/>
      <c r="Y381" s="456"/>
      <c r="Z381" s="456"/>
    </row>
    <row r="382" spans="1:26" ht="11.25" customHeight="1">
      <c r="A382" s="456"/>
      <c r="B382" s="456"/>
      <c r="C382" s="456"/>
      <c r="D382" s="456"/>
      <c r="E382" s="456"/>
      <c r="F382" s="456"/>
      <c r="G382" s="456"/>
      <c r="H382" s="456"/>
      <c r="I382" s="456"/>
      <c r="J382" s="456"/>
      <c r="K382" s="456"/>
      <c r="L382" s="456"/>
      <c r="M382" s="456"/>
      <c r="N382" s="456"/>
      <c r="O382" s="456"/>
      <c r="P382" s="456"/>
      <c r="Q382" s="456"/>
      <c r="R382" s="456"/>
      <c r="S382" s="456"/>
      <c r="T382" s="456"/>
      <c r="U382" s="456"/>
      <c r="V382" s="456"/>
      <c r="W382" s="456"/>
      <c r="X382" s="456"/>
      <c r="Y382" s="456"/>
      <c r="Z382" s="456"/>
    </row>
    <row r="383" spans="1:26" ht="11.25" customHeight="1">
      <c r="A383" s="456"/>
      <c r="B383" s="456"/>
      <c r="C383" s="456"/>
      <c r="D383" s="456"/>
      <c r="E383" s="456"/>
      <c r="F383" s="456"/>
      <c r="G383" s="456"/>
      <c r="H383" s="456"/>
      <c r="I383" s="456"/>
      <c r="J383" s="456"/>
      <c r="K383" s="456"/>
      <c r="L383" s="456"/>
      <c r="M383" s="456"/>
      <c r="N383" s="456"/>
      <c r="O383" s="456"/>
      <c r="P383" s="456"/>
      <c r="Q383" s="456"/>
      <c r="R383" s="456"/>
      <c r="S383" s="456"/>
      <c r="T383" s="456"/>
      <c r="U383" s="456"/>
      <c r="V383" s="456"/>
      <c r="W383" s="456"/>
      <c r="X383" s="456"/>
      <c r="Y383" s="456"/>
      <c r="Z383" s="456"/>
    </row>
    <row r="384" spans="1:26" ht="11.25" customHeight="1">
      <c r="A384" s="456"/>
      <c r="B384" s="456"/>
      <c r="C384" s="456"/>
      <c r="D384" s="456"/>
      <c r="E384" s="456"/>
      <c r="F384" s="456"/>
      <c r="G384" s="456"/>
      <c r="H384" s="456"/>
      <c r="I384" s="456"/>
      <c r="J384" s="456"/>
      <c r="K384" s="456"/>
      <c r="L384" s="456"/>
      <c r="M384" s="456"/>
      <c r="N384" s="456"/>
      <c r="O384" s="456"/>
      <c r="P384" s="456"/>
      <c r="Q384" s="456"/>
      <c r="R384" s="456"/>
      <c r="S384" s="456"/>
      <c r="T384" s="456"/>
      <c r="U384" s="456"/>
      <c r="V384" s="456"/>
      <c r="W384" s="456"/>
      <c r="X384" s="456"/>
      <c r="Y384" s="456"/>
      <c r="Z384" s="456"/>
    </row>
    <row r="385" spans="1:26" ht="11.25" customHeight="1">
      <c r="A385" s="456"/>
      <c r="B385" s="456"/>
      <c r="C385" s="456"/>
      <c r="D385" s="456"/>
      <c r="E385" s="456"/>
      <c r="F385" s="456"/>
      <c r="G385" s="456"/>
      <c r="H385" s="456"/>
      <c r="I385" s="456"/>
      <c r="J385" s="456"/>
      <c r="K385" s="456"/>
      <c r="L385" s="456"/>
      <c r="M385" s="456"/>
      <c r="N385" s="456"/>
      <c r="O385" s="456"/>
      <c r="P385" s="456"/>
      <c r="Q385" s="456"/>
      <c r="R385" s="456"/>
      <c r="S385" s="456"/>
      <c r="T385" s="456"/>
      <c r="U385" s="456"/>
      <c r="V385" s="456"/>
      <c r="W385" s="456"/>
      <c r="X385" s="456"/>
      <c r="Y385" s="456"/>
      <c r="Z385" s="456"/>
    </row>
    <row r="386" spans="1:26" ht="11.25" customHeight="1">
      <c r="A386" s="456"/>
      <c r="B386" s="456"/>
      <c r="C386" s="456"/>
      <c r="D386" s="456"/>
      <c r="E386" s="456"/>
      <c r="F386" s="456"/>
      <c r="G386" s="456"/>
      <c r="H386" s="456"/>
      <c r="I386" s="456"/>
      <c r="J386" s="456"/>
      <c r="K386" s="456"/>
      <c r="L386" s="456"/>
      <c r="M386" s="456"/>
      <c r="N386" s="456"/>
      <c r="O386" s="456"/>
      <c r="P386" s="456"/>
      <c r="Q386" s="456"/>
      <c r="R386" s="456"/>
      <c r="S386" s="456"/>
      <c r="T386" s="456"/>
      <c r="U386" s="456"/>
      <c r="V386" s="456"/>
      <c r="W386" s="456"/>
      <c r="X386" s="456"/>
      <c r="Y386" s="456"/>
      <c r="Z386" s="456"/>
    </row>
    <row r="387" spans="1:26" ht="11.25" customHeight="1">
      <c r="A387" s="456"/>
      <c r="B387" s="456"/>
      <c r="C387" s="456"/>
      <c r="D387" s="456"/>
      <c r="E387" s="456"/>
      <c r="F387" s="456"/>
      <c r="G387" s="456"/>
      <c r="H387" s="456"/>
      <c r="I387" s="456"/>
      <c r="J387" s="456"/>
      <c r="K387" s="456"/>
      <c r="L387" s="456"/>
      <c r="M387" s="456"/>
      <c r="N387" s="456"/>
      <c r="O387" s="456"/>
      <c r="P387" s="456"/>
      <c r="Q387" s="456"/>
      <c r="R387" s="456"/>
      <c r="S387" s="456"/>
      <c r="T387" s="456"/>
      <c r="U387" s="456"/>
      <c r="V387" s="456"/>
      <c r="W387" s="456"/>
      <c r="X387" s="456"/>
      <c r="Y387" s="456"/>
      <c r="Z387" s="456"/>
    </row>
    <row r="388" spans="1:26" ht="11.25" customHeight="1">
      <c r="A388" s="456"/>
      <c r="B388" s="456"/>
      <c r="C388" s="456"/>
      <c r="D388" s="456"/>
      <c r="E388" s="456"/>
      <c r="F388" s="456"/>
      <c r="G388" s="456"/>
      <c r="H388" s="456"/>
      <c r="I388" s="456"/>
      <c r="J388" s="456"/>
      <c r="K388" s="456"/>
      <c r="L388" s="456"/>
      <c r="M388" s="456"/>
      <c r="N388" s="456"/>
      <c r="O388" s="456"/>
      <c r="P388" s="456"/>
      <c r="Q388" s="456"/>
      <c r="R388" s="456"/>
      <c r="S388" s="456"/>
      <c r="T388" s="456"/>
      <c r="U388" s="456"/>
      <c r="V388" s="456"/>
      <c r="W388" s="456"/>
      <c r="X388" s="456"/>
      <c r="Y388" s="456"/>
      <c r="Z388" s="456"/>
    </row>
    <row r="389" spans="1:26" ht="11.25" customHeight="1">
      <c r="A389" s="456"/>
      <c r="B389" s="456"/>
      <c r="C389" s="456"/>
      <c r="D389" s="456"/>
      <c r="E389" s="456"/>
      <c r="F389" s="456"/>
      <c r="G389" s="456"/>
      <c r="H389" s="456"/>
      <c r="I389" s="456"/>
      <c r="J389" s="456"/>
      <c r="K389" s="456"/>
      <c r="L389" s="456"/>
      <c r="M389" s="456"/>
      <c r="N389" s="456"/>
      <c r="O389" s="456"/>
      <c r="P389" s="456"/>
      <c r="Q389" s="456"/>
      <c r="R389" s="456"/>
      <c r="S389" s="456"/>
      <c r="T389" s="456"/>
      <c r="U389" s="456"/>
      <c r="V389" s="456"/>
      <c r="W389" s="456"/>
      <c r="X389" s="456"/>
      <c r="Y389" s="456"/>
      <c r="Z389" s="456"/>
    </row>
    <row r="390" spans="1:26" ht="11.25" customHeight="1">
      <c r="A390" s="456"/>
      <c r="B390" s="456"/>
      <c r="C390" s="456"/>
      <c r="D390" s="456"/>
      <c r="E390" s="456"/>
      <c r="F390" s="456"/>
      <c r="G390" s="456"/>
      <c r="H390" s="456"/>
      <c r="I390" s="456"/>
      <c r="J390" s="456"/>
      <c r="K390" s="456"/>
      <c r="L390" s="456"/>
      <c r="M390" s="456"/>
      <c r="N390" s="456"/>
      <c r="O390" s="456"/>
      <c r="P390" s="456"/>
      <c r="Q390" s="456"/>
      <c r="R390" s="456"/>
      <c r="S390" s="456"/>
      <c r="T390" s="456"/>
      <c r="U390" s="456"/>
      <c r="V390" s="456"/>
      <c r="W390" s="456"/>
      <c r="X390" s="456"/>
      <c r="Y390" s="456"/>
      <c r="Z390" s="456"/>
    </row>
    <row r="391" spans="1:26" ht="11.25" customHeight="1">
      <c r="A391" s="456"/>
      <c r="B391" s="456"/>
      <c r="C391" s="456"/>
      <c r="D391" s="456"/>
      <c r="E391" s="456"/>
      <c r="F391" s="456"/>
      <c r="G391" s="456"/>
      <c r="H391" s="456"/>
      <c r="I391" s="456"/>
      <c r="J391" s="456"/>
      <c r="K391" s="456"/>
      <c r="L391" s="456"/>
      <c r="M391" s="456"/>
      <c r="N391" s="456"/>
      <c r="O391" s="456"/>
      <c r="P391" s="456"/>
      <c r="Q391" s="456"/>
      <c r="R391" s="456"/>
      <c r="S391" s="456"/>
      <c r="T391" s="456"/>
      <c r="U391" s="456"/>
      <c r="V391" s="456"/>
      <c r="W391" s="456"/>
      <c r="X391" s="456"/>
      <c r="Y391" s="456"/>
      <c r="Z391" s="456"/>
    </row>
    <row r="392" spans="1:26" ht="11.25" customHeight="1">
      <c r="A392" s="456"/>
      <c r="B392" s="456"/>
      <c r="C392" s="456"/>
      <c r="D392" s="456"/>
      <c r="E392" s="456"/>
      <c r="F392" s="456"/>
      <c r="G392" s="456"/>
      <c r="H392" s="456"/>
      <c r="I392" s="456"/>
      <c r="J392" s="456"/>
      <c r="K392" s="456"/>
      <c r="L392" s="456"/>
      <c r="M392" s="456"/>
      <c r="N392" s="456"/>
      <c r="O392" s="456"/>
      <c r="P392" s="456"/>
      <c r="Q392" s="456"/>
      <c r="R392" s="456"/>
      <c r="S392" s="456"/>
      <c r="T392" s="456"/>
      <c r="U392" s="456"/>
      <c r="V392" s="456"/>
      <c r="W392" s="456"/>
      <c r="X392" s="456"/>
      <c r="Y392" s="456"/>
      <c r="Z392" s="456"/>
    </row>
    <row r="393" spans="1:26" ht="11.25" customHeight="1">
      <c r="A393" s="456"/>
      <c r="B393" s="456"/>
      <c r="C393" s="456"/>
      <c r="D393" s="456"/>
      <c r="E393" s="456"/>
      <c r="F393" s="456"/>
      <c r="G393" s="456"/>
      <c r="H393" s="456"/>
      <c r="I393" s="456"/>
      <c r="J393" s="456"/>
      <c r="K393" s="456"/>
      <c r="L393" s="456"/>
      <c r="M393" s="456"/>
      <c r="N393" s="456"/>
      <c r="O393" s="456"/>
      <c r="P393" s="456"/>
      <c r="Q393" s="456"/>
      <c r="R393" s="456"/>
      <c r="S393" s="456"/>
      <c r="T393" s="456"/>
      <c r="U393" s="456"/>
      <c r="V393" s="456"/>
      <c r="W393" s="456"/>
      <c r="X393" s="456"/>
      <c r="Y393" s="456"/>
      <c r="Z393" s="456"/>
    </row>
    <row r="394" spans="1:26" ht="11.25" customHeight="1">
      <c r="A394" s="456"/>
      <c r="B394" s="456"/>
      <c r="C394" s="456"/>
      <c r="D394" s="456"/>
      <c r="E394" s="456"/>
      <c r="F394" s="456"/>
      <c r="G394" s="456"/>
      <c r="H394" s="456"/>
      <c r="I394" s="456"/>
      <c r="J394" s="456"/>
      <c r="K394" s="456"/>
      <c r="L394" s="456"/>
      <c r="M394" s="456"/>
      <c r="N394" s="456"/>
      <c r="O394" s="456"/>
      <c r="P394" s="456"/>
      <c r="Q394" s="456"/>
      <c r="R394" s="456"/>
      <c r="S394" s="456"/>
      <c r="T394" s="456"/>
      <c r="U394" s="456"/>
      <c r="V394" s="456"/>
      <c r="W394" s="456"/>
      <c r="X394" s="456"/>
      <c r="Y394" s="456"/>
      <c r="Z394" s="456"/>
    </row>
    <row r="395" spans="1:26" ht="11.25" customHeight="1">
      <c r="A395" s="456"/>
      <c r="B395" s="456"/>
      <c r="C395" s="456"/>
      <c r="D395" s="456"/>
      <c r="E395" s="456"/>
      <c r="F395" s="456"/>
      <c r="G395" s="456"/>
      <c r="H395" s="456"/>
      <c r="I395" s="456"/>
      <c r="J395" s="456"/>
      <c r="K395" s="456"/>
      <c r="L395" s="456"/>
      <c r="M395" s="456"/>
      <c r="N395" s="456"/>
      <c r="O395" s="456"/>
      <c r="P395" s="456"/>
      <c r="Q395" s="456"/>
      <c r="R395" s="456"/>
      <c r="S395" s="456"/>
      <c r="T395" s="456"/>
      <c r="U395" s="456"/>
      <c r="V395" s="456"/>
      <c r="W395" s="456"/>
      <c r="X395" s="456"/>
      <c r="Y395" s="456"/>
      <c r="Z395" s="456"/>
    </row>
    <row r="396" spans="1:26" ht="11.25" customHeight="1">
      <c r="A396" s="456"/>
      <c r="B396" s="456"/>
      <c r="C396" s="456"/>
      <c r="D396" s="456"/>
      <c r="E396" s="456"/>
      <c r="F396" s="456"/>
      <c r="G396" s="456"/>
      <c r="H396" s="456"/>
      <c r="I396" s="456"/>
      <c r="J396" s="456"/>
      <c r="K396" s="456"/>
      <c r="L396" s="456"/>
      <c r="M396" s="456"/>
      <c r="N396" s="456"/>
      <c r="O396" s="456"/>
      <c r="P396" s="456"/>
      <c r="Q396" s="456"/>
      <c r="R396" s="456"/>
      <c r="S396" s="456"/>
      <c r="T396" s="456"/>
      <c r="U396" s="456"/>
      <c r="V396" s="456"/>
      <c r="W396" s="456"/>
      <c r="X396" s="456"/>
      <c r="Y396" s="456"/>
      <c r="Z396" s="456"/>
    </row>
    <row r="397" spans="1:26" ht="11.25" customHeight="1">
      <c r="A397" s="456"/>
      <c r="B397" s="456"/>
      <c r="C397" s="456"/>
      <c r="D397" s="456"/>
      <c r="E397" s="456"/>
      <c r="F397" s="456"/>
      <c r="G397" s="456"/>
      <c r="H397" s="456"/>
      <c r="I397" s="456"/>
      <c r="J397" s="456"/>
      <c r="K397" s="456"/>
      <c r="L397" s="456"/>
      <c r="M397" s="456"/>
      <c r="N397" s="456"/>
      <c r="O397" s="456"/>
      <c r="P397" s="456"/>
      <c r="Q397" s="456"/>
      <c r="R397" s="456"/>
      <c r="S397" s="456"/>
      <c r="T397" s="456"/>
      <c r="U397" s="456"/>
      <c r="V397" s="456"/>
      <c r="W397" s="456"/>
      <c r="X397" s="456"/>
      <c r="Y397" s="456"/>
      <c r="Z397" s="456"/>
    </row>
    <row r="398" spans="1:26" ht="11.25" customHeight="1">
      <c r="A398" s="456"/>
      <c r="B398" s="456"/>
      <c r="C398" s="456"/>
      <c r="D398" s="456"/>
      <c r="E398" s="456"/>
      <c r="F398" s="456"/>
      <c r="G398" s="456"/>
      <c r="H398" s="456"/>
      <c r="I398" s="456"/>
      <c r="J398" s="456"/>
      <c r="K398" s="456"/>
      <c r="L398" s="456"/>
      <c r="M398" s="456"/>
      <c r="N398" s="456"/>
      <c r="O398" s="456"/>
      <c r="P398" s="456"/>
      <c r="Q398" s="456"/>
      <c r="R398" s="456"/>
      <c r="S398" s="456"/>
      <c r="T398" s="456"/>
      <c r="U398" s="456"/>
      <c r="V398" s="456"/>
      <c r="W398" s="456"/>
      <c r="X398" s="456"/>
      <c r="Y398" s="456"/>
      <c r="Z398" s="456"/>
    </row>
    <row r="399" spans="1:26" ht="11.25" customHeight="1">
      <c r="A399" s="456"/>
      <c r="B399" s="456"/>
      <c r="C399" s="456"/>
      <c r="D399" s="456"/>
      <c r="E399" s="456"/>
      <c r="F399" s="456"/>
      <c r="G399" s="456"/>
      <c r="H399" s="456"/>
      <c r="I399" s="456"/>
      <c r="J399" s="456"/>
      <c r="K399" s="456"/>
      <c r="L399" s="456"/>
      <c r="M399" s="456"/>
      <c r="N399" s="456"/>
      <c r="O399" s="456"/>
      <c r="P399" s="456"/>
      <c r="Q399" s="456"/>
      <c r="R399" s="456"/>
      <c r="S399" s="456"/>
      <c r="T399" s="456"/>
      <c r="U399" s="456"/>
      <c r="V399" s="456"/>
      <c r="W399" s="456"/>
      <c r="X399" s="456"/>
      <c r="Y399" s="456"/>
      <c r="Z399" s="456"/>
    </row>
    <row r="400" spans="1:26" ht="11.25" customHeight="1">
      <c r="A400" s="456"/>
      <c r="B400" s="456"/>
      <c r="C400" s="456"/>
      <c r="D400" s="456"/>
      <c r="E400" s="456"/>
      <c r="F400" s="456"/>
      <c r="G400" s="456"/>
      <c r="H400" s="456"/>
      <c r="I400" s="456"/>
      <c r="J400" s="456"/>
      <c r="K400" s="456"/>
      <c r="L400" s="456"/>
      <c r="M400" s="456"/>
      <c r="N400" s="456"/>
      <c r="O400" s="456"/>
      <c r="P400" s="456"/>
      <c r="Q400" s="456"/>
      <c r="R400" s="456"/>
      <c r="S400" s="456"/>
      <c r="T400" s="456"/>
      <c r="U400" s="456"/>
      <c r="V400" s="456"/>
      <c r="W400" s="456"/>
      <c r="X400" s="456"/>
      <c r="Y400" s="456"/>
      <c r="Z400" s="456"/>
    </row>
    <row r="401" spans="1:26" ht="11.25" customHeight="1">
      <c r="A401" s="456"/>
      <c r="B401" s="456"/>
      <c r="C401" s="456"/>
      <c r="D401" s="456"/>
      <c r="E401" s="456"/>
      <c r="F401" s="456"/>
      <c r="G401" s="456"/>
      <c r="H401" s="456"/>
      <c r="I401" s="456"/>
      <c r="J401" s="456"/>
      <c r="K401" s="456"/>
      <c r="L401" s="456"/>
      <c r="M401" s="456"/>
      <c r="N401" s="456"/>
      <c r="O401" s="456"/>
      <c r="P401" s="456"/>
      <c r="Q401" s="456"/>
      <c r="R401" s="456"/>
      <c r="S401" s="456"/>
      <c r="T401" s="456"/>
      <c r="U401" s="456"/>
      <c r="V401" s="456"/>
      <c r="W401" s="456"/>
      <c r="X401" s="456"/>
      <c r="Y401" s="456"/>
      <c r="Z401" s="456"/>
    </row>
    <row r="402" spans="1:26" ht="11.25" customHeight="1">
      <c r="A402" s="456"/>
      <c r="B402" s="456"/>
      <c r="C402" s="456"/>
      <c r="D402" s="456"/>
      <c r="E402" s="456"/>
      <c r="F402" s="456"/>
      <c r="G402" s="456"/>
      <c r="H402" s="456"/>
      <c r="I402" s="456"/>
      <c r="J402" s="456"/>
      <c r="K402" s="456"/>
      <c r="L402" s="456"/>
      <c r="M402" s="456"/>
      <c r="N402" s="456"/>
      <c r="O402" s="456"/>
      <c r="P402" s="456"/>
      <c r="Q402" s="456"/>
      <c r="R402" s="456"/>
      <c r="S402" s="456"/>
      <c r="T402" s="456"/>
      <c r="U402" s="456"/>
      <c r="V402" s="456"/>
      <c r="W402" s="456"/>
      <c r="X402" s="456"/>
      <c r="Y402" s="456"/>
      <c r="Z402" s="456"/>
    </row>
    <row r="403" spans="1:26" ht="11.25" customHeight="1">
      <c r="A403" s="456"/>
      <c r="B403" s="456"/>
      <c r="C403" s="456"/>
      <c r="D403" s="456"/>
      <c r="E403" s="456"/>
      <c r="F403" s="456"/>
      <c r="G403" s="456"/>
      <c r="H403" s="456"/>
      <c r="I403" s="456"/>
      <c r="J403" s="456"/>
      <c r="K403" s="456"/>
      <c r="L403" s="456"/>
      <c r="M403" s="456"/>
      <c r="N403" s="456"/>
      <c r="O403" s="456"/>
      <c r="P403" s="456"/>
      <c r="Q403" s="456"/>
      <c r="R403" s="456"/>
      <c r="S403" s="456"/>
      <c r="T403" s="456"/>
      <c r="U403" s="456"/>
      <c r="V403" s="456"/>
      <c r="W403" s="456"/>
      <c r="X403" s="456"/>
      <c r="Y403" s="456"/>
      <c r="Z403" s="456"/>
    </row>
    <row r="404" spans="1:26" ht="11.25" customHeight="1">
      <c r="A404" s="456"/>
      <c r="B404" s="456"/>
      <c r="C404" s="456"/>
      <c r="D404" s="456"/>
      <c r="E404" s="456"/>
      <c r="F404" s="456"/>
      <c r="G404" s="456"/>
      <c r="H404" s="456"/>
      <c r="I404" s="456"/>
      <c r="J404" s="456"/>
      <c r="K404" s="456"/>
      <c r="L404" s="456"/>
      <c r="M404" s="456"/>
      <c r="N404" s="456"/>
      <c r="O404" s="456"/>
      <c r="P404" s="456"/>
      <c r="Q404" s="456"/>
      <c r="R404" s="456"/>
      <c r="S404" s="456"/>
      <c r="T404" s="456"/>
      <c r="U404" s="456"/>
      <c r="V404" s="456"/>
      <c r="W404" s="456"/>
      <c r="X404" s="456"/>
      <c r="Y404" s="456"/>
      <c r="Z404" s="456"/>
    </row>
    <row r="405" spans="1:26" ht="11.25" customHeight="1">
      <c r="A405" s="456"/>
      <c r="B405" s="456"/>
      <c r="C405" s="456"/>
      <c r="D405" s="456"/>
      <c r="E405" s="456"/>
      <c r="F405" s="456"/>
      <c r="G405" s="456"/>
      <c r="H405" s="456"/>
      <c r="I405" s="456"/>
      <c r="J405" s="456"/>
      <c r="K405" s="456"/>
      <c r="L405" s="456"/>
      <c r="M405" s="456"/>
      <c r="N405" s="456"/>
      <c r="O405" s="456"/>
      <c r="P405" s="456"/>
      <c r="Q405" s="456"/>
      <c r="R405" s="456"/>
      <c r="S405" s="456"/>
      <c r="T405" s="456"/>
      <c r="U405" s="456"/>
      <c r="V405" s="456"/>
      <c r="W405" s="456"/>
      <c r="X405" s="456"/>
      <c r="Y405" s="456"/>
      <c r="Z405" s="456"/>
    </row>
    <row r="406" spans="1:26" ht="11.25" customHeight="1">
      <c r="A406" s="456"/>
      <c r="B406" s="456"/>
      <c r="C406" s="456"/>
      <c r="D406" s="456"/>
      <c r="E406" s="456"/>
      <c r="F406" s="456"/>
      <c r="G406" s="456"/>
      <c r="H406" s="456"/>
      <c r="I406" s="456"/>
      <c r="J406" s="456"/>
      <c r="K406" s="456"/>
      <c r="L406" s="456"/>
      <c r="M406" s="456"/>
      <c r="N406" s="456"/>
      <c r="O406" s="456"/>
      <c r="P406" s="456"/>
      <c r="Q406" s="456"/>
      <c r="R406" s="456"/>
      <c r="S406" s="456"/>
      <c r="T406" s="456"/>
      <c r="U406" s="456"/>
      <c r="V406" s="456"/>
      <c r="W406" s="456"/>
      <c r="X406" s="456"/>
      <c r="Y406" s="456"/>
      <c r="Z406" s="456"/>
    </row>
    <row r="407" spans="1:26" ht="11.25" customHeight="1">
      <c r="A407" s="456"/>
      <c r="B407" s="456"/>
      <c r="C407" s="456"/>
      <c r="D407" s="456"/>
      <c r="E407" s="456"/>
      <c r="F407" s="456"/>
      <c r="G407" s="456"/>
      <c r="H407" s="456"/>
      <c r="I407" s="456"/>
      <c r="J407" s="456"/>
      <c r="K407" s="456"/>
      <c r="L407" s="456"/>
      <c r="M407" s="456"/>
      <c r="N407" s="456"/>
      <c r="O407" s="456"/>
      <c r="P407" s="456"/>
      <c r="Q407" s="456"/>
      <c r="R407" s="456"/>
      <c r="S407" s="456"/>
      <c r="T407" s="456"/>
      <c r="U407" s="456"/>
      <c r="V407" s="456"/>
      <c r="W407" s="456"/>
      <c r="X407" s="456"/>
      <c r="Y407" s="456"/>
      <c r="Z407" s="456"/>
    </row>
    <row r="408" spans="1:26" ht="11.25" customHeight="1">
      <c r="A408" s="456"/>
      <c r="B408" s="456"/>
      <c r="C408" s="456"/>
      <c r="D408" s="456"/>
      <c r="E408" s="456"/>
      <c r="F408" s="456"/>
      <c r="G408" s="456"/>
      <c r="H408" s="456"/>
      <c r="I408" s="456"/>
      <c r="J408" s="456"/>
      <c r="K408" s="456"/>
      <c r="L408" s="456"/>
      <c r="M408" s="456"/>
      <c r="N408" s="456"/>
      <c r="O408" s="456"/>
      <c r="P408" s="456"/>
      <c r="Q408" s="456"/>
      <c r="R408" s="456"/>
      <c r="S408" s="456"/>
      <c r="T408" s="456"/>
      <c r="U408" s="456"/>
      <c r="V408" s="456"/>
      <c r="W408" s="456"/>
      <c r="X408" s="456"/>
      <c r="Y408" s="456"/>
      <c r="Z408" s="456"/>
    </row>
    <row r="409" spans="1:26" ht="11.25" customHeight="1">
      <c r="A409" s="456"/>
      <c r="B409" s="456"/>
      <c r="C409" s="456"/>
      <c r="D409" s="456"/>
      <c r="E409" s="456"/>
      <c r="F409" s="456"/>
      <c r="G409" s="456"/>
      <c r="H409" s="456"/>
      <c r="I409" s="456"/>
      <c r="J409" s="456"/>
      <c r="K409" s="456"/>
      <c r="L409" s="456"/>
      <c r="M409" s="456"/>
      <c r="N409" s="456"/>
      <c r="O409" s="456"/>
      <c r="P409" s="456"/>
      <c r="Q409" s="456"/>
      <c r="R409" s="456"/>
      <c r="S409" s="456"/>
      <c r="T409" s="456"/>
      <c r="U409" s="456"/>
      <c r="V409" s="456"/>
      <c r="W409" s="456"/>
      <c r="X409" s="456"/>
      <c r="Y409" s="456"/>
      <c r="Z409" s="456"/>
    </row>
    <row r="410" spans="1:26" ht="11.25" customHeight="1">
      <c r="A410" s="456"/>
      <c r="B410" s="456"/>
      <c r="C410" s="456"/>
      <c r="D410" s="456"/>
      <c r="E410" s="456"/>
      <c r="F410" s="456"/>
      <c r="G410" s="456"/>
      <c r="H410" s="456"/>
      <c r="I410" s="456"/>
      <c r="J410" s="456"/>
      <c r="K410" s="456"/>
      <c r="L410" s="456"/>
      <c r="M410" s="456"/>
      <c r="N410" s="456"/>
      <c r="O410" s="456"/>
      <c r="P410" s="456"/>
      <c r="Q410" s="456"/>
      <c r="R410" s="456"/>
      <c r="S410" s="456"/>
      <c r="T410" s="456"/>
      <c r="U410" s="456"/>
      <c r="V410" s="456"/>
      <c r="W410" s="456"/>
      <c r="X410" s="456"/>
      <c r="Y410" s="456"/>
      <c r="Z410" s="456"/>
    </row>
    <row r="411" spans="1:26" ht="11.25" customHeight="1">
      <c r="A411" s="456"/>
      <c r="B411" s="456"/>
      <c r="C411" s="456"/>
      <c r="D411" s="456"/>
      <c r="E411" s="456"/>
      <c r="F411" s="456"/>
      <c r="G411" s="456"/>
      <c r="H411" s="456"/>
      <c r="I411" s="456"/>
      <c r="J411" s="456"/>
      <c r="K411" s="456"/>
      <c r="L411" s="456"/>
      <c r="M411" s="456"/>
      <c r="N411" s="456"/>
      <c r="O411" s="456"/>
      <c r="P411" s="456"/>
      <c r="Q411" s="456"/>
      <c r="R411" s="456"/>
      <c r="S411" s="456"/>
      <c r="T411" s="456"/>
      <c r="U411" s="456"/>
      <c r="V411" s="456"/>
      <c r="W411" s="456"/>
      <c r="X411" s="456"/>
      <c r="Y411" s="456"/>
      <c r="Z411" s="456"/>
    </row>
    <row r="412" spans="1:26" ht="11.25" customHeight="1">
      <c r="A412" s="456"/>
      <c r="B412" s="456"/>
      <c r="C412" s="456"/>
      <c r="D412" s="456"/>
      <c r="E412" s="456"/>
      <c r="F412" s="456"/>
      <c r="G412" s="456"/>
      <c r="H412" s="456"/>
      <c r="I412" s="456"/>
      <c r="J412" s="456"/>
      <c r="K412" s="456"/>
      <c r="L412" s="456"/>
      <c r="M412" s="456"/>
      <c r="N412" s="456"/>
      <c r="O412" s="456"/>
      <c r="P412" s="456"/>
      <c r="Q412" s="456"/>
      <c r="R412" s="456"/>
      <c r="S412" s="456"/>
      <c r="T412" s="456"/>
      <c r="U412" s="456"/>
      <c r="V412" s="456"/>
      <c r="W412" s="456"/>
      <c r="X412" s="456"/>
      <c r="Y412" s="456"/>
      <c r="Z412" s="456"/>
    </row>
    <row r="413" spans="1:26" ht="11.25" customHeight="1">
      <c r="A413" s="456"/>
      <c r="B413" s="456"/>
      <c r="C413" s="456"/>
      <c r="D413" s="456"/>
      <c r="E413" s="456"/>
      <c r="F413" s="456"/>
      <c r="G413" s="456"/>
      <c r="H413" s="456"/>
      <c r="I413" s="456"/>
      <c r="J413" s="456"/>
      <c r="K413" s="456"/>
      <c r="L413" s="456"/>
      <c r="M413" s="456"/>
      <c r="N413" s="456"/>
      <c r="O413" s="456"/>
      <c r="P413" s="456"/>
      <c r="Q413" s="456"/>
      <c r="R413" s="456"/>
      <c r="S413" s="456"/>
      <c r="T413" s="456"/>
      <c r="U413" s="456"/>
      <c r="V413" s="456"/>
      <c r="W413" s="456"/>
      <c r="X413" s="456"/>
      <c r="Y413" s="456"/>
      <c r="Z413" s="456"/>
    </row>
    <row r="414" spans="1:26" ht="11.25" customHeight="1">
      <c r="A414" s="456"/>
      <c r="B414" s="456"/>
      <c r="C414" s="456"/>
      <c r="D414" s="456"/>
      <c r="E414" s="456"/>
      <c r="F414" s="456"/>
      <c r="G414" s="456"/>
      <c r="H414" s="456"/>
      <c r="I414" s="456"/>
      <c r="J414" s="456"/>
      <c r="K414" s="456"/>
      <c r="L414" s="456"/>
      <c r="M414" s="456"/>
      <c r="N414" s="456"/>
      <c r="O414" s="456"/>
      <c r="P414" s="456"/>
      <c r="Q414" s="456"/>
      <c r="R414" s="456"/>
      <c r="S414" s="456"/>
      <c r="T414" s="456"/>
      <c r="U414" s="456"/>
      <c r="V414" s="456"/>
      <c r="W414" s="456"/>
      <c r="X414" s="456"/>
      <c r="Y414" s="456"/>
      <c r="Z414" s="456"/>
    </row>
    <row r="415" spans="1:26" ht="11.25" customHeight="1">
      <c r="A415" s="456"/>
      <c r="B415" s="456"/>
      <c r="C415" s="456"/>
      <c r="D415" s="456"/>
      <c r="E415" s="456"/>
      <c r="F415" s="456"/>
      <c r="G415" s="456"/>
      <c r="H415" s="456"/>
      <c r="I415" s="456"/>
      <c r="J415" s="456"/>
      <c r="K415" s="456"/>
      <c r="L415" s="456"/>
      <c r="M415" s="456"/>
      <c r="N415" s="456"/>
      <c r="O415" s="456"/>
      <c r="P415" s="456"/>
      <c r="Q415" s="456"/>
      <c r="R415" s="456"/>
      <c r="S415" s="456"/>
      <c r="T415" s="456"/>
      <c r="U415" s="456"/>
      <c r="V415" s="456"/>
      <c r="W415" s="456"/>
      <c r="X415" s="456"/>
      <c r="Y415" s="456"/>
      <c r="Z415" s="456"/>
    </row>
    <row r="416" spans="1:26" ht="11.25" customHeight="1">
      <c r="A416" s="456"/>
      <c r="B416" s="456"/>
      <c r="C416" s="456"/>
      <c r="D416" s="456"/>
      <c r="E416" s="456"/>
      <c r="F416" s="456"/>
      <c r="G416" s="456"/>
      <c r="H416" s="456"/>
      <c r="I416" s="456"/>
      <c r="J416" s="456"/>
      <c r="K416" s="456"/>
      <c r="L416" s="456"/>
      <c r="M416" s="456"/>
      <c r="N416" s="456"/>
      <c r="O416" s="456"/>
      <c r="P416" s="456"/>
      <c r="Q416" s="456"/>
      <c r="R416" s="456"/>
      <c r="S416" s="456"/>
      <c r="T416" s="456"/>
      <c r="U416" s="456"/>
      <c r="V416" s="456"/>
      <c r="W416" s="456"/>
      <c r="X416" s="456"/>
      <c r="Y416" s="456"/>
      <c r="Z416" s="456"/>
    </row>
    <row r="417" spans="1:26" ht="11.25" customHeight="1">
      <c r="A417" s="456"/>
      <c r="B417" s="456"/>
      <c r="C417" s="456"/>
      <c r="D417" s="456"/>
      <c r="E417" s="456"/>
      <c r="F417" s="456"/>
      <c r="G417" s="456"/>
      <c r="H417" s="456"/>
      <c r="I417" s="456"/>
      <c r="J417" s="456"/>
      <c r="K417" s="456"/>
      <c r="L417" s="456"/>
      <c r="M417" s="456"/>
      <c r="N417" s="456"/>
      <c r="O417" s="456"/>
      <c r="P417" s="456"/>
      <c r="Q417" s="456"/>
      <c r="R417" s="456"/>
      <c r="S417" s="456"/>
      <c r="T417" s="456"/>
      <c r="U417" s="456"/>
      <c r="V417" s="456"/>
      <c r="W417" s="456"/>
      <c r="X417" s="456"/>
      <c r="Y417" s="456"/>
      <c r="Z417" s="456"/>
    </row>
    <row r="418" spans="1:26" ht="11.25" customHeight="1">
      <c r="A418" s="456"/>
      <c r="B418" s="456"/>
      <c r="C418" s="456"/>
      <c r="D418" s="456"/>
      <c r="E418" s="456"/>
      <c r="F418" s="456"/>
      <c r="G418" s="456"/>
      <c r="H418" s="456"/>
      <c r="I418" s="456"/>
      <c r="J418" s="456"/>
      <c r="K418" s="456"/>
      <c r="L418" s="456"/>
      <c r="M418" s="456"/>
      <c r="N418" s="456"/>
      <c r="O418" s="456"/>
      <c r="P418" s="456"/>
      <c r="Q418" s="456"/>
      <c r="R418" s="456"/>
      <c r="S418" s="456"/>
      <c r="T418" s="456"/>
      <c r="U418" s="456"/>
      <c r="V418" s="456"/>
      <c r="W418" s="456"/>
      <c r="X418" s="456"/>
      <c r="Y418" s="456"/>
      <c r="Z418" s="456"/>
    </row>
    <row r="419" spans="1:26" ht="11.25" customHeight="1">
      <c r="A419" s="456"/>
      <c r="B419" s="456"/>
      <c r="C419" s="456"/>
      <c r="D419" s="456"/>
      <c r="E419" s="456"/>
      <c r="F419" s="456"/>
      <c r="G419" s="456"/>
      <c r="H419" s="456"/>
      <c r="I419" s="456"/>
      <c r="J419" s="456"/>
      <c r="K419" s="456"/>
      <c r="L419" s="456"/>
      <c r="M419" s="456"/>
      <c r="N419" s="456"/>
      <c r="O419" s="456"/>
      <c r="P419" s="456"/>
      <c r="Q419" s="456"/>
      <c r="R419" s="456"/>
      <c r="S419" s="456"/>
      <c r="T419" s="456"/>
      <c r="U419" s="456"/>
      <c r="V419" s="456"/>
      <c r="W419" s="456"/>
      <c r="X419" s="456"/>
      <c r="Y419" s="456"/>
      <c r="Z419" s="456"/>
    </row>
    <row r="420" spans="1:26" ht="11.25" customHeight="1">
      <c r="A420" s="456"/>
      <c r="B420" s="456"/>
      <c r="C420" s="456"/>
      <c r="D420" s="456"/>
      <c r="E420" s="456"/>
      <c r="F420" s="456"/>
      <c r="G420" s="456"/>
      <c r="H420" s="456"/>
      <c r="I420" s="456"/>
      <c r="J420" s="456"/>
      <c r="K420" s="456"/>
      <c r="L420" s="456"/>
      <c r="M420" s="456"/>
      <c r="N420" s="456"/>
      <c r="O420" s="456"/>
      <c r="P420" s="456"/>
      <c r="Q420" s="456"/>
      <c r="R420" s="456"/>
      <c r="S420" s="456"/>
      <c r="T420" s="456"/>
      <c r="U420" s="456"/>
      <c r="V420" s="456"/>
      <c r="W420" s="456"/>
      <c r="X420" s="456"/>
      <c r="Y420" s="456"/>
      <c r="Z420" s="456"/>
    </row>
    <row r="421" spans="1:26" ht="11.25" customHeight="1">
      <c r="A421" s="456"/>
      <c r="B421" s="456"/>
      <c r="C421" s="456"/>
      <c r="D421" s="456"/>
      <c r="E421" s="456"/>
      <c r="F421" s="456"/>
      <c r="G421" s="456"/>
      <c r="H421" s="456"/>
      <c r="I421" s="456"/>
      <c r="J421" s="456"/>
      <c r="K421" s="456"/>
      <c r="L421" s="456"/>
      <c r="M421" s="456"/>
      <c r="N421" s="456"/>
      <c r="O421" s="456"/>
      <c r="P421" s="456"/>
      <c r="Q421" s="456"/>
      <c r="R421" s="456"/>
      <c r="S421" s="456"/>
      <c r="T421" s="456"/>
      <c r="U421" s="456"/>
      <c r="V421" s="456"/>
      <c r="W421" s="456"/>
      <c r="X421" s="456"/>
      <c r="Y421" s="456"/>
      <c r="Z421" s="456"/>
    </row>
    <row r="422" spans="1:26" ht="11.25" customHeight="1">
      <c r="A422" s="456"/>
      <c r="B422" s="456"/>
      <c r="C422" s="456"/>
      <c r="D422" s="456"/>
      <c r="E422" s="456"/>
      <c r="F422" s="456"/>
      <c r="G422" s="456"/>
      <c r="H422" s="456"/>
      <c r="I422" s="456"/>
      <c r="J422" s="456"/>
      <c r="K422" s="456"/>
      <c r="L422" s="456"/>
      <c r="M422" s="456"/>
      <c r="N422" s="456"/>
      <c r="O422" s="456"/>
      <c r="P422" s="456"/>
      <c r="Q422" s="456"/>
      <c r="R422" s="456"/>
      <c r="S422" s="456"/>
      <c r="T422" s="456"/>
      <c r="U422" s="456"/>
      <c r="V422" s="456"/>
      <c r="W422" s="456"/>
      <c r="X422" s="456"/>
      <c r="Y422" s="456"/>
      <c r="Z422" s="456"/>
    </row>
    <row r="423" spans="1:26" ht="11.25" customHeight="1">
      <c r="A423" s="456"/>
      <c r="B423" s="456"/>
      <c r="C423" s="456"/>
      <c r="D423" s="456"/>
      <c r="E423" s="456"/>
      <c r="F423" s="456"/>
      <c r="G423" s="456"/>
      <c r="H423" s="456"/>
      <c r="I423" s="456"/>
      <c r="J423" s="456"/>
      <c r="K423" s="456"/>
      <c r="L423" s="456"/>
      <c r="M423" s="456"/>
      <c r="N423" s="456"/>
      <c r="O423" s="456"/>
      <c r="P423" s="456"/>
      <c r="Q423" s="456"/>
      <c r="R423" s="456"/>
      <c r="S423" s="456"/>
      <c r="T423" s="456"/>
      <c r="U423" s="456"/>
      <c r="V423" s="456"/>
      <c r="W423" s="456"/>
      <c r="X423" s="456"/>
      <c r="Y423" s="456"/>
      <c r="Z423" s="456"/>
    </row>
    <row r="424" spans="1:26" ht="11.25" customHeight="1">
      <c r="A424" s="456"/>
      <c r="B424" s="456"/>
      <c r="C424" s="456"/>
      <c r="D424" s="456"/>
      <c r="E424" s="456"/>
      <c r="F424" s="456"/>
      <c r="G424" s="456"/>
      <c r="H424" s="456"/>
      <c r="I424" s="456"/>
      <c r="J424" s="456"/>
      <c r="K424" s="456"/>
      <c r="L424" s="456"/>
      <c r="M424" s="456"/>
      <c r="N424" s="456"/>
      <c r="O424" s="456"/>
      <c r="P424" s="456"/>
      <c r="Q424" s="456"/>
      <c r="R424" s="456"/>
      <c r="S424" s="456"/>
      <c r="T424" s="456"/>
      <c r="U424" s="456"/>
      <c r="V424" s="456"/>
      <c r="W424" s="456"/>
      <c r="X424" s="456"/>
      <c r="Y424" s="456"/>
      <c r="Z424" s="456"/>
    </row>
    <row r="425" spans="1:26" ht="11.25" customHeight="1">
      <c r="A425" s="456"/>
      <c r="B425" s="456"/>
      <c r="C425" s="456"/>
      <c r="D425" s="456"/>
      <c r="E425" s="456"/>
      <c r="F425" s="456"/>
      <c r="G425" s="456"/>
      <c r="H425" s="456"/>
      <c r="I425" s="456"/>
      <c r="J425" s="456"/>
      <c r="K425" s="456"/>
      <c r="L425" s="456"/>
      <c r="M425" s="456"/>
      <c r="N425" s="456"/>
      <c r="O425" s="456"/>
      <c r="P425" s="456"/>
      <c r="Q425" s="456"/>
      <c r="R425" s="456"/>
      <c r="S425" s="456"/>
      <c r="T425" s="456"/>
      <c r="U425" s="456"/>
      <c r="V425" s="456"/>
      <c r="W425" s="456"/>
      <c r="X425" s="456"/>
      <c r="Y425" s="456"/>
      <c r="Z425" s="456"/>
    </row>
    <row r="426" spans="1:26" ht="11.25" customHeight="1">
      <c r="A426" s="456"/>
      <c r="B426" s="456"/>
      <c r="C426" s="456"/>
      <c r="D426" s="456"/>
      <c r="E426" s="456"/>
      <c r="F426" s="456"/>
      <c r="G426" s="456"/>
      <c r="H426" s="456"/>
      <c r="I426" s="456"/>
      <c r="J426" s="456"/>
      <c r="K426" s="456"/>
      <c r="L426" s="456"/>
      <c r="M426" s="456"/>
      <c r="N426" s="456"/>
      <c r="O426" s="456"/>
      <c r="P426" s="456"/>
      <c r="Q426" s="456"/>
      <c r="R426" s="456"/>
      <c r="S426" s="456"/>
      <c r="T426" s="456"/>
      <c r="U426" s="456"/>
      <c r="V426" s="456"/>
      <c r="W426" s="456"/>
      <c r="X426" s="456"/>
      <c r="Y426" s="456"/>
      <c r="Z426" s="456"/>
    </row>
    <row r="427" spans="1:26" ht="11.25" customHeight="1">
      <c r="A427" s="456"/>
      <c r="B427" s="456"/>
      <c r="C427" s="456"/>
      <c r="D427" s="456"/>
      <c r="E427" s="456"/>
      <c r="F427" s="456"/>
      <c r="G427" s="456"/>
      <c r="H427" s="456"/>
      <c r="I427" s="456"/>
      <c r="J427" s="456"/>
      <c r="K427" s="456"/>
      <c r="L427" s="456"/>
      <c r="M427" s="456"/>
      <c r="N427" s="456"/>
      <c r="O427" s="456"/>
      <c r="P427" s="456"/>
      <c r="Q427" s="456"/>
      <c r="R427" s="456"/>
      <c r="S427" s="456"/>
      <c r="T427" s="456"/>
      <c r="U427" s="456"/>
      <c r="V427" s="456"/>
      <c r="W427" s="456"/>
      <c r="X427" s="456"/>
      <c r="Y427" s="456"/>
      <c r="Z427" s="456"/>
    </row>
    <row r="428" spans="1:26" ht="11.25" customHeight="1">
      <c r="A428" s="456"/>
      <c r="B428" s="456"/>
      <c r="C428" s="456"/>
      <c r="D428" s="456"/>
      <c r="E428" s="456"/>
      <c r="F428" s="456"/>
      <c r="G428" s="456"/>
      <c r="H428" s="456"/>
      <c r="I428" s="456"/>
      <c r="J428" s="456"/>
      <c r="K428" s="456"/>
      <c r="L428" s="456"/>
      <c r="M428" s="456"/>
      <c r="N428" s="456"/>
      <c r="O428" s="456"/>
      <c r="P428" s="456"/>
      <c r="Q428" s="456"/>
      <c r="R428" s="456"/>
      <c r="S428" s="456"/>
      <c r="T428" s="456"/>
      <c r="U428" s="456"/>
      <c r="V428" s="456"/>
      <c r="W428" s="456"/>
      <c r="X428" s="456"/>
      <c r="Y428" s="456"/>
      <c r="Z428" s="456"/>
    </row>
    <row r="429" spans="1:26" ht="11.25" customHeight="1">
      <c r="A429" s="456"/>
      <c r="B429" s="456"/>
      <c r="C429" s="456"/>
      <c r="D429" s="456"/>
      <c r="E429" s="456"/>
      <c r="F429" s="456"/>
      <c r="G429" s="456"/>
      <c r="H429" s="456"/>
      <c r="I429" s="456"/>
      <c r="J429" s="456"/>
      <c r="K429" s="456"/>
      <c r="L429" s="456"/>
      <c r="M429" s="456"/>
      <c r="N429" s="456"/>
      <c r="O429" s="456"/>
      <c r="P429" s="456"/>
      <c r="Q429" s="456"/>
      <c r="R429" s="456"/>
      <c r="S429" s="456"/>
      <c r="T429" s="456"/>
      <c r="U429" s="456"/>
      <c r="V429" s="456"/>
      <c r="W429" s="456"/>
      <c r="X429" s="456"/>
      <c r="Y429" s="456"/>
      <c r="Z429" s="456"/>
    </row>
    <row r="430" spans="1:26" ht="11.25" customHeight="1">
      <c r="A430" s="456"/>
      <c r="B430" s="456"/>
      <c r="C430" s="456"/>
      <c r="D430" s="456"/>
      <c r="E430" s="456"/>
      <c r="F430" s="456"/>
      <c r="G430" s="456"/>
      <c r="H430" s="456"/>
      <c r="I430" s="456"/>
      <c r="J430" s="456"/>
      <c r="K430" s="456"/>
      <c r="L430" s="456"/>
      <c r="M430" s="456"/>
      <c r="N430" s="456"/>
      <c r="O430" s="456"/>
      <c r="P430" s="456"/>
      <c r="Q430" s="456"/>
      <c r="R430" s="456"/>
      <c r="S430" s="456"/>
      <c r="T430" s="456"/>
      <c r="U430" s="456"/>
      <c r="V430" s="456"/>
      <c r="W430" s="456"/>
      <c r="X430" s="456"/>
      <c r="Y430" s="456"/>
      <c r="Z430" s="456"/>
    </row>
    <row r="431" spans="1:26" ht="11.25" customHeight="1">
      <c r="A431" s="456"/>
      <c r="B431" s="456"/>
      <c r="C431" s="456"/>
      <c r="D431" s="456"/>
      <c r="E431" s="456"/>
      <c r="F431" s="456"/>
      <c r="G431" s="456"/>
      <c r="H431" s="456"/>
      <c r="I431" s="456"/>
      <c r="J431" s="456"/>
      <c r="K431" s="456"/>
      <c r="L431" s="456"/>
      <c r="M431" s="456"/>
      <c r="N431" s="456"/>
      <c r="O431" s="456"/>
      <c r="P431" s="456"/>
      <c r="Q431" s="456"/>
      <c r="R431" s="456"/>
      <c r="S431" s="456"/>
      <c r="T431" s="456"/>
      <c r="U431" s="456"/>
      <c r="V431" s="456"/>
      <c r="W431" s="456"/>
      <c r="X431" s="456"/>
      <c r="Y431" s="456"/>
      <c r="Z431" s="456"/>
    </row>
    <row r="432" spans="1:26" ht="11.25" customHeight="1">
      <c r="A432" s="456"/>
      <c r="B432" s="456"/>
      <c r="C432" s="456"/>
      <c r="D432" s="456"/>
      <c r="E432" s="456"/>
      <c r="F432" s="456"/>
      <c r="G432" s="456"/>
      <c r="H432" s="456"/>
      <c r="I432" s="456"/>
      <c r="J432" s="456"/>
      <c r="K432" s="456"/>
      <c r="L432" s="456"/>
      <c r="M432" s="456"/>
      <c r="N432" s="456"/>
      <c r="O432" s="456"/>
      <c r="P432" s="456"/>
      <c r="Q432" s="456"/>
      <c r="R432" s="456"/>
      <c r="S432" s="456"/>
      <c r="T432" s="456"/>
      <c r="U432" s="456"/>
      <c r="V432" s="456"/>
      <c r="W432" s="456"/>
      <c r="X432" s="456"/>
      <c r="Y432" s="456"/>
      <c r="Z432" s="456"/>
    </row>
    <row r="433" spans="1:26" ht="11.25" customHeight="1">
      <c r="A433" s="456"/>
      <c r="B433" s="456"/>
      <c r="C433" s="456"/>
      <c r="D433" s="456"/>
      <c r="E433" s="456"/>
      <c r="F433" s="456"/>
      <c r="G433" s="456"/>
      <c r="H433" s="456"/>
      <c r="I433" s="456"/>
      <c r="J433" s="456"/>
      <c r="K433" s="456"/>
      <c r="L433" s="456"/>
      <c r="M433" s="456"/>
      <c r="N433" s="456"/>
      <c r="O433" s="456"/>
      <c r="P433" s="456"/>
      <c r="Q433" s="456"/>
      <c r="R433" s="456"/>
      <c r="S433" s="456"/>
      <c r="T433" s="456"/>
      <c r="U433" s="456"/>
      <c r="V433" s="456"/>
      <c r="W433" s="456"/>
      <c r="X433" s="456"/>
      <c r="Y433" s="456"/>
      <c r="Z433" s="456"/>
    </row>
    <row r="434" spans="1:26" ht="11.25" customHeight="1">
      <c r="A434" s="456"/>
      <c r="B434" s="456"/>
      <c r="C434" s="456"/>
      <c r="D434" s="456"/>
      <c r="E434" s="456"/>
      <c r="F434" s="456"/>
      <c r="G434" s="456"/>
      <c r="H434" s="456"/>
      <c r="I434" s="456"/>
      <c r="J434" s="456"/>
      <c r="K434" s="456"/>
      <c r="L434" s="456"/>
      <c r="M434" s="456"/>
      <c r="N434" s="456"/>
      <c r="O434" s="456"/>
      <c r="P434" s="456"/>
      <c r="Q434" s="456"/>
      <c r="R434" s="456"/>
      <c r="S434" s="456"/>
      <c r="T434" s="456"/>
      <c r="U434" s="456"/>
      <c r="V434" s="456"/>
      <c r="W434" s="456"/>
      <c r="X434" s="456"/>
      <c r="Y434" s="456"/>
      <c r="Z434" s="456"/>
    </row>
    <row r="435" spans="1:26" ht="11.25" customHeight="1">
      <c r="A435" s="456"/>
      <c r="B435" s="456"/>
      <c r="C435" s="456"/>
      <c r="D435" s="456"/>
      <c r="E435" s="456"/>
      <c r="F435" s="456"/>
      <c r="G435" s="456"/>
      <c r="H435" s="456"/>
      <c r="I435" s="456"/>
      <c r="J435" s="456"/>
      <c r="K435" s="456"/>
      <c r="L435" s="456"/>
      <c r="M435" s="456"/>
      <c r="N435" s="456"/>
      <c r="O435" s="456"/>
      <c r="P435" s="456"/>
      <c r="Q435" s="456"/>
      <c r="R435" s="456"/>
      <c r="S435" s="456"/>
      <c r="T435" s="456"/>
      <c r="U435" s="456"/>
      <c r="V435" s="456"/>
      <c r="W435" s="456"/>
      <c r="X435" s="456"/>
      <c r="Y435" s="456"/>
      <c r="Z435" s="456"/>
    </row>
    <row r="436" spans="1:26" ht="11.25" customHeight="1">
      <c r="A436" s="456"/>
      <c r="B436" s="456"/>
      <c r="C436" s="456"/>
      <c r="D436" s="456"/>
      <c r="E436" s="456"/>
      <c r="F436" s="456"/>
      <c r="G436" s="456"/>
      <c r="H436" s="456"/>
      <c r="I436" s="456"/>
      <c r="J436" s="456"/>
      <c r="K436" s="456"/>
      <c r="L436" s="456"/>
      <c r="M436" s="456"/>
      <c r="N436" s="456"/>
      <c r="O436" s="456"/>
      <c r="P436" s="456"/>
      <c r="Q436" s="456"/>
      <c r="R436" s="456"/>
      <c r="S436" s="456"/>
      <c r="T436" s="456"/>
      <c r="U436" s="456"/>
      <c r="V436" s="456"/>
      <c r="W436" s="456"/>
      <c r="X436" s="456"/>
      <c r="Y436" s="456"/>
      <c r="Z436" s="456"/>
    </row>
    <row r="437" spans="1:26" ht="11.25" customHeight="1">
      <c r="A437" s="456"/>
      <c r="B437" s="456"/>
      <c r="C437" s="456"/>
      <c r="D437" s="456"/>
      <c r="E437" s="456"/>
      <c r="F437" s="456"/>
      <c r="G437" s="456"/>
      <c r="H437" s="456"/>
      <c r="I437" s="456"/>
      <c r="J437" s="456"/>
      <c r="K437" s="456"/>
      <c r="L437" s="456"/>
      <c r="M437" s="456"/>
      <c r="N437" s="456"/>
      <c r="O437" s="456"/>
      <c r="P437" s="456"/>
      <c r="Q437" s="456"/>
      <c r="R437" s="456"/>
      <c r="S437" s="456"/>
      <c r="T437" s="456"/>
      <c r="U437" s="456"/>
      <c r="V437" s="456"/>
      <c r="W437" s="456"/>
      <c r="X437" s="456"/>
      <c r="Y437" s="456"/>
      <c r="Z437" s="456"/>
    </row>
    <row r="438" spans="1:26" ht="11.25" customHeight="1">
      <c r="A438" s="456"/>
      <c r="B438" s="456"/>
      <c r="C438" s="456"/>
      <c r="D438" s="456"/>
      <c r="E438" s="456"/>
      <c r="F438" s="456"/>
      <c r="G438" s="456"/>
      <c r="H438" s="456"/>
      <c r="I438" s="456"/>
      <c r="J438" s="456"/>
      <c r="K438" s="456"/>
      <c r="L438" s="456"/>
      <c r="M438" s="456"/>
      <c r="N438" s="456"/>
      <c r="O438" s="456"/>
      <c r="P438" s="456"/>
      <c r="Q438" s="456"/>
      <c r="R438" s="456"/>
      <c r="S438" s="456"/>
      <c r="T438" s="456"/>
      <c r="U438" s="456"/>
      <c r="V438" s="456"/>
      <c r="W438" s="456"/>
      <c r="X438" s="456"/>
      <c r="Y438" s="456"/>
      <c r="Z438" s="456"/>
    </row>
    <row r="439" spans="1:26" ht="11.25" customHeight="1">
      <c r="A439" s="456"/>
      <c r="B439" s="456"/>
      <c r="C439" s="456"/>
      <c r="D439" s="456"/>
      <c r="E439" s="456"/>
      <c r="F439" s="456"/>
      <c r="G439" s="456"/>
      <c r="H439" s="456"/>
      <c r="I439" s="456"/>
      <c r="J439" s="456"/>
      <c r="K439" s="456"/>
      <c r="L439" s="456"/>
      <c r="M439" s="456"/>
      <c r="N439" s="456"/>
      <c r="O439" s="456"/>
      <c r="P439" s="456"/>
      <c r="Q439" s="456"/>
      <c r="R439" s="456"/>
      <c r="S439" s="456"/>
      <c r="T439" s="456"/>
      <c r="U439" s="456"/>
      <c r="V439" s="456"/>
      <c r="W439" s="456"/>
      <c r="X439" s="456"/>
      <c r="Y439" s="456"/>
      <c r="Z439" s="456"/>
    </row>
    <row r="440" spans="1:26" ht="11.25" customHeight="1">
      <c r="A440" s="456"/>
      <c r="B440" s="456"/>
      <c r="C440" s="456"/>
      <c r="D440" s="456"/>
      <c r="E440" s="456"/>
      <c r="F440" s="456"/>
      <c r="G440" s="456"/>
      <c r="H440" s="456"/>
      <c r="I440" s="456"/>
      <c r="J440" s="456"/>
      <c r="K440" s="456"/>
      <c r="L440" s="456"/>
      <c r="M440" s="456"/>
      <c r="N440" s="456"/>
      <c r="O440" s="456"/>
      <c r="P440" s="456"/>
      <c r="Q440" s="456"/>
      <c r="R440" s="456"/>
      <c r="S440" s="456"/>
      <c r="T440" s="456"/>
      <c r="U440" s="456"/>
      <c r="V440" s="456"/>
      <c r="W440" s="456"/>
      <c r="X440" s="456"/>
      <c r="Y440" s="456"/>
      <c r="Z440" s="456"/>
    </row>
    <row r="441" spans="1:26" ht="11.25" customHeight="1">
      <c r="A441" s="456"/>
      <c r="B441" s="456"/>
      <c r="C441" s="456"/>
      <c r="D441" s="456"/>
      <c r="E441" s="456"/>
      <c r="F441" s="456"/>
      <c r="G441" s="456"/>
      <c r="H441" s="456"/>
      <c r="I441" s="456"/>
      <c r="J441" s="456"/>
      <c r="K441" s="456"/>
      <c r="L441" s="456"/>
      <c r="M441" s="456"/>
      <c r="N441" s="456"/>
      <c r="O441" s="456"/>
      <c r="P441" s="456"/>
      <c r="Q441" s="456"/>
      <c r="R441" s="456"/>
      <c r="S441" s="456"/>
      <c r="T441" s="456"/>
      <c r="U441" s="456"/>
      <c r="V441" s="456"/>
      <c r="W441" s="456"/>
      <c r="X441" s="456"/>
      <c r="Y441" s="456"/>
      <c r="Z441" s="456"/>
    </row>
    <row r="442" spans="1:26" ht="11.25" customHeight="1">
      <c r="A442" s="456"/>
      <c r="B442" s="456"/>
      <c r="C442" s="456"/>
      <c r="D442" s="456"/>
      <c r="E442" s="456"/>
      <c r="F442" s="456"/>
      <c r="G442" s="456"/>
      <c r="H442" s="456"/>
      <c r="I442" s="456"/>
      <c r="J442" s="456"/>
      <c r="K442" s="456"/>
      <c r="L442" s="456"/>
      <c r="M442" s="456"/>
      <c r="N442" s="456"/>
      <c r="O442" s="456"/>
      <c r="P442" s="456"/>
      <c r="Q442" s="456"/>
      <c r="R442" s="456"/>
      <c r="S442" s="456"/>
      <c r="T442" s="456"/>
      <c r="U442" s="456"/>
      <c r="V442" s="456"/>
      <c r="W442" s="456"/>
      <c r="X442" s="456"/>
      <c r="Y442" s="456"/>
      <c r="Z442" s="456"/>
    </row>
    <row r="443" spans="1:26" ht="11.25" customHeight="1">
      <c r="A443" s="456"/>
      <c r="B443" s="456"/>
      <c r="C443" s="456"/>
      <c r="D443" s="456"/>
      <c r="E443" s="456"/>
      <c r="F443" s="456"/>
      <c r="G443" s="456"/>
      <c r="H443" s="456"/>
      <c r="I443" s="456"/>
      <c r="J443" s="456"/>
      <c r="K443" s="456"/>
      <c r="L443" s="456"/>
      <c r="M443" s="456"/>
      <c r="N443" s="456"/>
      <c r="O443" s="456"/>
      <c r="P443" s="456"/>
      <c r="Q443" s="456"/>
      <c r="R443" s="456"/>
      <c r="S443" s="456"/>
      <c r="T443" s="456"/>
      <c r="U443" s="456"/>
      <c r="V443" s="456"/>
      <c r="W443" s="456"/>
      <c r="X443" s="456"/>
      <c r="Y443" s="456"/>
      <c r="Z443" s="456"/>
    </row>
    <row r="444" spans="1:26" ht="11.25" customHeight="1">
      <c r="A444" s="456"/>
      <c r="B444" s="456"/>
      <c r="C444" s="456"/>
      <c r="D444" s="456"/>
      <c r="E444" s="456"/>
      <c r="F444" s="456"/>
      <c r="G444" s="456"/>
      <c r="H444" s="456"/>
      <c r="I444" s="456"/>
      <c r="J444" s="456"/>
      <c r="K444" s="456"/>
      <c r="L444" s="456"/>
      <c r="M444" s="456"/>
      <c r="N444" s="456"/>
      <c r="O444" s="456"/>
      <c r="P444" s="456"/>
      <c r="Q444" s="456"/>
      <c r="R444" s="456"/>
      <c r="S444" s="456"/>
      <c r="T444" s="456"/>
      <c r="U444" s="456"/>
      <c r="V444" s="456"/>
      <c r="W444" s="456"/>
      <c r="X444" s="456"/>
      <c r="Y444" s="456"/>
      <c r="Z444" s="456"/>
    </row>
    <row r="445" spans="1:26" ht="11.25" customHeight="1">
      <c r="A445" s="456"/>
      <c r="B445" s="456"/>
      <c r="C445" s="456"/>
      <c r="D445" s="456"/>
      <c r="E445" s="456"/>
      <c r="F445" s="456"/>
      <c r="G445" s="456"/>
      <c r="H445" s="456"/>
      <c r="I445" s="456"/>
      <c r="J445" s="456"/>
      <c r="K445" s="456"/>
      <c r="L445" s="456"/>
      <c r="M445" s="456"/>
      <c r="N445" s="456"/>
      <c r="O445" s="456"/>
      <c r="P445" s="456"/>
      <c r="Q445" s="456"/>
      <c r="R445" s="456"/>
      <c r="S445" s="456"/>
      <c r="T445" s="456"/>
      <c r="U445" s="456"/>
      <c r="V445" s="456"/>
      <c r="W445" s="456"/>
      <c r="X445" s="456"/>
      <c r="Y445" s="456"/>
      <c r="Z445" s="456"/>
    </row>
    <row r="446" spans="1:26" ht="11.25" customHeight="1">
      <c r="A446" s="456"/>
      <c r="B446" s="456"/>
      <c r="C446" s="456"/>
      <c r="D446" s="456"/>
      <c r="E446" s="456"/>
      <c r="F446" s="456"/>
      <c r="G446" s="456"/>
      <c r="H446" s="456"/>
      <c r="I446" s="456"/>
      <c r="J446" s="456"/>
      <c r="K446" s="456"/>
      <c r="L446" s="456"/>
      <c r="M446" s="456"/>
      <c r="N446" s="456"/>
      <c r="O446" s="456"/>
      <c r="P446" s="456"/>
      <c r="Q446" s="456"/>
      <c r="R446" s="456"/>
      <c r="S446" s="456"/>
      <c r="T446" s="456"/>
      <c r="U446" s="456"/>
      <c r="V446" s="456"/>
      <c r="W446" s="456"/>
      <c r="X446" s="456"/>
      <c r="Y446" s="456"/>
      <c r="Z446" s="456"/>
    </row>
    <row r="447" spans="1:26" ht="11.25" customHeight="1">
      <c r="A447" s="456"/>
      <c r="B447" s="456"/>
      <c r="C447" s="456"/>
      <c r="D447" s="456"/>
      <c r="E447" s="456"/>
      <c r="F447" s="456"/>
      <c r="G447" s="456"/>
      <c r="H447" s="456"/>
      <c r="I447" s="456"/>
      <c r="J447" s="456"/>
      <c r="K447" s="456"/>
      <c r="L447" s="456"/>
      <c r="M447" s="456"/>
      <c r="N447" s="456"/>
      <c r="O447" s="456"/>
      <c r="P447" s="456"/>
      <c r="Q447" s="456"/>
      <c r="R447" s="456"/>
      <c r="S447" s="456"/>
      <c r="T447" s="456"/>
      <c r="U447" s="456"/>
      <c r="V447" s="456"/>
      <c r="W447" s="456"/>
      <c r="X447" s="456"/>
      <c r="Y447" s="456"/>
      <c r="Z447" s="456"/>
    </row>
    <row r="448" spans="1:26" ht="11.25" customHeight="1">
      <c r="A448" s="456"/>
      <c r="B448" s="456"/>
      <c r="C448" s="456"/>
      <c r="D448" s="456"/>
      <c r="E448" s="456"/>
      <c r="F448" s="456"/>
      <c r="G448" s="456"/>
      <c r="H448" s="456"/>
      <c r="I448" s="456"/>
      <c r="J448" s="456"/>
      <c r="K448" s="456"/>
      <c r="L448" s="456"/>
      <c r="M448" s="456"/>
      <c r="N448" s="456"/>
      <c r="O448" s="456"/>
      <c r="P448" s="456"/>
      <c r="Q448" s="456"/>
      <c r="R448" s="456"/>
      <c r="S448" s="456"/>
      <c r="T448" s="456"/>
      <c r="U448" s="456"/>
      <c r="V448" s="456"/>
      <c r="W448" s="456"/>
      <c r="X448" s="456"/>
      <c r="Y448" s="456"/>
      <c r="Z448" s="456"/>
    </row>
    <row r="449" spans="1:26" ht="11.25" customHeight="1">
      <c r="A449" s="456"/>
      <c r="B449" s="456"/>
      <c r="C449" s="456"/>
      <c r="D449" s="456"/>
      <c r="E449" s="456"/>
      <c r="F449" s="456"/>
      <c r="G449" s="456"/>
      <c r="H449" s="456"/>
      <c r="I449" s="456"/>
      <c r="J449" s="456"/>
      <c r="K449" s="456"/>
      <c r="L449" s="456"/>
      <c r="M449" s="456"/>
      <c r="N449" s="456"/>
      <c r="O449" s="456"/>
      <c r="P449" s="456"/>
      <c r="Q449" s="456"/>
      <c r="R449" s="456"/>
      <c r="S449" s="456"/>
      <c r="T449" s="456"/>
      <c r="U449" s="456"/>
      <c r="V449" s="456"/>
      <c r="W449" s="456"/>
      <c r="X449" s="456"/>
      <c r="Y449" s="456"/>
      <c r="Z449" s="456"/>
    </row>
    <row r="450" spans="1:26" ht="11.25" customHeight="1">
      <c r="A450" s="456"/>
      <c r="B450" s="456"/>
      <c r="C450" s="456"/>
      <c r="D450" s="456"/>
      <c r="E450" s="456"/>
      <c r="F450" s="456"/>
      <c r="G450" s="456"/>
      <c r="H450" s="456"/>
      <c r="I450" s="456"/>
      <c r="J450" s="456"/>
      <c r="K450" s="456"/>
      <c r="L450" s="456"/>
      <c r="M450" s="456"/>
      <c r="N450" s="456"/>
      <c r="O450" s="456"/>
      <c r="P450" s="456"/>
      <c r="Q450" s="456"/>
      <c r="R450" s="456"/>
      <c r="S450" s="456"/>
      <c r="T450" s="456"/>
      <c r="U450" s="456"/>
      <c r="V450" s="456"/>
      <c r="W450" s="456"/>
      <c r="X450" s="456"/>
      <c r="Y450" s="456"/>
      <c r="Z450" s="456"/>
    </row>
    <row r="451" spans="1:26" ht="11.25" customHeight="1">
      <c r="A451" s="456"/>
      <c r="B451" s="456"/>
      <c r="C451" s="456"/>
      <c r="D451" s="456"/>
      <c r="E451" s="456"/>
      <c r="F451" s="456"/>
      <c r="G451" s="456"/>
      <c r="H451" s="456"/>
      <c r="I451" s="456"/>
      <c r="J451" s="456"/>
      <c r="K451" s="456"/>
      <c r="L451" s="456"/>
      <c r="M451" s="456"/>
      <c r="N451" s="456"/>
      <c r="O451" s="456"/>
      <c r="P451" s="456"/>
      <c r="Q451" s="456"/>
      <c r="R451" s="456"/>
      <c r="S451" s="456"/>
      <c r="T451" s="456"/>
      <c r="U451" s="456"/>
      <c r="V451" s="456"/>
      <c r="W451" s="456"/>
      <c r="X451" s="456"/>
      <c r="Y451" s="456"/>
      <c r="Z451" s="456"/>
    </row>
    <row r="452" spans="1:26" ht="11.25" customHeight="1">
      <c r="A452" s="456"/>
      <c r="B452" s="456"/>
      <c r="C452" s="456"/>
      <c r="D452" s="456"/>
      <c r="E452" s="456"/>
      <c r="F452" s="456"/>
      <c r="G452" s="456"/>
      <c r="H452" s="456"/>
      <c r="I452" s="456"/>
      <c r="J452" s="456"/>
      <c r="K452" s="456"/>
      <c r="L452" s="456"/>
      <c r="M452" s="456"/>
      <c r="N452" s="456"/>
      <c r="O452" s="456"/>
      <c r="P452" s="456"/>
      <c r="Q452" s="456"/>
      <c r="R452" s="456"/>
      <c r="S452" s="456"/>
      <c r="T452" s="456"/>
      <c r="U452" s="456"/>
      <c r="V452" s="456"/>
      <c r="W452" s="456"/>
      <c r="X452" s="456"/>
      <c r="Y452" s="456"/>
      <c r="Z452" s="456"/>
    </row>
    <row r="453" spans="1:26" ht="11.25" customHeight="1">
      <c r="A453" s="456"/>
      <c r="B453" s="456"/>
      <c r="C453" s="456"/>
      <c r="D453" s="456"/>
      <c r="E453" s="456"/>
      <c r="F453" s="456"/>
      <c r="G453" s="456"/>
      <c r="H453" s="456"/>
      <c r="I453" s="456"/>
      <c r="J453" s="456"/>
      <c r="K453" s="456"/>
      <c r="L453" s="456"/>
      <c r="M453" s="456"/>
      <c r="N453" s="456"/>
      <c r="O453" s="456"/>
      <c r="P453" s="456"/>
      <c r="Q453" s="456"/>
      <c r="R453" s="456"/>
      <c r="S453" s="456"/>
      <c r="T453" s="456"/>
      <c r="U453" s="456"/>
      <c r="V453" s="456"/>
      <c r="W453" s="456"/>
      <c r="X453" s="456"/>
      <c r="Y453" s="456"/>
      <c r="Z453" s="456"/>
    </row>
    <row r="454" spans="1:26" ht="11.25" customHeight="1">
      <c r="A454" s="456"/>
      <c r="B454" s="456"/>
      <c r="C454" s="456"/>
      <c r="D454" s="456"/>
      <c r="E454" s="456"/>
      <c r="F454" s="456"/>
      <c r="G454" s="456"/>
      <c r="H454" s="456"/>
      <c r="I454" s="456"/>
      <c r="J454" s="456"/>
      <c r="K454" s="456"/>
      <c r="L454" s="456"/>
      <c r="M454" s="456"/>
      <c r="N454" s="456"/>
      <c r="O454" s="456"/>
      <c r="P454" s="456"/>
      <c r="Q454" s="456"/>
      <c r="R454" s="456"/>
      <c r="S454" s="456"/>
      <c r="T454" s="456"/>
      <c r="U454" s="456"/>
      <c r="V454" s="456"/>
      <c r="W454" s="456"/>
      <c r="X454" s="456"/>
      <c r="Y454" s="456"/>
      <c r="Z454" s="456"/>
    </row>
    <row r="455" spans="1:26" ht="11.25" customHeight="1">
      <c r="A455" s="456"/>
      <c r="B455" s="456"/>
      <c r="C455" s="456"/>
      <c r="D455" s="456"/>
      <c r="E455" s="456"/>
      <c r="F455" s="456"/>
      <c r="G455" s="456"/>
      <c r="H455" s="456"/>
      <c r="I455" s="456"/>
      <c r="J455" s="456"/>
      <c r="K455" s="456"/>
      <c r="L455" s="456"/>
      <c r="M455" s="456"/>
      <c r="N455" s="456"/>
      <c r="O455" s="456"/>
      <c r="P455" s="456"/>
      <c r="Q455" s="456"/>
      <c r="R455" s="456"/>
      <c r="S455" s="456"/>
      <c r="T455" s="456"/>
      <c r="U455" s="456"/>
      <c r="V455" s="456"/>
      <c r="W455" s="456"/>
      <c r="X455" s="456"/>
      <c r="Y455" s="456"/>
      <c r="Z455" s="456"/>
    </row>
    <row r="456" spans="1:26" ht="11.25" customHeight="1">
      <c r="A456" s="456"/>
      <c r="B456" s="456"/>
      <c r="C456" s="456"/>
      <c r="D456" s="456"/>
      <c r="E456" s="456"/>
      <c r="F456" s="456"/>
      <c r="G456" s="456"/>
      <c r="H456" s="456"/>
      <c r="I456" s="456"/>
      <c r="J456" s="456"/>
      <c r="K456" s="456"/>
      <c r="L456" s="456"/>
      <c r="M456" s="456"/>
      <c r="N456" s="456"/>
      <c r="O456" s="456"/>
      <c r="P456" s="456"/>
      <c r="Q456" s="456"/>
      <c r="R456" s="456"/>
      <c r="S456" s="456"/>
      <c r="T456" s="456"/>
      <c r="U456" s="456"/>
      <c r="V456" s="456"/>
      <c r="W456" s="456"/>
      <c r="X456" s="456"/>
      <c r="Y456" s="456"/>
      <c r="Z456" s="456"/>
    </row>
    <row r="457" spans="1:26" ht="11.25" customHeight="1">
      <c r="A457" s="456"/>
      <c r="B457" s="456"/>
      <c r="C457" s="456"/>
      <c r="D457" s="456"/>
      <c r="E457" s="456"/>
      <c r="F457" s="456"/>
      <c r="G457" s="456"/>
      <c r="H457" s="456"/>
      <c r="I457" s="456"/>
      <c r="J457" s="456"/>
      <c r="K457" s="456"/>
      <c r="L457" s="456"/>
      <c r="M457" s="456"/>
      <c r="N457" s="456"/>
      <c r="O457" s="456"/>
      <c r="P457" s="456"/>
      <c r="Q457" s="456"/>
      <c r="R457" s="456"/>
      <c r="S457" s="456"/>
      <c r="T457" s="456"/>
      <c r="U457" s="456"/>
      <c r="V457" s="456"/>
      <c r="W457" s="456"/>
      <c r="X457" s="456"/>
      <c r="Y457" s="456"/>
      <c r="Z457" s="456"/>
    </row>
    <row r="458" spans="1:26" ht="11.25" customHeight="1">
      <c r="A458" s="456"/>
      <c r="B458" s="456"/>
      <c r="C458" s="456"/>
      <c r="D458" s="456"/>
      <c r="E458" s="456"/>
      <c r="F458" s="456"/>
      <c r="G458" s="456"/>
      <c r="H458" s="456"/>
      <c r="I458" s="456"/>
      <c r="J458" s="456"/>
      <c r="K458" s="456"/>
      <c r="L458" s="456"/>
      <c r="M458" s="456"/>
      <c r="N458" s="456"/>
      <c r="O458" s="456"/>
      <c r="P458" s="456"/>
      <c r="Q458" s="456"/>
      <c r="R458" s="456"/>
      <c r="S458" s="456"/>
      <c r="T458" s="456"/>
      <c r="U458" s="456"/>
      <c r="V458" s="456"/>
      <c r="W458" s="456"/>
      <c r="X458" s="456"/>
      <c r="Y458" s="456"/>
      <c r="Z458" s="456"/>
    </row>
    <row r="459" spans="1:26" ht="11.25" customHeight="1">
      <c r="A459" s="456"/>
      <c r="B459" s="456"/>
      <c r="C459" s="456"/>
      <c r="D459" s="456"/>
      <c r="E459" s="456"/>
      <c r="F459" s="456"/>
      <c r="G459" s="456"/>
      <c r="H459" s="456"/>
      <c r="I459" s="456"/>
      <c r="J459" s="456"/>
      <c r="K459" s="456"/>
      <c r="L459" s="456"/>
      <c r="M459" s="456"/>
      <c r="N459" s="456"/>
      <c r="O459" s="456"/>
      <c r="P459" s="456"/>
      <c r="Q459" s="456"/>
      <c r="R459" s="456"/>
      <c r="S459" s="456"/>
      <c r="T459" s="456"/>
      <c r="U459" s="456"/>
      <c r="V459" s="456"/>
      <c r="W459" s="456"/>
      <c r="X459" s="456"/>
      <c r="Y459" s="456"/>
      <c r="Z459" s="456"/>
    </row>
    <row r="460" spans="1:26" ht="11.25" customHeight="1">
      <c r="A460" s="456"/>
      <c r="B460" s="456"/>
      <c r="C460" s="456"/>
      <c r="D460" s="456"/>
      <c r="E460" s="456"/>
      <c r="F460" s="456"/>
      <c r="G460" s="456"/>
      <c r="H460" s="456"/>
      <c r="I460" s="456"/>
      <c r="J460" s="456"/>
      <c r="K460" s="456"/>
      <c r="L460" s="456"/>
      <c r="M460" s="456"/>
      <c r="N460" s="456"/>
      <c r="O460" s="456"/>
      <c r="P460" s="456"/>
      <c r="Q460" s="456"/>
      <c r="R460" s="456"/>
      <c r="S460" s="456"/>
      <c r="T460" s="456"/>
      <c r="U460" s="456"/>
      <c r="V460" s="456"/>
      <c r="W460" s="456"/>
      <c r="X460" s="456"/>
      <c r="Y460" s="456"/>
      <c r="Z460" s="456"/>
    </row>
    <row r="461" spans="1:26" ht="11.25" customHeight="1">
      <c r="A461" s="456"/>
      <c r="B461" s="456"/>
      <c r="C461" s="456"/>
      <c r="D461" s="456"/>
      <c r="E461" s="456"/>
      <c r="F461" s="456"/>
      <c r="G461" s="456"/>
      <c r="H461" s="456"/>
      <c r="I461" s="456"/>
      <c r="J461" s="456"/>
      <c r="K461" s="456"/>
      <c r="L461" s="456"/>
      <c r="M461" s="456"/>
      <c r="N461" s="456"/>
      <c r="O461" s="456"/>
      <c r="P461" s="456"/>
      <c r="Q461" s="456"/>
      <c r="R461" s="456"/>
      <c r="S461" s="456"/>
      <c r="T461" s="456"/>
      <c r="U461" s="456"/>
      <c r="V461" s="456"/>
      <c r="W461" s="456"/>
      <c r="X461" s="456"/>
      <c r="Y461" s="456"/>
      <c r="Z461" s="456"/>
    </row>
    <row r="462" spans="1:26" ht="11.25" customHeight="1">
      <c r="A462" s="456"/>
      <c r="B462" s="456"/>
      <c r="C462" s="456"/>
      <c r="D462" s="456"/>
      <c r="E462" s="456"/>
      <c r="F462" s="456"/>
      <c r="G462" s="456"/>
      <c r="H462" s="456"/>
      <c r="I462" s="456"/>
      <c r="J462" s="456"/>
      <c r="K462" s="456"/>
      <c r="L462" s="456"/>
      <c r="M462" s="456"/>
      <c r="N462" s="456"/>
      <c r="O462" s="456"/>
      <c r="P462" s="456"/>
      <c r="Q462" s="456"/>
      <c r="R462" s="456"/>
      <c r="S462" s="456"/>
      <c r="T462" s="456"/>
      <c r="U462" s="456"/>
      <c r="V462" s="456"/>
      <c r="W462" s="456"/>
      <c r="X462" s="456"/>
      <c r="Y462" s="456"/>
      <c r="Z462" s="456"/>
    </row>
    <row r="463" spans="1:26" ht="11.25" customHeight="1">
      <c r="A463" s="456"/>
      <c r="B463" s="456"/>
      <c r="C463" s="456"/>
      <c r="D463" s="456"/>
      <c r="E463" s="456"/>
      <c r="F463" s="456"/>
      <c r="G463" s="456"/>
      <c r="H463" s="456"/>
      <c r="I463" s="456"/>
      <c r="J463" s="456"/>
      <c r="K463" s="456"/>
      <c r="L463" s="456"/>
      <c r="M463" s="456"/>
      <c r="N463" s="456"/>
      <c r="O463" s="456"/>
      <c r="P463" s="456"/>
      <c r="Q463" s="456"/>
      <c r="R463" s="456"/>
      <c r="S463" s="456"/>
      <c r="T463" s="456"/>
      <c r="U463" s="456"/>
      <c r="V463" s="456"/>
      <c r="W463" s="456"/>
      <c r="X463" s="456"/>
      <c r="Y463" s="456"/>
      <c r="Z463" s="456"/>
    </row>
    <row r="464" spans="1:26" ht="11.25" customHeight="1">
      <c r="A464" s="456"/>
      <c r="B464" s="456"/>
      <c r="C464" s="456"/>
      <c r="D464" s="456"/>
      <c r="E464" s="456"/>
      <c r="F464" s="456"/>
      <c r="G464" s="456"/>
      <c r="H464" s="456"/>
      <c r="I464" s="456"/>
      <c r="J464" s="456"/>
      <c r="K464" s="456"/>
      <c r="L464" s="456"/>
      <c r="M464" s="456"/>
      <c r="N464" s="456"/>
      <c r="O464" s="456"/>
      <c r="P464" s="456"/>
      <c r="Q464" s="456"/>
      <c r="R464" s="456"/>
      <c r="S464" s="456"/>
      <c r="T464" s="456"/>
      <c r="U464" s="456"/>
      <c r="V464" s="456"/>
      <c r="W464" s="456"/>
      <c r="X464" s="456"/>
      <c r="Y464" s="456"/>
      <c r="Z464" s="456"/>
    </row>
    <row r="465" spans="1:26" ht="11.25" customHeight="1">
      <c r="A465" s="456"/>
      <c r="B465" s="456"/>
      <c r="C465" s="456"/>
      <c r="D465" s="456"/>
      <c r="E465" s="456"/>
      <c r="F465" s="456"/>
      <c r="G465" s="456"/>
      <c r="H465" s="456"/>
      <c r="I465" s="456"/>
      <c r="J465" s="456"/>
      <c r="K465" s="456"/>
      <c r="L465" s="456"/>
      <c r="M465" s="456"/>
      <c r="N465" s="456"/>
      <c r="O465" s="456"/>
      <c r="P465" s="456"/>
      <c r="Q465" s="456"/>
      <c r="R465" s="456"/>
      <c r="S465" s="456"/>
      <c r="T465" s="456"/>
      <c r="U465" s="456"/>
      <c r="V465" s="456"/>
      <c r="W465" s="456"/>
      <c r="X465" s="456"/>
      <c r="Y465" s="456"/>
      <c r="Z465" s="456"/>
    </row>
    <row r="466" spans="1:26" ht="11.25" customHeight="1">
      <c r="A466" s="456"/>
      <c r="B466" s="456"/>
      <c r="C466" s="456"/>
      <c r="D466" s="456"/>
      <c r="E466" s="456"/>
      <c r="F466" s="456"/>
      <c r="G466" s="456"/>
      <c r="H466" s="456"/>
      <c r="I466" s="456"/>
      <c r="J466" s="456"/>
      <c r="K466" s="456"/>
      <c r="L466" s="456"/>
      <c r="M466" s="456"/>
      <c r="N466" s="456"/>
      <c r="O466" s="456"/>
      <c r="P466" s="456"/>
      <c r="Q466" s="456"/>
      <c r="R466" s="456"/>
      <c r="S466" s="456"/>
      <c r="T466" s="456"/>
      <c r="U466" s="456"/>
      <c r="V466" s="456"/>
      <c r="W466" s="456"/>
      <c r="X466" s="456"/>
      <c r="Y466" s="456"/>
      <c r="Z466" s="456"/>
    </row>
    <row r="467" spans="1:26" ht="11.25" customHeight="1">
      <c r="A467" s="456"/>
      <c r="B467" s="456"/>
      <c r="C467" s="456"/>
      <c r="D467" s="456"/>
      <c r="E467" s="456"/>
      <c r="F467" s="456"/>
      <c r="G467" s="456"/>
      <c r="H467" s="456"/>
      <c r="I467" s="456"/>
      <c r="J467" s="456"/>
      <c r="K467" s="456"/>
      <c r="L467" s="456"/>
      <c r="M467" s="456"/>
      <c r="N467" s="456"/>
      <c r="O467" s="456"/>
      <c r="P467" s="456"/>
      <c r="Q467" s="456"/>
      <c r="R467" s="456"/>
      <c r="S467" s="456"/>
      <c r="T467" s="456"/>
      <c r="U467" s="456"/>
      <c r="V467" s="456"/>
      <c r="W467" s="456"/>
      <c r="X467" s="456"/>
      <c r="Y467" s="456"/>
      <c r="Z467" s="456"/>
    </row>
    <row r="468" spans="1:26" ht="11.25" customHeight="1">
      <c r="A468" s="456"/>
      <c r="B468" s="456"/>
      <c r="C468" s="456"/>
      <c r="D468" s="456"/>
      <c r="E468" s="456"/>
      <c r="F468" s="456"/>
      <c r="G468" s="456"/>
      <c r="H468" s="456"/>
      <c r="I468" s="456"/>
      <c r="J468" s="456"/>
      <c r="K468" s="456"/>
      <c r="L468" s="456"/>
      <c r="M468" s="456"/>
      <c r="N468" s="456"/>
      <c r="O468" s="456"/>
      <c r="P468" s="456"/>
      <c r="Q468" s="456"/>
      <c r="R468" s="456"/>
      <c r="S468" s="456"/>
      <c r="T468" s="456"/>
      <c r="U468" s="456"/>
      <c r="V468" s="456"/>
      <c r="W468" s="456"/>
      <c r="X468" s="456"/>
      <c r="Y468" s="456"/>
      <c r="Z468" s="456"/>
    </row>
    <row r="469" spans="1:26" ht="11.25" customHeight="1">
      <c r="A469" s="456"/>
      <c r="B469" s="456"/>
      <c r="C469" s="456"/>
      <c r="D469" s="456"/>
      <c r="E469" s="456"/>
      <c r="F469" s="456"/>
      <c r="G469" s="456"/>
      <c r="H469" s="456"/>
      <c r="I469" s="456"/>
      <c r="J469" s="456"/>
      <c r="K469" s="456"/>
      <c r="L469" s="456"/>
      <c r="M469" s="456"/>
      <c r="N469" s="456"/>
      <c r="O469" s="456"/>
      <c r="P469" s="456"/>
      <c r="Q469" s="456"/>
      <c r="R469" s="456"/>
      <c r="S469" s="456"/>
      <c r="T469" s="456"/>
      <c r="U469" s="456"/>
      <c r="V469" s="456"/>
      <c r="W469" s="456"/>
      <c r="X469" s="456"/>
      <c r="Y469" s="456"/>
      <c r="Z469" s="456"/>
    </row>
    <row r="470" spans="1:26" ht="11.25" customHeight="1">
      <c r="A470" s="456"/>
      <c r="B470" s="456"/>
      <c r="C470" s="456"/>
      <c r="D470" s="456"/>
      <c r="E470" s="456"/>
      <c r="F470" s="456"/>
      <c r="G470" s="456"/>
      <c r="H470" s="456"/>
      <c r="I470" s="456"/>
      <c r="J470" s="456"/>
      <c r="K470" s="456"/>
      <c r="L470" s="456"/>
      <c r="M470" s="456"/>
      <c r="N470" s="456"/>
      <c r="O470" s="456"/>
      <c r="P470" s="456"/>
      <c r="Q470" s="456"/>
      <c r="R470" s="456"/>
      <c r="S470" s="456"/>
      <c r="T470" s="456"/>
      <c r="U470" s="456"/>
      <c r="V470" s="456"/>
      <c r="W470" s="456"/>
      <c r="X470" s="456"/>
      <c r="Y470" s="456"/>
      <c r="Z470" s="456"/>
    </row>
    <row r="471" spans="1:26" ht="11.25" customHeight="1">
      <c r="A471" s="456"/>
      <c r="B471" s="456"/>
      <c r="C471" s="456"/>
      <c r="D471" s="456"/>
      <c r="E471" s="456"/>
      <c r="F471" s="456"/>
      <c r="G471" s="456"/>
      <c r="H471" s="456"/>
      <c r="I471" s="456"/>
      <c r="J471" s="456"/>
      <c r="K471" s="456"/>
      <c r="L471" s="456"/>
      <c r="M471" s="456"/>
      <c r="N471" s="456"/>
      <c r="O471" s="456"/>
      <c r="P471" s="456"/>
      <c r="Q471" s="456"/>
      <c r="R471" s="456"/>
      <c r="S471" s="456"/>
      <c r="T471" s="456"/>
      <c r="U471" s="456"/>
      <c r="V471" s="456"/>
      <c r="W471" s="456"/>
      <c r="X471" s="456"/>
      <c r="Y471" s="456"/>
      <c r="Z471" s="456"/>
    </row>
    <row r="472" spans="1:26" ht="11.25" customHeight="1">
      <c r="A472" s="456"/>
      <c r="B472" s="456"/>
      <c r="C472" s="456"/>
      <c r="D472" s="456"/>
      <c r="E472" s="456"/>
      <c r="F472" s="456"/>
      <c r="G472" s="456"/>
      <c r="H472" s="456"/>
      <c r="I472" s="456"/>
      <c r="J472" s="456"/>
      <c r="K472" s="456"/>
      <c r="L472" s="456"/>
      <c r="M472" s="456"/>
      <c r="N472" s="456"/>
      <c r="O472" s="456"/>
      <c r="P472" s="456"/>
      <c r="Q472" s="456"/>
      <c r="R472" s="456"/>
      <c r="S472" s="456"/>
      <c r="T472" s="456"/>
      <c r="U472" s="456"/>
      <c r="V472" s="456"/>
      <c r="W472" s="456"/>
      <c r="X472" s="456"/>
      <c r="Y472" s="456"/>
      <c r="Z472" s="456"/>
    </row>
    <row r="473" spans="1:26" ht="11.25" customHeight="1">
      <c r="A473" s="456"/>
      <c r="B473" s="456"/>
      <c r="C473" s="456"/>
      <c r="D473" s="456"/>
      <c r="E473" s="456"/>
      <c r="F473" s="456"/>
      <c r="G473" s="456"/>
      <c r="H473" s="456"/>
      <c r="I473" s="456"/>
      <c r="J473" s="456"/>
      <c r="K473" s="456"/>
      <c r="L473" s="456"/>
      <c r="M473" s="456"/>
      <c r="N473" s="456"/>
      <c r="O473" s="456"/>
      <c r="P473" s="456"/>
      <c r="Q473" s="456"/>
      <c r="R473" s="456"/>
      <c r="S473" s="456"/>
      <c r="T473" s="456"/>
      <c r="U473" s="456"/>
      <c r="V473" s="456"/>
      <c r="W473" s="456"/>
      <c r="X473" s="456"/>
      <c r="Y473" s="456"/>
      <c r="Z473" s="456"/>
    </row>
    <row r="474" spans="1:26" ht="11.25" customHeight="1">
      <c r="A474" s="456"/>
      <c r="B474" s="456"/>
      <c r="C474" s="456"/>
      <c r="D474" s="456"/>
      <c r="E474" s="456"/>
      <c r="F474" s="456"/>
      <c r="G474" s="456"/>
      <c r="H474" s="456"/>
      <c r="I474" s="456"/>
      <c r="J474" s="456"/>
      <c r="K474" s="456"/>
      <c r="L474" s="456"/>
      <c r="M474" s="456"/>
      <c r="N474" s="456"/>
      <c r="O474" s="456"/>
      <c r="P474" s="456"/>
      <c r="Q474" s="456"/>
      <c r="R474" s="456"/>
      <c r="S474" s="456"/>
      <c r="T474" s="456"/>
      <c r="U474" s="456"/>
      <c r="V474" s="456"/>
      <c r="W474" s="456"/>
      <c r="X474" s="456"/>
      <c r="Y474" s="456"/>
      <c r="Z474" s="456"/>
    </row>
    <row r="475" spans="1:26" ht="11.25" customHeight="1">
      <c r="A475" s="456"/>
      <c r="B475" s="456"/>
      <c r="C475" s="456"/>
      <c r="D475" s="456"/>
      <c r="E475" s="456"/>
      <c r="F475" s="456"/>
      <c r="G475" s="456"/>
      <c r="H475" s="456"/>
      <c r="I475" s="456"/>
      <c r="J475" s="456"/>
      <c r="K475" s="456"/>
      <c r="L475" s="456"/>
      <c r="M475" s="456"/>
      <c r="N475" s="456"/>
      <c r="O475" s="456"/>
      <c r="P475" s="456"/>
      <c r="Q475" s="456"/>
      <c r="R475" s="456"/>
      <c r="S475" s="456"/>
      <c r="T475" s="456"/>
      <c r="U475" s="456"/>
      <c r="V475" s="456"/>
      <c r="W475" s="456"/>
      <c r="X475" s="456"/>
      <c r="Y475" s="456"/>
      <c r="Z475" s="456"/>
    </row>
    <row r="476" spans="1:26" ht="11.25" customHeight="1">
      <c r="A476" s="456"/>
      <c r="B476" s="456"/>
      <c r="C476" s="456"/>
      <c r="D476" s="456"/>
      <c r="E476" s="456"/>
      <c r="F476" s="456"/>
      <c r="G476" s="456"/>
      <c r="H476" s="456"/>
      <c r="I476" s="456"/>
      <c r="J476" s="456"/>
      <c r="K476" s="456"/>
      <c r="L476" s="456"/>
      <c r="M476" s="456"/>
      <c r="N476" s="456"/>
      <c r="O476" s="456"/>
      <c r="P476" s="456"/>
      <c r="Q476" s="456"/>
      <c r="R476" s="456"/>
      <c r="S476" s="456"/>
      <c r="T476" s="456"/>
      <c r="U476" s="456"/>
      <c r="V476" s="456"/>
      <c r="W476" s="456"/>
      <c r="X476" s="456"/>
      <c r="Y476" s="456"/>
      <c r="Z476" s="456"/>
    </row>
    <row r="477" spans="1:26" ht="11.25" customHeight="1">
      <c r="A477" s="456"/>
      <c r="B477" s="456"/>
      <c r="C477" s="456"/>
      <c r="D477" s="456"/>
      <c r="E477" s="456"/>
      <c r="F477" s="456"/>
      <c r="G477" s="456"/>
      <c r="H477" s="456"/>
      <c r="I477" s="456"/>
      <c r="J477" s="456"/>
      <c r="K477" s="456"/>
      <c r="L477" s="456"/>
      <c r="M477" s="456"/>
      <c r="N477" s="456"/>
      <c r="O477" s="456"/>
      <c r="P477" s="456"/>
      <c r="Q477" s="456"/>
      <c r="R477" s="456"/>
      <c r="S477" s="456"/>
      <c r="T477" s="456"/>
      <c r="U477" s="456"/>
      <c r="V477" s="456"/>
      <c r="W477" s="456"/>
      <c r="X477" s="456"/>
      <c r="Y477" s="456"/>
      <c r="Z477" s="456"/>
    </row>
    <row r="478" spans="1:26" ht="11.25" customHeight="1">
      <c r="A478" s="456"/>
      <c r="B478" s="456"/>
      <c r="C478" s="456"/>
      <c r="D478" s="456"/>
      <c r="E478" s="456"/>
      <c r="F478" s="456"/>
      <c r="G478" s="456"/>
      <c r="H478" s="456"/>
      <c r="I478" s="456"/>
      <c r="J478" s="456"/>
      <c r="K478" s="456"/>
      <c r="L478" s="456"/>
      <c r="M478" s="456"/>
      <c r="N478" s="456"/>
      <c r="O478" s="456"/>
      <c r="P478" s="456"/>
      <c r="Q478" s="456"/>
      <c r="R478" s="456"/>
      <c r="S478" s="456"/>
      <c r="T478" s="456"/>
      <c r="U478" s="456"/>
      <c r="V478" s="456"/>
      <c r="W478" s="456"/>
      <c r="X478" s="456"/>
      <c r="Y478" s="456"/>
      <c r="Z478" s="456"/>
    </row>
    <row r="479" spans="1:26" ht="11.25" customHeight="1">
      <c r="A479" s="456"/>
      <c r="B479" s="456"/>
      <c r="C479" s="456"/>
      <c r="D479" s="456"/>
      <c r="E479" s="456"/>
      <c r="F479" s="456"/>
      <c r="G479" s="456"/>
      <c r="H479" s="456"/>
      <c r="I479" s="456"/>
      <c r="J479" s="456"/>
      <c r="K479" s="456"/>
      <c r="L479" s="456"/>
      <c r="M479" s="456"/>
      <c r="N479" s="456"/>
      <c r="O479" s="456"/>
      <c r="P479" s="456"/>
      <c r="Q479" s="456"/>
      <c r="R479" s="456"/>
      <c r="S479" s="456"/>
      <c r="T479" s="456"/>
      <c r="U479" s="456"/>
      <c r="V479" s="456"/>
      <c r="W479" s="456"/>
      <c r="X479" s="456"/>
      <c r="Y479" s="456"/>
      <c r="Z479" s="456"/>
    </row>
    <row r="480" spans="1:26" ht="11.25" customHeight="1">
      <c r="A480" s="456"/>
      <c r="B480" s="456"/>
      <c r="C480" s="456"/>
      <c r="D480" s="456"/>
      <c r="E480" s="456"/>
      <c r="F480" s="456"/>
      <c r="G480" s="456"/>
      <c r="H480" s="456"/>
      <c r="I480" s="456"/>
      <c r="J480" s="456"/>
      <c r="K480" s="456"/>
      <c r="L480" s="456"/>
      <c r="M480" s="456"/>
      <c r="N480" s="456"/>
      <c r="O480" s="456"/>
      <c r="P480" s="456"/>
      <c r="Q480" s="456"/>
      <c r="R480" s="456"/>
      <c r="S480" s="456"/>
      <c r="T480" s="456"/>
      <c r="U480" s="456"/>
      <c r="V480" s="456"/>
      <c r="W480" s="456"/>
      <c r="X480" s="456"/>
      <c r="Y480" s="456"/>
      <c r="Z480" s="456"/>
    </row>
    <row r="481" spans="1:26" ht="11.25" customHeight="1">
      <c r="A481" s="456"/>
      <c r="B481" s="456"/>
      <c r="C481" s="456"/>
      <c r="D481" s="456"/>
      <c r="E481" s="456"/>
      <c r="F481" s="456"/>
      <c r="G481" s="456"/>
      <c r="H481" s="456"/>
      <c r="I481" s="456"/>
      <c r="J481" s="456"/>
      <c r="K481" s="456"/>
      <c r="L481" s="456"/>
      <c r="M481" s="456"/>
      <c r="N481" s="456"/>
      <c r="O481" s="456"/>
      <c r="P481" s="456"/>
      <c r="Q481" s="456"/>
      <c r="R481" s="456"/>
      <c r="S481" s="456"/>
      <c r="T481" s="456"/>
      <c r="U481" s="456"/>
      <c r="V481" s="456"/>
      <c r="W481" s="456"/>
      <c r="X481" s="456"/>
      <c r="Y481" s="456"/>
      <c r="Z481" s="456"/>
    </row>
    <row r="482" spans="1:26" ht="11.25" customHeight="1">
      <c r="A482" s="456"/>
      <c r="B482" s="456"/>
      <c r="C482" s="456"/>
      <c r="D482" s="456"/>
      <c r="E482" s="456"/>
      <c r="F482" s="456"/>
      <c r="G482" s="456"/>
      <c r="H482" s="456"/>
      <c r="I482" s="456"/>
      <c r="J482" s="456"/>
      <c r="K482" s="456"/>
      <c r="L482" s="456"/>
      <c r="M482" s="456"/>
      <c r="N482" s="456"/>
      <c r="O482" s="456"/>
      <c r="P482" s="456"/>
      <c r="Q482" s="456"/>
      <c r="R482" s="456"/>
      <c r="S482" s="456"/>
      <c r="T482" s="456"/>
      <c r="U482" s="456"/>
      <c r="V482" s="456"/>
      <c r="W482" s="456"/>
      <c r="X482" s="456"/>
      <c r="Y482" s="456"/>
      <c r="Z482" s="456"/>
    </row>
    <row r="483" spans="1:26" ht="11.25" customHeight="1">
      <c r="A483" s="456"/>
      <c r="B483" s="456"/>
      <c r="C483" s="456"/>
      <c r="D483" s="456"/>
      <c r="E483" s="456"/>
      <c r="F483" s="456"/>
      <c r="G483" s="456"/>
      <c r="H483" s="456"/>
      <c r="I483" s="456"/>
      <c r="J483" s="456"/>
      <c r="K483" s="456"/>
      <c r="L483" s="456"/>
      <c r="M483" s="456"/>
      <c r="N483" s="456"/>
      <c r="O483" s="456"/>
      <c r="P483" s="456"/>
      <c r="Q483" s="456"/>
      <c r="R483" s="456"/>
      <c r="S483" s="456"/>
      <c r="T483" s="456"/>
      <c r="U483" s="456"/>
      <c r="V483" s="456"/>
      <c r="W483" s="456"/>
      <c r="X483" s="456"/>
      <c r="Y483" s="456"/>
      <c r="Z483" s="456"/>
    </row>
    <row r="484" spans="1:26" ht="11.25" customHeight="1">
      <c r="A484" s="456"/>
      <c r="B484" s="456"/>
      <c r="C484" s="456"/>
      <c r="D484" s="456"/>
      <c r="E484" s="456"/>
      <c r="F484" s="456"/>
      <c r="G484" s="456"/>
      <c r="H484" s="456"/>
      <c r="I484" s="456"/>
      <c r="J484" s="456"/>
      <c r="K484" s="456"/>
      <c r="L484" s="456"/>
      <c r="M484" s="456"/>
      <c r="N484" s="456"/>
      <c r="O484" s="456"/>
      <c r="P484" s="456"/>
      <c r="Q484" s="456"/>
      <c r="R484" s="456"/>
      <c r="S484" s="456"/>
      <c r="T484" s="456"/>
      <c r="U484" s="456"/>
      <c r="V484" s="456"/>
      <c r="W484" s="456"/>
      <c r="X484" s="456"/>
      <c r="Y484" s="456"/>
      <c r="Z484" s="456"/>
    </row>
    <row r="485" spans="1:26" ht="11.25" customHeight="1">
      <c r="A485" s="456"/>
      <c r="B485" s="456"/>
      <c r="C485" s="456"/>
      <c r="D485" s="456"/>
      <c r="E485" s="456"/>
      <c r="F485" s="456"/>
      <c r="G485" s="456"/>
      <c r="H485" s="456"/>
      <c r="I485" s="456"/>
      <c r="J485" s="456"/>
      <c r="K485" s="456"/>
      <c r="L485" s="456"/>
      <c r="M485" s="456"/>
      <c r="N485" s="456"/>
      <c r="O485" s="456"/>
      <c r="P485" s="456"/>
      <c r="Q485" s="456"/>
      <c r="R485" s="456"/>
      <c r="S485" s="456"/>
      <c r="T485" s="456"/>
      <c r="U485" s="456"/>
      <c r="V485" s="456"/>
      <c r="W485" s="456"/>
      <c r="X485" s="456"/>
      <c r="Y485" s="456"/>
      <c r="Z485" s="456"/>
    </row>
    <row r="486" spans="1:26" ht="11.25" customHeight="1">
      <c r="A486" s="456"/>
      <c r="B486" s="456"/>
      <c r="C486" s="456"/>
      <c r="D486" s="456"/>
      <c r="E486" s="456"/>
      <c r="F486" s="456"/>
      <c r="G486" s="456"/>
      <c r="H486" s="456"/>
      <c r="I486" s="456"/>
      <c r="J486" s="456"/>
      <c r="K486" s="456"/>
      <c r="L486" s="456"/>
      <c r="M486" s="456"/>
      <c r="N486" s="456"/>
      <c r="O486" s="456"/>
      <c r="P486" s="456"/>
      <c r="Q486" s="456"/>
      <c r="R486" s="456"/>
      <c r="S486" s="456"/>
      <c r="T486" s="456"/>
      <c r="U486" s="456"/>
      <c r="V486" s="456"/>
      <c r="W486" s="456"/>
      <c r="X486" s="456"/>
      <c r="Y486" s="456"/>
      <c r="Z486" s="456"/>
    </row>
    <row r="487" spans="1:26" ht="11.25" customHeight="1">
      <c r="A487" s="456"/>
      <c r="B487" s="456"/>
      <c r="C487" s="456"/>
      <c r="D487" s="456"/>
      <c r="E487" s="456"/>
      <c r="F487" s="456"/>
      <c r="G487" s="456"/>
      <c r="H487" s="456"/>
      <c r="I487" s="456"/>
      <c r="J487" s="456"/>
      <c r="K487" s="456"/>
      <c r="L487" s="456"/>
      <c r="M487" s="456"/>
      <c r="N487" s="456"/>
      <c r="O487" s="456"/>
      <c r="P487" s="456"/>
      <c r="Q487" s="456"/>
      <c r="R487" s="456"/>
      <c r="S487" s="456"/>
      <c r="T487" s="456"/>
      <c r="U487" s="456"/>
      <c r="V487" s="456"/>
      <c r="W487" s="456"/>
      <c r="X487" s="456"/>
      <c r="Y487" s="456"/>
      <c r="Z487" s="456"/>
    </row>
    <row r="488" spans="1:26" ht="11.25" customHeight="1">
      <c r="A488" s="456"/>
      <c r="B488" s="456"/>
      <c r="C488" s="456"/>
      <c r="D488" s="456"/>
      <c r="E488" s="456"/>
      <c r="F488" s="456"/>
      <c r="G488" s="456"/>
      <c r="H488" s="456"/>
      <c r="I488" s="456"/>
      <c r="J488" s="456"/>
      <c r="K488" s="456"/>
      <c r="L488" s="456"/>
      <c r="M488" s="456"/>
      <c r="N488" s="456"/>
      <c r="O488" s="456"/>
      <c r="P488" s="456"/>
      <c r="Q488" s="456"/>
      <c r="R488" s="456"/>
      <c r="S488" s="456"/>
      <c r="T488" s="456"/>
      <c r="U488" s="456"/>
      <c r="V488" s="456"/>
      <c r="W488" s="456"/>
      <c r="X488" s="456"/>
      <c r="Y488" s="456"/>
      <c r="Z488" s="456"/>
    </row>
    <row r="489" spans="1:26" ht="11.25" customHeight="1">
      <c r="A489" s="456"/>
      <c r="B489" s="456"/>
      <c r="C489" s="456"/>
      <c r="D489" s="456"/>
      <c r="E489" s="456"/>
      <c r="F489" s="456"/>
      <c r="G489" s="456"/>
      <c r="H489" s="456"/>
      <c r="I489" s="456"/>
      <c r="J489" s="456"/>
      <c r="K489" s="456"/>
      <c r="L489" s="456"/>
      <c r="M489" s="456"/>
      <c r="N489" s="456"/>
      <c r="O489" s="456"/>
      <c r="P489" s="456"/>
      <c r="Q489" s="456"/>
      <c r="R489" s="456"/>
      <c r="S489" s="456"/>
      <c r="T489" s="456"/>
      <c r="U489" s="456"/>
      <c r="V489" s="456"/>
      <c r="W489" s="456"/>
      <c r="X489" s="456"/>
      <c r="Y489" s="456"/>
      <c r="Z489" s="456"/>
    </row>
    <row r="490" spans="1:26" ht="11.25" customHeight="1">
      <c r="A490" s="456"/>
      <c r="B490" s="456"/>
      <c r="C490" s="456"/>
      <c r="D490" s="456"/>
      <c r="E490" s="456"/>
      <c r="F490" s="456"/>
      <c r="G490" s="456"/>
      <c r="H490" s="456"/>
      <c r="I490" s="456"/>
      <c r="J490" s="456"/>
      <c r="K490" s="456"/>
      <c r="L490" s="456"/>
      <c r="M490" s="456"/>
      <c r="N490" s="456"/>
      <c r="O490" s="456"/>
      <c r="P490" s="456"/>
      <c r="Q490" s="456"/>
      <c r="R490" s="456"/>
      <c r="S490" s="456"/>
      <c r="T490" s="456"/>
      <c r="U490" s="456"/>
      <c r="V490" s="456"/>
      <c r="W490" s="456"/>
      <c r="X490" s="456"/>
      <c r="Y490" s="456"/>
      <c r="Z490" s="456"/>
    </row>
    <row r="491" spans="1:26" ht="11.25" customHeight="1">
      <c r="A491" s="456"/>
      <c r="B491" s="456"/>
      <c r="C491" s="456"/>
      <c r="D491" s="456"/>
      <c r="E491" s="456"/>
      <c r="F491" s="456"/>
      <c r="G491" s="456"/>
      <c r="H491" s="456"/>
      <c r="I491" s="456"/>
      <c r="J491" s="456"/>
      <c r="K491" s="456"/>
      <c r="L491" s="456"/>
      <c r="M491" s="456"/>
      <c r="N491" s="456"/>
      <c r="O491" s="456"/>
      <c r="P491" s="456"/>
      <c r="Q491" s="456"/>
      <c r="R491" s="456"/>
      <c r="S491" s="456"/>
      <c r="T491" s="456"/>
      <c r="U491" s="456"/>
      <c r="V491" s="456"/>
      <c r="W491" s="456"/>
      <c r="X491" s="456"/>
      <c r="Y491" s="456"/>
      <c r="Z491" s="456"/>
    </row>
    <row r="492" spans="1:26" ht="11.25" customHeight="1">
      <c r="A492" s="456"/>
      <c r="B492" s="456"/>
      <c r="C492" s="456"/>
      <c r="D492" s="456"/>
      <c r="E492" s="456"/>
      <c r="F492" s="456"/>
      <c r="G492" s="456"/>
      <c r="H492" s="456"/>
      <c r="I492" s="456"/>
      <c r="J492" s="456"/>
      <c r="K492" s="456"/>
      <c r="L492" s="456"/>
      <c r="M492" s="456"/>
      <c r="N492" s="456"/>
      <c r="O492" s="456"/>
      <c r="P492" s="456"/>
      <c r="Q492" s="456"/>
      <c r="R492" s="456"/>
      <c r="S492" s="456"/>
      <c r="T492" s="456"/>
      <c r="U492" s="456"/>
      <c r="V492" s="456"/>
      <c r="W492" s="456"/>
      <c r="X492" s="456"/>
      <c r="Y492" s="456"/>
      <c r="Z492" s="456"/>
    </row>
    <row r="493" spans="1:26" ht="11.25" customHeight="1">
      <c r="A493" s="456"/>
      <c r="B493" s="456"/>
      <c r="C493" s="456"/>
      <c r="D493" s="456"/>
      <c r="E493" s="456"/>
      <c r="F493" s="456"/>
      <c r="G493" s="456"/>
      <c r="H493" s="456"/>
      <c r="I493" s="456"/>
      <c r="J493" s="456"/>
      <c r="K493" s="456"/>
      <c r="L493" s="456"/>
      <c r="M493" s="456"/>
      <c r="N493" s="456"/>
      <c r="O493" s="456"/>
      <c r="P493" s="456"/>
      <c r="Q493" s="456"/>
      <c r="R493" s="456"/>
      <c r="S493" s="456"/>
      <c r="T493" s="456"/>
      <c r="U493" s="456"/>
      <c r="V493" s="456"/>
      <c r="W493" s="456"/>
      <c r="X493" s="456"/>
      <c r="Y493" s="456"/>
      <c r="Z493" s="456"/>
    </row>
    <row r="494" spans="1:26" ht="11.25" customHeight="1">
      <c r="A494" s="456"/>
      <c r="B494" s="456"/>
      <c r="C494" s="456"/>
      <c r="D494" s="456"/>
      <c r="E494" s="456"/>
      <c r="F494" s="456"/>
      <c r="G494" s="456"/>
      <c r="H494" s="456"/>
      <c r="I494" s="456"/>
      <c r="J494" s="456"/>
      <c r="K494" s="456"/>
      <c r="L494" s="456"/>
      <c r="M494" s="456"/>
      <c r="N494" s="456"/>
      <c r="O494" s="456"/>
      <c r="P494" s="456"/>
      <c r="Q494" s="456"/>
      <c r="R494" s="456"/>
      <c r="S494" s="456"/>
      <c r="T494" s="456"/>
      <c r="U494" s="456"/>
      <c r="V494" s="456"/>
      <c r="W494" s="456"/>
      <c r="X494" s="456"/>
      <c r="Y494" s="456"/>
      <c r="Z494" s="456"/>
    </row>
    <row r="495" spans="1:26" ht="11.25" customHeight="1">
      <c r="A495" s="456"/>
      <c r="B495" s="456"/>
      <c r="C495" s="456"/>
      <c r="D495" s="456"/>
      <c r="E495" s="456"/>
      <c r="F495" s="456"/>
      <c r="G495" s="456"/>
      <c r="H495" s="456"/>
      <c r="I495" s="456"/>
      <c r="J495" s="456"/>
      <c r="K495" s="456"/>
      <c r="L495" s="456"/>
      <c r="M495" s="456"/>
      <c r="N495" s="456"/>
      <c r="O495" s="456"/>
      <c r="P495" s="456"/>
      <c r="Q495" s="456"/>
      <c r="R495" s="456"/>
      <c r="S495" s="456"/>
      <c r="T495" s="456"/>
      <c r="U495" s="456"/>
      <c r="V495" s="456"/>
      <c r="W495" s="456"/>
      <c r="X495" s="456"/>
      <c r="Y495" s="456"/>
      <c r="Z495" s="456"/>
    </row>
    <row r="496" spans="1:26" ht="11.25" customHeight="1">
      <c r="A496" s="456"/>
      <c r="B496" s="456"/>
      <c r="C496" s="456"/>
      <c r="D496" s="456"/>
      <c r="E496" s="456"/>
      <c r="F496" s="456"/>
      <c r="G496" s="456"/>
      <c r="H496" s="456"/>
      <c r="I496" s="456"/>
      <c r="J496" s="456"/>
      <c r="K496" s="456"/>
      <c r="L496" s="456"/>
      <c r="M496" s="456"/>
      <c r="N496" s="456"/>
      <c r="O496" s="456"/>
      <c r="P496" s="456"/>
      <c r="Q496" s="456"/>
      <c r="R496" s="456"/>
      <c r="S496" s="456"/>
      <c r="T496" s="456"/>
      <c r="U496" s="456"/>
      <c r="V496" s="456"/>
      <c r="W496" s="456"/>
      <c r="X496" s="456"/>
      <c r="Y496" s="456"/>
      <c r="Z496" s="456"/>
    </row>
    <row r="497" spans="1:26" ht="11.25" customHeight="1">
      <c r="A497" s="456"/>
      <c r="B497" s="456"/>
      <c r="C497" s="456"/>
      <c r="D497" s="456"/>
      <c r="E497" s="456"/>
      <c r="F497" s="456"/>
      <c r="G497" s="456"/>
      <c r="H497" s="456"/>
      <c r="I497" s="456"/>
      <c r="J497" s="456"/>
      <c r="K497" s="456"/>
      <c r="L497" s="456"/>
      <c r="M497" s="456"/>
      <c r="N497" s="456"/>
      <c r="O497" s="456"/>
      <c r="P497" s="456"/>
      <c r="Q497" s="456"/>
      <c r="R497" s="456"/>
      <c r="S497" s="456"/>
      <c r="T497" s="456"/>
      <c r="U497" s="456"/>
      <c r="V497" s="456"/>
      <c r="W497" s="456"/>
      <c r="X497" s="456"/>
      <c r="Y497" s="456"/>
      <c r="Z497" s="456"/>
    </row>
    <row r="498" spans="1:26" ht="11.25" customHeight="1">
      <c r="A498" s="456"/>
      <c r="B498" s="456"/>
      <c r="C498" s="456"/>
      <c r="D498" s="456"/>
      <c r="E498" s="456"/>
      <c r="F498" s="456"/>
      <c r="G498" s="456"/>
      <c r="H498" s="456"/>
      <c r="I498" s="456"/>
      <c r="J498" s="456"/>
      <c r="K498" s="456"/>
      <c r="L498" s="456"/>
      <c r="M498" s="456"/>
      <c r="N498" s="456"/>
      <c r="O498" s="456"/>
      <c r="P498" s="456"/>
      <c r="Q498" s="456"/>
      <c r="R498" s="456"/>
      <c r="S498" s="456"/>
      <c r="T498" s="456"/>
      <c r="U498" s="456"/>
      <c r="V498" s="456"/>
      <c r="W498" s="456"/>
      <c r="X498" s="456"/>
      <c r="Y498" s="456"/>
      <c r="Z498" s="456"/>
    </row>
    <row r="499" spans="1:26" ht="11.25" customHeight="1">
      <c r="A499" s="456"/>
      <c r="B499" s="456"/>
      <c r="C499" s="456"/>
      <c r="D499" s="456"/>
      <c r="E499" s="456"/>
      <c r="F499" s="456"/>
      <c r="G499" s="456"/>
      <c r="H499" s="456"/>
      <c r="I499" s="456"/>
      <c r="J499" s="456"/>
      <c r="K499" s="456"/>
      <c r="L499" s="456"/>
      <c r="M499" s="456"/>
      <c r="N499" s="456"/>
      <c r="O499" s="456"/>
      <c r="P499" s="456"/>
      <c r="Q499" s="456"/>
      <c r="R499" s="456"/>
      <c r="S499" s="456"/>
      <c r="T499" s="456"/>
      <c r="U499" s="456"/>
      <c r="V499" s="456"/>
      <c r="W499" s="456"/>
      <c r="X499" s="456"/>
      <c r="Y499" s="456"/>
      <c r="Z499" s="456"/>
    </row>
    <row r="500" spans="1:26" ht="11.25" customHeight="1">
      <c r="A500" s="456"/>
      <c r="B500" s="456"/>
      <c r="C500" s="456"/>
      <c r="D500" s="456"/>
      <c r="E500" s="456"/>
      <c r="F500" s="456"/>
      <c r="G500" s="456"/>
      <c r="H500" s="456"/>
      <c r="I500" s="456"/>
      <c r="J500" s="456"/>
      <c r="K500" s="456"/>
      <c r="L500" s="456"/>
      <c r="M500" s="456"/>
      <c r="N500" s="456"/>
      <c r="O500" s="456"/>
      <c r="P500" s="456"/>
      <c r="Q500" s="456"/>
      <c r="R500" s="456"/>
      <c r="S500" s="456"/>
      <c r="T500" s="456"/>
      <c r="U500" s="456"/>
      <c r="V500" s="456"/>
      <c r="W500" s="456"/>
      <c r="X500" s="456"/>
      <c r="Y500" s="456"/>
      <c r="Z500" s="456"/>
    </row>
    <row r="501" spans="1:26" ht="11.25" customHeight="1">
      <c r="A501" s="456"/>
      <c r="B501" s="456"/>
      <c r="C501" s="456"/>
      <c r="D501" s="456"/>
      <c r="E501" s="456"/>
      <c r="F501" s="456"/>
      <c r="G501" s="456"/>
      <c r="H501" s="456"/>
      <c r="I501" s="456"/>
      <c r="J501" s="456"/>
      <c r="K501" s="456"/>
      <c r="L501" s="456"/>
      <c r="M501" s="456"/>
      <c r="N501" s="456"/>
      <c r="O501" s="456"/>
      <c r="P501" s="456"/>
      <c r="Q501" s="456"/>
      <c r="R501" s="456"/>
      <c r="S501" s="456"/>
      <c r="T501" s="456"/>
      <c r="U501" s="456"/>
      <c r="V501" s="456"/>
      <c r="W501" s="456"/>
      <c r="X501" s="456"/>
      <c r="Y501" s="456"/>
      <c r="Z501" s="456"/>
    </row>
    <row r="502" spans="1:26" ht="11.25" customHeight="1">
      <c r="A502" s="456"/>
      <c r="B502" s="456"/>
      <c r="C502" s="456"/>
      <c r="D502" s="456"/>
      <c r="E502" s="456"/>
      <c r="F502" s="456"/>
      <c r="G502" s="456"/>
      <c r="H502" s="456"/>
      <c r="I502" s="456"/>
      <c r="J502" s="456"/>
      <c r="K502" s="456"/>
      <c r="L502" s="456"/>
      <c r="M502" s="456"/>
      <c r="N502" s="456"/>
      <c r="O502" s="456"/>
      <c r="P502" s="456"/>
      <c r="Q502" s="456"/>
      <c r="R502" s="456"/>
      <c r="S502" s="456"/>
      <c r="T502" s="456"/>
      <c r="U502" s="456"/>
      <c r="V502" s="456"/>
      <c r="W502" s="456"/>
      <c r="X502" s="456"/>
      <c r="Y502" s="456"/>
      <c r="Z502" s="456"/>
    </row>
    <row r="503" spans="1:26" ht="11.25" customHeight="1">
      <c r="A503" s="456"/>
      <c r="B503" s="456"/>
      <c r="C503" s="456"/>
      <c r="D503" s="456"/>
      <c r="E503" s="456"/>
      <c r="F503" s="456"/>
      <c r="G503" s="456"/>
      <c r="H503" s="456"/>
      <c r="I503" s="456"/>
      <c r="J503" s="456"/>
      <c r="K503" s="456"/>
      <c r="L503" s="456"/>
      <c r="M503" s="456"/>
      <c r="N503" s="456"/>
      <c r="O503" s="456"/>
      <c r="P503" s="456"/>
      <c r="Q503" s="456"/>
      <c r="R503" s="456"/>
      <c r="S503" s="456"/>
      <c r="T503" s="456"/>
      <c r="U503" s="456"/>
      <c r="V503" s="456"/>
      <c r="W503" s="456"/>
      <c r="X503" s="456"/>
      <c r="Y503" s="456"/>
      <c r="Z503" s="456"/>
    </row>
    <row r="504" spans="1:26" ht="11.25" customHeight="1">
      <c r="A504" s="456"/>
      <c r="B504" s="456"/>
      <c r="C504" s="456"/>
      <c r="D504" s="456"/>
      <c r="E504" s="456"/>
      <c r="F504" s="456"/>
      <c r="G504" s="456"/>
      <c r="H504" s="456"/>
      <c r="I504" s="456"/>
      <c r="J504" s="456"/>
      <c r="K504" s="456"/>
      <c r="L504" s="456"/>
      <c r="M504" s="456"/>
      <c r="N504" s="456"/>
      <c r="O504" s="456"/>
      <c r="P504" s="456"/>
      <c r="Q504" s="456"/>
      <c r="R504" s="456"/>
      <c r="S504" s="456"/>
      <c r="T504" s="456"/>
      <c r="U504" s="456"/>
      <c r="V504" s="456"/>
      <c r="W504" s="456"/>
      <c r="X504" s="456"/>
      <c r="Y504" s="456"/>
      <c r="Z504" s="456"/>
    </row>
    <row r="505" spans="1:26" ht="11.25" customHeight="1">
      <c r="A505" s="456"/>
      <c r="B505" s="456"/>
      <c r="C505" s="456"/>
      <c r="D505" s="456"/>
      <c r="E505" s="456"/>
      <c r="F505" s="456"/>
      <c r="G505" s="456"/>
      <c r="H505" s="456"/>
      <c r="I505" s="456"/>
      <c r="J505" s="456"/>
      <c r="K505" s="456"/>
      <c r="L505" s="456"/>
      <c r="M505" s="456"/>
      <c r="N505" s="456"/>
      <c r="O505" s="456"/>
      <c r="P505" s="456"/>
      <c r="Q505" s="456"/>
      <c r="R505" s="456"/>
      <c r="S505" s="456"/>
      <c r="T505" s="456"/>
      <c r="U505" s="456"/>
      <c r="V505" s="456"/>
      <c r="W505" s="456"/>
      <c r="X505" s="456"/>
      <c r="Y505" s="456"/>
      <c r="Z505" s="456"/>
    </row>
    <row r="506" spans="1:26" ht="11.25" customHeight="1">
      <c r="A506" s="456"/>
      <c r="B506" s="456"/>
      <c r="C506" s="456"/>
      <c r="D506" s="456"/>
      <c r="E506" s="456"/>
      <c r="F506" s="456"/>
      <c r="G506" s="456"/>
      <c r="H506" s="456"/>
      <c r="I506" s="456"/>
      <c r="J506" s="456"/>
      <c r="K506" s="456"/>
      <c r="L506" s="456"/>
      <c r="M506" s="456"/>
      <c r="N506" s="456"/>
      <c r="O506" s="456"/>
      <c r="P506" s="456"/>
      <c r="Q506" s="456"/>
      <c r="R506" s="456"/>
      <c r="S506" s="456"/>
      <c r="T506" s="456"/>
      <c r="U506" s="456"/>
      <c r="V506" s="456"/>
      <c r="W506" s="456"/>
      <c r="X506" s="456"/>
      <c r="Y506" s="456"/>
      <c r="Z506" s="456"/>
    </row>
    <row r="507" spans="1:26" ht="11.25" customHeight="1">
      <c r="A507" s="456"/>
      <c r="B507" s="456"/>
      <c r="C507" s="456"/>
      <c r="D507" s="456"/>
      <c r="E507" s="456"/>
      <c r="F507" s="456"/>
      <c r="G507" s="456"/>
      <c r="H507" s="456"/>
      <c r="I507" s="456"/>
      <c r="J507" s="456"/>
      <c r="K507" s="456"/>
      <c r="L507" s="456"/>
      <c r="M507" s="456"/>
      <c r="N507" s="456"/>
      <c r="O507" s="456"/>
      <c r="P507" s="456"/>
      <c r="Q507" s="456"/>
      <c r="R507" s="456"/>
      <c r="S507" s="456"/>
      <c r="T507" s="456"/>
      <c r="U507" s="456"/>
      <c r="V507" s="456"/>
      <c r="W507" s="456"/>
      <c r="X507" s="456"/>
      <c r="Y507" s="456"/>
      <c r="Z507" s="456"/>
    </row>
    <row r="508" spans="1:26" ht="11.25" customHeight="1">
      <c r="A508" s="456"/>
      <c r="B508" s="456"/>
      <c r="C508" s="456"/>
      <c r="D508" s="456"/>
      <c r="E508" s="456"/>
      <c r="F508" s="456"/>
      <c r="G508" s="456"/>
      <c r="H508" s="456"/>
      <c r="I508" s="456"/>
      <c r="J508" s="456"/>
      <c r="K508" s="456"/>
      <c r="L508" s="456"/>
      <c r="M508" s="456"/>
      <c r="N508" s="456"/>
      <c r="O508" s="456"/>
      <c r="P508" s="456"/>
      <c r="Q508" s="456"/>
      <c r="R508" s="456"/>
      <c r="S508" s="456"/>
      <c r="T508" s="456"/>
      <c r="U508" s="456"/>
      <c r="V508" s="456"/>
      <c r="W508" s="456"/>
      <c r="X508" s="456"/>
      <c r="Y508" s="456"/>
      <c r="Z508" s="456"/>
    </row>
    <row r="509" spans="1:26" ht="11.25" customHeight="1">
      <c r="A509" s="456"/>
      <c r="B509" s="456"/>
      <c r="C509" s="456"/>
      <c r="D509" s="456"/>
      <c r="E509" s="456"/>
      <c r="F509" s="456"/>
      <c r="G509" s="456"/>
      <c r="H509" s="456"/>
      <c r="I509" s="456"/>
      <c r="J509" s="456"/>
      <c r="K509" s="456"/>
      <c r="L509" s="456"/>
      <c r="M509" s="456"/>
      <c r="N509" s="456"/>
      <c r="O509" s="456"/>
      <c r="P509" s="456"/>
      <c r="Q509" s="456"/>
      <c r="R509" s="456"/>
      <c r="S509" s="456"/>
      <c r="T509" s="456"/>
      <c r="U509" s="456"/>
      <c r="V509" s="456"/>
      <c r="W509" s="456"/>
      <c r="X509" s="456"/>
      <c r="Y509" s="456"/>
      <c r="Z509" s="456"/>
    </row>
    <row r="510" spans="1:26" ht="11.25" customHeight="1">
      <c r="A510" s="456"/>
      <c r="B510" s="456"/>
      <c r="C510" s="456"/>
      <c r="D510" s="456"/>
      <c r="E510" s="456"/>
      <c r="F510" s="456"/>
      <c r="G510" s="456"/>
      <c r="H510" s="456"/>
      <c r="I510" s="456"/>
      <c r="J510" s="456"/>
      <c r="K510" s="456"/>
      <c r="L510" s="456"/>
      <c r="M510" s="456"/>
      <c r="N510" s="456"/>
      <c r="O510" s="456"/>
      <c r="P510" s="456"/>
      <c r="Q510" s="456"/>
      <c r="R510" s="456"/>
      <c r="S510" s="456"/>
      <c r="T510" s="456"/>
      <c r="U510" s="456"/>
      <c r="V510" s="456"/>
      <c r="W510" s="456"/>
      <c r="X510" s="456"/>
      <c r="Y510" s="456"/>
      <c r="Z510" s="456"/>
    </row>
    <row r="511" spans="1:26" ht="11.25" customHeight="1">
      <c r="A511" s="456"/>
      <c r="B511" s="456"/>
      <c r="C511" s="456"/>
      <c r="D511" s="456"/>
      <c r="E511" s="456"/>
      <c r="F511" s="456"/>
      <c r="G511" s="456"/>
      <c r="H511" s="456"/>
      <c r="I511" s="456"/>
      <c r="J511" s="456"/>
      <c r="K511" s="456"/>
      <c r="L511" s="456"/>
      <c r="M511" s="456"/>
      <c r="N511" s="456"/>
      <c r="O511" s="456"/>
      <c r="P511" s="456"/>
      <c r="Q511" s="456"/>
      <c r="R511" s="456"/>
      <c r="S511" s="456"/>
      <c r="T511" s="456"/>
      <c r="U511" s="456"/>
      <c r="V511" s="456"/>
      <c r="W511" s="456"/>
      <c r="X511" s="456"/>
      <c r="Y511" s="456"/>
      <c r="Z511" s="456"/>
    </row>
    <row r="512" spans="1:26" ht="11.25" customHeight="1">
      <c r="A512" s="456"/>
      <c r="B512" s="456"/>
      <c r="C512" s="456"/>
      <c r="D512" s="456"/>
      <c r="E512" s="456"/>
      <c r="F512" s="456"/>
      <c r="G512" s="456"/>
      <c r="H512" s="456"/>
      <c r="I512" s="456"/>
      <c r="J512" s="456"/>
      <c r="K512" s="456"/>
      <c r="L512" s="456"/>
      <c r="M512" s="456"/>
      <c r="N512" s="456"/>
      <c r="O512" s="456"/>
      <c r="P512" s="456"/>
      <c r="Q512" s="456"/>
      <c r="R512" s="456"/>
      <c r="S512" s="456"/>
      <c r="T512" s="456"/>
      <c r="U512" s="456"/>
      <c r="V512" s="456"/>
      <c r="W512" s="456"/>
      <c r="X512" s="456"/>
      <c r="Y512" s="456"/>
      <c r="Z512" s="456"/>
    </row>
    <row r="513" spans="1:26" ht="11.25" customHeight="1">
      <c r="A513" s="456"/>
      <c r="B513" s="456"/>
      <c r="C513" s="456"/>
      <c r="D513" s="456"/>
      <c r="E513" s="456"/>
      <c r="F513" s="456"/>
      <c r="G513" s="456"/>
      <c r="H513" s="456"/>
      <c r="I513" s="456"/>
      <c r="J513" s="456"/>
      <c r="K513" s="456"/>
      <c r="L513" s="456"/>
      <c r="M513" s="456"/>
      <c r="N513" s="456"/>
      <c r="O513" s="456"/>
      <c r="P513" s="456"/>
      <c r="Q513" s="456"/>
      <c r="R513" s="456"/>
      <c r="S513" s="456"/>
      <c r="T513" s="456"/>
      <c r="U513" s="456"/>
      <c r="V513" s="456"/>
      <c r="W513" s="456"/>
      <c r="X513" s="456"/>
      <c r="Y513" s="456"/>
      <c r="Z513" s="456"/>
    </row>
    <row r="514" spans="1:26" ht="11.25" customHeight="1">
      <c r="A514" s="456"/>
      <c r="B514" s="456"/>
      <c r="C514" s="456"/>
      <c r="D514" s="456"/>
      <c r="E514" s="456"/>
      <c r="F514" s="456"/>
      <c r="G514" s="456"/>
      <c r="H514" s="456"/>
      <c r="I514" s="456"/>
      <c r="J514" s="456"/>
      <c r="K514" s="456"/>
      <c r="L514" s="456"/>
      <c r="M514" s="456"/>
      <c r="N514" s="456"/>
      <c r="O514" s="456"/>
      <c r="P514" s="456"/>
      <c r="Q514" s="456"/>
      <c r="R514" s="456"/>
      <c r="S514" s="456"/>
      <c r="T514" s="456"/>
      <c r="U514" s="456"/>
      <c r="V514" s="456"/>
      <c r="W514" s="456"/>
      <c r="X514" s="456"/>
      <c r="Y514" s="456"/>
      <c r="Z514" s="456"/>
    </row>
    <row r="515" spans="1:26" ht="11.25" customHeight="1">
      <c r="A515" s="456"/>
      <c r="B515" s="456"/>
      <c r="C515" s="456"/>
      <c r="D515" s="456"/>
      <c r="E515" s="456"/>
      <c r="F515" s="456"/>
      <c r="G515" s="456"/>
      <c r="H515" s="456"/>
      <c r="I515" s="456"/>
      <c r="J515" s="456"/>
      <c r="K515" s="456"/>
      <c r="L515" s="456"/>
      <c r="M515" s="456"/>
      <c r="N515" s="456"/>
      <c r="O515" s="456"/>
      <c r="P515" s="456"/>
      <c r="Q515" s="456"/>
      <c r="R515" s="456"/>
      <c r="S515" s="456"/>
      <c r="T515" s="456"/>
      <c r="U515" s="456"/>
      <c r="V515" s="456"/>
      <c r="W515" s="456"/>
      <c r="X515" s="456"/>
      <c r="Y515" s="456"/>
      <c r="Z515" s="456"/>
    </row>
    <row r="516" spans="1:26" ht="11.25" customHeight="1">
      <c r="A516" s="456"/>
      <c r="B516" s="456"/>
      <c r="C516" s="456"/>
      <c r="D516" s="456"/>
      <c r="E516" s="456"/>
      <c r="F516" s="456"/>
      <c r="G516" s="456"/>
      <c r="H516" s="456"/>
      <c r="I516" s="456"/>
      <c r="J516" s="456"/>
      <c r="K516" s="456"/>
      <c r="L516" s="456"/>
      <c r="M516" s="456"/>
      <c r="N516" s="456"/>
      <c r="O516" s="456"/>
      <c r="P516" s="456"/>
      <c r="Q516" s="456"/>
      <c r="R516" s="456"/>
      <c r="S516" s="456"/>
      <c r="T516" s="456"/>
      <c r="U516" s="456"/>
      <c r="V516" s="456"/>
      <c r="W516" s="456"/>
      <c r="X516" s="456"/>
      <c r="Y516" s="456"/>
      <c r="Z516" s="456"/>
    </row>
    <row r="517" spans="1:26" ht="11.25" customHeight="1">
      <c r="A517" s="456"/>
      <c r="B517" s="456"/>
      <c r="C517" s="456"/>
      <c r="D517" s="456"/>
      <c r="E517" s="456"/>
      <c r="F517" s="456"/>
      <c r="G517" s="456"/>
      <c r="H517" s="456"/>
      <c r="I517" s="456"/>
      <c r="J517" s="456"/>
      <c r="K517" s="456"/>
      <c r="L517" s="456"/>
      <c r="M517" s="456"/>
      <c r="N517" s="456"/>
      <c r="O517" s="456"/>
      <c r="P517" s="456"/>
      <c r="Q517" s="456"/>
      <c r="R517" s="456"/>
      <c r="S517" s="456"/>
      <c r="T517" s="456"/>
      <c r="U517" s="456"/>
      <c r="V517" s="456"/>
      <c r="W517" s="456"/>
      <c r="X517" s="456"/>
      <c r="Y517" s="456"/>
      <c r="Z517" s="456"/>
    </row>
    <row r="518" spans="1:26" ht="11.25" customHeight="1">
      <c r="A518" s="456"/>
      <c r="B518" s="456"/>
      <c r="C518" s="456"/>
      <c r="D518" s="456"/>
      <c r="E518" s="456"/>
      <c r="F518" s="456"/>
      <c r="G518" s="456"/>
      <c r="H518" s="456"/>
      <c r="I518" s="456"/>
      <c r="J518" s="456"/>
      <c r="K518" s="456"/>
      <c r="L518" s="456"/>
      <c r="M518" s="456"/>
      <c r="N518" s="456"/>
      <c r="O518" s="456"/>
      <c r="P518" s="456"/>
      <c r="Q518" s="456"/>
      <c r="R518" s="456"/>
      <c r="S518" s="456"/>
      <c r="T518" s="456"/>
      <c r="U518" s="456"/>
      <c r="V518" s="456"/>
      <c r="W518" s="456"/>
      <c r="X518" s="456"/>
      <c r="Y518" s="456"/>
      <c r="Z518" s="456"/>
    </row>
    <row r="519" spans="1:26" ht="11.25" customHeight="1">
      <c r="A519" s="456"/>
      <c r="B519" s="456"/>
      <c r="C519" s="456"/>
      <c r="D519" s="456"/>
      <c r="E519" s="456"/>
      <c r="F519" s="456"/>
      <c r="G519" s="456"/>
      <c r="H519" s="456"/>
      <c r="I519" s="456"/>
      <c r="J519" s="456"/>
      <c r="K519" s="456"/>
      <c r="L519" s="456"/>
      <c r="M519" s="456"/>
      <c r="N519" s="456"/>
      <c r="O519" s="456"/>
      <c r="P519" s="456"/>
      <c r="Q519" s="456"/>
      <c r="R519" s="456"/>
      <c r="S519" s="456"/>
      <c r="T519" s="456"/>
      <c r="U519" s="456"/>
      <c r="V519" s="456"/>
      <c r="W519" s="456"/>
      <c r="X519" s="456"/>
      <c r="Y519" s="456"/>
      <c r="Z519" s="456"/>
    </row>
    <row r="520" spans="1:26" ht="11.25" customHeight="1">
      <c r="A520" s="456"/>
      <c r="B520" s="456"/>
      <c r="C520" s="456"/>
      <c r="D520" s="456"/>
      <c r="E520" s="456"/>
      <c r="F520" s="456"/>
      <c r="G520" s="456"/>
      <c r="H520" s="456"/>
      <c r="I520" s="456"/>
      <c r="J520" s="456"/>
      <c r="K520" s="456"/>
      <c r="L520" s="456"/>
      <c r="M520" s="456"/>
      <c r="N520" s="456"/>
      <c r="O520" s="456"/>
      <c r="P520" s="456"/>
      <c r="Q520" s="456"/>
      <c r="R520" s="456"/>
      <c r="S520" s="456"/>
      <c r="T520" s="456"/>
      <c r="U520" s="456"/>
      <c r="V520" s="456"/>
      <c r="W520" s="456"/>
      <c r="X520" s="456"/>
      <c r="Y520" s="456"/>
      <c r="Z520" s="456"/>
    </row>
    <row r="521" spans="1:26" ht="11.25" customHeight="1">
      <c r="A521" s="456"/>
      <c r="B521" s="456"/>
      <c r="C521" s="456"/>
      <c r="D521" s="456"/>
      <c r="E521" s="456"/>
      <c r="F521" s="456"/>
      <c r="G521" s="456"/>
      <c r="H521" s="456"/>
      <c r="I521" s="456"/>
      <c r="J521" s="456"/>
      <c r="K521" s="456"/>
      <c r="L521" s="456"/>
      <c r="M521" s="456"/>
      <c r="N521" s="456"/>
      <c r="O521" s="456"/>
      <c r="P521" s="456"/>
      <c r="Q521" s="456"/>
      <c r="R521" s="456"/>
      <c r="S521" s="456"/>
      <c r="T521" s="456"/>
      <c r="U521" s="456"/>
      <c r="V521" s="456"/>
      <c r="W521" s="456"/>
      <c r="X521" s="456"/>
      <c r="Y521" s="456"/>
      <c r="Z521" s="456"/>
    </row>
    <row r="522" spans="1:26" ht="11.25" customHeight="1">
      <c r="A522" s="456"/>
      <c r="B522" s="456"/>
      <c r="C522" s="456"/>
      <c r="D522" s="456"/>
      <c r="E522" s="456"/>
      <c r="F522" s="456"/>
      <c r="G522" s="456"/>
      <c r="H522" s="456"/>
      <c r="I522" s="456"/>
      <c r="J522" s="456"/>
      <c r="K522" s="456"/>
      <c r="L522" s="456"/>
      <c r="M522" s="456"/>
      <c r="N522" s="456"/>
      <c r="O522" s="456"/>
      <c r="P522" s="456"/>
      <c r="Q522" s="456"/>
      <c r="R522" s="456"/>
      <c r="S522" s="456"/>
      <c r="T522" s="456"/>
      <c r="U522" s="456"/>
      <c r="V522" s="456"/>
      <c r="W522" s="456"/>
      <c r="X522" s="456"/>
      <c r="Y522" s="456"/>
      <c r="Z522" s="456"/>
    </row>
    <row r="523" spans="1:26" ht="11.25" customHeight="1">
      <c r="A523" s="456"/>
      <c r="B523" s="456"/>
      <c r="C523" s="456"/>
      <c r="D523" s="456"/>
      <c r="E523" s="456"/>
      <c r="F523" s="456"/>
      <c r="G523" s="456"/>
      <c r="H523" s="456"/>
      <c r="I523" s="456"/>
      <c r="J523" s="456"/>
      <c r="K523" s="456"/>
      <c r="L523" s="456"/>
      <c r="M523" s="456"/>
      <c r="N523" s="456"/>
      <c r="O523" s="456"/>
      <c r="P523" s="456"/>
      <c r="Q523" s="456"/>
      <c r="R523" s="456"/>
      <c r="S523" s="456"/>
      <c r="T523" s="456"/>
      <c r="U523" s="456"/>
      <c r="V523" s="456"/>
      <c r="W523" s="456"/>
      <c r="X523" s="456"/>
      <c r="Y523" s="456"/>
      <c r="Z523" s="456"/>
    </row>
    <row r="524" spans="1:26" ht="11.25" customHeight="1">
      <c r="A524" s="456"/>
      <c r="B524" s="456"/>
      <c r="C524" s="456"/>
      <c r="D524" s="456"/>
      <c r="E524" s="456"/>
      <c r="F524" s="456"/>
      <c r="G524" s="456"/>
      <c r="H524" s="456"/>
      <c r="I524" s="456"/>
      <c r="J524" s="456"/>
      <c r="K524" s="456"/>
      <c r="L524" s="456"/>
      <c r="M524" s="456"/>
      <c r="N524" s="456"/>
      <c r="O524" s="456"/>
      <c r="P524" s="456"/>
      <c r="Q524" s="456"/>
      <c r="R524" s="456"/>
      <c r="S524" s="456"/>
      <c r="T524" s="456"/>
      <c r="U524" s="456"/>
      <c r="V524" s="456"/>
      <c r="W524" s="456"/>
      <c r="X524" s="456"/>
      <c r="Y524" s="456"/>
      <c r="Z524" s="456"/>
    </row>
    <row r="525" spans="1:26" ht="11.25" customHeight="1">
      <c r="A525" s="456"/>
      <c r="B525" s="456"/>
      <c r="C525" s="456"/>
      <c r="D525" s="456"/>
      <c r="E525" s="456"/>
      <c r="F525" s="456"/>
      <c r="G525" s="456"/>
      <c r="H525" s="456"/>
      <c r="I525" s="456"/>
      <c r="J525" s="456"/>
      <c r="K525" s="456"/>
      <c r="L525" s="456"/>
      <c r="M525" s="456"/>
      <c r="N525" s="456"/>
      <c r="O525" s="456"/>
      <c r="P525" s="456"/>
      <c r="Q525" s="456"/>
      <c r="R525" s="456"/>
      <c r="S525" s="456"/>
      <c r="T525" s="456"/>
      <c r="U525" s="456"/>
      <c r="V525" s="456"/>
      <c r="W525" s="456"/>
      <c r="X525" s="456"/>
      <c r="Y525" s="456"/>
      <c r="Z525" s="456"/>
    </row>
    <row r="526" spans="1:26" ht="11.25" customHeight="1">
      <c r="A526" s="456"/>
      <c r="B526" s="456"/>
      <c r="C526" s="456"/>
      <c r="D526" s="456"/>
      <c r="E526" s="456"/>
      <c r="F526" s="456"/>
      <c r="G526" s="456"/>
      <c r="H526" s="456"/>
      <c r="I526" s="456"/>
      <c r="J526" s="456"/>
      <c r="K526" s="456"/>
      <c r="L526" s="456"/>
      <c r="M526" s="456"/>
      <c r="N526" s="456"/>
      <c r="O526" s="456"/>
      <c r="P526" s="456"/>
      <c r="Q526" s="456"/>
      <c r="R526" s="456"/>
      <c r="S526" s="456"/>
      <c r="T526" s="456"/>
      <c r="U526" s="456"/>
      <c r="V526" s="456"/>
      <c r="W526" s="456"/>
      <c r="X526" s="456"/>
      <c r="Y526" s="456"/>
      <c r="Z526" s="456"/>
    </row>
    <row r="527" spans="1:26" ht="11.25" customHeight="1">
      <c r="A527" s="456"/>
      <c r="B527" s="456"/>
      <c r="C527" s="456"/>
      <c r="D527" s="456"/>
      <c r="E527" s="456"/>
      <c r="F527" s="456"/>
      <c r="G527" s="456"/>
      <c r="H527" s="456"/>
      <c r="I527" s="456"/>
      <c r="J527" s="456"/>
      <c r="K527" s="456"/>
      <c r="L527" s="456"/>
      <c r="M527" s="456"/>
      <c r="N527" s="456"/>
      <c r="O527" s="456"/>
      <c r="P527" s="456"/>
      <c r="Q527" s="456"/>
      <c r="R527" s="456"/>
      <c r="S527" s="456"/>
      <c r="T527" s="456"/>
      <c r="U527" s="456"/>
      <c r="V527" s="456"/>
      <c r="W527" s="456"/>
      <c r="X527" s="456"/>
      <c r="Y527" s="456"/>
      <c r="Z527" s="456"/>
    </row>
    <row r="528" spans="1:26" ht="11.25" customHeight="1">
      <c r="A528" s="456"/>
      <c r="B528" s="456"/>
      <c r="C528" s="456"/>
      <c r="D528" s="456"/>
      <c r="E528" s="456"/>
      <c r="F528" s="456"/>
      <c r="G528" s="456"/>
      <c r="H528" s="456"/>
      <c r="I528" s="456"/>
      <c r="J528" s="456"/>
      <c r="K528" s="456"/>
      <c r="L528" s="456"/>
      <c r="M528" s="456"/>
      <c r="N528" s="456"/>
      <c r="O528" s="456"/>
      <c r="P528" s="456"/>
      <c r="Q528" s="456"/>
      <c r="R528" s="456"/>
      <c r="S528" s="456"/>
      <c r="T528" s="456"/>
      <c r="U528" s="456"/>
      <c r="V528" s="456"/>
      <c r="W528" s="456"/>
      <c r="X528" s="456"/>
      <c r="Y528" s="456"/>
      <c r="Z528" s="456"/>
    </row>
    <row r="529" spans="1:26" ht="11.25" customHeight="1">
      <c r="A529" s="456"/>
      <c r="B529" s="456"/>
      <c r="C529" s="456"/>
      <c r="D529" s="456"/>
      <c r="E529" s="456"/>
      <c r="F529" s="456"/>
      <c r="G529" s="456"/>
      <c r="H529" s="456"/>
      <c r="I529" s="456"/>
      <c r="J529" s="456"/>
      <c r="K529" s="456"/>
      <c r="L529" s="456"/>
      <c r="M529" s="456"/>
      <c r="N529" s="456"/>
      <c r="O529" s="456"/>
      <c r="P529" s="456"/>
      <c r="Q529" s="456"/>
      <c r="R529" s="456"/>
      <c r="S529" s="456"/>
      <c r="T529" s="456"/>
      <c r="U529" s="456"/>
      <c r="V529" s="456"/>
      <c r="W529" s="456"/>
      <c r="X529" s="456"/>
      <c r="Y529" s="456"/>
      <c r="Z529" s="456"/>
    </row>
    <row r="530" spans="1:26" ht="11.25" customHeight="1">
      <c r="A530" s="456"/>
      <c r="B530" s="456"/>
      <c r="C530" s="456"/>
      <c r="D530" s="456"/>
      <c r="E530" s="456"/>
      <c r="F530" s="456"/>
      <c r="G530" s="456"/>
      <c r="H530" s="456"/>
      <c r="I530" s="456"/>
      <c r="J530" s="456"/>
      <c r="K530" s="456"/>
      <c r="L530" s="456"/>
      <c r="M530" s="456"/>
      <c r="N530" s="456"/>
      <c r="O530" s="456"/>
      <c r="P530" s="456"/>
      <c r="Q530" s="456"/>
      <c r="R530" s="456"/>
      <c r="S530" s="456"/>
      <c r="T530" s="456"/>
      <c r="U530" s="456"/>
      <c r="V530" s="456"/>
      <c r="W530" s="456"/>
      <c r="X530" s="456"/>
      <c r="Y530" s="456"/>
      <c r="Z530" s="456"/>
    </row>
    <row r="531" spans="1:26" ht="11.25" customHeight="1">
      <c r="A531" s="456"/>
      <c r="B531" s="456"/>
      <c r="C531" s="456"/>
      <c r="D531" s="456"/>
      <c r="E531" s="456"/>
      <c r="F531" s="456"/>
      <c r="G531" s="456"/>
      <c r="H531" s="456"/>
      <c r="I531" s="456"/>
      <c r="J531" s="456"/>
      <c r="K531" s="456"/>
      <c r="L531" s="456"/>
      <c r="M531" s="456"/>
      <c r="N531" s="456"/>
      <c r="O531" s="456"/>
      <c r="P531" s="456"/>
      <c r="Q531" s="456"/>
      <c r="R531" s="456"/>
      <c r="S531" s="456"/>
      <c r="T531" s="456"/>
      <c r="U531" s="456"/>
      <c r="V531" s="456"/>
      <c r="W531" s="456"/>
      <c r="X531" s="456"/>
      <c r="Y531" s="456"/>
      <c r="Z531" s="456"/>
    </row>
    <row r="532" spans="1:26" ht="11.25" customHeight="1">
      <c r="A532" s="456"/>
      <c r="B532" s="456"/>
      <c r="C532" s="456"/>
      <c r="D532" s="456"/>
      <c r="E532" s="456"/>
      <c r="F532" s="456"/>
      <c r="G532" s="456"/>
      <c r="H532" s="456"/>
      <c r="I532" s="456"/>
      <c r="J532" s="456"/>
      <c r="K532" s="456"/>
      <c r="L532" s="456"/>
      <c r="M532" s="456"/>
      <c r="N532" s="456"/>
      <c r="O532" s="456"/>
      <c r="P532" s="456"/>
      <c r="Q532" s="456"/>
      <c r="R532" s="456"/>
      <c r="S532" s="456"/>
      <c r="T532" s="456"/>
      <c r="U532" s="456"/>
      <c r="V532" s="456"/>
      <c r="W532" s="456"/>
      <c r="X532" s="456"/>
      <c r="Y532" s="456"/>
      <c r="Z532" s="456"/>
    </row>
    <row r="533" spans="1:26" ht="11.25" customHeight="1">
      <c r="A533" s="456"/>
      <c r="B533" s="456"/>
      <c r="C533" s="456"/>
      <c r="D533" s="456"/>
      <c r="E533" s="456"/>
      <c r="F533" s="456"/>
      <c r="G533" s="456"/>
      <c r="H533" s="456"/>
      <c r="I533" s="456"/>
      <c r="J533" s="456"/>
      <c r="K533" s="456"/>
      <c r="L533" s="456"/>
      <c r="M533" s="456"/>
      <c r="N533" s="456"/>
      <c r="O533" s="456"/>
      <c r="P533" s="456"/>
      <c r="Q533" s="456"/>
      <c r="R533" s="456"/>
      <c r="S533" s="456"/>
      <c r="T533" s="456"/>
      <c r="U533" s="456"/>
      <c r="V533" s="456"/>
      <c r="W533" s="456"/>
      <c r="X533" s="456"/>
      <c r="Y533" s="456"/>
      <c r="Z533" s="456"/>
    </row>
    <row r="534" spans="1:26" ht="11.25" customHeight="1">
      <c r="A534" s="456"/>
      <c r="B534" s="456"/>
      <c r="C534" s="456"/>
      <c r="D534" s="456"/>
      <c r="E534" s="456"/>
      <c r="F534" s="456"/>
      <c r="G534" s="456"/>
      <c r="H534" s="456"/>
      <c r="I534" s="456"/>
      <c r="J534" s="456"/>
      <c r="K534" s="456"/>
      <c r="L534" s="456"/>
      <c r="M534" s="456"/>
      <c r="N534" s="456"/>
      <c r="O534" s="456"/>
      <c r="P534" s="456"/>
      <c r="Q534" s="456"/>
      <c r="R534" s="456"/>
      <c r="S534" s="456"/>
      <c r="T534" s="456"/>
      <c r="U534" s="456"/>
      <c r="V534" s="456"/>
      <c r="W534" s="456"/>
      <c r="X534" s="456"/>
      <c r="Y534" s="456"/>
      <c r="Z534" s="456"/>
    </row>
    <row r="535" spans="1:26" ht="11.25" customHeight="1">
      <c r="A535" s="456"/>
      <c r="B535" s="456"/>
      <c r="C535" s="456"/>
      <c r="D535" s="456"/>
      <c r="E535" s="456"/>
      <c r="F535" s="456"/>
      <c r="G535" s="456"/>
      <c r="H535" s="456"/>
      <c r="I535" s="456"/>
      <c r="J535" s="456"/>
      <c r="K535" s="456"/>
      <c r="L535" s="456"/>
      <c r="M535" s="456"/>
      <c r="N535" s="456"/>
      <c r="O535" s="456"/>
      <c r="P535" s="456"/>
      <c r="Q535" s="456"/>
      <c r="R535" s="456"/>
      <c r="S535" s="456"/>
      <c r="T535" s="456"/>
      <c r="U535" s="456"/>
      <c r="V535" s="456"/>
      <c r="W535" s="456"/>
      <c r="X535" s="456"/>
      <c r="Y535" s="456"/>
      <c r="Z535" s="456"/>
    </row>
    <row r="536" spans="1:26" ht="11.25" customHeight="1">
      <c r="A536" s="456"/>
      <c r="B536" s="456"/>
      <c r="C536" s="456"/>
      <c r="D536" s="456"/>
      <c r="E536" s="456"/>
      <c r="F536" s="456"/>
      <c r="G536" s="456"/>
      <c r="H536" s="456"/>
      <c r="I536" s="456"/>
      <c r="J536" s="456"/>
      <c r="K536" s="456"/>
      <c r="L536" s="456"/>
      <c r="M536" s="456"/>
      <c r="N536" s="456"/>
      <c r="O536" s="456"/>
      <c r="P536" s="456"/>
      <c r="Q536" s="456"/>
      <c r="R536" s="456"/>
      <c r="S536" s="456"/>
      <c r="T536" s="456"/>
      <c r="U536" s="456"/>
      <c r="V536" s="456"/>
      <c r="W536" s="456"/>
      <c r="X536" s="456"/>
      <c r="Y536" s="456"/>
      <c r="Z536" s="456"/>
    </row>
    <row r="537" spans="1:26" ht="11.25" customHeight="1">
      <c r="A537" s="456"/>
      <c r="B537" s="456"/>
      <c r="C537" s="456"/>
      <c r="D537" s="456"/>
      <c r="E537" s="456"/>
      <c r="F537" s="456"/>
      <c r="G537" s="456"/>
      <c r="H537" s="456"/>
      <c r="I537" s="456"/>
      <c r="J537" s="456"/>
      <c r="K537" s="456"/>
      <c r="L537" s="456"/>
      <c r="M537" s="456"/>
      <c r="N537" s="456"/>
      <c r="O537" s="456"/>
      <c r="P537" s="456"/>
      <c r="Q537" s="456"/>
      <c r="R537" s="456"/>
      <c r="S537" s="456"/>
      <c r="T537" s="456"/>
      <c r="U537" s="456"/>
      <c r="V537" s="456"/>
      <c r="W537" s="456"/>
      <c r="X537" s="456"/>
      <c r="Y537" s="456"/>
      <c r="Z537" s="456"/>
    </row>
    <row r="538" spans="1:26" ht="11.25" customHeight="1">
      <c r="A538" s="456"/>
      <c r="B538" s="456"/>
      <c r="C538" s="456"/>
      <c r="D538" s="456"/>
      <c r="E538" s="456"/>
      <c r="F538" s="456"/>
      <c r="G538" s="456"/>
      <c r="H538" s="456"/>
      <c r="I538" s="456"/>
      <c r="J538" s="456"/>
      <c r="K538" s="456"/>
      <c r="L538" s="456"/>
      <c r="M538" s="456"/>
      <c r="N538" s="456"/>
      <c r="O538" s="456"/>
      <c r="P538" s="456"/>
      <c r="Q538" s="456"/>
      <c r="R538" s="456"/>
      <c r="S538" s="456"/>
      <c r="T538" s="456"/>
      <c r="U538" s="456"/>
      <c r="V538" s="456"/>
      <c r="W538" s="456"/>
      <c r="X538" s="456"/>
      <c r="Y538" s="456"/>
      <c r="Z538" s="456"/>
    </row>
    <row r="539" spans="1:26" ht="11.25" customHeight="1">
      <c r="A539" s="456"/>
      <c r="B539" s="456"/>
      <c r="C539" s="456"/>
      <c r="D539" s="456"/>
      <c r="E539" s="456"/>
      <c r="F539" s="456"/>
      <c r="G539" s="456"/>
      <c r="H539" s="456"/>
      <c r="I539" s="456"/>
      <c r="J539" s="456"/>
      <c r="K539" s="456"/>
      <c r="L539" s="456"/>
      <c r="M539" s="456"/>
      <c r="N539" s="456"/>
      <c r="O539" s="456"/>
      <c r="P539" s="456"/>
      <c r="Q539" s="456"/>
      <c r="R539" s="456"/>
      <c r="S539" s="456"/>
      <c r="T539" s="456"/>
      <c r="U539" s="456"/>
      <c r="V539" s="456"/>
      <c r="W539" s="456"/>
      <c r="X539" s="456"/>
      <c r="Y539" s="456"/>
      <c r="Z539" s="456"/>
    </row>
    <row r="540" spans="1:26" ht="11.25" customHeight="1">
      <c r="A540" s="456"/>
      <c r="B540" s="456"/>
      <c r="C540" s="456"/>
      <c r="D540" s="456"/>
      <c r="E540" s="456"/>
      <c r="F540" s="456"/>
      <c r="G540" s="456"/>
      <c r="H540" s="456"/>
      <c r="I540" s="456"/>
      <c r="J540" s="456"/>
      <c r="K540" s="456"/>
      <c r="L540" s="456"/>
      <c r="M540" s="456"/>
      <c r="N540" s="456"/>
      <c r="O540" s="456"/>
      <c r="P540" s="456"/>
      <c r="Q540" s="456"/>
      <c r="R540" s="456"/>
      <c r="S540" s="456"/>
      <c r="T540" s="456"/>
      <c r="U540" s="456"/>
      <c r="V540" s="456"/>
      <c r="W540" s="456"/>
      <c r="X540" s="456"/>
      <c r="Y540" s="456"/>
      <c r="Z540" s="456"/>
    </row>
    <row r="541" spans="1:26" ht="11.25" customHeight="1">
      <c r="A541" s="456"/>
      <c r="B541" s="456"/>
      <c r="C541" s="456"/>
      <c r="D541" s="456"/>
      <c r="E541" s="456"/>
      <c r="F541" s="456"/>
      <c r="G541" s="456"/>
      <c r="H541" s="456"/>
      <c r="I541" s="456"/>
      <c r="J541" s="456"/>
      <c r="K541" s="456"/>
      <c r="L541" s="456"/>
      <c r="M541" s="456"/>
      <c r="N541" s="456"/>
      <c r="O541" s="456"/>
      <c r="P541" s="456"/>
      <c r="Q541" s="456"/>
      <c r="R541" s="456"/>
      <c r="S541" s="456"/>
      <c r="T541" s="456"/>
      <c r="U541" s="456"/>
      <c r="V541" s="456"/>
      <c r="W541" s="456"/>
      <c r="X541" s="456"/>
      <c r="Y541" s="456"/>
      <c r="Z541" s="456"/>
    </row>
    <row r="542" spans="1:26" ht="11.25" customHeight="1">
      <c r="A542" s="456"/>
      <c r="B542" s="456"/>
      <c r="C542" s="456"/>
      <c r="D542" s="456"/>
      <c r="E542" s="456"/>
      <c r="F542" s="456"/>
      <c r="G542" s="456"/>
      <c r="H542" s="456"/>
      <c r="I542" s="456"/>
      <c r="J542" s="456"/>
      <c r="K542" s="456"/>
      <c r="L542" s="456"/>
      <c r="M542" s="456"/>
      <c r="N542" s="456"/>
      <c r="O542" s="456"/>
      <c r="P542" s="456"/>
      <c r="Q542" s="456"/>
      <c r="R542" s="456"/>
      <c r="S542" s="456"/>
      <c r="T542" s="456"/>
      <c r="U542" s="456"/>
      <c r="V542" s="456"/>
      <c r="W542" s="456"/>
      <c r="X542" s="456"/>
      <c r="Y542" s="456"/>
      <c r="Z542" s="456"/>
    </row>
    <row r="543" spans="1:26" ht="11.25" customHeight="1">
      <c r="A543" s="456"/>
      <c r="B543" s="456"/>
      <c r="C543" s="456"/>
      <c r="D543" s="456"/>
      <c r="E543" s="456"/>
      <c r="F543" s="456"/>
      <c r="G543" s="456"/>
      <c r="H543" s="456"/>
      <c r="I543" s="456"/>
      <c r="J543" s="456"/>
      <c r="K543" s="456"/>
      <c r="L543" s="456"/>
      <c r="M543" s="456"/>
      <c r="N543" s="456"/>
      <c r="O543" s="456"/>
      <c r="P543" s="456"/>
      <c r="Q543" s="456"/>
      <c r="R543" s="456"/>
      <c r="S543" s="456"/>
      <c r="T543" s="456"/>
      <c r="U543" s="456"/>
      <c r="V543" s="456"/>
      <c r="W543" s="456"/>
      <c r="X543" s="456"/>
      <c r="Y543" s="456"/>
      <c r="Z543" s="456"/>
    </row>
    <row r="544" spans="1:26" ht="11.25" customHeight="1">
      <c r="A544" s="456"/>
      <c r="B544" s="456"/>
      <c r="C544" s="456"/>
      <c r="D544" s="456"/>
      <c r="E544" s="456"/>
      <c r="F544" s="456"/>
      <c r="G544" s="456"/>
      <c r="H544" s="456"/>
      <c r="I544" s="456"/>
      <c r="J544" s="456"/>
      <c r="K544" s="456"/>
      <c r="L544" s="456"/>
      <c r="M544" s="456"/>
      <c r="N544" s="456"/>
      <c r="O544" s="456"/>
      <c r="P544" s="456"/>
      <c r="Q544" s="456"/>
      <c r="R544" s="456"/>
      <c r="S544" s="456"/>
      <c r="T544" s="456"/>
      <c r="U544" s="456"/>
      <c r="V544" s="456"/>
      <c r="W544" s="456"/>
      <c r="X544" s="456"/>
      <c r="Y544" s="456"/>
      <c r="Z544" s="456"/>
    </row>
    <row r="545" spans="1:26" ht="11.25" customHeight="1">
      <c r="A545" s="456"/>
      <c r="B545" s="456"/>
      <c r="C545" s="456"/>
      <c r="D545" s="456"/>
      <c r="E545" s="456"/>
      <c r="F545" s="456"/>
      <c r="G545" s="456"/>
      <c r="H545" s="456"/>
      <c r="I545" s="456"/>
      <c r="J545" s="456"/>
      <c r="K545" s="456"/>
      <c r="L545" s="456"/>
      <c r="M545" s="456"/>
      <c r="N545" s="456"/>
      <c r="O545" s="456"/>
      <c r="P545" s="456"/>
      <c r="Q545" s="456"/>
      <c r="R545" s="456"/>
      <c r="S545" s="456"/>
      <c r="T545" s="456"/>
      <c r="U545" s="456"/>
      <c r="V545" s="456"/>
      <c r="W545" s="456"/>
      <c r="X545" s="456"/>
      <c r="Y545" s="456"/>
      <c r="Z545" s="456"/>
    </row>
    <row r="546" spans="1:26" ht="11.25" customHeight="1">
      <c r="A546" s="456"/>
      <c r="B546" s="456"/>
      <c r="C546" s="456"/>
      <c r="D546" s="456"/>
      <c r="E546" s="456"/>
      <c r="F546" s="456"/>
      <c r="G546" s="456"/>
      <c r="H546" s="456"/>
      <c r="I546" s="456"/>
      <c r="J546" s="456"/>
      <c r="K546" s="456"/>
      <c r="L546" s="456"/>
      <c r="M546" s="456"/>
      <c r="N546" s="456"/>
      <c r="O546" s="456"/>
      <c r="P546" s="456"/>
      <c r="Q546" s="456"/>
      <c r="R546" s="456"/>
      <c r="S546" s="456"/>
      <c r="T546" s="456"/>
      <c r="U546" s="456"/>
      <c r="V546" s="456"/>
      <c r="W546" s="456"/>
      <c r="X546" s="456"/>
      <c r="Y546" s="456"/>
      <c r="Z546" s="456"/>
    </row>
    <row r="547" spans="1:26" ht="11.25" customHeight="1">
      <c r="A547" s="456"/>
      <c r="B547" s="456"/>
      <c r="C547" s="456"/>
      <c r="D547" s="456"/>
      <c r="E547" s="456"/>
      <c r="F547" s="456"/>
      <c r="G547" s="456"/>
      <c r="H547" s="456"/>
      <c r="I547" s="456"/>
      <c r="J547" s="456"/>
      <c r="K547" s="456"/>
      <c r="L547" s="456"/>
      <c r="M547" s="456"/>
      <c r="N547" s="456"/>
      <c r="O547" s="456"/>
      <c r="P547" s="456"/>
      <c r="Q547" s="456"/>
      <c r="R547" s="456"/>
      <c r="S547" s="456"/>
      <c r="T547" s="456"/>
      <c r="U547" s="456"/>
      <c r="V547" s="456"/>
      <c r="W547" s="456"/>
      <c r="X547" s="456"/>
      <c r="Y547" s="456"/>
      <c r="Z547" s="456"/>
    </row>
    <row r="548" spans="1:26" ht="11.25" customHeight="1">
      <c r="A548" s="456"/>
      <c r="B548" s="456"/>
      <c r="C548" s="456"/>
      <c r="D548" s="456"/>
      <c r="E548" s="456"/>
      <c r="F548" s="456"/>
      <c r="G548" s="456"/>
      <c r="H548" s="456"/>
      <c r="I548" s="456"/>
      <c r="J548" s="456"/>
      <c r="K548" s="456"/>
      <c r="L548" s="456"/>
      <c r="M548" s="456"/>
      <c r="N548" s="456"/>
      <c r="O548" s="456"/>
      <c r="P548" s="456"/>
      <c r="Q548" s="456"/>
      <c r="R548" s="456"/>
      <c r="S548" s="456"/>
      <c r="T548" s="456"/>
      <c r="U548" s="456"/>
      <c r="V548" s="456"/>
      <c r="W548" s="456"/>
      <c r="X548" s="456"/>
      <c r="Y548" s="456"/>
      <c r="Z548" s="456"/>
    </row>
    <row r="549" spans="1:26" ht="11.25" customHeight="1">
      <c r="A549" s="456"/>
      <c r="B549" s="456"/>
      <c r="C549" s="456"/>
      <c r="D549" s="456"/>
      <c r="E549" s="456"/>
      <c r="F549" s="456"/>
      <c r="G549" s="456"/>
      <c r="H549" s="456"/>
      <c r="I549" s="456"/>
      <c r="J549" s="456"/>
      <c r="K549" s="456"/>
      <c r="L549" s="456"/>
      <c r="M549" s="456"/>
      <c r="N549" s="456"/>
      <c r="O549" s="456"/>
      <c r="P549" s="456"/>
      <c r="Q549" s="456"/>
      <c r="R549" s="456"/>
      <c r="S549" s="456"/>
      <c r="T549" s="456"/>
      <c r="U549" s="456"/>
      <c r="V549" s="456"/>
      <c r="W549" s="456"/>
      <c r="X549" s="456"/>
      <c r="Y549" s="456"/>
      <c r="Z549" s="456"/>
    </row>
    <row r="550" spans="1:26" ht="11.25" customHeight="1">
      <c r="A550" s="456"/>
      <c r="B550" s="456"/>
      <c r="C550" s="456"/>
      <c r="D550" s="456"/>
      <c r="E550" s="456"/>
      <c r="F550" s="456"/>
      <c r="G550" s="456"/>
      <c r="H550" s="456"/>
      <c r="I550" s="456"/>
      <c r="J550" s="456"/>
      <c r="K550" s="456"/>
      <c r="L550" s="456"/>
      <c r="M550" s="456"/>
      <c r="N550" s="456"/>
      <c r="O550" s="456"/>
      <c r="P550" s="456"/>
      <c r="Q550" s="456"/>
      <c r="R550" s="456"/>
      <c r="S550" s="456"/>
      <c r="T550" s="456"/>
      <c r="U550" s="456"/>
      <c r="V550" s="456"/>
      <c r="W550" s="456"/>
      <c r="X550" s="456"/>
      <c r="Y550" s="456"/>
      <c r="Z550" s="456"/>
    </row>
    <row r="551" spans="1:26" ht="11.25" customHeight="1">
      <c r="A551" s="456"/>
      <c r="B551" s="456"/>
      <c r="C551" s="456"/>
      <c r="D551" s="456"/>
      <c r="E551" s="456"/>
      <c r="F551" s="456"/>
      <c r="G551" s="456"/>
      <c r="H551" s="456"/>
      <c r="I551" s="456"/>
      <c r="J551" s="456"/>
      <c r="K551" s="456"/>
      <c r="L551" s="456"/>
      <c r="M551" s="456"/>
      <c r="N551" s="456"/>
      <c r="O551" s="456"/>
      <c r="P551" s="456"/>
      <c r="Q551" s="456"/>
      <c r="R551" s="456"/>
      <c r="S551" s="456"/>
      <c r="T551" s="456"/>
      <c r="U551" s="456"/>
      <c r="V551" s="456"/>
      <c r="W551" s="456"/>
      <c r="X551" s="456"/>
      <c r="Y551" s="456"/>
      <c r="Z551" s="456"/>
    </row>
    <row r="552" spans="1:26" ht="11.25" customHeight="1">
      <c r="A552" s="456"/>
      <c r="B552" s="456"/>
      <c r="C552" s="456"/>
      <c r="D552" s="456"/>
      <c r="E552" s="456"/>
      <c r="F552" s="456"/>
      <c r="G552" s="456"/>
      <c r="H552" s="456"/>
      <c r="I552" s="456"/>
      <c r="J552" s="456"/>
      <c r="K552" s="456"/>
      <c r="L552" s="456"/>
      <c r="M552" s="456"/>
      <c r="N552" s="456"/>
      <c r="O552" s="456"/>
      <c r="P552" s="456"/>
      <c r="Q552" s="456"/>
      <c r="R552" s="456"/>
      <c r="S552" s="456"/>
      <c r="T552" s="456"/>
      <c r="U552" s="456"/>
      <c r="V552" s="456"/>
      <c r="W552" s="456"/>
      <c r="X552" s="456"/>
      <c r="Y552" s="456"/>
      <c r="Z552" s="456"/>
    </row>
    <row r="553" spans="1:26" ht="11.25" customHeight="1">
      <c r="A553" s="456"/>
      <c r="B553" s="456"/>
      <c r="C553" s="456"/>
      <c r="D553" s="456"/>
      <c r="E553" s="456"/>
      <c r="F553" s="456"/>
      <c r="G553" s="456"/>
      <c r="H553" s="456"/>
      <c r="I553" s="456"/>
      <c r="J553" s="456"/>
      <c r="K553" s="456"/>
      <c r="L553" s="456"/>
      <c r="M553" s="456"/>
      <c r="N553" s="456"/>
      <c r="O553" s="456"/>
      <c r="P553" s="456"/>
      <c r="Q553" s="456"/>
      <c r="R553" s="456"/>
      <c r="S553" s="456"/>
      <c r="T553" s="456"/>
      <c r="U553" s="456"/>
      <c r="V553" s="456"/>
      <c r="W553" s="456"/>
      <c r="X553" s="456"/>
      <c r="Y553" s="456"/>
      <c r="Z553" s="456"/>
    </row>
    <row r="554" spans="1:26" ht="11.25" customHeight="1">
      <c r="A554" s="456"/>
      <c r="B554" s="456"/>
      <c r="C554" s="456"/>
      <c r="D554" s="456"/>
      <c r="E554" s="456"/>
      <c r="F554" s="456"/>
      <c r="G554" s="456"/>
      <c r="H554" s="456"/>
      <c r="I554" s="456"/>
      <c r="J554" s="456"/>
      <c r="K554" s="456"/>
      <c r="L554" s="456"/>
      <c r="M554" s="456"/>
      <c r="N554" s="456"/>
      <c r="O554" s="456"/>
      <c r="P554" s="456"/>
      <c r="Q554" s="456"/>
      <c r="R554" s="456"/>
      <c r="S554" s="456"/>
      <c r="T554" s="456"/>
      <c r="U554" s="456"/>
      <c r="V554" s="456"/>
      <c r="W554" s="456"/>
      <c r="X554" s="456"/>
      <c r="Y554" s="456"/>
      <c r="Z554" s="456"/>
    </row>
    <row r="555" spans="1:26" ht="11.25" customHeight="1">
      <c r="A555" s="456"/>
      <c r="B555" s="456"/>
      <c r="C555" s="456"/>
      <c r="D555" s="456"/>
      <c r="E555" s="456"/>
      <c r="F555" s="456"/>
      <c r="G555" s="456"/>
      <c r="H555" s="456"/>
      <c r="I555" s="456"/>
      <c r="J555" s="456"/>
      <c r="K555" s="456"/>
      <c r="L555" s="456"/>
      <c r="M555" s="456"/>
      <c r="N555" s="456"/>
      <c r="O555" s="456"/>
      <c r="P555" s="456"/>
      <c r="Q555" s="456"/>
      <c r="R555" s="456"/>
      <c r="S555" s="456"/>
      <c r="T555" s="456"/>
      <c r="U555" s="456"/>
      <c r="V555" s="456"/>
      <c r="W555" s="456"/>
      <c r="X555" s="456"/>
      <c r="Y555" s="456"/>
      <c r="Z555" s="456"/>
    </row>
    <row r="556" spans="1:26" ht="11.25" customHeight="1">
      <c r="A556" s="456"/>
      <c r="B556" s="456"/>
      <c r="C556" s="456"/>
      <c r="D556" s="456"/>
      <c r="E556" s="456"/>
      <c r="F556" s="456"/>
      <c r="G556" s="456"/>
      <c r="H556" s="456"/>
      <c r="I556" s="456"/>
      <c r="J556" s="456"/>
      <c r="K556" s="456"/>
      <c r="L556" s="456"/>
      <c r="M556" s="456"/>
      <c r="N556" s="456"/>
      <c r="O556" s="456"/>
      <c r="P556" s="456"/>
      <c r="Q556" s="456"/>
      <c r="R556" s="456"/>
      <c r="S556" s="456"/>
      <c r="T556" s="456"/>
      <c r="U556" s="456"/>
      <c r="V556" s="456"/>
      <c r="W556" s="456"/>
      <c r="X556" s="456"/>
      <c r="Y556" s="456"/>
      <c r="Z556" s="456"/>
    </row>
    <row r="557" spans="1:26" ht="11.25" customHeight="1">
      <c r="A557" s="456"/>
      <c r="B557" s="456"/>
      <c r="C557" s="456"/>
      <c r="D557" s="456"/>
      <c r="E557" s="456"/>
      <c r="F557" s="456"/>
      <c r="G557" s="456"/>
      <c r="H557" s="456"/>
      <c r="I557" s="456"/>
      <c r="J557" s="456"/>
      <c r="K557" s="456"/>
      <c r="L557" s="456"/>
      <c r="M557" s="456"/>
      <c r="N557" s="456"/>
      <c r="O557" s="456"/>
      <c r="P557" s="456"/>
      <c r="Q557" s="456"/>
      <c r="R557" s="456"/>
      <c r="S557" s="456"/>
      <c r="T557" s="456"/>
      <c r="U557" s="456"/>
      <c r="V557" s="456"/>
      <c r="W557" s="456"/>
      <c r="X557" s="456"/>
      <c r="Y557" s="456"/>
      <c r="Z557" s="456"/>
    </row>
    <row r="558" spans="1:26" ht="11.25" customHeight="1">
      <c r="A558" s="456"/>
      <c r="B558" s="456"/>
      <c r="C558" s="456"/>
      <c r="D558" s="456"/>
      <c r="E558" s="456"/>
      <c r="F558" s="456"/>
      <c r="G558" s="456"/>
      <c r="H558" s="456"/>
      <c r="I558" s="456"/>
      <c r="J558" s="456"/>
      <c r="K558" s="456"/>
      <c r="L558" s="456"/>
      <c r="M558" s="456"/>
      <c r="N558" s="456"/>
      <c r="O558" s="456"/>
      <c r="P558" s="456"/>
      <c r="Q558" s="456"/>
      <c r="R558" s="456"/>
      <c r="S558" s="456"/>
      <c r="T558" s="456"/>
      <c r="U558" s="456"/>
      <c r="V558" s="456"/>
      <c r="W558" s="456"/>
      <c r="X558" s="456"/>
      <c r="Y558" s="456"/>
      <c r="Z558" s="456"/>
    </row>
    <row r="559" spans="1:26" ht="11.25" customHeight="1">
      <c r="A559" s="456"/>
      <c r="B559" s="456"/>
      <c r="C559" s="456"/>
      <c r="D559" s="456"/>
      <c r="E559" s="456"/>
      <c r="F559" s="456"/>
      <c r="G559" s="456"/>
      <c r="H559" s="456"/>
      <c r="I559" s="456"/>
      <c r="J559" s="456"/>
      <c r="K559" s="456"/>
      <c r="L559" s="456"/>
      <c r="M559" s="456"/>
      <c r="N559" s="456"/>
      <c r="O559" s="456"/>
      <c r="P559" s="456"/>
      <c r="Q559" s="456"/>
      <c r="R559" s="456"/>
      <c r="S559" s="456"/>
      <c r="T559" s="456"/>
      <c r="U559" s="456"/>
      <c r="V559" s="456"/>
      <c r="W559" s="456"/>
      <c r="X559" s="456"/>
      <c r="Y559" s="456"/>
      <c r="Z559" s="456"/>
    </row>
    <row r="560" spans="1:26" ht="11.25" customHeight="1">
      <c r="A560" s="456"/>
      <c r="B560" s="456"/>
      <c r="C560" s="456"/>
      <c r="D560" s="456"/>
      <c r="E560" s="456"/>
      <c r="F560" s="456"/>
      <c r="G560" s="456"/>
      <c r="H560" s="456"/>
      <c r="I560" s="456"/>
      <c r="J560" s="456"/>
      <c r="K560" s="456"/>
      <c r="L560" s="456"/>
      <c r="M560" s="456"/>
      <c r="N560" s="456"/>
      <c r="O560" s="456"/>
      <c r="P560" s="456"/>
      <c r="Q560" s="456"/>
      <c r="R560" s="456"/>
      <c r="S560" s="456"/>
      <c r="T560" s="456"/>
      <c r="U560" s="456"/>
      <c r="V560" s="456"/>
      <c r="W560" s="456"/>
      <c r="X560" s="456"/>
      <c r="Y560" s="456"/>
      <c r="Z560" s="456"/>
    </row>
    <row r="561" spans="1:26" ht="11.25" customHeight="1">
      <c r="A561" s="456"/>
      <c r="B561" s="456"/>
      <c r="C561" s="456"/>
      <c r="D561" s="456"/>
      <c r="E561" s="456"/>
      <c r="F561" s="456"/>
      <c r="G561" s="456"/>
      <c r="H561" s="456"/>
      <c r="I561" s="456"/>
      <c r="J561" s="456"/>
      <c r="K561" s="456"/>
      <c r="L561" s="456"/>
      <c r="M561" s="456"/>
      <c r="N561" s="456"/>
      <c r="O561" s="456"/>
      <c r="P561" s="456"/>
      <c r="Q561" s="456"/>
      <c r="R561" s="456"/>
      <c r="S561" s="456"/>
      <c r="T561" s="456"/>
      <c r="U561" s="456"/>
      <c r="V561" s="456"/>
      <c r="W561" s="456"/>
      <c r="X561" s="456"/>
      <c r="Y561" s="456"/>
      <c r="Z561" s="456"/>
    </row>
    <row r="562" spans="1:26" ht="11.25" customHeight="1">
      <c r="A562" s="456"/>
      <c r="B562" s="456"/>
      <c r="C562" s="456"/>
      <c r="D562" s="456"/>
      <c r="E562" s="456"/>
      <c r="F562" s="456"/>
      <c r="G562" s="456"/>
      <c r="H562" s="456"/>
      <c r="I562" s="456"/>
      <c r="J562" s="456"/>
      <c r="K562" s="456"/>
      <c r="L562" s="456"/>
      <c r="M562" s="456"/>
      <c r="N562" s="456"/>
      <c r="O562" s="456"/>
      <c r="P562" s="456"/>
      <c r="Q562" s="456"/>
      <c r="R562" s="456"/>
      <c r="S562" s="456"/>
      <c r="T562" s="456"/>
      <c r="U562" s="456"/>
      <c r="V562" s="456"/>
      <c r="W562" s="456"/>
      <c r="X562" s="456"/>
      <c r="Y562" s="456"/>
      <c r="Z562" s="456"/>
    </row>
    <row r="563" spans="1:26" ht="11.25" customHeight="1">
      <c r="A563" s="456"/>
      <c r="B563" s="456"/>
      <c r="C563" s="456"/>
      <c r="D563" s="456"/>
      <c r="E563" s="456"/>
      <c r="F563" s="456"/>
      <c r="G563" s="456"/>
      <c r="H563" s="456"/>
      <c r="I563" s="456"/>
      <c r="J563" s="456"/>
      <c r="K563" s="456"/>
      <c r="L563" s="456"/>
      <c r="M563" s="456"/>
      <c r="N563" s="456"/>
      <c r="O563" s="456"/>
      <c r="P563" s="456"/>
      <c r="Q563" s="456"/>
      <c r="R563" s="456"/>
      <c r="S563" s="456"/>
      <c r="T563" s="456"/>
      <c r="U563" s="456"/>
      <c r="V563" s="456"/>
      <c r="W563" s="456"/>
      <c r="X563" s="456"/>
      <c r="Y563" s="456"/>
      <c r="Z563" s="456"/>
    </row>
    <row r="564" spans="1:26" ht="11.25" customHeight="1">
      <c r="A564" s="456"/>
      <c r="B564" s="456"/>
      <c r="C564" s="456"/>
      <c r="D564" s="456"/>
      <c r="E564" s="456"/>
      <c r="F564" s="456"/>
      <c r="G564" s="456"/>
      <c r="H564" s="456"/>
      <c r="I564" s="456"/>
      <c r="J564" s="456"/>
      <c r="K564" s="456"/>
      <c r="L564" s="456"/>
      <c r="M564" s="456"/>
      <c r="N564" s="456"/>
      <c r="O564" s="456"/>
      <c r="P564" s="456"/>
      <c r="Q564" s="456"/>
      <c r="R564" s="456"/>
      <c r="S564" s="456"/>
      <c r="T564" s="456"/>
      <c r="U564" s="456"/>
      <c r="V564" s="456"/>
      <c r="W564" s="456"/>
      <c r="X564" s="456"/>
      <c r="Y564" s="456"/>
      <c r="Z564" s="456"/>
    </row>
    <row r="565" spans="1:26" ht="11.25" customHeight="1">
      <c r="A565" s="456"/>
      <c r="B565" s="456"/>
      <c r="C565" s="456"/>
      <c r="D565" s="456"/>
      <c r="E565" s="456"/>
      <c r="F565" s="456"/>
      <c r="G565" s="456"/>
      <c r="H565" s="456"/>
      <c r="I565" s="456"/>
      <c r="J565" s="456"/>
      <c r="K565" s="456"/>
      <c r="L565" s="456"/>
      <c r="M565" s="456"/>
      <c r="N565" s="456"/>
      <c r="O565" s="456"/>
      <c r="P565" s="456"/>
      <c r="Q565" s="456"/>
      <c r="R565" s="456"/>
      <c r="S565" s="456"/>
      <c r="T565" s="456"/>
      <c r="U565" s="456"/>
      <c r="V565" s="456"/>
      <c r="W565" s="456"/>
      <c r="X565" s="456"/>
      <c r="Y565" s="456"/>
      <c r="Z565" s="456"/>
    </row>
    <row r="566" spans="1:26" ht="11.25" customHeight="1">
      <c r="A566" s="456"/>
      <c r="B566" s="456"/>
      <c r="C566" s="456"/>
      <c r="D566" s="456"/>
      <c r="E566" s="456"/>
      <c r="F566" s="456"/>
      <c r="G566" s="456"/>
      <c r="H566" s="456"/>
      <c r="I566" s="456"/>
      <c r="J566" s="456"/>
      <c r="K566" s="456"/>
      <c r="L566" s="456"/>
      <c r="M566" s="456"/>
      <c r="N566" s="456"/>
      <c r="O566" s="456"/>
      <c r="P566" s="456"/>
      <c r="Q566" s="456"/>
      <c r="R566" s="456"/>
      <c r="S566" s="456"/>
      <c r="T566" s="456"/>
      <c r="U566" s="456"/>
      <c r="V566" s="456"/>
      <c r="W566" s="456"/>
      <c r="X566" s="456"/>
      <c r="Y566" s="456"/>
      <c r="Z566" s="456"/>
    </row>
    <row r="567" spans="1:26" ht="11.25" customHeight="1">
      <c r="A567" s="456"/>
      <c r="B567" s="456"/>
      <c r="C567" s="456"/>
      <c r="D567" s="456"/>
      <c r="E567" s="456"/>
      <c r="F567" s="456"/>
      <c r="G567" s="456"/>
      <c r="H567" s="456"/>
      <c r="I567" s="456"/>
      <c r="J567" s="456"/>
      <c r="K567" s="456"/>
      <c r="L567" s="456"/>
      <c r="M567" s="456"/>
      <c r="N567" s="456"/>
      <c r="O567" s="456"/>
      <c r="P567" s="456"/>
      <c r="Q567" s="456"/>
      <c r="R567" s="456"/>
      <c r="S567" s="456"/>
      <c r="T567" s="456"/>
      <c r="U567" s="456"/>
      <c r="V567" s="456"/>
      <c r="W567" s="456"/>
      <c r="X567" s="456"/>
      <c r="Y567" s="456"/>
      <c r="Z567" s="456"/>
    </row>
    <row r="568" spans="1:26" ht="11.25" customHeight="1">
      <c r="A568" s="456"/>
      <c r="B568" s="456"/>
      <c r="C568" s="456"/>
      <c r="D568" s="456"/>
      <c r="E568" s="456"/>
      <c r="F568" s="456"/>
      <c r="G568" s="456"/>
      <c r="H568" s="456"/>
      <c r="I568" s="456"/>
      <c r="J568" s="456"/>
      <c r="K568" s="456"/>
      <c r="L568" s="456"/>
      <c r="M568" s="456"/>
      <c r="N568" s="456"/>
      <c r="O568" s="456"/>
      <c r="P568" s="456"/>
      <c r="Q568" s="456"/>
      <c r="R568" s="456"/>
      <c r="S568" s="456"/>
      <c r="T568" s="456"/>
      <c r="U568" s="456"/>
      <c r="V568" s="456"/>
      <c r="W568" s="456"/>
      <c r="X568" s="456"/>
      <c r="Y568" s="456"/>
      <c r="Z568" s="456"/>
    </row>
    <row r="569" spans="1:26" ht="11.25" customHeight="1">
      <c r="A569" s="456"/>
      <c r="B569" s="456"/>
      <c r="C569" s="456"/>
      <c r="D569" s="456"/>
      <c r="E569" s="456"/>
      <c r="F569" s="456"/>
      <c r="G569" s="456"/>
      <c r="H569" s="456"/>
      <c r="I569" s="456"/>
      <c r="J569" s="456"/>
      <c r="K569" s="456"/>
      <c r="L569" s="456"/>
      <c r="M569" s="456"/>
      <c r="N569" s="456"/>
      <c r="O569" s="456"/>
      <c r="P569" s="456"/>
      <c r="Q569" s="456"/>
      <c r="R569" s="456"/>
      <c r="S569" s="456"/>
      <c r="T569" s="456"/>
      <c r="U569" s="456"/>
      <c r="V569" s="456"/>
      <c r="W569" s="456"/>
      <c r="X569" s="456"/>
      <c r="Y569" s="456"/>
      <c r="Z569" s="456"/>
    </row>
    <row r="570" spans="1:26" ht="11.25" customHeight="1">
      <c r="A570" s="456"/>
      <c r="B570" s="456"/>
      <c r="C570" s="456"/>
      <c r="D570" s="456"/>
      <c r="E570" s="456"/>
      <c r="F570" s="456"/>
      <c r="G570" s="456"/>
      <c r="H570" s="456"/>
      <c r="I570" s="456"/>
      <c r="J570" s="456"/>
      <c r="K570" s="456"/>
      <c r="L570" s="456"/>
      <c r="M570" s="456"/>
      <c r="N570" s="456"/>
      <c r="O570" s="456"/>
      <c r="P570" s="456"/>
      <c r="Q570" s="456"/>
      <c r="R570" s="456"/>
      <c r="S570" s="456"/>
      <c r="T570" s="456"/>
      <c r="U570" s="456"/>
      <c r="V570" s="456"/>
      <c r="W570" s="456"/>
      <c r="X570" s="456"/>
      <c r="Y570" s="456"/>
      <c r="Z570" s="456"/>
    </row>
    <row r="571" spans="1:26" ht="11.25" customHeight="1">
      <c r="A571" s="456"/>
      <c r="B571" s="456"/>
      <c r="C571" s="456"/>
      <c r="D571" s="456"/>
      <c r="E571" s="456"/>
      <c r="F571" s="456"/>
      <c r="G571" s="456"/>
      <c r="H571" s="456"/>
      <c r="I571" s="456"/>
      <c r="J571" s="456"/>
      <c r="K571" s="456"/>
      <c r="L571" s="456"/>
      <c r="M571" s="456"/>
      <c r="N571" s="456"/>
      <c r="O571" s="456"/>
      <c r="P571" s="456"/>
      <c r="Q571" s="456"/>
      <c r="R571" s="456"/>
      <c r="S571" s="456"/>
      <c r="T571" s="456"/>
      <c r="U571" s="456"/>
      <c r="V571" s="456"/>
      <c r="W571" s="456"/>
      <c r="X571" s="456"/>
      <c r="Y571" s="456"/>
      <c r="Z571" s="456"/>
    </row>
    <row r="572" spans="1:26" ht="11.25" customHeight="1">
      <c r="A572" s="456"/>
      <c r="B572" s="456"/>
      <c r="C572" s="456"/>
      <c r="D572" s="456"/>
      <c r="E572" s="456"/>
      <c r="F572" s="456"/>
      <c r="G572" s="456"/>
      <c r="H572" s="456"/>
      <c r="I572" s="456"/>
      <c r="J572" s="456"/>
      <c r="K572" s="456"/>
      <c r="L572" s="456"/>
      <c r="M572" s="456"/>
      <c r="N572" s="456"/>
      <c r="O572" s="456"/>
      <c r="P572" s="456"/>
      <c r="Q572" s="456"/>
      <c r="R572" s="456"/>
      <c r="S572" s="456"/>
      <c r="T572" s="456"/>
      <c r="U572" s="456"/>
      <c r="V572" s="456"/>
      <c r="W572" s="456"/>
      <c r="X572" s="456"/>
      <c r="Y572" s="456"/>
      <c r="Z572" s="456"/>
    </row>
    <row r="573" spans="1:26" ht="11.25" customHeight="1">
      <c r="A573" s="456"/>
      <c r="B573" s="456"/>
      <c r="C573" s="456"/>
      <c r="D573" s="456"/>
      <c r="E573" s="456"/>
      <c r="F573" s="456"/>
      <c r="G573" s="456"/>
      <c r="H573" s="456"/>
      <c r="I573" s="456"/>
      <c r="J573" s="456"/>
      <c r="K573" s="456"/>
      <c r="L573" s="456"/>
      <c r="M573" s="456"/>
      <c r="N573" s="456"/>
      <c r="O573" s="456"/>
      <c r="P573" s="456"/>
      <c r="Q573" s="456"/>
      <c r="R573" s="456"/>
      <c r="S573" s="456"/>
      <c r="T573" s="456"/>
      <c r="U573" s="456"/>
      <c r="V573" s="456"/>
      <c r="W573" s="456"/>
      <c r="X573" s="456"/>
      <c r="Y573" s="456"/>
      <c r="Z573" s="456"/>
    </row>
    <row r="574" spans="1:26" ht="11.25" customHeight="1">
      <c r="A574" s="456"/>
      <c r="B574" s="456"/>
      <c r="C574" s="456"/>
      <c r="D574" s="456"/>
      <c r="E574" s="456"/>
      <c r="F574" s="456"/>
      <c r="G574" s="456"/>
      <c r="H574" s="456"/>
      <c r="I574" s="456"/>
      <c r="J574" s="456"/>
      <c r="K574" s="456"/>
      <c r="L574" s="456"/>
      <c r="M574" s="456"/>
      <c r="N574" s="456"/>
      <c r="O574" s="456"/>
      <c r="P574" s="456"/>
      <c r="Q574" s="456"/>
      <c r="R574" s="456"/>
      <c r="S574" s="456"/>
      <c r="T574" s="456"/>
      <c r="U574" s="456"/>
      <c r="V574" s="456"/>
      <c r="W574" s="456"/>
      <c r="X574" s="456"/>
      <c r="Y574" s="456"/>
      <c r="Z574" s="456"/>
    </row>
    <row r="575" spans="1:26" ht="11.25" customHeight="1">
      <c r="A575" s="456"/>
      <c r="B575" s="456"/>
      <c r="C575" s="456"/>
      <c r="D575" s="456"/>
      <c r="E575" s="456"/>
      <c r="F575" s="456"/>
      <c r="G575" s="456"/>
      <c r="H575" s="456"/>
      <c r="I575" s="456"/>
      <c r="J575" s="456"/>
      <c r="K575" s="456"/>
      <c r="L575" s="456"/>
      <c r="M575" s="456"/>
      <c r="N575" s="456"/>
      <c r="O575" s="456"/>
      <c r="P575" s="456"/>
      <c r="Q575" s="456"/>
      <c r="R575" s="456"/>
      <c r="S575" s="456"/>
      <c r="T575" s="456"/>
      <c r="U575" s="456"/>
      <c r="V575" s="456"/>
      <c r="W575" s="456"/>
      <c r="X575" s="456"/>
      <c r="Y575" s="456"/>
      <c r="Z575" s="456"/>
    </row>
    <row r="576" spans="1:26" ht="11.25" customHeight="1">
      <c r="A576" s="456"/>
      <c r="B576" s="456"/>
      <c r="C576" s="456"/>
      <c r="D576" s="456"/>
      <c r="E576" s="456"/>
      <c r="F576" s="456"/>
      <c r="G576" s="456"/>
      <c r="H576" s="456"/>
      <c r="I576" s="456"/>
      <c r="J576" s="456"/>
      <c r="K576" s="456"/>
      <c r="L576" s="456"/>
      <c r="M576" s="456"/>
      <c r="N576" s="456"/>
      <c r="O576" s="456"/>
      <c r="P576" s="456"/>
      <c r="Q576" s="456"/>
      <c r="R576" s="456"/>
      <c r="S576" s="456"/>
      <c r="T576" s="456"/>
      <c r="U576" s="456"/>
      <c r="V576" s="456"/>
      <c r="W576" s="456"/>
      <c r="X576" s="456"/>
      <c r="Y576" s="456"/>
      <c r="Z576" s="456"/>
    </row>
    <row r="577" spans="1:26" ht="11.25" customHeight="1">
      <c r="A577" s="456"/>
      <c r="B577" s="456"/>
      <c r="C577" s="456"/>
      <c r="D577" s="456"/>
      <c r="E577" s="456"/>
      <c r="F577" s="456"/>
      <c r="G577" s="456"/>
      <c r="H577" s="456"/>
      <c r="I577" s="456"/>
      <c r="J577" s="456"/>
      <c r="K577" s="456"/>
      <c r="L577" s="456"/>
      <c r="M577" s="456"/>
      <c r="N577" s="456"/>
      <c r="O577" s="456"/>
      <c r="P577" s="456"/>
      <c r="Q577" s="456"/>
      <c r="R577" s="456"/>
      <c r="S577" s="456"/>
      <c r="T577" s="456"/>
      <c r="U577" s="456"/>
      <c r="V577" s="456"/>
      <c r="W577" s="456"/>
      <c r="X577" s="456"/>
      <c r="Y577" s="456"/>
      <c r="Z577" s="456"/>
    </row>
    <row r="578" spans="1:26" ht="11.25" customHeight="1">
      <c r="A578" s="456"/>
      <c r="B578" s="456"/>
      <c r="C578" s="456"/>
      <c r="D578" s="456"/>
      <c r="E578" s="456"/>
      <c r="F578" s="456"/>
      <c r="G578" s="456"/>
      <c r="H578" s="456"/>
      <c r="I578" s="456"/>
      <c r="J578" s="456"/>
      <c r="K578" s="456"/>
      <c r="L578" s="456"/>
      <c r="M578" s="456"/>
      <c r="N578" s="456"/>
      <c r="O578" s="456"/>
      <c r="P578" s="456"/>
      <c r="Q578" s="456"/>
      <c r="R578" s="456"/>
      <c r="S578" s="456"/>
      <c r="T578" s="456"/>
      <c r="U578" s="456"/>
      <c r="V578" s="456"/>
      <c r="W578" s="456"/>
      <c r="X578" s="456"/>
      <c r="Y578" s="456"/>
      <c r="Z578" s="456"/>
    </row>
    <row r="579" spans="1:26" ht="11.25" customHeight="1">
      <c r="A579" s="456"/>
      <c r="B579" s="456"/>
      <c r="C579" s="456"/>
      <c r="D579" s="456"/>
      <c r="E579" s="456"/>
      <c r="F579" s="456"/>
      <c r="G579" s="456"/>
      <c r="H579" s="456"/>
      <c r="I579" s="456"/>
      <c r="J579" s="456"/>
      <c r="K579" s="456"/>
      <c r="L579" s="456"/>
      <c r="M579" s="456"/>
      <c r="N579" s="456"/>
      <c r="O579" s="456"/>
      <c r="P579" s="456"/>
      <c r="Q579" s="456"/>
      <c r="R579" s="456"/>
      <c r="S579" s="456"/>
      <c r="T579" s="456"/>
      <c r="U579" s="456"/>
      <c r="V579" s="456"/>
      <c r="W579" s="456"/>
      <c r="X579" s="456"/>
      <c r="Y579" s="456"/>
      <c r="Z579" s="456"/>
    </row>
    <row r="580" spans="1:26" ht="11.25" customHeight="1">
      <c r="A580" s="456"/>
      <c r="B580" s="456"/>
      <c r="C580" s="456"/>
      <c r="D580" s="456"/>
      <c r="E580" s="456"/>
      <c r="F580" s="456"/>
      <c r="G580" s="456"/>
      <c r="H580" s="456"/>
      <c r="I580" s="456"/>
      <c r="J580" s="456"/>
      <c r="K580" s="456"/>
      <c r="L580" s="456"/>
      <c r="M580" s="456"/>
      <c r="N580" s="456"/>
      <c r="O580" s="456"/>
      <c r="P580" s="456"/>
      <c r="Q580" s="456"/>
      <c r="R580" s="456"/>
      <c r="S580" s="456"/>
      <c r="T580" s="456"/>
      <c r="U580" s="456"/>
      <c r="V580" s="456"/>
      <c r="W580" s="456"/>
      <c r="X580" s="456"/>
      <c r="Y580" s="456"/>
      <c r="Z580" s="456"/>
    </row>
    <row r="581" spans="1:26" ht="11.25" customHeight="1">
      <c r="A581" s="456"/>
      <c r="B581" s="456"/>
      <c r="C581" s="456"/>
      <c r="D581" s="456"/>
      <c r="E581" s="456"/>
      <c r="F581" s="456"/>
      <c r="G581" s="456"/>
      <c r="H581" s="456"/>
      <c r="I581" s="456"/>
      <c r="J581" s="456"/>
      <c r="K581" s="456"/>
      <c r="L581" s="456"/>
      <c r="M581" s="456"/>
      <c r="N581" s="456"/>
      <c r="O581" s="456"/>
      <c r="P581" s="456"/>
      <c r="Q581" s="456"/>
      <c r="R581" s="456"/>
      <c r="S581" s="456"/>
      <c r="T581" s="456"/>
      <c r="U581" s="456"/>
      <c r="V581" s="456"/>
      <c r="W581" s="456"/>
      <c r="X581" s="456"/>
      <c r="Y581" s="456"/>
      <c r="Z581" s="456"/>
    </row>
    <row r="582" spans="1:26" ht="11.25" customHeight="1">
      <c r="A582" s="456"/>
      <c r="B582" s="456"/>
      <c r="C582" s="456"/>
      <c r="D582" s="456"/>
      <c r="E582" s="456"/>
      <c r="F582" s="456"/>
      <c r="G582" s="456"/>
      <c r="H582" s="456"/>
      <c r="I582" s="456"/>
      <c r="J582" s="456"/>
      <c r="K582" s="456"/>
      <c r="L582" s="456"/>
      <c r="M582" s="456"/>
      <c r="N582" s="456"/>
      <c r="O582" s="456"/>
      <c r="P582" s="456"/>
      <c r="Q582" s="456"/>
      <c r="R582" s="456"/>
      <c r="S582" s="456"/>
      <c r="T582" s="456"/>
      <c r="U582" s="456"/>
      <c r="V582" s="456"/>
      <c r="W582" s="456"/>
      <c r="X582" s="456"/>
      <c r="Y582" s="456"/>
      <c r="Z582" s="456"/>
    </row>
    <row r="583" spans="1:26" ht="11.25" customHeight="1">
      <c r="A583" s="456"/>
      <c r="B583" s="456"/>
      <c r="C583" s="456"/>
      <c r="D583" s="456"/>
      <c r="E583" s="456"/>
      <c r="F583" s="456"/>
      <c r="G583" s="456"/>
      <c r="H583" s="456"/>
      <c r="I583" s="456"/>
      <c r="J583" s="456"/>
      <c r="K583" s="456"/>
      <c r="L583" s="456"/>
      <c r="M583" s="456"/>
      <c r="N583" s="456"/>
      <c r="O583" s="456"/>
      <c r="P583" s="456"/>
      <c r="Q583" s="456"/>
      <c r="R583" s="456"/>
      <c r="S583" s="456"/>
      <c r="T583" s="456"/>
      <c r="U583" s="456"/>
      <c r="V583" s="456"/>
      <c r="W583" s="456"/>
      <c r="X583" s="456"/>
      <c r="Y583" s="456"/>
      <c r="Z583" s="456"/>
    </row>
    <row r="584" spans="1:26" ht="11.25" customHeight="1">
      <c r="A584" s="456"/>
      <c r="B584" s="456"/>
      <c r="C584" s="456"/>
      <c r="D584" s="456"/>
      <c r="E584" s="456"/>
      <c r="F584" s="456"/>
      <c r="G584" s="456"/>
      <c r="H584" s="456"/>
      <c r="I584" s="456"/>
      <c r="J584" s="456"/>
      <c r="K584" s="456"/>
      <c r="L584" s="456"/>
      <c r="M584" s="456"/>
      <c r="N584" s="456"/>
      <c r="O584" s="456"/>
      <c r="P584" s="456"/>
      <c r="Q584" s="456"/>
      <c r="R584" s="456"/>
      <c r="S584" s="456"/>
      <c r="T584" s="456"/>
      <c r="U584" s="456"/>
      <c r="V584" s="456"/>
      <c r="W584" s="456"/>
      <c r="X584" s="456"/>
      <c r="Y584" s="456"/>
      <c r="Z584" s="456"/>
    </row>
    <row r="585" spans="1:26" ht="11.25" customHeight="1">
      <c r="A585" s="456"/>
      <c r="B585" s="456"/>
      <c r="C585" s="456"/>
      <c r="D585" s="456"/>
      <c r="E585" s="456"/>
      <c r="F585" s="456"/>
      <c r="G585" s="456"/>
      <c r="H585" s="456"/>
      <c r="I585" s="456"/>
      <c r="J585" s="456"/>
      <c r="K585" s="456"/>
      <c r="L585" s="456"/>
      <c r="M585" s="456"/>
      <c r="N585" s="456"/>
      <c r="O585" s="456"/>
      <c r="P585" s="456"/>
      <c r="Q585" s="456"/>
      <c r="R585" s="456"/>
      <c r="S585" s="456"/>
      <c r="T585" s="456"/>
      <c r="U585" s="456"/>
      <c r="V585" s="456"/>
      <c r="W585" s="456"/>
      <c r="X585" s="456"/>
      <c r="Y585" s="456"/>
      <c r="Z585" s="456"/>
    </row>
    <row r="586" spans="1:26" ht="11.25" customHeight="1">
      <c r="A586" s="456"/>
      <c r="B586" s="456"/>
      <c r="C586" s="456"/>
      <c r="D586" s="456"/>
      <c r="E586" s="456"/>
      <c r="F586" s="456"/>
      <c r="G586" s="456"/>
      <c r="H586" s="456"/>
      <c r="I586" s="456"/>
      <c r="J586" s="456"/>
      <c r="K586" s="456"/>
      <c r="L586" s="456"/>
      <c r="M586" s="456"/>
      <c r="N586" s="456"/>
      <c r="O586" s="456"/>
      <c r="P586" s="456"/>
      <c r="Q586" s="456"/>
      <c r="R586" s="456"/>
      <c r="S586" s="456"/>
      <c r="T586" s="456"/>
      <c r="U586" s="456"/>
      <c r="V586" s="456"/>
      <c r="W586" s="456"/>
      <c r="X586" s="456"/>
      <c r="Y586" s="456"/>
      <c r="Z586" s="456"/>
    </row>
    <row r="587" spans="1:26" ht="11.25" customHeight="1">
      <c r="A587" s="456"/>
      <c r="B587" s="456"/>
      <c r="C587" s="456"/>
      <c r="D587" s="456"/>
      <c r="E587" s="456"/>
      <c r="F587" s="456"/>
      <c r="G587" s="456"/>
      <c r="H587" s="456"/>
      <c r="I587" s="456"/>
      <c r="J587" s="456"/>
      <c r="K587" s="456"/>
      <c r="L587" s="456"/>
      <c r="M587" s="456"/>
      <c r="N587" s="456"/>
      <c r="O587" s="456"/>
      <c r="P587" s="456"/>
      <c r="Q587" s="456"/>
      <c r="R587" s="456"/>
      <c r="S587" s="456"/>
      <c r="T587" s="456"/>
      <c r="U587" s="456"/>
      <c r="V587" s="456"/>
      <c r="W587" s="456"/>
      <c r="X587" s="456"/>
      <c r="Y587" s="456"/>
      <c r="Z587" s="456"/>
    </row>
    <row r="588" spans="1:26" ht="11.25" customHeight="1">
      <c r="A588" s="456"/>
      <c r="B588" s="456"/>
      <c r="C588" s="456"/>
      <c r="D588" s="456"/>
      <c r="E588" s="456"/>
      <c r="F588" s="456"/>
      <c r="G588" s="456"/>
      <c r="H588" s="456"/>
      <c r="I588" s="456"/>
      <c r="J588" s="456"/>
      <c r="K588" s="456"/>
      <c r="L588" s="456"/>
      <c r="M588" s="456"/>
      <c r="N588" s="456"/>
      <c r="O588" s="456"/>
      <c r="P588" s="456"/>
      <c r="Q588" s="456"/>
      <c r="R588" s="456"/>
      <c r="S588" s="456"/>
      <c r="T588" s="456"/>
      <c r="U588" s="456"/>
      <c r="V588" s="456"/>
      <c r="W588" s="456"/>
      <c r="X588" s="456"/>
      <c r="Y588" s="456"/>
      <c r="Z588" s="456"/>
    </row>
    <row r="589" spans="1:26" ht="11.25" customHeight="1">
      <c r="A589" s="456"/>
      <c r="B589" s="456"/>
      <c r="C589" s="456"/>
      <c r="D589" s="456"/>
      <c r="E589" s="456"/>
      <c r="F589" s="456"/>
      <c r="G589" s="456"/>
      <c r="H589" s="456"/>
      <c r="I589" s="456"/>
      <c r="J589" s="456"/>
      <c r="K589" s="456"/>
      <c r="L589" s="456"/>
      <c r="M589" s="456"/>
      <c r="N589" s="456"/>
      <c r="O589" s="456"/>
      <c r="P589" s="456"/>
      <c r="Q589" s="456"/>
      <c r="R589" s="456"/>
      <c r="S589" s="456"/>
      <c r="T589" s="456"/>
      <c r="U589" s="456"/>
      <c r="V589" s="456"/>
      <c r="W589" s="456"/>
      <c r="X589" s="456"/>
      <c r="Y589" s="456"/>
      <c r="Z589" s="456"/>
    </row>
    <row r="590" spans="1:26" ht="11.25" customHeight="1">
      <c r="A590" s="456"/>
      <c r="B590" s="456"/>
      <c r="C590" s="456"/>
      <c r="D590" s="456"/>
      <c r="E590" s="456"/>
      <c r="F590" s="456"/>
      <c r="G590" s="456"/>
      <c r="H590" s="456"/>
      <c r="I590" s="456"/>
      <c r="J590" s="456"/>
      <c r="K590" s="456"/>
      <c r="L590" s="456"/>
      <c r="M590" s="456"/>
      <c r="N590" s="456"/>
      <c r="O590" s="456"/>
      <c r="P590" s="456"/>
      <c r="Q590" s="456"/>
      <c r="R590" s="456"/>
      <c r="S590" s="456"/>
      <c r="T590" s="456"/>
      <c r="U590" s="456"/>
      <c r="V590" s="456"/>
      <c r="W590" s="456"/>
      <c r="X590" s="456"/>
      <c r="Y590" s="456"/>
      <c r="Z590" s="456"/>
    </row>
    <row r="591" spans="1:26" ht="11.25" customHeight="1">
      <c r="A591" s="456"/>
      <c r="B591" s="456"/>
      <c r="C591" s="456"/>
      <c r="D591" s="456"/>
      <c r="E591" s="456"/>
      <c r="F591" s="456"/>
      <c r="G591" s="456"/>
      <c r="H591" s="456"/>
      <c r="I591" s="456"/>
      <c r="J591" s="456"/>
      <c r="K591" s="456"/>
      <c r="L591" s="456"/>
      <c r="M591" s="456"/>
      <c r="N591" s="456"/>
      <c r="O591" s="456"/>
      <c r="P591" s="456"/>
      <c r="Q591" s="456"/>
      <c r="R591" s="456"/>
      <c r="S591" s="456"/>
      <c r="T591" s="456"/>
      <c r="U591" s="456"/>
      <c r="V591" s="456"/>
      <c r="W591" s="456"/>
      <c r="X591" s="456"/>
      <c r="Y591" s="456"/>
      <c r="Z591" s="456"/>
    </row>
    <row r="592" spans="1:26" ht="11.25" customHeight="1">
      <c r="A592" s="456"/>
      <c r="B592" s="456"/>
      <c r="C592" s="456"/>
      <c r="D592" s="456"/>
      <c r="E592" s="456"/>
      <c r="F592" s="456"/>
      <c r="G592" s="456"/>
      <c r="H592" s="456"/>
      <c r="I592" s="456"/>
      <c r="J592" s="456"/>
      <c r="K592" s="456"/>
      <c r="L592" s="456"/>
      <c r="M592" s="456"/>
      <c r="N592" s="456"/>
      <c r="O592" s="456"/>
      <c r="P592" s="456"/>
      <c r="Q592" s="456"/>
      <c r="R592" s="456"/>
      <c r="S592" s="456"/>
      <c r="T592" s="456"/>
      <c r="U592" s="456"/>
      <c r="V592" s="456"/>
      <c r="W592" s="456"/>
      <c r="X592" s="456"/>
      <c r="Y592" s="456"/>
      <c r="Z592" s="456"/>
    </row>
    <row r="593" spans="1:26" ht="11.25" customHeight="1">
      <c r="A593" s="456"/>
      <c r="B593" s="456"/>
      <c r="C593" s="456"/>
      <c r="D593" s="456"/>
      <c r="E593" s="456"/>
      <c r="F593" s="456"/>
      <c r="G593" s="456"/>
      <c r="H593" s="456"/>
      <c r="I593" s="456"/>
      <c r="J593" s="456"/>
      <c r="K593" s="456"/>
      <c r="L593" s="456"/>
      <c r="M593" s="456"/>
      <c r="N593" s="456"/>
      <c r="O593" s="456"/>
      <c r="P593" s="456"/>
      <c r="Q593" s="456"/>
      <c r="R593" s="456"/>
      <c r="S593" s="456"/>
      <c r="T593" s="456"/>
      <c r="U593" s="456"/>
      <c r="V593" s="456"/>
      <c r="W593" s="456"/>
      <c r="X593" s="456"/>
      <c r="Y593" s="456"/>
      <c r="Z593" s="456"/>
    </row>
    <row r="594" spans="1:26" ht="11.25" customHeight="1">
      <c r="A594" s="456"/>
      <c r="B594" s="456"/>
      <c r="C594" s="456"/>
      <c r="D594" s="456"/>
      <c r="E594" s="456"/>
      <c r="F594" s="456"/>
      <c r="G594" s="456"/>
      <c r="H594" s="456"/>
      <c r="I594" s="456"/>
      <c r="J594" s="456"/>
      <c r="K594" s="456"/>
      <c r="L594" s="456"/>
      <c r="M594" s="456"/>
      <c r="N594" s="456"/>
      <c r="O594" s="456"/>
      <c r="P594" s="456"/>
      <c r="Q594" s="456"/>
      <c r="R594" s="456"/>
      <c r="S594" s="456"/>
      <c r="T594" s="456"/>
      <c r="U594" s="456"/>
      <c r="V594" s="456"/>
      <c r="W594" s="456"/>
      <c r="X594" s="456"/>
      <c r="Y594" s="456"/>
      <c r="Z594" s="456"/>
    </row>
    <row r="595" spans="1:26" ht="11.25" customHeight="1">
      <c r="A595" s="456"/>
      <c r="B595" s="456"/>
      <c r="C595" s="456"/>
      <c r="D595" s="456"/>
      <c r="E595" s="456"/>
      <c r="F595" s="456"/>
      <c r="G595" s="456"/>
      <c r="H595" s="456"/>
      <c r="I595" s="456"/>
      <c r="J595" s="456"/>
      <c r="K595" s="456"/>
      <c r="L595" s="456"/>
      <c r="M595" s="456"/>
      <c r="N595" s="456"/>
      <c r="O595" s="456"/>
      <c r="P595" s="456"/>
      <c r="Q595" s="456"/>
      <c r="R595" s="456"/>
      <c r="S595" s="456"/>
      <c r="T595" s="456"/>
      <c r="U595" s="456"/>
      <c r="V595" s="456"/>
      <c r="W595" s="456"/>
      <c r="X595" s="456"/>
      <c r="Y595" s="456"/>
      <c r="Z595" s="456"/>
    </row>
    <row r="596" spans="1:26" ht="11.25" customHeight="1">
      <c r="A596" s="456"/>
      <c r="B596" s="456"/>
      <c r="C596" s="456"/>
      <c r="D596" s="456"/>
      <c r="E596" s="456"/>
      <c r="F596" s="456"/>
      <c r="G596" s="456"/>
      <c r="H596" s="456"/>
      <c r="I596" s="456"/>
      <c r="J596" s="456"/>
      <c r="K596" s="456"/>
      <c r="L596" s="456"/>
      <c r="M596" s="456"/>
      <c r="N596" s="456"/>
      <c r="O596" s="456"/>
      <c r="P596" s="456"/>
      <c r="Q596" s="456"/>
      <c r="R596" s="456"/>
      <c r="S596" s="456"/>
      <c r="T596" s="456"/>
      <c r="U596" s="456"/>
      <c r="V596" s="456"/>
      <c r="W596" s="456"/>
      <c r="X596" s="456"/>
      <c r="Y596" s="456"/>
      <c r="Z596" s="456"/>
    </row>
    <row r="597" spans="1:26" ht="11.25" customHeight="1">
      <c r="A597" s="456"/>
      <c r="B597" s="456"/>
      <c r="C597" s="456"/>
      <c r="D597" s="456"/>
      <c r="E597" s="456"/>
      <c r="F597" s="456"/>
      <c r="G597" s="456"/>
      <c r="H597" s="456"/>
      <c r="I597" s="456"/>
      <c r="J597" s="456"/>
      <c r="K597" s="456"/>
      <c r="L597" s="456"/>
      <c r="M597" s="456"/>
      <c r="N597" s="456"/>
      <c r="O597" s="456"/>
      <c r="P597" s="456"/>
      <c r="Q597" s="456"/>
      <c r="R597" s="456"/>
      <c r="S597" s="456"/>
      <c r="T597" s="456"/>
      <c r="U597" s="456"/>
      <c r="V597" s="456"/>
      <c r="W597" s="456"/>
      <c r="X597" s="456"/>
      <c r="Y597" s="456"/>
      <c r="Z597" s="456"/>
    </row>
    <row r="598" spans="1:26" ht="11.25" customHeight="1">
      <c r="A598" s="456"/>
      <c r="B598" s="456"/>
      <c r="C598" s="456"/>
      <c r="D598" s="456"/>
      <c r="E598" s="456"/>
      <c r="F598" s="456"/>
      <c r="G598" s="456"/>
      <c r="H598" s="456"/>
      <c r="I598" s="456"/>
      <c r="J598" s="456"/>
      <c r="K598" s="456"/>
      <c r="L598" s="456"/>
      <c r="M598" s="456"/>
      <c r="N598" s="456"/>
      <c r="O598" s="456"/>
      <c r="P598" s="456"/>
      <c r="Q598" s="456"/>
      <c r="R598" s="456"/>
      <c r="S598" s="456"/>
      <c r="T598" s="456"/>
      <c r="U598" s="456"/>
      <c r="V598" s="456"/>
      <c r="W598" s="456"/>
      <c r="X598" s="456"/>
      <c r="Y598" s="456"/>
      <c r="Z598" s="456"/>
    </row>
    <row r="599" spans="1:26" ht="11.25" customHeight="1">
      <c r="A599" s="456"/>
      <c r="B599" s="456"/>
      <c r="C599" s="456"/>
      <c r="D599" s="456"/>
      <c r="E599" s="456"/>
      <c r="F599" s="456"/>
      <c r="G599" s="456"/>
      <c r="H599" s="456"/>
      <c r="I599" s="456"/>
      <c r="J599" s="456"/>
      <c r="K599" s="456"/>
      <c r="L599" s="456"/>
      <c r="M599" s="456"/>
      <c r="N599" s="456"/>
      <c r="O599" s="456"/>
      <c r="P599" s="456"/>
      <c r="Q599" s="456"/>
      <c r="R599" s="456"/>
      <c r="S599" s="456"/>
      <c r="T599" s="456"/>
      <c r="U599" s="456"/>
      <c r="V599" s="456"/>
      <c r="W599" s="456"/>
      <c r="X599" s="456"/>
      <c r="Y599" s="456"/>
      <c r="Z599" s="456"/>
    </row>
    <row r="600" spans="1:26" ht="11.25" customHeight="1">
      <c r="A600" s="456"/>
      <c r="B600" s="456"/>
      <c r="C600" s="456"/>
      <c r="D600" s="456"/>
      <c r="E600" s="456"/>
      <c r="F600" s="456"/>
      <c r="G600" s="456"/>
      <c r="H600" s="456"/>
      <c r="I600" s="456"/>
      <c r="J600" s="456"/>
      <c r="K600" s="456"/>
      <c r="L600" s="456"/>
      <c r="M600" s="456"/>
      <c r="N600" s="456"/>
      <c r="O600" s="456"/>
      <c r="P600" s="456"/>
      <c r="Q600" s="456"/>
      <c r="R600" s="456"/>
      <c r="S600" s="456"/>
      <c r="T600" s="456"/>
      <c r="U600" s="456"/>
      <c r="V600" s="456"/>
      <c r="W600" s="456"/>
      <c r="X600" s="456"/>
      <c r="Y600" s="456"/>
      <c r="Z600" s="456"/>
    </row>
    <row r="601" spans="1:26" ht="11.25" customHeight="1">
      <c r="A601" s="456"/>
      <c r="B601" s="456"/>
      <c r="C601" s="456"/>
      <c r="D601" s="456"/>
      <c r="E601" s="456"/>
      <c r="F601" s="456"/>
      <c r="G601" s="456"/>
      <c r="H601" s="456"/>
      <c r="I601" s="456"/>
      <c r="J601" s="456"/>
      <c r="K601" s="456"/>
      <c r="L601" s="456"/>
      <c r="M601" s="456"/>
      <c r="N601" s="456"/>
      <c r="O601" s="456"/>
      <c r="P601" s="456"/>
      <c r="Q601" s="456"/>
      <c r="R601" s="456"/>
      <c r="S601" s="456"/>
      <c r="T601" s="456"/>
      <c r="U601" s="456"/>
      <c r="V601" s="456"/>
      <c r="W601" s="456"/>
      <c r="X601" s="456"/>
      <c r="Y601" s="456"/>
      <c r="Z601" s="456"/>
    </row>
    <row r="602" spans="1:26" ht="11.25" customHeight="1">
      <c r="A602" s="456"/>
      <c r="B602" s="456"/>
      <c r="C602" s="456"/>
      <c r="D602" s="456"/>
      <c r="E602" s="456"/>
      <c r="F602" s="456"/>
      <c r="G602" s="456"/>
      <c r="H602" s="456"/>
      <c r="I602" s="456"/>
      <c r="J602" s="456"/>
      <c r="K602" s="456"/>
      <c r="L602" s="456"/>
      <c r="M602" s="456"/>
      <c r="N602" s="456"/>
      <c r="O602" s="456"/>
      <c r="P602" s="456"/>
      <c r="Q602" s="456"/>
      <c r="R602" s="456"/>
      <c r="S602" s="456"/>
      <c r="T602" s="456"/>
      <c r="U602" s="456"/>
      <c r="V602" s="456"/>
      <c r="W602" s="456"/>
      <c r="X602" s="456"/>
      <c r="Y602" s="456"/>
      <c r="Z602" s="456"/>
    </row>
    <row r="603" spans="1:26" ht="11.25" customHeight="1">
      <c r="A603" s="456"/>
      <c r="B603" s="456"/>
      <c r="C603" s="456"/>
      <c r="D603" s="456"/>
      <c r="E603" s="456"/>
      <c r="F603" s="456"/>
      <c r="G603" s="456"/>
      <c r="H603" s="456"/>
      <c r="I603" s="456"/>
      <c r="J603" s="456"/>
      <c r="K603" s="456"/>
      <c r="L603" s="456"/>
      <c r="M603" s="456"/>
      <c r="N603" s="456"/>
      <c r="O603" s="456"/>
      <c r="P603" s="456"/>
      <c r="Q603" s="456"/>
      <c r="R603" s="456"/>
      <c r="S603" s="456"/>
      <c r="T603" s="456"/>
      <c r="U603" s="456"/>
      <c r="V603" s="456"/>
      <c r="W603" s="456"/>
      <c r="X603" s="456"/>
      <c r="Y603" s="456"/>
      <c r="Z603" s="456"/>
    </row>
    <row r="604" spans="1:26" ht="11.25" customHeight="1">
      <c r="A604" s="456"/>
      <c r="B604" s="456"/>
      <c r="C604" s="456"/>
      <c r="D604" s="456"/>
      <c r="E604" s="456"/>
      <c r="F604" s="456"/>
      <c r="G604" s="456"/>
      <c r="H604" s="456"/>
      <c r="I604" s="456"/>
      <c r="J604" s="456"/>
      <c r="K604" s="456"/>
      <c r="L604" s="456"/>
      <c r="M604" s="456"/>
      <c r="N604" s="456"/>
      <c r="O604" s="456"/>
      <c r="P604" s="456"/>
      <c r="Q604" s="456"/>
      <c r="R604" s="456"/>
      <c r="S604" s="456"/>
      <c r="T604" s="456"/>
      <c r="U604" s="456"/>
      <c r="V604" s="456"/>
      <c r="W604" s="456"/>
      <c r="X604" s="456"/>
      <c r="Y604" s="456"/>
      <c r="Z604" s="456"/>
    </row>
    <row r="605" spans="1:26" ht="11.25" customHeight="1">
      <c r="A605" s="456"/>
      <c r="B605" s="456"/>
      <c r="C605" s="456"/>
      <c r="D605" s="456"/>
      <c r="E605" s="456"/>
      <c r="F605" s="456"/>
      <c r="G605" s="456"/>
      <c r="H605" s="456"/>
      <c r="I605" s="456"/>
      <c r="J605" s="456"/>
      <c r="K605" s="456"/>
      <c r="L605" s="456"/>
      <c r="M605" s="456"/>
      <c r="N605" s="456"/>
      <c r="O605" s="456"/>
      <c r="P605" s="456"/>
      <c r="Q605" s="456"/>
      <c r="R605" s="456"/>
      <c r="S605" s="456"/>
      <c r="T605" s="456"/>
      <c r="U605" s="456"/>
      <c r="V605" s="456"/>
      <c r="W605" s="456"/>
      <c r="X605" s="456"/>
      <c r="Y605" s="456"/>
      <c r="Z605" s="456"/>
    </row>
    <row r="606" spans="1:26" ht="11.25" customHeight="1">
      <c r="A606" s="456"/>
      <c r="B606" s="456"/>
      <c r="C606" s="456"/>
      <c r="D606" s="456"/>
      <c r="E606" s="456"/>
      <c r="F606" s="456"/>
      <c r="G606" s="456"/>
      <c r="H606" s="456"/>
      <c r="I606" s="456"/>
      <c r="J606" s="456"/>
      <c r="K606" s="456"/>
      <c r="L606" s="456"/>
      <c r="M606" s="456"/>
      <c r="N606" s="456"/>
      <c r="O606" s="456"/>
      <c r="P606" s="456"/>
      <c r="Q606" s="456"/>
      <c r="R606" s="456"/>
      <c r="S606" s="456"/>
      <c r="T606" s="456"/>
      <c r="U606" s="456"/>
      <c r="V606" s="456"/>
      <c r="W606" s="456"/>
      <c r="X606" s="456"/>
      <c r="Y606" s="456"/>
      <c r="Z606" s="456"/>
    </row>
    <row r="607" spans="1:26" ht="11.25" customHeight="1">
      <c r="A607" s="456"/>
      <c r="B607" s="456"/>
      <c r="C607" s="456"/>
      <c r="D607" s="456"/>
      <c r="E607" s="456"/>
      <c r="F607" s="456"/>
      <c r="G607" s="456"/>
      <c r="H607" s="456"/>
      <c r="I607" s="456"/>
      <c r="J607" s="456"/>
      <c r="K607" s="456"/>
      <c r="L607" s="456"/>
      <c r="M607" s="456"/>
      <c r="N607" s="456"/>
      <c r="O607" s="456"/>
      <c r="P607" s="456"/>
      <c r="Q607" s="456"/>
      <c r="R607" s="456"/>
      <c r="S607" s="456"/>
      <c r="T607" s="456"/>
      <c r="U607" s="456"/>
      <c r="V607" s="456"/>
      <c r="W607" s="456"/>
      <c r="X607" s="456"/>
      <c r="Y607" s="456"/>
      <c r="Z607" s="456"/>
    </row>
    <row r="608" spans="1:26" ht="11.25" customHeight="1">
      <c r="A608" s="456"/>
      <c r="B608" s="456"/>
      <c r="C608" s="456"/>
      <c r="D608" s="456"/>
      <c r="E608" s="456"/>
      <c r="F608" s="456"/>
      <c r="G608" s="456"/>
      <c r="H608" s="456"/>
      <c r="I608" s="456"/>
      <c r="J608" s="456"/>
      <c r="K608" s="456"/>
      <c r="L608" s="456"/>
      <c r="M608" s="456"/>
      <c r="N608" s="456"/>
      <c r="O608" s="456"/>
      <c r="P608" s="456"/>
      <c r="Q608" s="456"/>
      <c r="R608" s="456"/>
      <c r="S608" s="456"/>
      <c r="T608" s="456"/>
      <c r="U608" s="456"/>
      <c r="V608" s="456"/>
      <c r="W608" s="456"/>
      <c r="X608" s="456"/>
      <c r="Y608" s="456"/>
      <c r="Z608" s="456"/>
    </row>
    <row r="609" spans="1:26" ht="11.25" customHeight="1">
      <c r="A609" s="456"/>
      <c r="B609" s="456"/>
      <c r="C609" s="456"/>
      <c r="D609" s="456"/>
      <c r="E609" s="456"/>
      <c r="F609" s="456"/>
      <c r="G609" s="456"/>
      <c r="H609" s="456"/>
      <c r="I609" s="456"/>
      <c r="J609" s="456"/>
      <c r="K609" s="456"/>
      <c r="L609" s="456"/>
      <c r="M609" s="456"/>
      <c r="N609" s="456"/>
      <c r="O609" s="456"/>
      <c r="P609" s="456"/>
      <c r="Q609" s="456"/>
      <c r="R609" s="456"/>
      <c r="S609" s="456"/>
      <c r="T609" s="456"/>
      <c r="U609" s="456"/>
      <c r="V609" s="456"/>
      <c r="W609" s="456"/>
      <c r="X609" s="456"/>
      <c r="Y609" s="456"/>
      <c r="Z609" s="456"/>
    </row>
    <row r="610" spans="1:26" ht="11.25" customHeight="1">
      <c r="A610" s="456"/>
      <c r="B610" s="456"/>
      <c r="C610" s="456"/>
      <c r="D610" s="456"/>
      <c r="E610" s="456"/>
      <c r="F610" s="456"/>
      <c r="G610" s="456"/>
      <c r="H610" s="456"/>
      <c r="I610" s="456"/>
      <c r="J610" s="456"/>
      <c r="K610" s="456"/>
      <c r="L610" s="456"/>
      <c r="M610" s="456"/>
      <c r="N610" s="456"/>
      <c r="O610" s="456"/>
      <c r="P610" s="456"/>
      <c r="Q610" s="456"/>
      <c r="R610" s="456"/>
      <c r="S610" s="456"/>
      <c r="T610" s="456"/>
      <c r="U610" s="456"/>
      <c r="V610" s="456"/>
      <c r="W610" s="456"/>
      <c r="X610" s="456"/>
      <c r="Y610" s="456"/>
      <c r="Z610" s="456"/>
    </row>
    <row r="611" spans="1:26" ht="11.25" customHeight="1">
      <c r="A611" s="456"/>
      <c r="B611" s="456"/>
      <c r="C611" s="456"/>
      <c r="D611" s="456"/>
      <c r="E611" s="456"/>
      <c r="F611" s="456"/>
      <c r="G611" s="456"/>
      <c r="H611" s="456"/>
      <c r="I611" s="456"/>
      <c r="J611" s="456"/>
      <c r="K611" s="456"/>
      <c r="L611" s="456"/>
      <c r="M611" s="456"/>
      <c r="N611" s="456"/>
      <c r="O611" s="456"/>
      <c r="P611" s="456"/>
      <c r="Q611" s="456"/>
      <c r="R611" s="456"/>
      <c r="S611" s="456"/>
      <c r="T611" s="456"/>
      <c r="U611" s="456"/>
      <c r="V611" s="456"/>
      <c r="W611" s="456"/>
      <c r="X611" s="456"/>
      <c r="Y611" s="456"/>
      <c r="Z611" s="456"/>
    </row>
    <row r="612" spans="1:26" ht="11.25" customHeight="1">
      <c r="A612" s="456"/>
      <c r="B612" s="456"/>
      <c r="C612" s="456"/>
      <c r="D612" s="456"/>
      <c r="E612" s="456"/>
      <c r="F612" s="456"/>
      <c r="G612" s="456"/>
      <c r="H612" s="456"/>
      <c r="I612" s="456"/>
      <c r="J612" s="456"/>
      <c r="K612" s="456"/>
      <c r="L612" s="456"/>
      <c r="M612" s="456"/>
      <c r="N612" s="456"/>
      <c r="O612" s="456"/>
      <c r="P612" s="456"/>
      <c r="Q612" s="456"/>
      <c r="R612" s="456"/>
      <c r="S612" s="456"/>
      <c r="T612" s="456"/>
      <c r="U612" s="456"/>
      <c r="V612" s="456"/>
      <c r="W612" s="456"/>
      <c r="X612" s="456"/>
      <c r="Y612" s="456"/>
      <c r="Z612" s="456"/>
    </row>
    <row r="613" spans="1:26" ht="11.25" customHeight="1">
      <c r="A613" s="456"/>
      <c r="B613" s="456"/>
      <c r="C613" s="456"/>
      <c r="D613" s="456"/>
      <c r="E613" s="456"/>
      <c r="F613" s="456"/>
      <c r="G613" s="456"/>
      <c r="H613" s="456"/>
      <c r="I613" s="456"/>
      <c r="J613" s="456"/>
      <c r="K613" s="456"/>
      <c r="L613" s="456"/>
      <c r="M613" s="456"/>
      <c r="N613" s="456"/>
      <c r="O613" s="456"/>
      <c r="P613" s="456"/>
      <c r="Q613" s="456"/>
      <c r="R613" s="456"/>
      <c r="S613" s="456"/>
      <c r="T613" s="456"/>
      <c r="U613" s="456"/>
      <c r="V613" s="456"/>
      <c r="W613" s="456"/>
      <c r="X613" s="456"/>
      <c r="Y613" s="456"/>
      <c r="Z613" s="456"/>
    </row>
    <row r="614" spans="1:26" ht="11.25" customHeight="1">
      <c r="A614" s="456"/>
      <c r="B614" s="456"/>
      <c r="C614" s="456"/>
      <c r="D614" s="456"/>
      <c r="E614" s="456"/>
      <c r="F614" s="456"/>
      <c r="G614" s="456"/>
      <c r="H614" s="456"/>
      <c r="I614" s="456"/>
      <c r="J614" s="456"/>
      <c r="K614" s="456"/>
      <c r="L614" s="456"/>
      <c r="M614" s="456"/>
      <c r="N614" s="456"/>
      <c r="O614" s="456"/>
      <c r="P614" s="456"/>
      <c r="Q614" s="456"/>
      <c r="R614" s="456"/>
      <c r="S614" s="456"/>
      <c r="T614" s="456"/>
      <c r="U614" s="456"/>
      <c r="V614" s="456"/>
      <c r="W614" s="456"/>
      <c r="X614" s="456"/>
      <c r="Y614" s="456"/>
      <c r="Z614" s="456"/>
    </row>
    <row r="615" spans="1:26" ht="11.25" customHeight="1">
      <c r="A615" s="456"/>
      <c r="B615" s="456"/>
      <c r="C615" s="456"/>
      <c r="D615" s="456"/>
      <c r="E615" s="456"/>
      <c r="F615" s="456"/>
      <c r="G615" s="456"/>
      <c r="H615" s="456"/>
      <c r="I615" s="456"/>
      <c r="J615" s="456"/>
      <c r="K615" s="456"/>
      <c r="L615" s="456"/>
      <c r="M615" s="456"/>
      <c r="N615" s="456"/>
      <c r="O615" s="456"/>
      <c r="P615" s="456"/>
      <c r="Q615" s="456"/>
      <c r="R615" s="456"/>
      <c r="S615" s="456"/>
      <c r="T615" s="456"/>
      <c r="U615" s="456"/>
      <c r="V615" s="456"/>
      <c r="W615" s="456"/>
      <c r="X615" s="456"/>
      <c r="Y615" s="456"/>
      <c r="Z615" s="456"/>
    </row>
    <row r="616" spans="1:26" ht="11.25" customHeight="1">
      <c r="A616" s="456"/>
      <c r="B616" s="456"/>
      <c r="C616" s="456"/>
      <c r="D616" s="456"/>
      <c r="E616" s="456"/>
      <c r="F616" s="456"/>
      <c r="G616" s="456"/>
      <c r="H616" s="456"/>
      <c r="I616" s="456"/>
      <c r="J616" s="456"/>
      <c r="K616" s="456"/>
      <c r="L616" s="456"/>
      <c r="M616" s="456"/>
      <c r="N616" s="456"/>
      <c r="O616" s="456"/>
      <c r="P616" s="456"/>
      <c r="Q616" s="456"/>
      <c r="R616" s="456"/>
      <c r="S616" s="456"/>
      <c r="T616" s="456"/>
      <c r="U616" s="456"/>
      <c r="V616" s="456"/>
      <c r="W616" s="456"/>
      <c r="X616" s="456"/>
      <c r="Y616" s="456"/>
      <c r="Z616" s="456"/>
    </row>
    <row r="617" spans="1:26" ht="11.25" customHeight="1">
      <c r="A617" s="456"/>
      <c r="B617" s="456"/>
      <c r="C617" s="456"/>
      <c r="D617" s="456"/>
      <c r="E617" s="456"/>
      <c r="F617" s="456"/>
      <c r="G617" s="456"/>
      <c r="H617" s="456"/>
      <c r="I617" s="456"/>
      <c r="J617" s="456"/>
      <c r="K617" s="456"/>
      <c r="L617" s="456"/>
      <c r="M617" s="456"/>
      <c r="N617" s="456"/>
      <c r="O617" s="456"/>
      <c r="P617" s="456"/>
      <c r="Q617" s="456"/>
      <c r="R617" s="456"/>
      <c r="S617" s="456"/>
      <c r="T617" s="456"/>
      <c r="U617" s="456"/>
      <c r="V617" s="456"/>
      <c r="W617" s="456"/>
      <c r="X617" s="456"/>
      <c r="Y617" s="456"/>
      <c r="Z617" s="456"/>
    </row>
    <row r="618" spans="1:26" ht="11.25" customHeight="1">
      <c r="A618" s="456"/>
      <c r="B618" s="456"/>
      <c r="C618" s="456"/>
      <c r="D618" s="456"/>
      <c r="E618" s="456"/>
      <c r="F618" s="456"/>
      <c r="G618" s="456"/>
      <c r="H618" s="456"/>
      <c r="I618" s="456"/>
      <c r="J618" s="456"/>
      <c r="K618" s="456"/>
      <c r="L618" s="456"/>
      <c r="M618" s="456"/>
      <c r="N618" s="456"/>
      <c r="O618" s="456"/>
      <c r="P618" s="456"/>
      <c r="Q618" s="456"/>
      <c r="R618" s="456"/>
      <c r="S618" s="456"/>
      <c r="T618" s="456"/>
      <c r="U618" s="456"/>
      <c r="V618" s="456"/>
      <c r="W618" s="456"/>
      <c r="X618" s="456"/>
      <c r="Y618" s="456"/>
      <c r="Z618" s="456"/>
    </row>
    <row r="619" spans="1:26" ht="11.25" customHeight="1">
      <c r="A619" s="456"/>
      <c r="B619" s="456"/>
      <c r="C619" s="456"/>
      <c r="D619" s="456"/>
      <c r="E619" s="456"/>
      <c r="F619" s="456"/>
      <c r="G619" s="456"/>
      <c r="H619" s="456"/>
      <c r="I619" s="456"/>
      <c r="J619" s="456"/>
      <c r="K619" s="456"/>
      <c r="L619" s="456"/>
      <c r="M619" s="456"/>
      <c r="N619" s="456"/>
      <c r="O619" s="456"/>
      <c r="P619" s="456"/>
      <c r="Q619" s="456"/>
      <c r="R619" s="456"/>
      <c r="S619" s="456"/>
      <c r="T619" s="456"/>
      <c r="U619" s="456"/>
      <c r="V619" s="456"/>
      <c r="W619" s="456"/>
      <c r="X619" s="456"/>
      <c r="Y619" s="456"/>
      <c r="Z619" s="456"/>
    </row>
    <row r="620" spans="1:26" ht="11.25" customHeight="1">
      <c r="A620" s="456"/>
      <c r="B620" s="456"/>
      <c r="C620" s="456"/>
      <c r="D620" s="456"/>
      <c r="E620" s="456"/>
      <c r="F620" s="456"/>
      <c r="G620" s="456"/>
      <c r="H620" s="456"/>
      <c r="I620" s="456"/>
      <c r="J620" s="456"/>
      <c r="K620" s="456"/>
      <c r="L620" s="456"/>
      <c r="M620" s="456"/>
      <c r="N620" s="456"/>
      <c r="O620" s="456"/>
      <c r="P620" s="456"/>
      <c r="Q620" s="456"/>
      <c r="R620" s="456"/>
      <c r="S620" s="456"/>
      <c r="T620" s="456"/>
      <c r="U620" s="456"/>
      <c r="V620" s="456"/>
      <c r="W620" s="456"/>
      <c r="X620" s="456"/>
      <c r="Y620" s="456"/>
      <c r="Z620" s="456"/>
    </row>
    <row r="621" spans="1:26" ht="11.25" customHeight="1">
      <c r="A621" s="456"/>
      <c r="B621" s="456"/>
      <c r="C621" s="456"/>
      <c r="D621" s="456"/>
      <c r="E621" s="456"/>
      <c r="F621" s="456"/>
      <c r="G621" s="456"/>
      <c r="H621" s="456"/>
      <c r="I621" s="456"/>
      <c r="J621" s="456"/>
      <c r="K621" s="456"/>
      <c r="L621" s="456"/>
      <c r="M621" s="456"/>
      <c r="N621" s="456"/>
      <c r="O621" s="456"/>
      <c r="P621" s="456"/>
      <c r="Q621" s="456"/>
      <c r="R621" s="456"/>
      <c r="S621" s="456"/>
      <c r="T621" s="456"/>
      <c r="U621" s="456"/>
      <c r="V621" s="456"/>
      <c r="W621" s="456"/>
      <c r="X621" s="456"/>
      <c r="Y621" s="456"/>
      <c r="Z621" s="456"/>
    </row>
    <row r="622" spans="1:26" ht="11.25" customHeight="1">
      <c r="A622" s="456"/>
      <c r="B622" s="456"/>
      <c r="C622" s="456"/>
      <c r="D622" s="456"/>
      <c r="E622" s="456"/>
      <c r="F622" s="456"/>
      <c r="G622" s="456"/>
      <c r="H622" s="456"/>
      <c r="I622" s="456"/>
      <c r="J622" s="456"/>
      <c r="K622" s="456"/>
      <c r="L622" s="456"/>
      <c r="M622" s="456"/>
      <c r="N622" s="456"/>
      <c r="O622" s="456"/>
      <c r="P622" s="456"/>
      <c r="Q622" s="456"/>
      <c r="R622" s="456"/>
      <c r="S622" s="456"/>
      <c r="T622" s="456"/>
      <c r="U622" s="456"/>
      <c r="V622" s="456"/>
      <c r="W622" s="456"/>
      <c r="X622" s="456"/>
      <c r="Y622" s="456"/>
      <c r="Z622" s="456"/>
    </row>
    <row r="623" spans="1:26" ht="11.25" customHeight="1">
      <c r="A623" s="456"/>
      <c r="B623" s="456"/>
      <c r="C623" s="456"/>
      <c r="D623" s="456"/>
      <c r="E623" s="456"/>
      <c r="F623" s="456"/>
      <c r="G623" s="456"/>
      <c r="H623" s="456"/>
      <c r="I623" s="456"/>
      <c r="J623" s="456"/>
      <c r="K623" s="456"/>
      <c r="L623" s="456"/>
      <c r="M623" s="456"/>
      <c r="N623" s="456"/>
      <c r="O623" s="456"/>
      <c r="P623" s="456"/>
      <c r="Q623" s="456"/>
      <c r="R623" s="456"/>
      <c r="S623" s="456"/>
      <c r="T623" s="456"/>
      <c r="U623" s="456"/>
      <c r="V623" s="456"/>
      <c r="W623" s="456"/>
      <c r="X623" s="456"/>
      <c r="Y623" s="456"/>
      <c r="Z623" s="456"/>
    </row>
    <row r="624" spans="1:26" ht="11.25" customHeight="1">
      <c r="A624" s="456"/>
      <c r="B624" s="456"/>
      <c r="C624" s="456"/>
      <c r="D624" s="456"/>
      <c r="E624" s="456"/>
      <c r="F624" s="456"/>
      <c r="G624" s="456"/>
      <c r="H624" s="456"/>
      <c r="I624" s="456"/>
      <c r="J624" s="456"/>
      <c r="K624" s="456"/>
      <c r="L624" s="456"/>
      <c r="M624" s="456"/>
      <c r="N624" s="456"/>
      <c r="O624" s="456"/>
      <c r="P624" s="456"/>
      <c r="Q624" s="456"/>
      <c r="R624" s="456"/>
      <c r="S624" s="456"/>
      <c r="T624" s="456"/>
      <c r="U624" s="456"/>
      <c r="V624" s="456"/>
      <c r="W624" s="456"/>
      <c r="X624" s="456"/>
      <c r="Y624" s="456"/>
      <c r="Z624" s="456"/>
    </row>
    <row r="625" spans="1:26" ht="11.25" customHeight="1">
      <c r="A625" s="456"/>
      <c r="B625" s="456"/>
      <c r="C625" s="456"/>
      <c r="D625" s="456"/>
      <c r="E625" s="456"/>
      <c r="F625" s="456"/>
      <c r="G625" s="456"/>
      <c r="H625" s="456"/>
      <c r="I625" s="456"/>
      <c r="J625" s="456"/>
      <c r="K625" s="456"/>
      <c r="L625" s="456"/>
      <c r="M625" s="456"/>
      <c r="N625" s="456"/>
      <c r="O625" s="456"/>
      <c r="P625" s="456"/>
      <c r="Q625" s="456"/>
      <c r="R625" s="456"/>
      <c r="S625" s="456"/>
      <c r="T625" s="456"/>
      <c r="U625" s="456"/>
      <c r="V625" s="456"/>
      <c r="W625" s="456"/>
      <c r="X625" s="456"/>
      <c r="Y625" s="456"/>
      <c r="Z625" s="456"/>
    </row>
    <row r="626" spans="1:26" ht="11.25" customHeight="1">
      <c r="A626" s="456"/>
      <c r="B626" s="456"/>
      <c r="C626" s="456"/>
      <c r="D626" s="456"/>
      <c r="E626" s="456"/>
      <c r="F626" s="456"/>
      <c r="G626" s="456"/>
      <c r="H626" s="456"/>
      <c r="I626" s="456"/>
      <c r="J626" s="456"/>
      <c r="K626" s="456"/>
      <c r="L626" s="456"/>
      <c r="M626" s="456"/>
      <c r="N626" s="456"/>
      <c r="O626" s="456"/>
      <c r="P626" s="456"/>
      <c r="Q626" s="456"/>
      <c r="R626" s="456"/>
      <c r="S626" s="456"/>
      <c r="T626" s="456"/>
      <c r="U626" s="456"/>
      <c r="V626" s="456"/>
      <c r="W626" s="456"/>
      <c r="X626" s="456"/>
      <c r="Y626" s="456"/>
      <c r="Z626" s="456"/>
    </row>
    <row r="627" spans="1:26" ht="11.25" customHeight="1">
      <c r="A627" s="456"/>
      <c r="B627" s="456"/>
      <c r="C627" s="456"/>
      <c r="D627" s="456"/>
      <c r="E627" s="456"/>
      <c r="F627" s="456"/>
      <c r="G627" s="456"/>
      <c r="H627" s="456"/>
      <c r="I627" s="456"/>
      <c r="J627" s="456"/>
      <c r="K627" s="456"/>
      <c r="L627" s="456"/>
      <c r="M627" s="456"/>
      <c r="N627" s="456"/>
      <c r="O627" s="456"/>
      <c r="P627" s="456"/>
      <c r="Q627" s="456"/>
      <c r="R627" s="456"/>
      <c r="S627" s="456"/>
      <c r="T627" s="456"/>
      <c r="U627" s="456"/>
      <c r="V627" s="456"/>
      <c r="W627" s="456"/>
      <c r="X627" s="456"/>
      <c r="Y627" s="456"/>
      <c r="Z627" s="456"/>
    </row>
    <row r="628" spans="1:26" ht="11.25" customHeight="1">
      <c r="A628" s="456"/>
      <c r="B628" s="456"/>
      <c r="C628" s="456"/>
      <c r="D628" s="456"/>
      <c r="E628" s="456"/>
      <c r="F628" s="456"/>
      <c r="G628" s="456"/>
      <c r="H628" s="456"/>
      <c r="I628" s="456"/>
      <c r="J628" s="456"/>
      <c r="K628" s="456"/>
      <c r="L628" s="456"/>
      <c r="M628" s="456"/>
      <c r="N628" s="456"/>
      <c r="O628" s="456"/>
      <c r="P628" s="456"/>
      <c r="Q628" s="456"/>
      <c r="R628" s="456"/>
      <c r="S628" s="456"/>
      <c r="T628" s="456"/>
      <c r="U628" s="456"/>
      <c r="V628" s="456"/>
      <c r="W628" s="456"/>
      <c r="X628" s="456"/>
      <c r="Y628" s="456"/>
      <c r="Z628" s="456"/>
    </row>
    <row r="629" spans="1:26" ht="11.25" customHeight="1">
      <c r="A629" s="456"/>
      <c r="B629" s="456"/>
      <c r="C629" s="456"/>
      <c r="D629" s="456"/>
      <c r="E629" s="456"/>
      <c r="F629" s="456"/>
      <c r="G629" s="456"/>
      <c r="H629" s="456"/>
      <c r="I629" s="456"/>
      <c r="J629" s="456"/>
      <c r="K629" s="456"/>
      <c r="L629" s="456"/>
      <c r="M629" s="456"/>
      <c r="N629" s="456"/>
      <c r="O629" s="456"/>
      <c r="P629" s="456"/>
      <c r="Q629" s="456"/>
      <c r="R629" s="456"/>
      <c r="S629" s="456"/>
      <c r="T629" s="456"/>
      <c r="U629" s="456"/>
      <c r="V629" s="456"/>
      <c r="W629" s="456"/>
      <c r="X629" s="456"/>
      <c r="Y629" s="456"/>
      <c r="Z629" s="456"/>
    </row>
    <row r="630" spans="1:26" ht="11.25" customHeight="1">
      <c r="A630" s="456"/>
      <c r="B630" s="456"/>
      <c r="C630" s="456"/>
      <c r="D630" s="456"/>
      <c r="E630" s="456"/>
      <c r="F630" s="456"/>
      <c r="G630" s="456"/>
      <c r="H630" s="456"/>
      <c r="I630" s="456"/>
      <c r="J630" s="456"/>
      <c r="K630" s="456"/>
      <c r="L630" s="456"/>
      <c r="M630" s="456"/>
      <c r="N630" s="456"/>
      <c r="O630" s="456"/>
      <c r="P630" s="456"/>
      <c r="Q630" s="456"/>
      <c r="R630" s="456"/>
      <c r="S630" s="456"/>
      <c r="T630" s="456"/>
      <c r="U630" s="456"/>
      <c r="V630" s="456"/>
      <c r="W630" s="456"/>
      <c r="X630" s="456"/>
      <c r="Y630" s="456"/>
      <c r="Z630" s="456"/>
    </row>
    <row r="631" spans="1:26" ht="11.25" customHeight="1">
      <c r="A631" s="456"/>
      <c r="B631" s="456"/>
      <c r="C631" s="456"/>
      <c r="D631" s="456"/>
      <c r="E631" s="456"/>
      <c r="F631" s="456"/>
      <c r="G631" s="456"/>
      <c r="H631" s="456"/>
      <c r="I631" s="456"/>
      <c r="J631" s="456"/>
      <c r="K631" s="456"/>
      <c r="L631" s="456"/>
      <c r="M631" s="456"/>
      <c r="N631" s="456"/>
      <c r="O631" s="456"/>
      <c r="P631" s="456"/>
      <c r="Q631" s="456"/>
      <c r="R631" s="456"/>
      <c r="S631" s="456"/>
      <c r="T631" s="456"/>
      <c r="U631" s="456"/>
      <c r="V631" s="456"/>
      <c r="W631" s="456"/>
      <c r="X631" s="456"/>
      <c r="Y631" s="456"/>
      <c r="Z631" s="456"/>
    </row>
    <row r="632" spans="1:26" ht="11.25" customHeight="1">
      <c r="A632" s="456"/>
      <c r="B632" s="456"/>
      <c r="C632" s="456"/>
      <c r="D632" s="456"/>
      <c r="E632" s="456"/>
      <c r="F632" s="456"/>
      <c r="G632" s="456"/>
      <c r="H632" s="456"/>
      <c r="I632" s="456"/>
      <c r="J632" s="456"/>
      <c r="K632" s="456"/>
      <c r="L632" s="456"/>
      <c r="M632" s="456"/>
      <c r="N632" s="456"/>
      <c r="O632" s="456"/>
      <c r="P632" s="456"/>
      <c r="Q632" s="456"/>
      <c r="R632" s="456"/>
      <c r="S632" s="456"/>
      <c r="T632" s="456"/>
      <c r="U632" s="456"/>
      <c r="V632" s="456"/>
      <c r="W632" s="456"/>
      <c r="X632" s="456"/>
      <c r="Y632" s="456"/>
      <c r="Z632" s="456"/>
    </row>
    <row r="633" spans="1:26" ht="11.25" customHeight="1">
      <c r="A633" s="456"/>
      <c r="B633" s="456"/>
      <c r="C633" s="456"/>
      <c r="D633" s="456"/>
      <c r="E633" s="456"/>
      <c r="F633" s="456"/>
      <c r="G633" s="456"/>
      <c r="H633" s="456"/>
      <c r="I633" s="456"/>
      <c r="J633" s="456"/>
      <c r="K633" s="456"/>
      <c r="L633" s="456"/>
      <c r="M633" s="456"/>
      <c r="N633" s="456"/>
      <c r="O633" s="456"/>
      <c r="P633" s="456"/>
      <c r="Q633" s="456"/>
      <c r="R633" s="456"/>
      <c r="S633" s="456"/>
      <c r="T633" s="456"/>
      <c r="U633" s="456"/>
      <c r="V633" s="456"/>
      <c r="W633" s="456"/>
      <c r="X633" s="456"/>
      <c r="Y633" s="456"/>
      <c r="Z633" s="456"/>
    </row>
    <row r="634" spans="1:26" ht="11.25" customHeight="1">
      <c r="A634" s="456"/>
      <c r="B634" s="456"/>
      <c r="C634" s="456"/>
      <c r="D634" s="456"/>
      <c r="E634" s="456"/>
      <c r="F634" s="456"/>
      <c r="G634" s="456"/>
      <c r="H634" s="456"/>
      <c r="I634" s="456"/>
      <c r="J634" s="456"/>
      <c r="K634" s="456"/>
      <c r="L634" s="456"/>
      <c r="M634" s="456"/>
      <c r="N634" s="456"/>
      <c r="O634" s="456"/>
      <c r="P634" s="456"/>
      <c r="Q634" s="456"/>
      <c r="R634" s="456"/>
      <c r="S634" s="456"/>
      <c r="T634" s="456"/>
      <c r="U634" s="456"/>
      <c r="V634" s="456"/>
      <c r="W634" s="456"/>
      <c r="X634" s="456"/>
      <c r="Y634" s="456"/>
      <c r="Z634" s="456"/>
    </row>
    <row r="635" spans="1:26" ht="11.25" customHeight="1">
      <c r="A635" s="456"/>
      <c r="B635" s="456"/>
      <c r="C635" s="456"/>
      <c r="D635" s="456"/>
      <c r="E635" s="456"/>
      <c r="F635" s="456"/>
      <c r="G635" s="456"/>
      <c r="H635" s="456"/>
      <c r="I635" s="456"/>
      <c r="J635" s="456"/>
      <c r="K635" s="456"/>
      <c r="L635" s="456"/>
      <c r="M635" s="456"/>
      <c r="N635" s="456"/>
      <c r="O635" s="456"/>
      <c r="P635" s="456"/>
      <c r="Q635" s="456"/>
      <c r="R635" s="456"/>
      <c r="S635" s="456"/>
      <c r="T635" s="456"/>
      <c r="U635" s="456"/>
      <c r="V635" s="456"/>
      <c r="W635" s="456"/>
      <c r="X635" s="456"/>
      <c r="Y635" s="456"/>
      <c r="Z635" s="456"/>
    </row>
    <row r="636" spans="1:26" ht="11.25" customHeight="1">
      <c r="A636" s="456"/>
      <c r="B636" s="456"/>
      <c r="C636" s="456"/>
      <c r="D636" s="456"/>
      <c r="E636" s="456"/>
      <c r="F636" s="456"/>
      <c r="G636" s="456"/>
      <c r="H636" s="456"/>
      <c r="I636" s="456"/>
      <c r="J636" s="456"/>
      <c r="K636" s="456"/>
      <c r="L636" s="456"/>
      <c r="M636" s="456"/>
      <c r="N636" s="456"/>
      <c r="O636" s="456"/>
      <c r="P636" s="456"/>
      <c r="Q636" s="456"/>
      <c r="R636" s="456"/>
      <c r="S636" s="456"/>
      <c r="T636" s="456"/>
      <c r="U636" s="456"/>
      <c r="V636" s="456"/>
      <c r="W636" s="456"/>
      <c r="X636" s="456"/>
      <c r="Y636" s="456"/>
      <c r="Z636" s="456"/>
    </row>
    <row r="637" spans="1:26" ht="11.25" customHeight="1">
      <c r="A637" s="456"/>
      <c r="B637" s="456"/>
      <c r="C637" s="456"/>
      <c r="D637" s="456"/>
      <c r="E637" s="456"/>
      <c r="F637" s="456"/>
      <c r="G637" s="456"/>
      <c r="H637" s="456"/>
      <c r="I637" s="456"/>
      <c r="J637" s="456"/>
      <c r="K637" s="456"/>
      <c r="L637" s="456"/>
      <c r="M637" s="456"/>
      <c r="N637" s="456"/>
      <c r="O637" s="456"/>
      <c r="P637" s="456"/>
      <c r="Q637" s="456"/>
      <c r="R637" s="456"/>
      <c r="S637" s="456"/>
      <c r="T637" s="456"/>
      <c r="U637" s="456"/>
      <c r="V637" s="456"/>
      <c r="W637" s="456"/>
      <c r="X637" s="456"/>
      <c r="Y637" s="456"/>
      <c r="Z637" s="456"/>
    </row>
    <row r="638" spans="1:26" ht="11.25" customHeight="1">
      <c r="A638" s="456"/>
      <c r="B638" s="456"/>
      <c r="C638" s="456"/>
      <c r="D638" s="456"/>
      <c r="E638" s="456"/>
      <c r="F638" s="456"/>
      <c r="G638" s="456"/>
      <c r="H638" s="456"/>
      <c r="I638" s="456"/>
      <c r="J638" s="456"/>
      <c r="K638" s="456"/>
      <c r="L638" s="456"/>
      <c r="M638" s="456"/>
      <c r="N638" s="456"/>
      <c r="O638" s="456"/>
      <c r="P638" s="456"/>
      <c r="Q638" s="456"/>
      <c r="R638" s="456"/>
      <c r="S638" s="456"/>
      <c r="T638" s="456"/>
      <c r="U638" s="456"/>
      <c r="V638" s="456"/>
      <c r="W638" s="456"/>
      <c r="X638" s="456"/>
      <c r="Y638" s="456"/>
      <c r="Z638" s="456"/>
    </row>
    <row r="639" spans="1:26" ht="11.25" customHeight="1">
      <c r="A639" s="456"/>
      <c r="B639" s="456"/>
      <c r="C639" s="456"/>
      <c r="D639" s="456"/>
      <c r="E639" s="456"/>
      <c r="F639" s="456"/>
      <c r="G639" s="456"/>
      <c r="H639" s="456"/>
      <c r="I639" s="456"/>
      <c r="J639" s="456"/>
      <c r="K639" s="456"/>
      <c r="L639" s="456"/>
      <c r="M639" s="456"/>
      <c r="N639" s="456"/>
      <c r="O639" s="456"/>
      <c r="P639" s="456"/>
      <c r="Q639" s="456"/>
      <c r="R639" s="456"/>
      <c r="S639" s="456"/>
      <c r="T639" s="456"/>
      <c r="U639" s="456"/>
      <c r="V639" s="456"/>
      <c r="W639" s="456"/>
      <c r="X639" s="456"/>
      <c r="Y639" s="456"/>
      <c r="Z639" s="456"/>
    </row>
    <row r="640" spans="1:26" ht="11.25" customHeight="1">
      <c r="A640" s="456"/>
      <c r="B640" s="456"/>
      <c r="C640" s="456"/>
      <c r="D640" s="456"/>
      <c r="E640" s="456"/>
      <c r="F640" s="456"/>
      <c r="G640" s="456"/>
      <c r="H640" s="456"/>
      <c r="I640" s="456"/>
      <c r="J640" s="456"/>
      <c r="K640" s="456"/>
      <c r="L640" s="456"/>
      <c r="M640" s="456"/>
      <c r="N640" s="456"/>
      <c r="O640" s="456"/>
      <c r="P640" s="456"/>
      <c r="Q640" s="456"/>
      <c r="R640" s="456"/>
      <c r="S640" s="456"/>
      <c r="T640" s="456"/>
      <c r="U640" s="456"/>
      <c r="V640" s="456"/>
      <c r="W640" s="456"/>
      <c r="X640" s="456"/>
      <c r="Y640" s="456"/>
      <c r="Z640" s="456"/>
    </row>
    <row r="641" spans="1:26" ht="11.25" customHeight="1">
      <c r="A641" s="456"/>
      <c r="B641" s="456"/>
      <c r="C641" s="456"/>
      <c r="D641" s="456"/>
      <c r="E641" s="456"/>
      <c r="F641" s="456"/>
      <c r="G641" s="456"/>
      <c r="H641" s="456"/>
      <c r="I641" s="456"/>
      <c r="J641" s="456"/>
      <c r="K641" s="456"/>
      <c r="L641" s="456"/>
      <c r="M641" s="456"/>
      <c r="N641" s="456"/>
      <c r="O641" s="456"/>
      <c r="P641" s="456"/>
      <c r="Q641" s="456"/>
      <c r="R641" s="456"/>
      <c r="S641" s="456"/>
      <c r="T641" s="456"/>
      <c r="U641" s="456"/>
      <c r="V641" s="456"/>
      <c r="W641" s="456"/>
      <c r="X641" s="456"/>
      <c r="Y641" s="456"/>
      <c r="Z641" s="456"/>
    </row>
    <row r="642" spans="1:26" ht="11.25" customHeight="1">
      <c r="A642" s="456"/>
      <c r="B642" s="456"/>
      <c r="C642" s="456"/>
      <c r="D642" s="456"/>
      <c r="E642" s="456"/>
      <c r="F642" s="456"/>
      <c r="G642" s="456"/>
      <c r="H642" s="456"/>
      <c r="I642" s="456"/>
      <c r="J642" s="456"/>
      <c r="K642" s="456"/>
      <c r="L642" s="456"/>
      <c r="M642" s="456"/>
      <c r="N642" s="456"/>
      <c r="O642" s="456"/>
      <c r="P642" s="456"/>
      <c r="Q642" s="456"/>
      <c r="R642" s="456"/>
      <c r="S642" s="456"/>
      <c r="T642" s="456"/>
      <c r="U642" s="456"/>
      <c r="V642" s="456"/>
      <c r="W642" s="456"/>
      <c r="X642" s="456"/>
      <c r="Y642" s="456"/>
      <c r="Z642" s="456"/>
    </row>
    <row r="643" spans="1:26" ht="11.25" customHeight="1">
      <c r="A643" s="456"/>
      <c r="B643" s="456"/>
      <c r="C643" s="456"/>
      <c r="D643" s="456"/>
      <c r="E643" s="456"/>
      <c r="F643" s="456"/>
      <c r="G643" s="456"/>
      <c r="H643" s="456"/>
      <c r="I643" s="456"/>
      <c r="J643" s="456"/>
      <c r="K643" s="456"/>
      <c r="L643" s="456"/>
      <c r="M643" s="456"/>
      <c r="N643" s="456"/>
      <c r="O643" s="456"/>
      <c r="P643" s="456"/>
      <c r="Q643" s="456"/>
      <c r="R643" s="456"/>
      <c r="S643" s="456"/>
      <c r="T643" s="456"/>
      <c r="U643" s="456"/>
      <c r="V643" s="456"/>
      <c r="W643" s="456"/>
      <c r="X643" s="456"/>
      <c r="Y643" s="456"/>
      <c r="Z643" s="456"/>
    </row>
    <row r="644" spans="1:26" ht="11.25" customHeight="1">
      <c r="A644" s="456"/>
      <c r="B644" s="456"/>
      <c r="C644" s="456"/>
      <c r="D644" s="456"/>
      <c r="E644" s="456"/>
      <c r="F644" s="456"/>
      <c r="G644" s="456"/>
      <c r="H644" s="456"/>
      <c r="I644" s="456"/>
      <c r="J644" s="456"/>
      <c r="K644" s="456"/>
      <c r="L644" s="456"/>
      <c r="M644" s="456"/>
      <c r="N644" s="456"/>
      <c r="O644" s="456"/>
      <c r="P644" s="456"/>
      <c r="Q644" s="456"/>
      <c r="R644" s="456"/>
      <c r="S644" s="456"/>
      <c r="T644" s="456"/>
      <c r="U644" s="456"/>
      <c r="V644" s="456"/>
      <c r="W644" s="456"/>
      <c r="X644" s="456"/>
      <c r="Y644" s="456"/>
      <c r="Z644" s="456"/>
    </row>
    <row r="645" spans="1:26" ht="11.25" customHeight="1">
      <c r="A645" s="456"/>
      <c r="B645" s="456"/>
      <c r="C645" s="456"/>
      <c r="D645" s="456"/>
      <c r="E645" s="456"/>
      <c r="F645" s="456"/>
      <c r="G645" s="456"/>
      <c r="H645" s="456"/>
      <c r="I645" s="456"/>
      <c r="J645" s="456"/>
      <c r="K645" s="456"/>
      <c r="L645" s="456"/>
      <c r="M645" s="456"/>
      <c r="N645" s="456"/>
      <c r="O645" s="456"/>
      <c r="P645" s="456"/>
      <c r="Q645" s="456"/>
      <c r="R645" s="456"/>
      <c r="S645" s="456"/>
      <c r="T645" s="456"/>
      <c r="U645" s="456"/>
      <c r="V645" s="456"/>
      <c r="W645" s="456"/>
      <c r="X645" s="456"/>
      <c r="Y645" s="456"/>
      <c r="Z645" s="456"/>
    </row>
    <row r="646" spans="1:26" ht="11.25" customHeight="1">
      <c r="A646" s="456"/>
      <c r="B646" s="456"/>
      <c r="C646" s="456"/>
      <c r="D646" s="456"/>
      <c r="E646" s="456"/>
      <c r="F646" s="456"/>
      <c r="G646" s="456"/>
      <c r="H646" s="456"/>
      <c r="I646" s="456"/>
      <c r="J646" s="456"/>
      <c r="K646" s="456"/>
      <c r="L646" s="456"/>
      <c r="M646" s="456"/>
      <c r="N646" s="456"/>
      <c r="O646" s="456"/>
      <c r="P646" s="456"/>
      <c r="Q646" s="456"/>
      <c r="R646" s="456"/>
      <c r="S646" s="456"/>
      <c r="T646" s="456"/>
      <c r="U646" s="456"/>
      <c r="V646" s="456"/>
      <c r="W646" s="456"/>
      <c r="X646" s="456"/>
      <c r="Y646" s="456"/>
      <c r="Z646" s="456"/>
    </row>
    <row r="647" spans="1:26" ht="11.25" customHeight="1">
      <c r="A647" s="456"/>
      <c r="B647" s="456"/>
      <c r="C647" s="456"/>
      <c r="D647" s="456"/>
      <c r="E647" s="456"/>
      <c r="F647" s="456"/>
      <c r="G647" s="456"/>
      <c r="H647" s="456"/>
      <c r="I647" s="456"/>
      <c r="J647" s="456"/>
      <c r="K647" s="456"/>
      <c r="L647" s="456"/>
      <c r="M647" s="456"/>
      <c r="N647" s="456"/>
      <c r="O647" s="456"/>
      <c r="P647" s="456"/>
      <c r="Q647" s="456"/>
      <c r="R647" s="456"/>
      <c r="S647" s="456"/>
      <c r="T647" s="456"/>
      <c r="U647" s="456"/>
      <c r="V647" s="456"/>
      <c r="W647" s="456"/>
      <c r="X647" s="456"/>
      <c r="Y647" s="456"/>
      <c r="Z647" s="456"/>
    </row>
    <row r="648" spans="1:26" ht="11.25" customHeight="1">
      <c r="A648" s="456"/>
      <c r="B648" s="456"/>
      <c r="C648" s="456"/>
      <c r="D648" s="456"/>
      <c r="E648" s="456"/>
      <c r="F648" s="456"/>
      <c r="G648" s="456"/>
      <c r="H648" s="456"/>
      <c r="I648" s="456"/>
      <c r="J648" s="456"/>
      <c r="K648" s="456"/>
      <c r="L648" s="456"/>
      <c r="M648" s="456"/>
      <c r="N648" s="456"/>
      <c r="O648" s="456"/>
      <c r="P648" s="456"/>
      <c r="Q648" s="456"/>
      <c r="R648" s="456"/>
      <c r="S648" s="456"/>
      <c r="T648" s="456"/>
      <c r="U648" s="456"/>
      <c r="V648" s="456"/>
      <c r="W648" s="456"/>
      <c r="X648" s="456"/>
      <c r="Y648" s="456"/>
      <c r="Z648" s="456"/>
    </row>
    <row r="649" spans="1:26" ht="11.25" customHeight="1">
      <c r="A649" s="456"/>
      <c r="B649" s="456"/>
      <c r="C649" s="456"/>
      <c r="D649" s="456"/>
      <c r="E649" s="456"/>
      <c r="F649" s="456"/>
      <c r="G649" s="456"/>
      <c r="H649" s="456"/>
      <c r="I649" s="456"/>
      <c r="J649" s="456"/>
      <c r="K649" s="456"/>
      <c r="L649" s="456"/>
      <c r="M649" s="456"/>
      <c r="N649" s="456"/>
      <c r="O649" s="456"/>
      <c r="P649" s="456"/>
      <c r="Q649" s="456"/>
      <c r="R649" s="456"/>
      <c r="S649" s="456"/>
      <c r="T649" s="456"/>
      <c r="U649" s="456"/>
      <c r="V649" s="456"/>
      <c r="W649" s="456"/>
      <c r="X649" s="456"/>
      <c r="Y649" s="456"/>
      <c r="Z649" s="456"/>
    </row>
    <row r="650" spans="1:26" ht="11.25" customHeight="1">
      <c r="A650" s="456"/>
      <c r="B650" s="456"/>
      <c r="C650" s="456"/>
      <c r="D650" s="456"/>
      <c r="E650" s="456"/>
      <c r="F650" s="456"/>
      <c r="G650" s="456"/>
      <c r="H650" s="456"/>
      <c r="I650" s="456"/>
      <c r="J650" s="456"/>
      <c r="K650" s="456"/>
      <c r="L650" s="456"/>
      <c r="M650" s="456"/>
      <c r="N650" s="456"/>
      <c r="O650" s="456"/>
      <c r="P650" s="456"/>
      <c r="Q650" s="456"/>
      <c r="R650" s="456"/>
      <c r="S650" s="456"/>
      <c r="T650" s="456"/>
      <c r="U650" s="456"/>
      <c r="V650" s="456"/>
      <c r="W650" s="456"/>
      <c r="X650" s="456"/>
      <c r="Y650" s="456"/>
      <c r="Z650" s="456"/>
    </row>
    <row r="651" spans="1:26" ht="11.25" customHeight="1">
      <c r="A651" s="456"/>
      <c r="B651" s="456"/>
      <c r="C651" s="456"/>
      <c r="D651" s="456"/>
      <c r="E651" s="456"/>
      <c r="F651" s="456"/>
      <c r="G651" s="456"/>
      <c r="H651" s="456"/>
      <c r="I651" s="456"/>
      <c r="J651" s="456"/>
      <c r="K651" s="456"/>
      <c r="L651" s="456"/>
      <c r="M651" s="456"/>
      <c r="N651" s="456"/>
      <c r="O651" s="456"/>
      <c r="P651" s="456"/>
      <c r="Q651" s="456"/>
      <c r="R651" s="456"/>
      <c r="S651" s="456"/>
      <c r="T651" s="456"/>
      <c r="U651" s="456"/>
      <c r="V651" s="456"/>
      <c r="W651" s="456"/>
      <c r="X651" s="456"/>
      <c r="Y651" s="456"/>
      <c r="Z651" s="456"/>
    </row>
    <row r="652" spans="1:26" ht="11.25" customHeight="1">
      <c r="A652" s="456"/>
      <c r="B652" s="456"/>
      <c r="C652" s="456"/>
      <c r="D652" s="456"/>
      <c r="E652" s="456"/>
      <c r="F652" s="456"/>
      <c r="G652" s="456"/>
      <c r="H652" s="456"/>
      <c r="I652" s="456"/>
      <c r="J652" s="456"/>
      <c r="K652" s="456"/>
      <c r="L652" s="456"/>
      <c r="M652" s="456"/>
      <c r="N652" s="456"/>
      <c r="O652" s="456"/>
      <c r="P652" s="456"/>
      <c r="Q652" s="456"/>
      <c r="R652" s="456"/>
      <c r="S652" s="456"/>
      <c r="T652" s="456"/>
      <c r="U652" s="456"/>
      <c r="V652" s="456"/>
      <c r="W652" s="456"/>
      <c r="X652" s="456"/>
      <c r="Y652" s="456"/>
      <c r="Z652" s="456"/>
    </row>
    <row r="653" spans="1:26" ht="11.25" customHeight="1">
      <c r="A653" s="456"/>
      <c r="B653" s="456"/>
      <c r="C653" s="456"/>
      <c r="D653" s="456"/>
      <c r="E653" s="456"/>
      <c r="F653" s="456"/>
      <c r="G653" s="456"/>
      <c r="H653" s="456"/>
      <c r="I653" s="456"/>
      <c r="J653" s="456"/>
      <c r="K653" s="456"/>
      <c r="L653" s="456"/>
      <c r="M653" s="456"/>
      <c r="N653" s="456"/>
      <c r="O653" s="456"/>
      <c r="P653" s="456"/>
      <c r="Q653" s="456"/>
      <c r="R653" s="456"/>
      <c r="S653" s="456"/>
      <c r="T653" s="456"/>
      <c r="U653" s="456"/>
      <c r="V653" s="456"/>
      <c r="W653" s="456"/>
      <c r="X653" s="456"/>
      <c r="Y653" s="456"/>
      <c r="Z653" s="456"/>
    </row>
    <row r="654" spans="1:26" ht="11.25" customHeight="1">
      <c r="A654" s="456"/>
      <c r="B654" s="456"/>
      <c r="C654" s="456"/>
      <c r="D654" s="456"/>
      <c r="E654" s="456"/>
      <c r="F654" s="456"/>
      <c r="G654" s="456"/>
      <c r="H654" s="456"/>
      <c r="I654" s="456"/>
      <c r="J654" s="456"/>
      <c r="K654" s="456"/>
      <c r="L654" s="456"/>
      <c r="M654" s="456"/>
      <c r="N654" s="456"/>
      <c r="O654" s="456"/>
      <c r="P654" s="456"/>
      <c r="Q654" s="456"/>
      <c r="R654" s="456"/>
      <c r="S654" s="456"/>
      <c r="T654" s="456"/>
      <c r="U654" s="456"/>
      <c r="V654" s="456"/>
      <c r="W654" s="456"/>
      <c r="X654" s="456"/>
      <c r="Y654" s="456"/>
      <c r="Z654" s="456"/>
    </row>
    <row r="655" spans="1:26" ht="11.25" customHeight="1">
      <c r="A655" s="456"/>
      <c r="B655" s="456"/>
      <c r="C655" s="456"/>
      <c r="D655" s="456"/>
      <c r="E655" s="456"/>
      <c r="F655" s="456"/>
      <c r="G655" s="456"/>
      <c r="H655" s="456"/>
      <c r="I655" s="456"/>
      <c r="J655" s="456"/>
      <c r="K655" s="456"/>
      <c r="L655" s="456"/>
      <c r="M655" s="456"/>
      <c r="N655" s="456"/>
      <c r="O655" s="456"/>
      <c r="P655" s="456"/>
      <c r="Q655" s="456"/>
      <c r="R655" s="456"/>
      <c r="S655" s="456"/>
      <c r="T655" s="456"/>
      <c r="U655" s="456"/>
      <c r="V655" s="456"/>
      <c r="W655" s="456"/>
      <c r="X655" s="456"/>
      <c r="Y655" s="456"/>
      <c r="Z655" s="456"/>
    </row>
    <row r="656" spans="1:26" ht="11.25" customHeight="1">
      <c r="A656" s="456"/>
      <c r="B656" s="456"/>
      <c r="C656" s="456"/>
      <c r="D656" s="456"/>
      <c r="E656" s="456"/>
      <c r="F656" s="456"/>
      <c r="G656" s="456"/>
      <c r="H656" s="456"/>
      <c r="I656" s="456"/>
      <c r="J656" s="456"/>
      <c r="K656" s="456"/>
      <c r="L656" s="456"/>
      <c r="M656" s="456"/>
      <c r="N656" s="456"/>
      <c r="O656" s="456"/>
      <c r="P656" s="456"/>
      <c r="Q656" s="456"/>
      <c r="R656" s="456"/>
      <c r="S656" s="456"/>
      <c r="T656" s="456"/>
      <c r="U656" s="456"/>
      <c r="V656" s="456"/>
      <c r="W656" s="456"/>
      <c r="X656" s="456"/>
      <c r="Y656" s="456"/>
      <c r="Z656" s="456"/>
    </row>
    <row r="657" spans="1:26" ht="11.25" customHeight="1">
      <c r="A657" s="456"/>
      <c r="B657" s="456"/>
      <c r="C657" s="456"/>
      <c r="D657" s="456"/>
      <c r="E657" s="456"/>
      <c r="F657" s="456"/>
      <c r="G657" s="456"/>
      <c r="H657" s="456"/>
      <c r="I657" s="456"/>
      <c r="J657" s="456"/>
      <c r="K657" s="456"/>
      <c r="L657" s="456"/>
      <c r="M657" s="456"/>
      <c r="N657" s="456"/>
      <c r="O657" s="456"/>
      <c r="P657" s="456"/>
      <c r="Q657" s="456"/>
      <c r="R657" s="456"/>
      <c r="S657" s="456"/>
      <c r="T657" s="456"/>
      <c r="U657" s="456"/>
      <c r="V657" s="456"/>
      <c r="W657" s="456"/>
      <c r="X657" s="456"/>
      <c r="Y657" s="456"/>
      <c r="Z657" s="456"/>
    </row>
    <row r="658" spans="1:26" ht="11.25" customHeight="1">
      <c r="A658" s="456"/>
      <c r="B658" s="456"/>
      <c r="C658" s="456"/>
      <c r="D658" s="456"/>
      <c r="E658" s="456"/>
      <c r="F658" s="456"/>
      <c r="G658" s="456"/>
      <c r="H658" s="456"/>
      <c r="I658" s="456"/>
      <c r="J658" s="456"/>
      <c r="K658" s="456"/>
      <c r="L658" s="456"/>
      <c r="M658" s="456"/>
      <c r="N658" s="456"/>
      <c r="O658" s="456"/>
      <c r="P658" s="456"/>
      <c r="Q658" s="456"/>
      <c r="R658" s="456"/>
      <c r="S658" s="456"/>
      <c r="T658" s="456"/>
      <c r="U658" s="456"/>
      <c r="V658" s="456"/>
      <c r="W658" s="456"/>
      <c r="X658" s="456"/>
      <c r="Y658" s="456"/>
      <c r="Z658" s="456"/>
    </row>
    <row r="659" spans="1:26" ht="11.25" customHeight="1">
      <c r="A659" s="456"/>
      <c r="B659" s="456"/>
      <c r="C659" s="456"/>
      <c r="D659" s="456"/>
      <c r="E659" s="456"/>
      <c r="F659" s="456"/>
      <c r="G659" s="456"/>
      <c r="H659" s="456"/>
      <c r="I659" s="456"/>
      <c r="J659" s="456"/>
      <c r="K659" s="456"/>
      <c r="L659" s="456"/>
      <c r="M659" s="456"/>
      <c r="N659" s="456"/>
      <c r="O659" s="456"/>
      <c r="P659" s="456"/>
      <c r="Q659" s="456"/>
      <c r="R659" s="456"/>
      <c r="S659" s="456"/>
      <c r="T659" s="456"/>
      <c r="U659" s="456"/>
      <c r="V659" s="456"/>
      <c r="W659" s="456"/>
      <c r="X659" s="456"/>
      <c r="Y659" s="456"/>
      <c r="Z659" s="456"/>
    </row>
    <row r="660" spans="1:26" ht="11.25" customHeight="1">
      <c r="A660" s="456"/>
      <c r="B660" s="456"/>
      <c r="C660" s="456"/>
      <c r="D660" s="456"/>
      <c r="E660" s="456"/>
      <c r="F660" s="456"/>
      <c r="G660" s="456"/>
      <c r="H660" s="456"/>
      <c r="I660" s="456"/>
      <c r="J660" s="456"/>
      <c r="K660" s="456"/>
      <c r="L660" s="456"/>
      <c r="M660" s="456"/>
      <c r="N660" s="456"/>
      <c r="O660" s="456"/>
      <c r="P660" s="456"/>
      <c r="Q660" s="456"/>
      <c r="R660" s="456"/>
      <c r="S660" s="456"/>
      <c r="T660" s="456"/>
      <c r="U660" s="456"/>
      <c r="V660" s="456"/>
      <c r="W660" s="456"/>
      <c r="X660" s="456"/>
      <c r="Y660" s="456"/>
      <c r="Z660" s="456"/>
    </row>
    <row r="661" spans="1:26" ht="11.25" customHeight="1">
      <c r="A661" s="456"/>
      <c r="B661" s="456"/>
      <c r="C661" s="456"/>
      <c r="D661" s="456"/>
      <c r="E661" s="456"/>
      <c r="F661" s="456"/>
      <c r="G661" s="456"/>
      <c r="H661" s="456"/>
      <c r="I661" s="456"/>
      <c r="J661" s="456"/>
      <c r="K661" s="456"/>
      <c r="L661" s="456"/>
      <c r="M661" s="456"/>
      <c r="N661" s="456"/>
      <c r="O661" s="456"/>
      <c r="P661" s="456"/>
      <c r="Q661" s="456"/>
      <c r="R661" s="456"/>
      <c r="S661" s="456"/>
      <c r="T661" s="456"/>
      <c r="U661" s="456"/>
      <c r="V661" s="456"/>
      <c r="W661" s="456"/>
      <c r="X661" s="456"/>
      <c r="Y661" s="456"/>
      <c r="Z661" s="456"/>
    </row>
    <row r="662" spans="1:26" ht="11.25" customHeight="1">
      <c r="A662" s="456"/>
      <c r="B662" s="456"/>
      <c r="C662" s="456"/>
      <c r="D662" s="456"/>
      <c r="E662" s="456"/>
      <c r="F662" s="456"/>
      <c r="G662" s="456"/>
      <c r="H662" s="456"/>
      <c r="I662" s="456"/>
      <c r="J662" s="456"/>
      <c r="K662" s="456"/>
      <c r="L662" s="456"/>
      <c r="M662" s="456"/>
      <c r="N662" s="456"/>
      <c r="O662" s="456"/>
      <c r="P662" s="456"/>
      <c r="Q662" s="456"/>
      <c r="R662" s="456"/>
      <c r="S662" s="456"/>
      <c r="T662" s="456"/>
      <c r="U662" s="456"/>
      <c r="V662" s="456"/>
      <c r="W662" s="456"/>
      <c r="X662" s="456"/>
      <c r="Y662" s="456"/>
      <c r="Z662" s="456"/>
    </row>
    <row r="663" spans="1:26" ht="11.25" customHeight="1">
      <c r="A663" s="456"/>
      <c r="B663" s="456"/>
      <c r="C663" s="456"/>
      <c r="D663" s="456"/>
      <c r="E663" s="456"/>
      <c r="F663" s="456"/>
      <c r="G663" s="456"/>
      <c r="H663" s="456"/>
      <c r="I663" s="456"/>
      <c r="J663" s="456"/>
      <c r="K663" s="456"/>
      <c r="L663" s="456"/>
      <c r="M663" s="456"/>
      <c r="N663" s="456"/>
      <c r="O663" s="456"/>
      <c r="P663" s="456"/>
      <c r="Q663" s="456"/>
      <c r="R663" s="456"/>
      <c r="S663" s="456"/>
      <c r="T663" s="456"/>
      <c r="U663" s="456"/>
      <c r="V663" s="456"/>
      <c r="W663" s="456"/>
      <c r="X663" s="456"/>
      <c r="Y663" s="456"/>
      <c r="Z663" s="456"/>
    </row>
    <row r="664" spans="1:26" ht="11.25" customHeight="1">
      <c r="A664" s="456"/>
      <c r="B664" s="456"/>
      <c r="C664" s="456"/>
      <c r="D664" s="456"/>
      <c r="E664" s="456"/>
      <c r="F664" s="456"/>
      <c r="G664" s="456"/>
      <c r="H664" s="456"/>
      <c r="I664" s="456"/>
      <c r="J664" s="456"/>
      <c r="K664" s="456"/>
      <c r="L664" s="456"/>
      <c r="M664" s="456"/>
      <c r="N664" s="456"/>
      <c r="O664" s="456"/>
      <c r="P664" s="456"/>
      <c r="Q664" s="456"/>
      <c r="R664" s="456"/>
      <c r="S664" s="456"/>
      <c r="T664" s="456"/>
      <c r="U664" s="456"/>
      <c r="V664" s="456"/>
      <c r="W664" s="456"/>
      <c r="X664" s="456"/>
      <c r="Y664" s="456"/>
      <c r="Z664" s="456"/>
    </row>
    <row r="665" spans="1:26" ht="11.25" customHeight="1">
      <c r="A665" s="456"/>
      <c r="B665" s="456"/>
      <c r="C665" s="456"/>
      <c r="D665" s="456"/>
      <c r="E665" s="456"/>
      <c r="F665" s="456"/>
      <c r="G665" s="456"/>
      <c r="H665" s="456"/>
      <c r="I665" s="456"/>
      <c r="J665" s="456"/>
      <c r="K665" s="456"/>
      <c r="L665" s="456"/>
      <c r="M665" s="456"/>
      <c r="N665" s="456"/>
      <c r="O665" s="456"/>
      <c r="P665" s="456"/>
      <c r="Q665" s="456"/>
      <c r="R665" s="456"/>
      <c r="S665" s="456"/>
      <c r="T665" s="456"/>
      <c r="U665" s="456"/>
      <c r="V665" s="456"/>
      <c r="W665" s="456"/>
      <c r="X665" s="456"/>
      <c r="Y665" s="456"/>
      <c r="Z665" s="456"/>
    </row>
    <row r="666" spans="1:26" ht="11.25" customHeight="1">
      <c r="A666" s="456"/>
      <c r="B666" s="456"/>
      <c r="C666" s="456"/>
      <c r="D666" s="456"/>
      <c r="E666" s="456"/>
      <c r="F666" s="456"/>
      <c r="G666" s="456"/>
      <c r="H666" s="456"/>
      <c r="I666" s="456"/>
      <c r="J666" s="456"/>
      <c r="K666" s="456"/>
      <c r="L666" s="456"/>
      <c r="M666" s="456"/>
      <c r="N666" s="456"/>
      <c r="O666" s="456"/>
      <c r="P666" s="456"/>
      <c r="Q666" s="456"/>
      <c r="R666" s="456"/>
      <c r="S666" s="456"/>
      <c r="T666" s="456"/>
      <c r="U666" s="456"/>
      <c r="V666" s="456"/>
      <c r="W666" s="456"/>
      <c r="X666" s="456"/>
      <c r="Y666" s="456"/>
      <c r="Z666" s="456"/>
    </row>
    <row r="667" spans="1:26" ht="11.25" customHeight="1">
      <c r="A667" s="456"/>
      <c r="B667" s="456"/>
      <c r="C667" s="456"/>
      <c r="D667" s="456"/>
      <c r="E667" s="456"/>
      <c r="F667" s="456"/>
      <c r="G667" s="456"/>
      <c r="H667" s="456"/>
      <c r="I667" s="456"/>
      <c r="J667" s="456"/>
      <c r="K667" s="456"/>
      <c r="L667" s="456"/>
      <c r="M667" s="456"/>
      <c r="N667" s="456"/>
      <c r="O667" s="456"/>
      <c r="P667" s="456"/>
      <c r="Q667" s="456"/>
      <c r="R667" s="456"/>
      <c r="S667" s="456"/>
      <c r="T667" s="456"/>
      <c r="U667" s="456"/>
      <c r="V667" s="456"/>
      <c r="W667" s="456"/>
      <c r="X667" s="456"/>
      <c r="Y667" s="456"/>
      <c r="Z667" s="456"/>
    </row>
    <row r="668" spans="1:26" ht="11.25" customHeight="1">
      <c r="A668" s="456"/>
      <c r="B668" s="456"/>
      <c r="C668" s="456"/>
      <c r="D668" s="456"/>
      <c r="E668" s="456"/>
      <c r="F668" s="456"/>
      <c r="G668" s="456"/>
      <c r="H668" s="456"/>
      <c r="I668" s="456"/>
      <c r="J668" s="456"/>
      <c r="K668" s="456"/>
      <c r="L668" s="456"/>
      <c r="M668" s="456"/>
      <c r="N668" s="456"/>
      <c r="O668" s="456"/>
      <c r="P668" s="456"/>
      <c r="Q668" s="456"/>
      <c r="R668" s="456"/>
      <c r="S668" s="456"/>
      <c r="T668" s="456"/>
      <c r="U668" s="456"/>
      <c r="V668" s="456"/>
      <c r="W668" s="456"/>
      <c r="X668" s="456"/>
      <c r="Y668" s="456"/>
      <c r="Z668" s="456"/>
    </row>
    <row r="669" spans="1:26" ht="11.25" customHeight="1">
      <c r="A669" s="456"/>
      <c r="B669" s="456"/>
      <c r="C669" s="456"/>
      <c r="D669" s="456"/>
      <c r="E669" s="456"/>
      <c r="F669" s="456"/>
      <c r="G669" s="456"/>
      <c r="H669" s="456"/>
      <c r="I669" s="456"/>
      <c r="J669" s="456"/>
      <c r="K669" s="456"/>
      <c r="L669" s="456"/>
      <c r="M669" s="456"/>
      <c r="N669" s="456"/>
      <c r="O669" s="456"/>
      <c r="P669" s="456"/>
      <c r="Q669" s="456"/>
      <c r="R669" s="456"/>
      <c r="S669" s="456"/>
      <c r="T669" s="456"/>
      <c r="U669" s="456"/>
      <c r="V669" s="456"/>
      <c r="W669" s="456"/>
      <c r="X669" s="456"/>
      <c r="Y669" s="456"/>
      <c r="Z669" s="456"/>
    </row>
    <row r="670" spans="1:26" ht="11.25" customHeight="1">
      <c r="A670" s="456"/>
      <c r="B670" s="456"/>
      <c r="C670" s="456"/>
      <c r="D670" s="456"/>
      <c r="E670" s="456"/>
      <c r="F670" s="456"/>
      <c r="G670" s="456"/>
      <c r="H670" s="456"/>
      <c r="I670" s="456"/>
      <c r="J670" s="456"/>
      <c r="K670" s="456"/>
      <c r="L670" s="456"/>
      <c r="M670" s="456"/>
      <c r="N670" s="456"/>
      <c r="O670" s="456"/>
      <c r="P670" s="456"/>
      <c r="Q670" s="456"/>
      <c r="R670" s="456"/>
      <c r="S670" s="456"/>
      <c r="T670" s="456"/>
      <c r="U670" s="456"/>
      <c r="V670" s="456"/>
      <c r="W670" s="456"/>
      <c r="X670" s="456"/>
      <c r="Y670" s="456"/>
      <c r="Z670" s="456"/>
    </row>
    <row r="671" spans="1:26" ht="11.25" customHeight="1">
      <c r="A671" s="456"/>
      <c r="B671" s="456"/>
      <c r="C671" s="456"/>
      <c r="D671" s="456"/>
      <c r="E671" s="456"/>
      <c r="F671" s="456"/>
      <c r="G671" s="456"/>
      <c r="H671" s="456"/>
      <c r="I671" s="456"/>
      <c r="J671" s="456"/>
      <c r="K671" s="456"/>
      <c r="L671" s="456"/>
      <c r="M671" s="456"/>
      <c r="N671" s="456"/>
      <c r="O671" s="456"/>
      <c r="P671" s="456"/>
      <c r="Q671" s="456"/>
      <c r="R671" s="456"/>
      <c r="S671" s="456"/>
      <c r="T671" s="456"/>
      <c r="U671" s="456"/>
      <c r="V671" s="456"/>
      <c r="W671" s="456"/>
      <c r="X671" s="456"/>
      <c r="Y671" s="456"/>
      <c r="Z671" s="456"/>
    </row>
    <row r="672" spans="1:26" ht="11.25" customHeight="1">
      <c r="A672" s="456"/>
      <c r="B672" s="456"/>
      <c r="C672" s="456"/>
      <c r="D672" s="456"/>
      <c r="E672" s="456"/>
      <c r="F672" s="456"/>
      <c r="G672" s="456"/>
      <c r="H672" s="456"/>
      <c r="I672" s="456"/>
      <c r="J672" s="456"/>
      <c r="K672" s="456"/>
      <c r="L672" s="456"/>
      <c r="M672" s="456"/>
      <c r="N672" s="456"/>
      <c r="O672" s="456"/>
      <c r="P672" s="456"/>
      <c r="Q672" s="456"/>
      <c r="R672" s="456"/>
      <c r="S672" s="456"/>
      <c r="T672" s="456"/>
      <c r="U672" s="456"/>
      <c r="V672" s="456"/>
      <c r="W672" s="456"/>
      <c r="X672" s="456"/>
      <c r="Y672" s="456"/>
      <c r="Z672" s="456"/>
    </row>
    <row r="673" spans="1:26" ht="11.25" customHeight="1">
      <c r="A673" s="456"/>
      <c r="B673" s="456"/>
      <c r="C673" s="456"/>
      <c r="D673" s="456"/>
      <c r="E673" s="456"/>
      <c r="F673" s="456"/>
      <c r="G673" s="456"/>
      <c r="H673" s="456"/>
      <c r="I673" s="456"/>
      <c r="J673" s="456"/>
      <c r="K673" s="456"/>
      <c r="L673" s="456"/>
      <c r="M673" s="456"/>
      <c r="N673" s="456"/>
      <c r="O673" s="456"/>
      <c r="P673" s="456"/>
      <c r="Q673" s="456"/>
      <c r="R673" s="456"/>
      <c r="S673" s="456"/>
      <c r="T673" s="456"/>
      <c r="U673" s="456"/>
      <c r="V673" s="456"/>
      <c r="W673" s="456"/>
      <c r="X673" s="456"/>
      <c r="Y673" s="456"/>
      <c r="Z673" s="456"/>
    </row>
    <row r="674" spans="1:26" ht="11.25" customHeight="1">
      <c r="A674" s="456"/>
      <c r="B674" s="456"/>
      <c r="C674" s="456"/>
      <c r="D674" s="456"/>
      <c r="E674" s="456"/>
      <c r="F674" s="456"/>
      <c r="G674" s="456"/>
      <c r="H674" s="456"/>
      <c r="I674" s="456"/>
      <c r="J674" s="456"/>
      <c r="K674" s="456"/>
      <c r="L674" s="456"/>
      <c r="M674" s="456"/>
      <c r="N674" s="456"/>
      <c r="O674" s="456"/>
      <c r="P674" s="456"/>
      <c r="Q674" s="456"/>
      <c r="R674" s="456"/>
      <c r="S674" s="456"/>
      <c r="T674" s="456"/>
      <c r="U674" s="456"/>
      <c r="V674" s="456"/>
      <c r="W674" s="456"/>
      <c r="X674" s="456"/>
      <c r="Y674" s="456"/>
      <c r="Z674" s="456"/>
    </row>
    <row r="675" spans="1:26" ht="11.25" customHeight="1">
      <c r="A675" s="456"/>
      <c r="B675" s="456"/>
      <c r="C675" s="456"/>
      <c r="D675" s="456"/>
      <c r="E675" s="456"/>
      <c r="F675" s="456"/>
      <c r="G675" s="456"/>
      <c r="H675" s="456"/>
      <c r="I675" s="456"/>
      <c r="J675" s="456"/>
      <c r="K675" s="456"/>
      <c r="L675" s="456"/>
      <c r="M675" s="456"/>
      <c r="N675" s="456"/>
      <c r="O675" s="456"/>
      <c r="P675" s="456"/>
      <c r="Q675" s="456"/>
      <c r="R675" s="456"/>
      <c r="S675" s="456"/>
      <c r="T675" s="456"/>
      <c r="U675" s="456"/>
      <c r="V675" s="456"/>
      <c r="W675" s="456"/>
      <c r="X675" s="456"/>
      <c r="Y675" s="456"/>
      <c r="Z675" s="456"/>
    </row>
    <row r="676" spans="1:26" ht="11.25" customHeight="1">
      <c r="A676" s="456"/>
      <c r="B676" s="456"/>
      <c r="C676" s="456"/>
      <c r="D676" s="456"/>
      <c r="E676" s="456"/>
      <c r="F676" s="456"/>
      <c r="G676" s="456"/>
      <c r="H676" s="456"/>
      <c r="I676" s="456"/>
      <c r="J676" s="456"/>
      <c r="K676" s="456"/>
      <c r="L676" s="456"/>
      <c r="M676" s="456"/>
      <c r="N676" s="456"/>
      <c r="O676" s="456"/>
      <c r="P676" s="456"/>
      <c r="Q676" s="456"/>
      <c r="R676" s="456"/>
      <c r="S676" s="456"/>
      <c r="T676" s="456"/>
      <c r="U676" s="456"/>
      <c r="V676" s="456"/>
      <c r="W676" s="456"/>
      <c r="X676" s="456"/>
      <c r="Y676" s="456"/>
      <c r="Z676" s="456"/>
    </row>
    <row r="677" spans="1:26" ht="11.25" customHeight="1">
      <c r="A677" s="456"/>
      <c r="B677" s="456"/>
      <c r="C677" s="456"/>
      <c r="D677" s="456"/>
      <c r="E677" s="456"/>
      <c r="F677" s="456"/>
      <c r="G677" s="456"/>
      <c r="H677" s="456"/>
      <c r="I677" s="456"/>
      <c r="J677" s="456"/>
      <c r="K677" s="456"/>
      <c r="L677" s="456"/>
      <c r="M677" s="456"/>
      <c r="N677" s="456"/>
      <c r="O677" s="456"/>
      <c r="P677" s="456"/>
      <c r="Q677" s="456"/>
      <c r="R677" s="456"/>
      <c r="S677" s="456"/>
      <c r="T677" s="456"/>
      <c r="U677" s="456"/>
      <c r="V677" s="456"/>
      <c r="W677" s="456"/>
      <c r="X677" s="456"/>
      <c r="Y677" s="456"/>
      <c r="Z677" s="456"/>
    </row>
    <row r="678" spans="1:26" ht="11.25" customHeight="1">
      <c r="A678" s="456"/>
      <c r="B678" s="456"/>
      <c r="C678" s="456"/>
      <c r="D678" s="456"/>
      <c r="E678" s="456"/>
      <c r="F678" s="456"/>
      <c r="G678" s="456"/>
      <c r="H678" s="456"/>
      <c r="I678" s="456"/>
      <c r="J678" s="456"/>
      <c r="K678" s="456"/>
      <c r="L678" s="456"/>
      <c r="M678" s="456"/>
      <c r="N678" s="456"/>
      <c r="O678" s="456"/>
      <c r="P678" s="456"/>
      <c r="Q678" s="456"/>
      <c r="R678" s="456"/>
      <c r="S678" s="456"/>
      <c r="T678" s="456"/>
      <c r="U678" s="456"/>
      <c r="V678" s="456"/>
      <c r="W678" s="456"/>
      <c r="X678" s="456"/>
      <c r="Y678" s="456"/>
      <c r="Z678" s="456"/>
    </row>
    <row r="679" spans="1:26" ht="11.25" customHeight="1">
      <c r="A679" s="456"/>
      <c r="B679" s="456"/>
      <c r="C679" s="456"/>
      <c r="D679" s="456"/>
      <c r="E679" s="456"/>
      <c r="F679" s="456"/>
      <c r="G679" s="456"/>
      <c r="H679" s="456"/>
      <c r="I679" s="456"/>
      <c r="J679" s="456"/>
      <c r="K679" s="456"/>
      <c r="L679" s="456"/>
      <c r="M679" s="456"/>
      <c r="N679" s="456"/>
      <c r="O679" s="456"/>
      <c r="P679" s="456"/>
      <c r="Q679" s="456"/>
      <c r="R679" s="456"/>
      <c r="S679" s="456"/>
      <c r="T679" s="456"/>
      <c r="U679" s="456"/>
      <c r="V679" s="456"/>
      <c r="W679" s="456"/>
      <c r="X679" s="456"/>
      <c r="Y679" s="456"/>
      <c r="Z679" s="456"/>
    </row>
    <row r="680" spans="1:26" ht="11.25" customHeight="1">
      <c r="A680" s="456"/>
      <c r="B680" s="456"/>
      <c r="C680" s="456"/>
      <c r="D680" s="456"/>
      <c r="E680" s="456"/>
      <c r="F680" s="456"/>
      <c r="G680" s="456"/>
      <c r="H680" s="456"/>
      <c r="I680" s="456"/>
      <c r="J680" s="456"/>
      <c r="K680" s="456"/>
      <c r="L680" s="456"/>
      <c r="M680" s="456"/>
      <c r="N680" s="456"/>
      <c r="O680" s="456"/>
      <c r="P680" s="456"/>
      <c r="Q680" s="456"/>
      <c r="R680" s="456"/>
      <c r="S680" s="456"/>
      <c r="T680" s="456"/>
      <c r="U680" s="456"/>
      <c r="V680" s="456"/>
      <c r="W680" s="456"/>
      <c r="X680" s="456"/>
      <c r="Y680" s="456"/>
      <c r="Z680" s="456"/>
    </row>
    <row r="681" spans="1:26" ht="11.25" customHeight="1">
      <c r="A681" s="456"/>
      <c r="B681" s="456"/>
      <c r="C681" s="456"/>
      <c r="D681" s="456"/>
      <c r="E681" s="456"/>
      <c r="F681" s="456"/>
      <c r="G681" s="456"/>
      <c r="H681" s="456"/>
      <c r="I681" s="456"/>
      <c r="J681" s="456"/>
      <c r="K681" s="456"/>
      <c r="L681" s="456"/>
      <c r="M681" s="456"/>
      <c r="N681" s="456"/>
      <c r="O681" s="456"/>
      <c r="P681" s="456"/>
      <c r="Q681" s="456"/>
      <c r="R681" s="456"/>
      <c r="S681" s="456"/>
      <c r="T681" s="456"/>
      <c r="U681" s="456"/>
      <c r="V681" s="456"/>
      <c r="W681" s="456"/>
      <c r="X681" s="456"/>
      <c r="Y681" s="456"/>
      <c r="Z681" s="456"/>
    </row>
    <row r="682" spans="1:26" ht="11.25" customHeight="1">
      <c r="A682" s="456"/>
      <c r="B682" s="456"/>
      <c r="C682" s="456"/>
      <c r="D682" s="456"/>
      <c r="E682" s="456"/>
      <c r="F682" s="456"/>
      <c r="G682" s="456"/>
      <c r="H682" s="456"/>
      <c r="I682" s="456"/>
      <c r="J682" s="456"/>
      <c r="K682" s="456"/>
      <c r="L682" s="456"/>
      <c r="M682" s="456"/>
      <c r="N682" s="456"/>
      <c r="O682" s="456"/>
      <c r="P682" s="456"/>
      <c r="Q682" s="456"/>
      <c r="R682" s="456"/>
      <c r="S682" s="456"/>
      <c r="T682" s="456"/>
      <c r="U682" s="456"/>
      <c r="V682" s="456"/>
      <c r="W682" s="456"/>
      <c r="X682" s="456"/>
      <c r="Y682" s="456"/>
      <c r="Z682" s="456"/>
    </row>
    <row r="683" spans="1:26" ht="11.25" customHeight="1">
      <c r="A683" s="456"/>
      <c r="B683" s="456"/>
      <c r="C683" s="456"/>
      <c r="D683" s="456"/>
      <c r="E683" s="456"/>
      <c r="F683" s="456"/>
      <c r="G683" s="456"/>
      <c r="H683" s="456"/>
      <c r="I683" s="456"/>
      <c r="J683" s="456"/>
      <c r="K683" s="456"/>
      <c r="L683" s="456"/>
      <c r="M683" s="456"/>
      <c r="N683" s="456"/>
      <c r="O683" s="456"/>
      <c r="P683" s="456"/>
      <c r="Q683" s="456"/>
      <c r="R683" s="456"/>
      <c r="S683" s="456"/>
      <c r="T683" s="456"/>
      <c r="U683" s="456"/>
      <c r="V683" s="456"/>
      <c r="W683" s="456"/>
      <c r="X683" s="456"/>
      <c r="Y683" s="456"/>
      <c r="Z683" s="456"/>
    </row>
    <row r="684" spans="1:26" ht="11.25" customHeight="1">
      <c r="A684" s="456"/>
      <c r="B684" s="456"/>
      <c r="C684" s="456"/>
      <c r="D684" s="456"/>
      <c r="E684" s="456"/>
      <c r="F684" s="456"/>
      <c r="G684" s="456"/>
      <c r="H684" s="456"/>
      <c r="I684" s="456"/>
      <c r="J684" s="456"/>
      <c r="K684" s="456"/>
      <c r="L684" s="456"/>
      <c r="M684" s="456"/>
      <c r="N684" s="456"/>
      <c r="O684" s="456"/>
      <c r="P684" s="456"/>
      <c r="Q684" s="456"/>
      <c r="R684" s="456"/>
      <c r="S684" s="456"/>
      <c r="T684" s="456"/>
      <c r="U684" s="456"/>
      <c r="V684" s="456"/>
      <c r="W684" s="456"/>
      <c r="X684" s="456"/>
      <c r="Y684" s="456"/>
      <c r="Z684" s="456"/>
    </row>
    <row r="685" spans="1:26" ht="11.25" customHeight="1">
      <c r="A685" s="456"/>
      <c r="B685" s="456"/>
      <c r="C685" s="456"/>
      <c r="D685" s="456"/>
      <c r="E685" s="456"/>
      <c r="F685" s="456"/>
      <c r="G685" s="456"/>
      <c r="H685" s="456"/>
      <c r="I685" s="456"/>
      <c r="J685" s="456"/>
      <c r="K685" s="456"/>
      <c r="L685" s="456"/>
      <c r="M685" s="456"/>
      <c r="N685" s="456"/>
      <c r="O685" s="456"/>
      <c r="P685" s="456"/>
      <c r="Q685" s="456"/>
      <c r="R685" s="456"/>
      <c r="S685" s="456"/>
      <c r="T685" s="456"/>
      <c r="U685" s="456"/>
      <c r="V685" s="456"/>
      <c r="W685" s="456"/>
      <c r="X685" s="456"/>
      <c r="Y685" s="456"/>
      <c r="Z685" s="456"/>
    </row>
    <row r="686" spans="1:26" ht="11.25" customHeight="1">
      <c r="A686" s="456"/>
      <c r="B686" s="456"/>
      <c r="C686" s="456"/>
      <c r="D686" s="456"/>
      <c r="E686" s="456"/>
      <c r="F686" s="456"/>
      <c r="G686" s="456"/>
      <c r="H686" s="456"/>
      <c r="I686" s="456"/>
      <c r="J686" s="456"/>
      <c r="K686" s="456"/>
      <c r="L686" s="456"/>
      <c r="M686" s="456"/>
      <c r="N686" s="456"/>
      <c r="O686" s="456"/>
      <c r="P686" s="456"/>
      <c r="Q686" s="456"/>
      <c r="R686" s="456"/>
      <c r="S686" s="456"/>
      <c r="T686" s="456"/>
      <c r="U686" s="456"/>
      <c r="V686" s="456"/>
      <c r="W686" s="456"/>
      <c r="X686" s="456"/>
      <c r="Y686" s="456"/>
      <c r="Z686" s="456"/>
    </row>
    <row r="687" spans="1:26" ht="11.25" customHeight="1">
      <c r="A687" s="456"/>
      <c r="B687" s="456"/>
      <c r="C687" s="456"/>
      <c r="D687" s="456"/>
      <c r="E687" s="456"/>
      <c r="F687" s="456"/>
      <c r="G687" s="456"/>
      <c r="H687" s="456"/>
      <c r="I687" s="456"/>
      <c r="J687" s="456"/>
      <c r="K687" s="456"/>
      <c r="L687" s="456"/>
      <c r="M687" s="456"/>
      <c r="N687" s="456"/>
      <c r="O687" s="456"/>
      <c r="P687" s="456"/>
      <c r="Q687" s="456"/>
      <c r="R687" s="456"/>
      <c r="S687" s="456"/>
      <c r="T687" s="456"/>
      <c r="U687" s="456"/>
      <c r="V687" s="456"/>
      <c r="W687" s="456"/>
      <c r="X687" s="456"/>
      <c r="Y687" s="456"/>
      <c r="Z687" s="456"/>
    </row>
    <row r="688" spans="1:26" ht="11.25" customHeight="1">
      <c r="A688" s="456"/>
      <c r="B688" s="456"/>
      <c r="C688" s="456"/>
      <c r="D688" s="456"/>
      <c r="E688" s="456"/>
      <c r="F688" s="456"/>
      <c r="G688" s="456"/>
      <c r="H688" s="456"/>
      <c r="I688" s="456"/>
      <c r="J688" s="456"/>
      <c r="K688" s="456"/>
      <c r="L688" s="456"/>
      <c r="M688" s="456"/>
      <c r="N688" s="456"/>
      <c r="O688" s="456"/>
      <c r="P688" s="456"/>
      <c r="Q688" s="456"/>
      <c r="R688" s="456"/>
      <c r="S688" s="456"/>
      <c r="T688" s="456"/>
      <c r="U688" s="456"/>
      <c r="V688" s="456"/>
      <c r="W688" s="456"/>
      <c r="X688" s="456"/>
      <c r="Y688" s="456"/>
      <c r="Z688" s="456"/>
    </row>
    <row r="689" spans="1:26" ht="11.25" customHeight="1">
      <c r="A689" s="456"/>
      <c r="B689" s="456"/>
      <c r="C689" s="456"/>
      <c r="D689" s="456"/>
      <c r="E689" s="456"/>
      <c r="F689" s="456"/>
      <c r="G689" s="456"/>
      <c r="H689" s="456"/>
      <c r="I689" s="456"/>
      <c r="J689" s="456"/>
      <c r="K689" s="456"/>
      <c r="L689" s="456"/>
      <c r="M689" s="456"/>
      <c r="N689" s="456"/>
      <c r="O689" s="456"/>
      <c r="P689" s="456"/>
      <c r="Q689" s="456"/>
      <c r="R689" s="456"/>
      <c r="S689" s="456"/>
      <c r="T689" s="456"/>
      <c r="U689" s="456"/>
      <c r="V689" s="456"/>
      <c r="W689" s="456"/>
      <c r="X689" s="456"/>
      <c r="Y689" s="456"/>
      <c r="Z689" s="456"/>
    </row>
    <row r="690" spans="1:26" ht="11.25" customHeight="1">
      <c r="A690" s="456"/>
      <c r="B690" s="456"/>
      <c r="C690" s="456"/>
      <c r="D690" s="456"/>
      <c r="E690" s="456"/>
      <c r="F690" s="456"/>
      <c r="G690" s="456"/>
      <c r="H690" s="456"/>
      <c r="I690" s="456"/>
      <c r="J690" s="456"/>
      <c r="K690" s="456"/>
      <c r="L690" s="456"/>
      <c r="M690" s="456"/>
      <c r="N690" s="456"/>
      <c r="O690" s="456"/>
      <c r="P690" s="456"/>
      <c r="Q690" s="456"/>
      <c r="R690" s="456"/>
      <c r="S690" s="456"/>
      <c r="T690" s="456"/>
      <c r="U690" s="456"/>
      <c r="V690" s="456"/>
      <c r="W690" s="456"/>
      <c r="X690" s="456"/>
      <c r="Y690" s="456"/>
      <c r="Z690" s="456"/>
    </row>
    <row r="691" spans="1:26" ht="11.25" customHeight="1">
      <c r="A691" s="456"/>
      <c r="B691" s="456"/>
      <c r="C691" s="456"/>
      <c r="D691" s="456"/>
      <c r="E691" s="456"/>
      <c r="F691" s="456"/>
      <c r="G691" s="456"/>
      <c r="H691" s="456"/>
      <c r="I691" s="456"/>
      <c r="J691" s="456"/>
      <c r="K691" s="456"/>
      <c r="L691" s="456"/>
      <c r="M691" s="456"/>
      <c r="N691" s="456"/>
      <c r="O691" s="456"/>
      <c r="P691" s="456"/>
      <c r="Q691" s="456"/>
      <c r="R691" s="456"/>
      <c r="S691" s="456"/>
      <c r="T691" s="456"/>
      <c r="U691" s="456"/>
      <c r="V691" s="456"/>
      <c r="W691" s="456"/>
      <c r="X691" s="456"/>
      <c r="Y691" s="456"/>
      <c r="Z691" s="456"/>
    </row>
    <row r="692" spans="1:26" ht="11.25" customHeight="1">
      <c r="A692" s="456"/>
      <c r="B692" s="456"/>
      <c r="C692" s="456"/>
      <c r="D692" s="456"/>
      <c r="E692" s="456"/>
      <c r="F692" s="456"/>
      <c r="G692" s="456"/>
      <c r="H692" s="456"/>
      <c r="I692" s="456"/>
      <c r="J692" s="456"/>
      <c r="K692" s="456"/>
      <c r="L692" s="456"/>
      <c r="M692" s="456"/>
      <c r="N692" s="456"/>
      <c r="O692" s="456"/>
      <c r="P692" s="456"/>
      <c r="Q692" s="456"/>
      <c r="R692" s="456"/>
      <c r="S692" s="456"/>
      <c r="T692" s="456"/>
      <c r="U692" s="456"/>
      <c r="V692" s="456"/>
      <c r="W692" s="456"/>
      <c r="X692" s="456"/>
      <c r="Y692" s="456"/>
      <c r="Z692" s="456"/>
    </row>
    <row r="693" spans="1:26" ht="11.25" customHeight="1">
      <c r="A693" s="456"/>
      <c r="B693" s="456"/>
      <c r="C693" s="456"/>
      <c r="D693" s="456"/>
      <c r="E693" s="456"/>
      <c r="F693" s="456"/>
      <c r="G693" s="456"/>
      <c r="H693" s="456"/>
      <c r="I693" s="456"/>
      <c r="J693" s="456"/>
      <c r="K693" s="456"/>
      <c r="L693" s="456"/>
      <c r="M693" s="456"/>
      <c r="N693" s="456"/>
      <c r="O693" s="456"/>
      <c r="P693" s="456"/>
      <c r="Q693" s="456"/>
      <c r="R693" s="456"/>
      <c r="S693" s="456"/>
      <c r="T693" s="456"/>
      <c r="U693" s="456"/>
      <c r="V693" s="456"/>
      <c r="W693" s="456"/>
      <c r="X693" s="456"/>
      <c r="Y693" s="456"/>
      <c r="Z693" s="456"/>
    </row>
    <row r="694" spans="1:26" ht="11.25" customHeight="1">
      <c r="A694" s="456"/>
      <c r="B694" s="456"/>
      <c r="C694" s="456"/>
      <c r="D694" s="456"/>
      <c r="E694" s="456"/>
      <c r="F694" s="456"/>
      <c r="G694" s="456"/>
      <c r="H694" s="456"/>
      <c r="I694" s="456"/>
      <c r="J694" s="456"/>
      <c r="K694" s="456"/>
      <c r="L694" s="456"/>
      <c r="M694" s="456"/>
      <c r="N694" s="456"/>
      <c r="O694" s="456"/>
      <c r="P694" s="456"/>
      <c r="Q694" s="456"/>
      <c r="R694" s="456"/>
      <c r="S694" s="456"/>
      <c r="T694" s="456"/>
      <c r="U694" s="456"/>
      <c r="V694" s="456"/>
      <c r="W694" s="456"/>
      <c r="X694" s="456"/>
      <c r="Y694" s="456"/>
      <c r="Z694" s="456"/>
    </row>
    <row r="695" spans="1:26" ht="11.25" customHeight="1">
      <c r="A695" s="456"/>
      <c r="B695" s="456"/>
      <c r="C695" s="456"/>
      <c r="D695" s="456"/>
      <c r="E695" s="456"/>
      <c r="F695" s="456"/>
      <c r="G695" s="456"/>
      <c r="H695" s="456"/>
      <c r="I695" s="456"/>
      <c r="J695" s="456"/>
      <c r="K695" s="456"/>
      <c r="L695" s="456"/>
      <c r="M695" s="456"/>
      <c r="N695" s="456"/>
      <c r="O695" s="456"/>
      <c r="P695" s="456"/>
      <c r="Q695" s="456"/>
      <c r="R695" s="456"/>
      <c r="S695" s="456"/>
      <c r="T695" s="456"/>
      <c r="U695" s="456"/>
      <c r="V695" s="456"/>
      <c r="W695" s="456"/>
      <c r="X695" s="456"/>
      <c r="Y695" s="456"/>
      <c r="Z695" s="456"/>
    </row>
    <row r="696" spans="1:26" ht="11.25" customHeight="1">
      <c r="A696" s="456"/>
      <c r="B696" s="456"/>
      <c r="C696" s="456"/>
      <c r="D696" s="456"/>
      <c r="E696" s="456"/>
      <c r="F696" s="456"/>
      <c r="G696" s="456"/>
      <c r="H696" s="456"/>
      <c r="I696" s="456"/>
      <c r="J696" s="456"/>
      <c r="K696" s="456"/>
      <c r="L696" s="456"/>
      <c r="M696" s="456"/>
      <c r="N696" s="456"/>
      <c r="O696" s="456"/>
      <c r="P696" s="456"/>
      <c r="Q696" s="456"/>
      <c r="R696" s="456"/>
      <c r="S696" s="456"/>
      <c r="T696" s="456"/>
      <c r="U696" s="456"/>
      <c r="V696" s="456"/>
      <c r="W696" s="456"/>
      <c r="X696" s="456"/>
      <c r="Y696" s="456"/>
      <c r="Z696" s="456"/>
    </row>
    <row r="697" spans="1:26" ht="11.25" customHeight="1">
      <c r="A697" s="456"/>
      <c r="B697" s="456"/>
      <c r="C697" s="456"/>
      <c r="D697" s="456"/>
      <c r="E697" s="456"/>
      <c r="F697" s="456"/>
      <c r="G697" s="456"/>
      <c r="H697" s="456"/>
      <c r="I697" s="456"/>
      <c r="J697" s="456"/>
      <c r="K697" s="456"/>
      <c r="L697" s="456"/>
      <c r="M697" s="456"/>
      <c r="N697" s="456"/>
      <c r="O697" s="456"/>
      <c r="P697" s="456"/>
      <c r="Q697" s="456"/>
      <c r="R697" s="456"/>
      <c r="S697" s="456"/>
      <c r="T697" s="456"/>
      <c r="U697" s="456"/>
      <c r="V697" s="456"/>
      <c r="W697" s="456"/>
      <c r="X697" s="456"/>
      <c r="Y697" s="456"/>
      <c r="Z697" s="456"/>
    </row>
    <row r="698" spans="1:26" ht="11.25" customHeight="1">
      <c r="A698" s="456"/>
      <c r="B698" s="456"/>
      <c r="C698" s="456"/>
      <c r="D698" s="456"/>
      <c r="E698" s="456"/>
      <c r="F698" s="456"/>
      <c r="G698" s="456"/>
      <c r="H698" s="456"/>
      <c r="I698" s="456"/>
      <c r="J698" s="456"/>
      <c r="K698" s="456"/>
      <c r="L698" s="456"/>
      <c r="M698" s="456"/>
      <c r="N698" s="456"/>
      <c r="O698" s="456"/>
      <c r="P698" s="456"/>
      <c r="Q698" s="456"/>
      <c r="R698" s="456"/>
      <c r="S698" s="456"/>
      <c r="T698" s="456"/>
      <c r="U698" s="456"/>
      <c r="V698" s="456"/>
      <c r="W698" s="456"/>
      <c r="X698" s="456"/>
      <c r="Y698" s="456"/>
      <c r="Z698" s="456"/>
    </row>
    <row r="699" spans="1:26" ht="11.25" customHeight="1">
      <c r="A699" s="456"/>
      <c r="B699" s="456"/>
      <c r="C699" s="456"/>
      <c r="D699" s="456"/>
      <c r="E699" s="456"/>
      <c r="F699" s="456"/>
      <c r="G699" s="456"/>
      <c r="H699" s="456"/>
      <c r="I699" s="456"/>
      <c r="J699" s="456"/>
      <c r="K699" s="456"/>
      <c r="L699" s="456"/>
      <c r="M699" s="456"/>
      <c r="N699" s="456"/>
      <c r="O699" s="456"/>
      <c r="P699" s="456"/>
      <c r="Q699" s="456"/>
      <c r="R699" s="456"/>
      <c r="S699" s="456"/>
      <c r="T699" s="456"/>
      <c r="U699" s="456"/>
      <c r="V699" s="456"/>
      <c r="W699" s="456"/>
      <c r="X699" s="456"/>
      <c r="Y699" s="456"/>
      <c r="Z699" s="456"/>
    </row>
    <row r="700" spans="1:26" ht="11.25" customHeight="1">
      <c r="A700" s="456"/>
      <c r="B700" s="456"/>
      <c r="C700" s="456"/>
      <c r="D700" s="456"/>
      <c r="E700" s="456"/>
      <c r="F700" s="456"/>
      <c r="G700" s="456"/>
      <c r="H700" s="456"/>
      <c r="I700" s="456"/>
      <c r="J700" s="456"/>
      <c r="K700" s="456"/>
      <c r="L700" s="456"/>
      <c r="M700" s="456"/>
      <c r="N700" s="456"/>
      <c r="O700" s="456"/>
      <c r="P700" s="456"/>
      <c r="Q700" s="456"/>
      <c r="R700" s="456"/>
      <c r="S700" s="456"/>
      <c r="T700" s="456"/>
      <c r="U700" s="456"/>
      <c r="V700" s="456"/>
      <c r="W700" s="456"/>
      <c r="X700" s="456"/>
      <c r="Y700" s="456"/>
      <c r="Z700" s="456"/>
    </row>
    <row r="701" spans="1:26" ht="11.25" customHeight="1">
      <c r="A701" s="456"/>
      <c r="B701" s="456"/>
      <c r="C701" s="456"/>
      <c r="D701" s="456"/>
      <c r="E701" s="456"/>
      <c r="F701" s="456"/>
      <c r="G701" s="456"/>
      <c r="H701" s="456"/>
      <c r="I701" s="456"/>
      <c r="J701" s="456"/>
      <c r="K701" s="456"/>
      <c r="L701" s="456"/>
      <c r="M701" s="456"/>
      <c r="N701" s="456"/>
      <c r="O701" s="456"/>
      <c r="P701" s="456"/>
      <c r="Q701" s="456"/>
      <c r="R701" s="456"/>
      <c r="S701" s="456"/>
      <c r="T701" s="456"/>
      <c r="U701" s="456"/>
      <c r="V701" s="456"/>
      <c r="W701" s="456"/>
      <c r="X701" s="456"/>
      <c r="Y701" s="456"/>
      <c r="Z701" s="456"/>
    </row>
    <row r="702" spans="1:26" ht="11.25" customHeight="1">
      <c r="A702" s="456"/>
      <c r="B702" s="456"/>
      <c r="C702" s="456"/>
      <c r="D702" s="456"/>
      <c r="E702" s="456"/>
      <c r="F702" s="456"/>
      <c r="G702" s="456"/>
      <c r="H702" s="456"/>
      <c r="I702" s="456"/>
      <c r="J702" s="456"/>
      <c r="K702" s="456"/>
      <c r="L702" s="456"/>
      <c r="M702" s="456"/>
      <c r="N702" s="456"/>
      <c r="O702" s="456"/>
      <c r="P702" s="456"/>
      <c r="Q702" s="456"/>
      <c r="R702" s="456"/>
      <c r="S702" s="456"/>
      <c r="T702" s="456"/>
      <c r="U702" s="456"/>
      <c r="V702" s="456"/>
      <c r="W702" s="456"/>
      <c r="X702" s="456"/>
      <c r="Y702" s="456"/>
      <c r="Z702" s="456"/>
    </row>
    <row r="703" spans="1:26" ht="11.25" customHeight="1">
      <c r="A703" s="456"/>
      <c r="B703" s="456"/>
      <c r="C703" s="456"/>
      <c r="D703" s="456"/>
      <c r="E703" s="456"/>
      <c r="F703" s="456"/>
      <c r="G703" s="456"/>
      <c r="H703" s="456"/>
      <c r="I703" s="456"/>
      <c r="J703" s="456"/>
      <c r="K703" s="456"/>
      <c r="L703" s="456"/>
      <c r="M703" s="456"/>
      <c r="N703" s="456"/>
      <c r="O703" s="456"/>
      <c r="P703" s="456"/>
      <c r="Q703" s="456"/>
      <c r="R703" s="456"/>
      <c r="S703" s="456"/>
      <c r="T703" s="456"/>
      <c r="U703" s="456"/>
      <c r="V703" s="456"/>
      <c r="W703" s="456"/>
      <c r="X703" s="456"/>
      <c r="Y703" s="456"/>
      <c r="Z703" s="456"/>
    </row>
    <row r="704" spans="1:26" ht="11.25" customHeight="1">
      <c r="A704" s="456"/>
      <c r="B704" s="456"/>
      <c r="C704" s="456"/>
      <c r="D704" s="456"/>
      <c r="E704" s="456"/>
      <c r="F704" s="456"/>
      <c r="G704" s="456"/>
      <c r="H704" s="456"/>
      <c r="I704" s="456"/>
      <c r="J704" s="456"/>
      <c r="K704" s="456"/>
      <c r="L704" s="456"/>
      <c r="M704" s="456"/>
      <c r="N704" s="456"/>
      <c r="O704" s="456"/>
      <c r="P704" s="456"/>
      <c r="Q704" s="456"/>
      <c r="R704" s="456"/>
      <c r="S704" s="456"/>
      <c r="T704" s="456"/>
      <c r="U704" s="456"/>
      <c r="V704" s="456"/>
      <c r="W704" s="456"/>
      <c r="X704" s="456"/>
      <c r="Y704" s="456"/>
      <c r="Z704" s="456"/>
    </row>
    <row r="705" spans="1:26" ht="11.25" customHeight="1">
      <c r="A705" s="456"/>
      <c r="B705" s="456"/>
      <c r="C705" s="456"/>
      <c r="D705" s="456"/>
      <c r="E705" s="456"/>
      <c r="F705" s="456"/>
      <c r="G705" s="456"/>
      <c r="H705" s="456"/>
      <c r="I705" s="456"/>
      <c r="J705" s="456"/>
      <c r="K705" s="456"/>
      <c r="L705" s="456"/>
      <c r="M705" s="456"/>
      <c r="N705" s="456"/>
      <c r="O705" s="456"/>
      <c r="P705" s="456"/>
      <c r="Q705" s="456"/>
      <c r="R705" s="456"/>
      <c r="S705" s="456"/>
      <c r="T705" s="456"/>
      <c r="U705" s="456"/>
      <c r="V705" s="456"/>
      <c r="W705" s="456"/>
      <c r="X705" s="456"/>
      <c r="Y705" s="456"/>
      <c r="Z705" s="456"/>
    </row>
    <row r="706" spans="1:26" ht="11.25" customHeight="1">
      <c r="A706" s="456"/>
      <c r="B706" s="456"/>
      <c r="C706" s="456"/>
      <c r="D706" s="456"/>
      <c r="E706" s="456"/>
      <c r="F706" s="456"/>
      <c r="G706" s="456"/>
      <c r="H706" s="456"/>
      <c r="I706" s="456"/>
      <c r="J706" s="456"/>
      <c r="K706" s="456"/>
      <c r="L706" s="456"/>
      <c r="M706" s="456"/>
      <c r="N706" s="456"/>
      <c r="O706" s="456"/>
      <c r="P706" s="456"/>
      <c r="Q706" s="456"/>
      <c r="R706" s="456"/>
      <c r="S706" s="456"/>
      <c r="T706" s="456"/>
      <c r="U706" s="456"/>
      <c r="V706" s="456"/>
      <c r="W706" s="456"/>
      <c r="X706" s="456"/>
      <c r="Y706" s="456"/>
      <c r="Z706" s="456"/>
    </row>
    <row r="707" spans="1:26" ht="11.25" customHeight="1">
      <c r="A707" s="456"/>
      <c r="B707" s="456"/>
      <c r="C707" s="456"/>
      <c r="D707" s="456"/>
      <c r="E707" s="456"/>
      <c r="F707" s="456"/>
      <c r="G707" s="456"/>
      <c r="H707" s="456"/>
      <c r="I707" s="456"/>
      <c r="J707" s="456"/>
      <c r="K707" s="456"/>
      <c r="L707" s="456"/>
      <c r="M707" s="456"/>
      <c r="N707" s="456"/>
      <c r="O707" s="456"/>
      <c r="P707" s="456"/>
      <c r="Q707" s="456"/>
      <c r="R707" s="456"/>
      <c r="S707" s="456"/>
      <c r="T707" s="456"/>
      <c r="U707" s="456"/>
      <c r="V707" s="456"/>
      <c r="W707" s="456"/>
      <c r="X707" s="456"/>
      <c r="Y707" s="456"/>
      <c r="Z707" s="456"/>
    </row>
    <row r="708" spans="1:26" ht="11.25" customHeight="1">
      <c r="A708" s="456"/>
      <c r="B708" s="456"/>
      <c r="C708" s="456"/>
      <c r="D708" s="456"/>
      <c r="E708" s="456"/>
      <c r="F708" s="456"/>
      <c r="G708" s="456"/>
      <c r="H708" s="456"/>
      <c r="I708" s="456"/>
      <c r="J708" s="456"/>
      <c r="K708" s="456"/>
      <c r="L708" s="456"/>
      <c r="M708" s="456"/>
      <c r="N708" s="456"/>
      <c r="O708" s="456"/>
      <c r="P708" s="456"/>
      <c r="Q708" s="456"/>
      <c r="R708" s="456"/>
      <c r="S708" s="456"/>
      <c r="T708" s="456"/>
      <c r="U708" s="456"/>
      <c r="V708" s="456"/>
      <c r="W708" s="456"/>
      <c r="X708" s="456"/>
      <c r="Y708" s="456"/>
      <c r="Z708" s="456"/>
    </row>
    <row r="709" spans="1:26" ht="11.25" customHeight="1">
      <c r="A709" s="456"/>
      <c r="B709" s="456"/>
      <c r="C709" s="456"/>
      <c r="D709" s="456"/>
      <c r="E709" s="456"/>
      <c r="F709" s="456"/>
      <c r="G709" s="456"/>
      <c r="H709" s="456"/>
      <c r="I709" s="456"/>
      <c r="J709" s="456"/>
      <c r="K709" s="456"/>
      <c r="L709" s="456"/>
      <c r="M709" s="456"/>
      <c r="N709" s="456"/>
      <c r="O709" s="456"/>
      <c r="P709" s="456"/>
      <c r="Q709" s="456"/>
      <c r="R709" s="456"/>
      <c r="S709" s="456"/>
      <c r="T709" s="456"/>
      <c r="U709" s="456"/>
      <c r="V709" s="456"/>
      <c r="W709" s="456"/>
      <c r="X709" s="456"/>
      <c r="Y709" s="456"/>
      <c r="Z709" s="456"/>
    </row>
    <row r="710" spans="1:26" ht="11.25" customHeight="1">
      <c r="A710" s="456"/>
      <c r="B710" s="456"/>
      <c r="C710" s="456"/>
      <c r="D710" s="456"/>
      <c r="E710" s="456"/>
      <c r="F710" s="456"/>
      <c r="G710" s="456"/>
      <c r="H710" s="456"/>
      <c r="I710" s="456"/>
      <c r="J710" s="456"/>
      <c r="K710" s="456"/>
      <c r="L710" s="456"/>
      <c r="M710" s="456"/>
      <c r="N710" s="456"/>
      <c r="O710" s="456"/>
      <c r="P710" s="456"/>
      <c r="Q710" s="456"/>
      <c r="R710" s="456"/>
      <c r="S710" s="456"/>
      <c r="T710" s="456"/>
      <c r="U710" s="456"/>
      <c r="V710" s="456"/>
      <c r="W710" s="456"/>
      <c r="X710" s="456"/>
      <c r="Y710" s="456"/>
      <c r="Z710" s="456"/>
    </row>
    <row r="711" spans="1:26" ht="11.25" customHeight="1">
      <c r="A711" s="456"/>
      <c r="B711" s="456"/>
      <c r="C711" s="456"/>
      <c r="D711" s="456"/>
      <c r="E711" s="456"/>
      <c r="F711" s="456"/>
      <c r="G711" s="456"/>
      <c r="H711" s="456"/>
      <c r="I711" s="456"/>
      <c r="J711" s="456"/>
      <c r="K711" s="456"/>
      <c r="L711" s="456"/>
      <c r="M711" s="456"/>
      <c r="N711" s="456"/>
      <c r="O711" s="456"/>
      <c r="P711" s="456"/>
      <c r="Q711" s="456"/>
      <c r="R711" s="456"/>
      <c r="S711" s="456"/>
      <c r="T711" s="456"/>
      <c r="U711" s="456"/>
      <c r="V711" s="456"/>
      <c r="W711" s="456"/>
      <c r="X711" s="456"/>
      <c r="Y711" s="456"/>
      <c r="Z711" s="456"/>
    </row>
    <row r="712" spans="1:26" ht="11.25" customHeight="1">
      <c r="A712" s="456"/>
      <c r="B712" s="456"/>
      <c r="C712" s="456"/>
      <c r="D712" s="456"/>
      <c r="E712" s="456"/>
      <c r="F712" s="456"/>
      <c r="G712" s="456"/>
      <c r="H712" s="456"/>
      <c r="I712" s="456"/>
      <c r="J712" s="456"/>
      <c r="K712" s="456"/>
      <c r="L712" s="456"/>
      <c r="M712" s="456"/>
      <c r="N712" s="456"/>
      <c r="O712" s="456"/>
      <c r="P712" s="456"/>
      <c r="Q712" s="456"/>
      <c r="R712" s="456"/>
      <c r="S712" s="456"/>
      <c r="T712" s="456"/>
      <c r="U712" s="456"/>
      <c r="V712" s="456"/>
      <c r="W712" s="456"/>
      <c r="X712" s="456"/>
      <c r="Y712" s="456"/>
      <c r="Z712" s="456"/>
    </row>
    <row r="713" spans="1:26" ht="11.25" customHeight="1">
      <c r="A713" s="456"/>
      <c r="B713" s="456"/>
      <c r="C713" s="456"/>
      <c r="D713" s="456"/>
      <c r="E713" s="456"/>
      <c r="F713" s="456"/>
      <c r="G713" s="456"/>
      <c r="H713" s="456"/>
      <c r="I713" s="456"/>
      <c r="J713" s="456"/>
      <c r="K713" s="456"/>
      <c r="L713" s="456"/>
      <c r="M713" s="456"/>
      <c r="N713" s="456"/>
      <c r="O713" s="456"/>
      <c r="P713" s="456"/>
      <c r="Q713" s="456"/>
      <c r="R713" s="456"/>
      <c r="S713" s="456"/>
      <c r="T713" s="456"/>
      <c r="U713" s="456"/>
      <c r="V713" s="456"/>
      <c r="W713" s="456"/>
      <c r="X713" s="456"/>
      <c r="Y713" s="456"/>
      <c r="Z713" s="456"/>
    </row>
    <row r="714" spans="1:26" ht="11.25" customHeight="1">
      <c r="A714" s="456"/>
      <c r="B714" s="456"/>
      <c r="C714" s="456"/>
      <c r="D714" s="456"/>
      <c r="E714" s="456"/>
      <c r="F714" s="456"/>
      <c r="G714" s="456"/>
      <c r="H714" s="456"/>
      <c r="I714" s="456"/>
      <c r="J714" s="456"/>
      <c r="K714" s="456"/>
      <c r="L714" s="456"/>
      <c r="M714" s="456"/>
      <c r="N714" s="456"/>
      <c r="O714" s="456"/>
      <c r="P714" s="456"/>
      <c r="Q714" s="456"/>
      <c r="R714" s="456"/>
      <c r="S714" s="456"/>
      <c r="T714" s="456"/>
      <c r="U714" s="456"/>
      <c r="V714" s="456"/>
      <c r="W714" s="456"/>
      <c r="X714" s="456"/>
      <c r="Y714" s="456"/>
      <c r="Z714" s="456"/>
    </row>
    <row r="715" spans="1:26" ht="11.25" customHeight="1">
      <c r="A715" s="456"/>
      <c r="B715" s="456"/>
      <c r="C715" s="456"/>
      <c r="D715" s="456"/>
      <c r="E715" s="456"/>
      <c r="F715" s="456"/>
      <c r="G715" s="456"/>
      <c r="H715" s="456"/>
      <c r="I715" s="456"/>
      <c r="J715" s="456"/>
      <c r="K715" s="456"/>
      <c r="L715" s="456"/>
      <c r="M715" s="456"/>
      <c r="N715" s="456"/>
      <c r="O715" s="456"/>
      <c r="P715" s="456"/>
      <c r="Q715" s="456"/>
      <c r="R715" s="456"/>
      <c r="S715" s="456"/>
      <c r="T715" s="456"/>
      <c r="U715" s="456"/>
      <c r="V715" s="456"/>
      <c r="W715" s="456"/>
      <c r="X715" s="456"/>
      <c r="Y715" s="456"/>
      <c r="Z715" s="456"/>
    </row>
    <row r="716" spans="1:26" ht="11.25" customHeight="1">
      <c r="A716" s="456"/>
      <c r="B716" s="456"/>
      <c r="C716" s="456"/>
      <c r="D716" s="456"/>
      <c r="E716" s="456"/>
      <c r="F716" s="456"/>
      <c r="G716" s="456"/>
      <c r="H716" s="456"/>
      <c r="I716" s="456"/>
      <c r="J716" s="456"/>
      <c r="K716" s="456"/>
      <c r="L716" s="456"/>
      <c r="M716" s="456"/>
      <c r="N716" s="456"/>
      <c r="O716" s="456"/>
      <c r="P716" s="456"/>
      <c r="Q716" s="456"/>
      <c r="R716" s="456"/>
      <c r="S716" s="456"/>
      <c r="T716" s="456"/>
      <c r="U716" s="456"/>
      <c r="V716" s="456"/>
      <c r="W716" s="456"/>
      <c r="X716" s="456"/>
      <c r="Y716" s="456"/>
      <c r="Z716" s="456"/>
    </row>
    <row r="717" spans="1:26" ht="11.25" customHeight="1">
      <c r="A717" s="456"/>
      <c r="B717" s="456"/>
      <c r="C717" s="456"/>
      <c r="D717" s="456"/>
      <c r="E717" s="456"/>
      <c r="F717" s="456"/>
      <c r="G717" s="456"/>
      <c r="H717" s="456"/>
      <c r="I717" s="456"/>
      <c r="J717" s="456"/>
      <c r="K717" s="456"/>
      <c r="L717" s="456"/>
      <c r="M717" s="456"/>
      <c r="N717" s="456"/>
      <c r="O717" s="456"/>
      <c r="P717" s="456"/>
      <c r="Q717" s="456"/>
      <c r="R717" s="456"/>
      <c r="S717" s="456"/>
      <c r="T717" s="456"/>
      <c r="U717" s="456"/>
      <c r="V717" s="456"/>
      <c r="W717" s="456"/>
      <c r="X717" s="456"/>
      <c r="Y717" s="456"/>
      <c r="Z717" s="456"/>
    </row>
    <row r="718" spans="1:26" ht="11.25" customHeight="1">
      <c r="A718" s="456"/>
      <c r="B718" s="456"/>
      <c r="C718" s="456"/>
      <c r="D718" s="456"/>
      <c r="E718" s="456"/>
      <c r="F718" s="456"/>
      <c r="G718" s="456"/>
      <c r="H718" s="456"/>
      <c r="I718" s="456"/>
      <c r="J718" s="456"/>
      <c r="K718" s="456"/>
      <c r="L718" s="456"/>
      <c r="M718" s="456"/>
      <c r="N718" s="456"/>
      <c r="O718" s="456"/>
      <c r="P718" s="456"/>
      <c r="Q718" s="456"/>
      <c r="R718" s="456"/>
      <c r="S718" s="456"/>
      <c r="T718" s="456"/>
      <c r="U718" s="456"/>
      <c r="V718" s="456"/>
      <c r="W718" s="456"/>
      <c r="X718" s="456"/>
      <c r="Y718" s="456"/>
      <c r="Z718" s="456"/>
    </row>
    <row r="719" spans="1:26" ht="11.25" customHeight="1">
      <c r="A719" s="456"/>
      <c r="B719" s="456"/>
      <c r="C719" s="456"/>
      <c r="D719" s="456"/>
      <c r="E719" s="456"/>
      <c r="F719" s="456"/>
      <c r="G719" s="456"/>
      <c r="H719" s="456"/>
      <c r="I719" s="456"/>
      <c r="J719" s="456"/>
      <c r="K719" s="456"/>
      <c r="L719" s="456"/>
      <c r="M719" s="456"/>
      <c r="N719" s="456"/>
      <c r="O719" s="456"/>
      <c r="P719" s="456"/>
      <c r="Q719" s="456"/>
      <c r="R719" s="456"/>
      <c r="S719" s="456"/>
      <c r="T719" s="456"/>
      <c r="U719" s="456"/>
      <c r="V719" s="456"/>
      <c r="W719" s="456"/>
      <c r="X719" s="456"/>
      <c r="Y719" s="456"/>
      <c r="Z719" s="456"/>
    </row>
    <row r="720" spans="1:26" ht="11.25" customHeight="1">
      <c r="A720" s="456"/>
      <c r="B720" s="456"/>
      <c r="C720" s="456"/>
      <c r="D720" s="456"/>
      <c r="E720" s="456"/>
      <c r="F720" s="456"/>
      <c r="G720" s="456"/>
      <c r="H720" s="456"/>
      <c r="I720" s="456"/>
      <c r="J720" s="456"/>
      <c r="K720" s="456"/>
      <c r="L720" s="456"/>
      <c r="M720" s="456"/>
      <c r="N720" s="456"/>
      <c r="O720" s="456"/>
      <c r="P720" s="456"/>
      <c r="Q720" s="456"/>
      <c r="R720" s="456"/>
      <c r="S720" s="456"/>
      <c r="T720" s="456"/>
      <c r="U720" s="456"/>
      <c r="V720" s="456"/>
      <c r="W720" s="456"/>
      <c r="X720" s="456"/>
      <c r="Y720" s="456"/>
      <c r="Z720" s="456"/>
    </row>
    <row r="721" spans="1:26" ht="11.25" customHeight="1">
      <c r="A721" s="456"/>
      <c r="B721" s="456"/>
      <c r="C721" s="456"/>
      <c r="D721" s="456"/>
      <c r="E721" s="456"/>
      <c r="F721" s="456"/>
      <c r="G721" s="456"/>
      <c r="H721" s="456"/>
      <c r="I721" s="456"/>
      <c r="J721" s="456"/>
      <c r="K721" s="456"/>
      <c r="L721" s="456"/>
      <c r="M721" s="456"/>
      <c r="N721" s="456"/>
      <c r="O721" s="456"/>
      <c r="P721" s="456"/>
      <c r="Q721" s="456"/>
      <c r="R721" s="456"/>
      <c r="S721" s="456"/>
      <c r="T721" s="456"/>
      <c r="U721" s="456"/>
      <c r="V721" s="456"/>
      <c r="W721" s="456"/>
      <c r="X721" s="456"/>
      <c r="Y721" s="456"/>
      <c r="Z721" s="456"/>
    </row>
    <row r="722" spans="1:26" ht="11.25" customHeight="1">
      <c r="A722" s="456"/>
      <c r="B722" s="456"/>
      <c r="C722" s="456"/>
      <c r="D722" s="456"/>
      <c r="E722" s="456"/>
      <c r="F722" s="456"/>
      <c r="G722" s="456"/>
      <c r="H722" s="456"/>
      <c r="I722" s="456"/>
      <c r="J722" s="456"/>
      <c r="K722" s="456"/>
      <c r="L722" s="456"/>
      <c r="M722" s="456"/>
      <c r="N722" s="456"/>
      <c r="O722" s="456"/>
      <c r="P722" s="456"/>
      <c r="Q722" s="456"/>
      <c r="R722" s="456"/>
      <c r="S722" s="456"/>
      <c r="T722" s="456"/>
      <c r="U722" s="456"/>
      <c r="V722" s="456"/>
      <c r="W722" s="456"/>
      <c r="X722" s="456"/>
      <c r="Y722" s="456"/>
      <c r="Z722" s="456"/>
    </row>
    <row r="723" spans="1:26" ht="11.25" customHeight="1">
      <c r="A723" s="456"/>
      <c r="B723" s="456"/>
      <c r="C723" s="456"/>
      <c r="D723" s="456"/>
      <c r="E723" s="456"/>
      <c r="F723" s="456"/>
      <c r="G723" s="456"/>
      <c r="H723" s="456"/>
      <c r="I723" s="456"/>
      <c r="J723" s="456"/>
      <c r="K723" s="456"/>
      <c r="L723" s="456"/>
      <c r="M723" s="456"/>
      <c r="N723" s="456"/>
      <c r="O723" s="456"/>
      <c r="P723" s="456"/>
      <c r="Q723" s="456"/>
      <c r="R723" s="456"/>
      <c r="S723" s="456"/>
      <c r="T723" s="456"/>
      <c r="U723" s="456"/>
      <c r="V723" s="456"/>
      <c r="W723" s="456"/>
      <c r="X723" s="456"/>
      <c r="Y723" s="456"/>
      <c r="Z723" s="456"/>
    </row>
    <row r="724" spans="1:26" ht="11.25" customHeight="1">
      <c r="A724" s="456"/>
      <c r="B724" s="456"/>
      <c r="C724" s="456"/>
      <c r="D724" s="456"/>
      <c r="E724" s="456"/>
      <c r="F724" s="456"/>
      <c r="G724" s="456"/>
      <c r="H724" s="456"/>
      <c r="I724" s="456"/>
      <c r="J724" s="456"/>
      <c r="K724" s="456"/>
      <c r="L724" s="456"/>
      <c r="M724" s="456"/>
      <c r="N724" s="456"/>
      <c r="O724" s="456"/>
      <c r="P724" s="456"/>
      <c r="Q724" s="456"/>
      <c r="R724" s="456"/>
      <c r="S724" s="456"/>
      <c r="T724" s="456"/>
      <c r="U724" s="456"/>
      <c r="V724" s="456"/>
      <c r="W724" s="456"/>
      <c r="X724" s="456"/>
      <c r="Y724" s="456"/>
      <c r="Z724" s="456"/>
    </row>
    <row r="725" spans="1:26" ht="11.25" customHeight="1">
      <c r="A725" s="456"/>
      <c r="B725" s="456"/>
      <c r="C725" s="456"/>
      <c r="D725" s="456"/>
      <c r="E725" s="456"/>
      <c r="F725" s="456"/>
      <c r="G725" s="456"/>
      <c r="H725" s="456"/>
      <c r="I725" s="456"/>
      <c r="J725" s="456"/>
      <c r="K725" s="456"/>
      <c r="L725" s="456"/>
      <c r="M725" s="456"/>
      <c r="N725" s="456"/>
      <c r="O725" s="456"/>
      <c r="P725" s="456"/>
      <c r="Q725" s="456"/>
      <c r="R725" s="456"/>
      <c r="S725" s="456"/>
      <c r="T725" s="456"/>
      <c r="U725" s="456"/>
      <c r="V725" s="456"/>
      <c r="W725" s="456"/>
      <c r="X725" s="456"/>
      <c r="Y725" s="456"/>
      <c r="Z725" s="456"/>
    </row>
    <row r="726" spans="1:26" ht="11.25" customHeight="1">
      <c r="A726" s="456"/>
      <c r="B726" s="456"/>
      <c r="C726" s="456"/>
      <c r="D726" s="456"/>
      <c r="E726" s="456"/>
      <c r="F726" s="456"/>
      <c r="G726" s="456"/>
      <c r="H726" s="456"/>
      <c r="I726" s="456"/>
      <c r="J726" s="456"/>
      <c r="K726" s="456"/>
      <c r="L726" s="456"/>
      <c r="M726" s="456"/>
      <c r="N726" s="456"/>
      <c r="O726" s="456"/>
      <c r="P726" s="456"/>
      <c r="Q726" s="456"/>
      <c r="R726" s="456"/>
      <c r="S726" s="456"/>
      <c r="T726" s="456"/>
      <c r="U726" s="456"/>
      <c r="V726" s="456"/>
      <c r="W726" s="456"/>
      <c r="X726" s="456"/>
      <c r="Y726" s="456"/>
      <c r="Z726" s="456"/>
    </row>
    <row r="727" spans="1:26" ht="11.25" customHeight="1">
      <c r="A727" s="456"/>
      <c r="B727" s="456"/>
      <c r="C727" s="456"/>
      <c r="D727" s="456"/>
      <c r="E727" s="456"/>
      <c r="F727" s="456"/>
      <c r="G727" s="456"/>
      <c r="H727" s="456"/>
      <c r="I727" s="456"/>
      <c r="J727" s="456"/>
      <c r="K727" s="456"/>
      <c r="L727" s="456"/>
      <c r="M727" s="456"/>
      <c r="N727" s="456"/>
      <c r="O727" s="456"/>
      <c r="P727" s="456"/>
      <c r="Q727" s="456"/>
      <c r="R727" s="456"/>
      <c r="S727" s="456"/>
      <c r="T727" s="456"/>
      <c r="U727" s="456"/>
      <c r="V727" s="456"/>
      <c r="W727" s="456"/>
      <c r="X727" s="456"/>
      <c r="Y727" s="456"/>
      <c r="Z727" s="456"/>
    </row>
    <row r="728" spans="1:26" ht="11.25" customHeight="1">
      <c r="A728" s="456"/>
      <c r="B728" s="456"/>
      <c r="C728" s="456"/>
      <c r="D728" s="456"/>
      <c r="E728" s="456"/>
      <c r="F728" s="456"/>
      <c r="G728" s="456"/>
      <c r="H728" s="456"/>
      <c r="I728" s="456"/>
      <c r="J728" s="456"/>
      <c r="K728" s="456"/>
      <c r="L728" s="456"/>
      <c r="M728" s="456"/>
      <c r="N728" s="456"/>
      <c r="O728" s="456"/>
      <c r="P728" s="456"/>
      <c r="Q728" s="456"/>
      <c r="R728" s="456"/>
      <c r="S728" s="456"/>
      <c r="T728" s="456"/>
      <c r="U728" s="456"/>
      <c r="V728" s="456"/>
      <c r="W728" s="456"/>
      <c r="X728" s="456"/>
      <c r="Y728" s="456"/>
      <c r="Z728" s="456"/>
    </row>
    <row r="729" spans="1:26" ht="11.25" customHeight="1">
      <c r="A729" s="456"/>
      <c r="B729" s="456"/>
      <c r="C729" s="456"/>
      <c r="D729" s="456"/>
      <c r="E729" s="456"/>
      <c r="F729" s="456"/>
      <c r="G729" s="456"/>
      <c r="H729" s="456"/>
      <c r="I729" s="456"/>
      <c r="J729" s="456"/>
      <c r="K729" s="456"/>
      <c r="L729" s="456"/>
      <c r="M729" s="456"/>
      <c r="N729" s="456"/>
      <c r="O729" s="456"/>
      <c r="P729" s="456"/>
      <c r="Q729" s="456"/>
      <c r="R729" s="456"/>
      <c r="S729" s="456"/>
      <c r="T729" s="456"/>
      <c r="U729" s="456"/>
      <c r="V729" s="456"/>
      <c r="W729" s="456"/>
      <c r="X729" s="456"/>
      <c r="Y729" s="456"/>
      <c r="Z729" s="456"/>
    </row>
    <row r="730" spans="1:26" ht="11.25" customHeight="1">
      <c r="A730" s="456"/>
      <c r="B730" s="456"/>
      <c r="C730" s="456"/>
      <c r="D730" s="456"/>
      <c r="E730" s="456"/>
      <c r="F730" s="456"/>
      <c r="G730" s="456"/>
      <c r="H730" s="456"/>
      <c r="I730" s="456"/>
      <c r="J730" s="456"/>
      <c r="K730" s="456"/>
      <c r="L730" s="456"/>
      <c r="M730" s="456"/>
      <c r="N730" s="456"/>
      <c r="O730" s="456"/>
      <c r="P730" s="456"/>
      <c r="Q730" s="456"/>
      <c r="R730" s="456"/>
      <c r="S730" s="456"/>
      <c r="T730" s="456"/>
      <c r="U730" s="456"/>
      <c r="V730" s="456"/>
      <c r="W730" s="456"/>
      <c r="X730" s="456"/>
      <c r="Y730" s="456"/>
      <c r="Z730" s="456"/>
    </row>
    <row r="731" spans="1:26" ht="11.25" customHeight="1">
      <c r="A731" s="456"/>
      <c r="B731" s="456"/>
      <c r="C731" s="456"/>
      <c r="D731" s="456"/>
      <c r="E731" s="456"/>
      <c r="F731" s="456"/>
      <c r="G731" s="456"/>
      <c r="H731" s="456"/>
      <c r="I731" s="456"/>
      <c r="J731" s="456"/>
      <c r="K731" s="456"/>
      <c r="L731" s="456"/>
      <c r="M731" s="456"/>
      <c r="N731" s="456"/>
      <c r="O731" s="456"/>
      <c r="P731" s="456"/>
      <c r="Q731" s="456"/>
      <c r="R731" s="456"/>
      <c r="S731" s="456"/>
      <c r="T731" s="456"/>
      <c r="U731" s="456"/>
      <c r="V731" s="456"/>
      <c r="W731" s="456"/>
      <c r="X731" s="456"/>
      <c r="Y731" s="456"/>
      <c r="Z731" s="456"/>
    </row>
    <row r="732" spans="1:26" ht="11.25" customHeight="1">
      <c r="A732" s="456"/>
      <c r="B732" s="456"/>
      <c r="C732" s="456"/>
      <c r="D732" s="456"/>
      <c r="E732" s="456"/>
      <c r="F732" s="456"/>
      <c r="G732" s="456"/>
      <c r="H732" s="456"/>
      <c r="I732" s="456"/>
      <c r="J732" s="456"/>
      <c r="K732" s="456"/>
      <c r="L732" s="456"/>
      <c r="M732" s="456"/>
      <c r="N732" s="456"/>
      <c r="O732" s="456"/>
      <c r="P732" s="456"/>
      <c r="Q732" s="456"/>
      <c r="R732" s="456"/>
      <c r="S732" s="456"/>
      <c r="T732" s="456"/>
      <c r="U732" s="456"/>
      <c r="V732" s="456"/>
      <c r="W732" s="456"/>
      <c r="X732" s="456"/>
      <c r="Y732" s="456"/>
      <c r="Z732" s="456"/>
    </row>
    <row r="733" spans="1:26" ht="11.25" customHeight="1">
      <c r="A733" s="456"/>
      <c r="B733" s="456"/>
      <c r="C733" s="456"/>
      <c r="D733" s="456"/>
      <c r="E733" s="456"/>
      <c r="F733" s="456"/>
      <c r="G733" s="456"/>
      <c r="H733" s="456"/>
      <c r="I733" s="456"/>
      <c r="J733" s="456"/>
      <c r="K733" s="456"/>
      <c r="L733" s="456"/>
      <c r="M733" s="456"/>
      <c r="N733" s="456"/>
      <c r="O733" s="456"/>
      <c r="P733" s="456"/>
      <c r="Q733" s="456"/>
      <c r="R733" s="456"/>
      <c r="S733" s="456"/>
      <c r="T733" s="456"/>
      <c r="U733" s="456"/>
      <c r="V733" s="456"/>
      <c r="W733" s="456"/>
      <c r="X733" s="456"/>
      <c r="Y733" s="456"/>
      <c r="Z733" s="456"/>
    </row>
    <row r="734" spans="1:26" ht="11.25" customHeight="1">
      <c r="A734" s="456"/>
      <c r="B734" s="456"/>
      <c r="C734" s="456"/>
      <c r="D734" s="456"/>
      <c r="E734" s="456"/>
      <c r="F734" s="456"/>
      <c r="G734" s="456"/>
      <c r="H734" s="456"/>
      <c r="I734" s="456"/>
      <c r="J734" s="456"/>
      <c r="K734" s="456"/>
      <c r="L734" s="456"/>
      <c r="M734" s="456"/>
      <c r="N734" s="456"/>
      <c r="O734" s="456"/>
      <c r="P734" s="456"/>
      <c r="Q734" s="456"/>
      <c r="R734" s="456"/>
      <c r="S734" s="456"/>
      <c r="T734" s="456"/>
      <c r="U734" s="456"/>
      <c r="V734" s="456"/>
      <c r="W734" s="456"/>
      <c r="X734" s="456"/>
      <c r="Y734" s="456"/>
      <c r="Z734" s="456"/>
    </row>
    <row r="735" spans="1:26" ht="11.25" customHeight="1">
      <c r="A735" s="456"/>
      <c r="B735" s="456"/>
      <c r="C735" s="456"/>
      <c r="D735" s="456"/>
      <c r="E735" s="456"/>
      <c r="F735" s="456"/>
      <c r="G735" s="456"/>
      <c r="H735" s="456"/>
      <c r="I735" s="456"/>
      <c r="J735" s="456"/>
      <c r="K735" s="456"/>
      <c r="L735" s="456"/>
      <c r="M735" s="456"/>
      <c r="N735" s="456"/>
      <c r="O735" s="456"/>
      <c r="P735" s="456"/>
      <c r="Q735" s="456"/>
      <c r="R735" s="456"/>
      <c r="S735" s="456"/>
      <c r="T735" s="456"/>
      <c r="U735" s="456"/>
      <c r="V735" s="456"/>
      <c r="W735" s="456"/>
      <c r="X735" s="456"/>
      <c r="Y735" s="456"/>
      <c r="Z735" s="456"/>
    </row>
    <row r="736" spans="1:26" ht="11.25" customHeight="1">
      <c r="A736" s="456"/>
      <c r="B736" s="456"/>
      <c r="C736" s="456"/>
      <c r="D736" s="456"/>
      <c r="E736" s="456"/>
      <c r="F736" s="456"/>
      <c r="G736" s="456"/>
      <c r="H736" s="456"/>
      <c r="I736" s="456"/>
      <c r="J736" s="456"/>
      <c r="K736" s="456"/>
      <c r="L736" s="456"/>
      <c r="M736" s="456"/>
      <c r="N736" s="456"/>
      <c r="O736" s="456"/>
      <c r="P736" s="456"/>
      <c r="Q736" s="456"/>
      <c r="R736" s="456"/>
      <c r="S736" s="456"/>
      <c r="T736" s="456"/>
      <c r="U736" s="456"/>
      <c r="V736" s="456"/>
      <c r="W736" s="456"/>
      <c r="X736" s="456"/>
      <c r="Y736" s="456"/>
      <c r="Z736" s="456"/>
    </row>
    <row r="737" spans="1:26" ht="11.25" customHeight="1">
      <c r="A737" s="456"/>
      <c r="B737" s="456"/>
      <c r="C737" s="456"/>
      <c r="D737" s="456"/>
      <c r="E737" s="456"/>
      <c r="F737" s="456"/>
      <c r="G737" s="456"/>
      <c r="H737" s="456"/>
      <c r="I737" s="456"/>
      <c r="J737" s="456"/>
      <c r="K737" s="456"/>
      <c r="L737" s="456"/>
      <c r="M737" s="456"/>
      <c r="N737" s="456"/>
      <c r="O737" s="456"/>
      <c r="P737" s="456"/>
      <c r="Q737" s="456"/>
      <c r="R737" s="456"/>
      <c r="S737" s="456"/>
      <c r="T737" s="456"/>
      <c r="U737" s="456"/>
      <c r="V737" s="456"/>
      <c r="W737" s="456"/>
      <c r="X737" s="456"/>
      <c r="Y737" s="456"/>
      <c r="Z737" s="456"/>
    </row>
    <row r="738" spans="1:26" ht="11.25" customHeight="1">
      <c r="A738" s="456"/>
      <c r="B738" s="456"/>
      <c r="C738" s="456"/>
      <c r="D738" s="456"/>
      <c r="E738" s="456"/>
      <c r="F738" s="456"/>
      <c r="G738" s="456"/>
      <c r="H738" s="456"/>
      <c r="I738" s="456"/>
      <c r="J738" s="456"/>
      <c r="K738" s="456"/>
      <c r="L738" s="456"/>
      <c r="M738" s="456"/>
      <c r="N738" s="456"/>
      <c r="O738" s="456"/>
      <c r="P738" s="456"/>
      <c r="Q738" s="456"/>
      <c r="R738" s="456"/>
      <c r="S738" s="456"/>
      <c r="T738" s="456"/>
      <c r="U738" s="456"/>
      <c r="V738" s="456"/>
      <c r="W738" s="456"/>
      <c r="X738" s="456"/>
      <c r="Y738" s="456"/>
      <c r="Z738" s="456"/>
    </row>
    <row r="739" spans="1:26" ht="11.25" customHeight="1">
      <c r="A739" s="456"/>
      <c r="B739" s="456"/>
      <c r="C739" s="456"/>
      <c r="D739" s="456"/>
      <c r="E739" s="456"/>
      <c r="F739" s="456"/>
      <c r="G739" s="456"/>
      <c r="H739" s="456"/>
      <c r="I739" s="456"/>
      <c r="J739" s="456"/>
      <c r="K739" s="456"/>
      <c r="L739" s="456"/>
      <c r="M739" s="456"/>
      <c r="N739" s="456"/>
      <c r="O739" s="456"/>
      <c r="P739" s="456"/>
      <c r="Q739" s="456"/>
      <c r="R739" s="456"/>
      <c r="S739" s="456"/>
      <c r="T739" s="456"/>
      <c r="U739" s="456"/>
      <c r="V739" s="456"/>
      <c r="W739" s="456"/>
      <c r="X739" s="456"/>
      <c r="Y739" s="456"/>
      <c r="Z739" s="456"/>
    </row>
    <row r="740" spans="1:26" ht="11.25" customHeight="1">
      <c r="A740" s="456"/>
      <c r="B740" s="456"/>
      <c r="C740" s="456"/>
      <c r="D740" s="456"/>
      <c r="E740" s="456"/>
      <c r="F740" s="456"/>
      <c r="G740" s="456"/>
      <c r="H740" s="456"/>
      <c r="I740" s="456"/>
      <c r="J740" s="456"/>
      <c r="K740" s="456"/>
      <c r="L740" s="456"/>
      <c r="M740" s="456"/>
      <c r="N740" s="456"/>
      <c r="O740" s="456"/>
      <c r="P740" s="456"/>
      <c r="Q740" s="456"/>
      <c r="R740" s="456"/>
      <c r="S740" s="456"/>
      <c r="T740" s="456"/>
      <c r="U740" s="456"/>
      <c r="V740" s="456"/>
      <c r="W740" s="456"/>
      <c r="X740" s="456"/>
      <c r="Y740" s="456"/>
      <c r="Z740" s="456"/>
    </row>
    <row r="741" spans="1:26" ht="11.25" customHeight="1">
      <c r="A741" s="456"/>
      <c r="B741" s="456"/>
      <c r="C741" s="456"/>
      <c r="D741" s="456"/>
      <c r="E741" s="456"/>
      <c r="F741" s="456"/>
      <c r="G741" s="456"/>
      <c r="H741" s="456"/>
      <c r="I741" s="456"/>
      <c r="J741" s="456"/>
      <c r="K741" s="456"/>
      <c r="L741" s="456"/>
      <c r="M741" s="456"/>
      <c r="N741" s="456"/>
      <c r="O741" s="456"/>
      <c r="P741" s="456"/>
      <c r="Q741" s="456"/>
      <c r="R741" s="456"/>
      <c r="S741" s="456"/>
      <c r="T741" s="456"/>
      <c r="U741" s="456"/>
      <c r="V741" s="456"/>
      <c r="W741" s="456"/>
      <c r="X741" s="456"/>
      <c r="Y741" s="456"/>
      <c r="Z741" s="456"/>
    </row>
    <row r="742" spans="1:26" ht="11.25" customHeight="1">
      <c r="A742" s="456"/>
      <c r="B742" s="456"/>
      <c r="C742" s="456"/>
      <c r="D742" s="456"/>
      <c r="E742" s="456"/>
      <c r="F742" s="456"/>
      <c r="G742" s="456"/>
      <c r="H742" s="456"/>
      <c r="I742" s="456"/>
      <c r="J742" s="456"/>
      <c r="K742" s="456"/>
      <c r="L742" s="456"/>
      <c r="M742" s="456"/>
      <c r="N742" s="456"/>
      <c r="O742" s="456"/>
      <c r="P742" s="456"/>
      <c r="Q742" s="456"/>
      <c r="R742" s="456"/>
      <c r="S742" s="456"/>
      <c r="T742" s="456"/>
      <c r="U742" s="456"/>
      <c r="V742" s="456"/>
      <c r="W742" s="456"/>
      <c r="X742" s="456"/>
      <c r="Y742" s="456"/>
      <c r="Z742" s="456"/>
    </row>
    <row r="743" spans="1:26" ht="11.25" customHeight="1">
      <c r="A743" s="456"/>
      <c r="B743" s="456"/>
      <c r="C743" s="456"/>
      <c r="D743" s="456"/>
      <c r="E743" s="456"/>
      <c r="F743" s="456"/>
      <c r="G743" s="456"/>
      <c r="H743" s="456"/>
      <c r="I743" s="456"/>
      <c r="J743" s="456"/>
      <c r="K743" s="456"/>
      <c r="L743" s="456"/>
      <c r="M743" s="456"/>
      <c r="N743" s="456"/>
      <c r="O743" s="456"/>
      <c r="P743" s="456"/>
      <c r="Q743" s="456"/>
      <c r="R743" s="456"/>
      <c r="S743" s="456"/>
      <c r="T743" s="456"/>
      <c r="U743" s="456"/>
      <c r="V743" s="456"/>
      <c r="W743" s="456"/>
      <c r="X743" s="456"/>
      <c r="Y743" s="456"/>
      <c r="Z743" s="456"/>
    </row>
    <row r="744" spans="1:26" ht="11.25" customHeight="1">
      <c r="A744" s="456"/>
      <c r="B744" s="456"/>
      <c r="C744" s="456"/>
      <c r="D744" s="456"/>
      <c r="E744" s="456"/>
      <c r="F744" s="456"/>
      <c r="G744" s="456"/>
      <c r="H744" s="456"/>
      <c r="I744" s="456"/>
      <c r="J744" s="456"/>
      <c r="K744" s="456"/>
      <c r="L744" s="456"/>
      <c r="M744" s="456"/>
      <c r="N744" s="456"/>
      <c r="O744" s="456"/>
      <c r="P744" s="456"/>
      <c r="Q744" s="456"/>
      <c r="R744" s="456"/>
      <c r="S744" s="456"/>
      <c r="T744" s="456"/>
      <c r="U744" s="456"/>
      <c r="V744" s="456"/>
      <c r="W744" s="456"/>
      <c r="X744" s="456"/>
      <c r="Y744" s="456"/>
      <c r="Z744" s="456"/>
    </row>
    <row r="745" spans="1:26" ht="11.25" customHeight="1">
      <c r="A745" s="456"/>
      <c r="B745" s="456"/>
      <c r="C745" s="456"/>
      <c r="D745" s="456"/>
      <c r="E745" s="456"/>
      <c r="F745" s="456"/>
      <c r="G745" s="456"/>
      <c r="H745" s="456"/>
      <c r="I745" s="456"/>
      <c r="J745" s="456"/>
      <c r="K745" s="456"/>
      <c r="L745" s="456"/>
      <c r="M745" s="456"/>
      <c r="N745" s="456"/>
      <c r="O745" s="456"/>
      <c r="P745" s="456"/>
      <c r="Q745" s="456"/>
      <c r="R745" s="456"/>
      <c r="S745" s="456"/>
      <c r="T745" s="456"/>
      <c r="U745" s="456"/>
      <c r="V745" s="456"/>
      <c r="W745" s="456"/>
      <c r="X745" s="456"/>
      <c r="Y745" s="456"/>
      <c r="Z745" s="456"/>
    </row>
    <row r="746" spans="1:26" ht="11.25" customHeight="1">
      <c r="A746" s="456"/>
      <c r="B746" s="456"/>
      <c r="C746" s="456"/>
      <c r="D746" s="456"/>
      <c r="E746" s="456"/>
      <c r="F746" s="456"/>
      <c r="G746" s="456"/>
      <c r="H746" s="456"/>
      <c r="I746" s="456"/>
      <c r="J746" s="456"/>
      <c r="K746" s="456"/>
      <c r="L746" s="456"/>
      <c r="M746" s="456"/>
      <c r="N746" s="456"/>
      <c r="O746" s="456"/>
      <c r="P746" s="456"/>
      <c r="Q746" s="456"/>
      <c r="R746" s="456"/>
      <c r="S746" s="456"/>
      <c r="T746" s="456"/>
      <c r="U746" s="456"/>
      <c r="V746" s="456"/>
      <c r="W746" s="456"/>
      <c r="X746" s="456"/>
      <c r="Y746" s="456"/>
      <c r="Z746" s="456"/>
    </row>
    <row r="747" spans="1:26" ht="11.25" customHeight="1">
      <c r="A747" s="456"/>
      <c r="B747" s="456"/>
      <c r="C747" s="456"/>
      <c r="D747" s="456"/>
      <c r="E747" s="456"/>
      <c r="F747" s="456"/>
      <c r="G747" s="456"/>
      <c r="H747" s="456"/>
      <c r="I747" s="456"/>
      <c r="J747" s="456"/>
      <c r="K747" s="456"/>
      <c r="L747" s="456"/>
      <c r="M747" s="456"/>
      <c r="N747" s="456"/>
      <c r="O747" s="456"/>
      <c r="P747" s="456"/>
      <c r="Q747" s="456"/>
      <c r="R747" s="456"/>
      <c r="S747" s="456"/>
      <c r="T747" s="456"/>
      <c r="U747" s="456"/>
      <c r="V747" s="456"/>
      <c r="W747" s="456"/>
      <c r="X747" s="456"/>
      <c r="Y747" s="456"/>
      <c r="Z747" s="456"/>
    </row>
    <row r="748" spans="1:26" ht="11.25" customHeight="1">
      <c r="A748" s="456"/>
      <c r="B748" s="456"/>
      <c r="C748" s="456"/>
      <c r="D748" s="456"/>
      <c r="E748" s="456"/>
      <c r="F748" s="456"/>
      <c r="G748" s="456"/>
      <c r="H748" s="456"/>
      <c r="I748" s="456"/>
      <c r="J748" s="456"/>
      <c r="K748" s="456"/>
      <c r="L748" s="456"/>
      <c r="M748" s="456"/>
      <c r="N748" s="456"/>
      <c r="O748" s="456"/>
      <c r="P748" s="456"/>
      <c r="Q748" s="456"/>
      <c r="R748" s="456"/>
      <c r="S748" s="456"/>
      <c r="T748" s="456"/>
      <c r="U748" s="456"/>
      <c r="V748" s="456"/>
      <c r="W748" s="456"/>
      <c r="X748" s="456"/>
      <c r="Y748" s="456"/>
      <c r="Z748" s="456"/>
    </row>
    <row r="749" spans="1:26" ht="11.25" customHeight="1">
      <c r="A749" s="456"/>
      <c r="B749" s="456"/>
      <c r="C749" s="456"/>
      <c r="D749" s="456"/>
      <c r="E749" s="456"/>
      <c r="F749" s="456"/>
      <c r="G749" s="456"/>
      <c r="H749" s="456"/>
      <c r="I749" s="456"/>
      <c r="J749" s="456"/>
      <c r="K749" s="456"/>
      <c r="L749" s="456"/>
      <c r="M749" s="456"/>
      <c r="N749" s="456"/>
      <c r="O749" s="456"/>
      <c r="P749" s="456"/>
      <c r="Q749" s="456"/>
      <c r="R749" s="456"/>
      <c r="S749" s="456"/>
      <c r="T749" s="456"/>
      <c r="U749" s="456"/>
      <c r="V749" s="456"/>
      <c r="W749" s="456"/>
      <c r="X749" s="456"/>
      <c r="Y749" s="456"/>
      <c r="Z749" s="456"/>
    </row>
    <row r="750" spans="1:26" ht="11.25" customHeight="1">
      <c r="A750" s="456"/>
      <c r="B750" s="456"/>
      <c r="C750" s="456"/>
      <c r="D750" s="456"/>
      <c r="E750" s="456"/>
      <c r="F750" s="456"/>
      <c r="G750" s="456"/>
      <c r="H750" s="456"/>
      <c r="I750" s="456"/>
      <c r="J750" s="456"/>
      <c r="K750" s="456"/>
      <c r="L750" s="456"/>
      <c r="M750" s="456"/>
      <c r="N750" s="456"/>
      <c r="O750" s="456"/>
      <c r="P750" s="456"/>
      <c r="Q750" s="456"/>
      <c r="R750" s="456"/>
      <c r="S750" s="456"/>
      <c r="T750" s="456"/>
      <c r="U750" s="456"/>
      <c r="V750" s="456"/>
      <c r="W750" s="456"/>
      <c r="X750" s="456"/>
      <c r="Y750" s="456"/>
      <c r="Z750" s="456"/>
    </row>
    <row r="751" spans="1:26" ht="11.25" customHeight="1">
      <c r="A751" s="456"/>
      <c r="B751" s="456"/>
      <c r="C751" s="456"/>
      <c r="D751" s="456"/>
      <c r="E751" s="456"/>
      <c r="F751" s="456"/>
      <c r="G751" s="456"/>
      <c r="H751" s="456"/>
      <c r="I751" s="456"/>
      <c r="J751" s="456"/>
      <c r="K751" s="456"/>
      <c r="L751" s="456"/>
      <c r="M751" s="456"/>
      <c r="N751" s="456"/>
      <c r="O751" s="456"/>
      <c r="P751" s="456"/>
      <c r="Q751" s="456"/>
      <c r="R751" s="456"/>
      <c r="S751" s="456"/>
      <c r="T751" s="456"/>
      <c r="U751" s="456"/>
      <c r="V751" s="456"/>
      <c r="W751" s="456"/>
      <c r="X751" s="456"/>
      <c r="Y751" s="456"/>
      <c r="Z751" s="456"/>
    </row>
    <row r="752" spans="1:26" ht="11.25" customHeight="1">
      <c r="A752" s="456"/>
      <c r="B752" s="456"/>
      <c r="C752" s="456"/>
      <c r="D752" s="456"/>
      <c r="E752" s="456"/>
      <c r="F752" s="456"/>
      <c r="G752" s="456"/>
      <c r="H752" s="456"/>
      <c r="I752" s="456"/>
      <c r="J752" s="456"/>
      <c r="K752" s="456"/>
      <c r="L752" s="456"/>
      <c r="M752" s="456"/>
      <c r="N752" s="456"/>
      <c r="O752" s="456"/>
      <c r="P752" s="456"/>
      <c r="Q752" s="456"/>
      <c r="R752" s="456"/>
      <c r="S752" s="456"/>
      <c r="T752" s="456"/>
      <c r="U752" s="456"/>
      <c r="V752" s="456"/>
      <c r="W752" s="456"/>
      <c r="X752" s="456"/>
      <c r="Y752" s="456"/>
      <c r="Z752" s="456"/>
    </row>
    <row r="753" spans="1:26" ht="11.25" customHeight="1">
      <c r="A753" s="456"/>
      <c r="B753" s="456"/>
      <c r="C753" s="456"/>
      <c r="D753" s="456"/>
      <c r="E753" s="456"/>
      <c r="F753" s="456"/>
      <c r="G753" s="456"/>
      <c r="H753" s="456"/>
      <c r="I753" s="456"/>
      <c r="J753" s="456"/>
      <c r="K753" s="456"/>
      <c r="L753" s="456"/>
      <c r="M753" s="456"/>
      <c r="N753" s="456"/>
      <c r="O753" s="456"/>
      <c r="P753" s="456"/>
      <c r="Q753" s="456"/>
      <c r="R753" s="456"/>
      <c r="S753" s="456"/>
      <c r="T753" s="456"/>
      <c r="U753" s="456"/>
      <c r="V753" s="456"/>
      <c r="W753" s="456"/>
      <c r="X753" s="456"/>
      <c r="Y753" s="456"/>
      <c r="Z753" s="456"/>
    </row>
    <row r="754" spans="1:26" ht="11.25" customHeight="1">
      <c r="A754" s="456"/>
      <c r="B754" s="456"/>
      <c r="C754" s="456"/>
      <c r="D754" s="456"/>
      <c r="E754" s="456"/>
      <c r="F754" s="456"/>
      <c r="G754" s="456"/>
      <c r="H754" s="456"/>
      <c r="I754" s="456"/>
      <c r="J754" s="456"/>
      <c r="K754" s="456"/>
      <c r="L754" s="456"/>
      <c r="M754" s="456"/>
      <c r="N754" s="456"/>
      <c r="O754" s="456"/>
      <c r="P754" s="456"/>
      <c r="Q754" s="456"/>
      <c r="R754" s="456"/>
      <c r="S754" s="456"/>
      <c r="T754" s="456"/>
      <c r="U754" s="456"/>
      <c r="V754" s="456"/>
      <c r="W754" s="456"/>
      <c r="X754" s="456"/>
      <c r="Y754" s="456"/>
      <c r="Z754" s="456"/>
    </row>
    <row r="755" spans="1:26" ht="11.25" customHeight="1">
      <c r="A755" s="456"/>
      <c r="B755" s="456"/>
      <c r="C755" s="456"/>
      <c r="D755" s="456"/>
      <c r="E755" s="456"/>
      <c r="F755" s="456"/>
      <c r="G755" s="456"/>
      <c r="H755" s="456"/>
      <c r="I755" s="456"/>
      <c r="J755" s="456"/>
      <c r="K755" s="456"/>
      <c r="L755" s="456"/>
      <c r="M755" s="456"/>
      <c r="N755" s="456"/>
      <c r="O755" s="456"/>
      <c r="P755" s="456"/>
      <c r="Q755" s="456"/>
      <c r="R755" s="456"/>
      <c r="S755" s="456"/>
      <c r="T755" s="456"/>
      <c r="U755" s="456"/>
      <c r="V755" s="456"/>
      <c r="W755" s="456"/>
      <c r="X755" s="456"/>
      <c r="Y755" s="456"/>
      <c r="Z755" s="456"/>
    </row>
    <row r="756" spans="1:26" ht="11.25" customHeight="1">
      <c r="A756" s="456"/>
      <c r="B756" s="456"/>
      <c r="C756" s="456"/>
      <c r="D756" s="456"/>
      <c r="E756" s="456"/>
      <c r="F756" s="456"/>
      <c r="G756" s="456"/>
      <c r="H756" s="456"/>
      <c r="I756" s="456"/>
      <c r="J756" s="456"/>
      <c r="K756" s="456"/>
      <c r="L756" s="456"/>
      <c r="M756" s="456"/>
      <c r="N756" s="456"/>
      <c r="O756" s="456"/>
      <c r="P756" s="456"/>
      <c r="Q756" s="456"/>
      <c r="R756" s="456"/>
      <c r="S756" s="456"/>
      <c r="T756" s="456"/>
      <c r="U756" s="456"/>
      <c r="V756" s="456"/>
      <c r="W756" s="456"/>
      <c r="X756" s="456"/>
      <c r="Y756" s="456"/>
      <c r="Z756" s="456"/>
    </row>
    <row r="757" spans="1:26" ht="11.25" customHeight="1">
      <c r="A757" s="456"/>
      <c r="B757" s="456"/>
      <c r="C757" s="456"/>
      <c r="D757" s="456"/>
      <c r="E757" s="456"/>
      <c r="F757" s="456"/>
      <c r="G757" s="456"/>
      <c r="H757" s="456"/>
      <c r="I757" s="456"/>
      <c r="J757" s="456"/>
      <c r="K757" s="456"/>
      <c r="L757" s="456"/>
      <c r="M757" s="456"/>
      <c r="N757" s="456"/>
      <c r="O757" s="456"/>
      <c r="P757" s="456"/>
      <c r="Q757" s="456"/>
      <c r="R757" s="456"/>
      <c r="S757" s="456"/>
      <c r="T757" s="456"/>
      <c r="U757" s="456"/>
      <c r="V757" s="456"/>
      <c r="W757" s="456"/>
      <c r="X757" s="456"/>
      <c r="Y757" s="456"/>
      <c r="Z757" s="456"/>
    </row>
    <row r="758" spans="1:26" ht="11.25" customHeight="1">
      <c r="A758" s="456"/>
      <c r="B758" s="456"/>
      <c r="C758" s="456"/>
      <c r="D758" s="456"/>
      <c r="E758" s="456"/>
      <c r="F758" s="456"/>
      <c r="G758" s="456"/>
      <c r="H758" s="456"/>
      <c r="I758" s="456"/>
      <c r="J758" s="456"/>
      <c r="K758" s="456"/>
      <c r="L758" s="456"/>
      <c r="M758" s="456"/>
      <c r="N758" s="456"/>
      <c r="O758" s="456"/>
      <c r="P758" s="456"/>
      <c r="Q758" s="456"/>
      <c r="R758" s="456"/>
      <c r="S758" s="456"/>
      <c r="T758" s="456"/>
      <c r="U758" s="456"/>
      <c r="V758" s="456"/>
      <c r="W758" s="456"/>
      <c r="X758" s="456"/>
      <c r="Y758" s="456"/>
      <c r="Z758" s="456"/>
    </row>
    <row r="759" spans="1:26" ht="11.25" customHeight="1">
      <c r="A759" s="456"/>
      <c r="B759" s="456"/>
      <c r="C759" s="456"/>
      <c r="D759" s="456"/>
      <c r="E759" s="456"/>
      <c r="F759" s="456"/>
      <c r="G759" s="456"/>
      <c r="H759" s="456"/>
      <c r="I759" s="456"/>
      <c r="J759" s="456"/>
      <c r="K759" s="456"/>
      <c r="L759" s="456"/>
      <c r="M759" s="456"/>
      <c r="N759" s="456"/>
      <c r="O759" s="456"/>
      <c r="P759" s="456"/>
      <c r="Q759" s="456"/>
      <c r="R759" s="456"/>
      <c r="S759" s="456"/>
      <c r="T759" s="456"/>
      <c r="U759" s="456"/>
      <c r="V759" s="456"/>
      <c r="W759" s="456"/>
      <c r="X759" s="456"/>
      <c r="Y759" s="456"/>
      <c r="Z759" s="456"/>
    </row>
    <row r="760" spans="1:26" ht="11.25" customHeight="1">
      <c r="A760" s="456"/>
      <c r="B760" s="456"/>
      <c r="C760" s="456"/>
      <c r="D760" s="456"/>
      <c r="E760" s="456"/>
      <c r="F760" s="456"/>
      <c r="G760" s="456"/>
      <c r="H760" s="456"/>
      <c r="I760" s="456"/>
      <c r="J760" s="456"/>
      <c r="K760" s="456"/>
      <c r="L760" s="456"/>
      <c r="M760" s="456"/>
      <c r="N760" s="456"/>
      <c r="O760" s="456"/>
      <c r="P760" s="456"/>
      <c r="Q760" s="456"/>
      <c r="R760" s="456"/>
      <c r="S760" s="456"/>
      <c r="T760" s="456"/>
      <c r="U760" s="456"/>
      <c r="V760" s="456"/>
      <c r="W760" s="456"/>
      <c r="X760" s="456"/>
      <c r="Y760" s="456"/>
      <c r="Z760" s="456"/>
    </row>
    <row r="761" spans="1:26" ht="11.25" customHeight="1">
      <c r="A761" s="456"/>
      <c r="B761" s="456"/>
      <c r="C761" s="456"/>
      <c r="D761" s="456"/>
      <c r="E761" s="456"/>
      <c r="F761" s="456"/>
      <c r="G761" s="456"/>
      <c r="H761" s="456"/>
      <c r="I761" s="456"/>
      <c r="J761" s="456"/>
      <c r="K761" s="456"/>
      <c r="L761" s="456"/>
      <c r="M761" s="456"/>
      <c r="N761" s="456"/>
      <c r="O761" s="456"/>
      <c r="P761" s="456"/>
      <c r="Q761" s="456"/>
      <c r="R761" s="456"/>
      <c r="S761" s="456"/>
      <c r="T761" s="456"/>
      <c r="U761" s="456"/>
      <c r="V761" s="456"/>
      <c r="W761" s="456"/>
      <c r="X761" s="456"/>
      <c r="Y761" s="456"/>
      <c r="Z761" s="456"/>
    </row>
    <row r="762" spans="1:26" ht="11.25" customHeight="1">
      <c r="A762" s="456"/>
      <c r="B762" s="456"/>
      <c r="C762" s="456"/>
      <c r="D762" s="456"/>
      <c r="E762" s="456"/>
      <c r="F762" s="456"/>
      <c r="G762" s="456"/>
      <c r="H762" s="456"/>
      <c r="I762" s="456"/>
      <c r="J762" s="456"/>
      <c r="K762" s="456"/>
      <c r="L762" s="456"/>
      <c r="M762" s="456"/>
      <c r="N762" s="456"/>
      <c r="O762" s="456"/>
      <c r="P762" s="456"/>
      <c r="Q762" s="456"/>
      <c r="R762" s="456"/>
      <c r="S762" s="456"/>
      <c r="T762" s="456"/>
      <c r="U762" s="456"/>
      <c r="V762" s="456"/>
      <c r="W762" s="456"/>
      <c r="X762" s="456"/>
      <c r="Y762" s="456"/>
      <c r="Z762" s="456"/>
    </row>
    <row r="763" spans="1:26" ht="11.25" customHeight="1">
      <c r="A763" s="456"/>
      <c r="B763" s="456"/>
      <c r="C763" s="456"/>
      <c r="D763" s="456"/>
      <c r="E763" s="456"/>
      <c r="F763" s="456"/>
      <c r="G763" s="456"/>
      <c r="H763" s="456"/>
      <c r="I763" s="456"/>
      <c r="J763" s="456"/>
      <c r="K763" s="456"/>
      <c r="L763" s="456"/>
      <c r="M763" s="456"/>
      <c r="N763" s="456"/>
      <c r="O763" s="456"/>
      <c r="P763" s="456"/>
      <c r="Q763" s="456"/>
      <c r="R763" s="456"/>
      <c r="S763" s="456"/>
      <c r="T763" s="456"/>
      <c r="U763" s="456"/>
      <c r="V763" s="456"/>
      <c r="W763" s="456"/>
      <c r="X763" s="456"/>
      <c r="Y763" s="456"/>
      <c r="Z763" s="456"/>
    </row>
    <row r="764" spans="1:26" ht="11.25" customHeight="1">
      <c r="A764" s="456"/>
      <c r="B764" s="456"/>
      <c r="C764" s="456"/>
      <c r="D764" s="456"/>
      <c r="E764" s="456"/>
      <c r="F764" s="456"/>
      <c r="G764" s="456"/>
      <c r="H764" s="456"/>
      <c r="I764" s="456"/>
      <c r="J764" s="456"/>
      <c r="K764" s="456"/>
      <c r="L764" s="456"/>
      <c r="M764" s="456"/>
      <c r="N764" s="456"/>
      <c r="O764" s="456"/>
      <c r="P764" s="456"/>
      <c r="Q764" s="456"/>
      <c r="R764" s="456"/>
      <c r="S764" s="456"/>
      <c r="T764" s="456"/>
      <c r="U764" s="456"/>
      <c r="V764" s="456"/>
      <c r="W764" s="456"/>
      <c r="X764" s="456"/>
      <c r="Y764" s="456"/>
      <c r="Z764" s="456"/>
    </row>
    <row r="765" spans="1:26" ht="11.25" customHeight="1">
      <c r="A765" s="456"/>
      <c r="B765" s="456"/>
      <c r="C765" s="456"/>
      <c r="D765" s="456"/>
      <c r="E765" s="456"/>
      <c r="F765" s="456"/>
      <c r="G765" s="456"/>
      <c r="H765" s="456"/>
      <c r="I765" s="456"/>
      <c r="J765" s="456"/>
      <c r="K765" s="456"/>
      <c r="L765" s="456"/>
      <c r="M765" s="456"/>
      <c r="N765" s="456"/>
      <c r="O765" s="456"/>
      <c r="P765" s="456"/>
      <c r="Q765" s="456"/>
      <c r="R765" s="456"/>
      <c r="S765" s="456"/>
      <c r="T765" s="456"/>
      <c r="U765" s="456"/>
      <c r="V765" s="456"/>
      <c r="W765" s="456"/>
      <c r="X765" s="456"/>
      <c r="Y765" s="456"/>
      <c r="Z765" s="456"/>
    </row>
    <row r="766" spans="1:26" ht="11.25" customHeight="1">
      <c r="A766" s="456"/>
      <c r="B766" s="456"/>
      <c r="C766" s="456"/>
      <c r="D766" s="456"/>
      <c r="E766" s="456"/>
      <c r="F766" s="456"/>
      <c r="G766" s="456"/>
      <c r="H766" s="456"/>
      <c r="I766" s="456"/>
      <c r="J766" s="456"/>
      <c r="K766" s="456"/>
      <c r="L766" s="456"/>
      <c r="M766" s="456"/>
      <c r="N766" s="456"/>
      <c r="O766" s="456"/>
      <c r="P766" s="456"/>
      <c r="Q766" s="456"/>
      <c r="R766" s="456"/>
      <c r="S766" s="456"/>
      <c r="T766" s="456"/>
      <c r="U766" s="456"/>
      <c r="V766" s="456"/>
      <c r="W766" s="456"/>
      <c r="X766" s="456"/>
      <c r="Y766" s="456"/>
      <c r="Z766" s="456"/>
    </row>
    <row r="767" spans="1:26" ht="11.25" customHeight="1">
      <c r="A767" s="456"/>
      <c r="B767" s="456"/>
      <c r="C767" s="456"/>
      <c r="D767" s="456"/>
      <c r="E767" s="456"/>
      <c r="F767" s="456"/>
      <c r="G767" s="456"/>
      <c r="H767" s="456"/>
      <c r="I767" s="456"/>
      <c r="J767" s="456"/>
      <c r="K767" s="456"/>
      <c r="L767" s="456"/>
      <c r="M767" s="456"/>
      <c r="N767" s="456"/>
      <c r="O767" s="456"/>
      <c r="P767" s="456"/>
      <c r="Q767" s="456"/>
      <c r="R767" s="456"/>
      <c r="S767" s="456"/>
      <c r="T767" s="456"/>
      <c r="U767" s="456"/>
      <c r="V767" s="456"/>
      <c r="W767" s="456"/>
      <c r="X767" s="456"/>
      <c r="Y767" s="456"/>
      <c r="Z767" s="456"/>
    </row>
    <row r="768" spans="1:26" ht="11.25" customHeight="1">
      <c r="A768" s="456"/>
      <c r="B768" s="456"/>
      <c r="C768" s="456"/>
      <c r="D768" s="456"/>
      <c r="E768" s="456"/>
      <c r="F768" s="456"/>
      <c r="G768" s="456"/>
      <c r="H768" s="456"/>
      <c r="I768" s="456"/>
      <c r="J768" s="456"/>
      <c r="K768" s="456"/>
      <c r="L768" s="456"/>
      <c r="M768" s="456"/>
      <c r="N768" s="456"/>
      <c r="O768" s="456"/>
      <c r="P768" s="456"/>
      <c r="Q768" s="456"/>
      <c r="R768" s="456"/>
      <c r="S768" s="456"/>
      <c r="T768" s="456"/>
      <c r="U768" s="456"/>
      <c r="V768" s="456"/>
      <c r="W768" s="456"/>
      <c r="X768" s="456"/>
      <c r="Y768" s="456"/>
      <c r="Z768" s="456"/>
    </row>
    <row r="769" spans="1:26" ht="11.25" customHeight="1">
      <c r="A769" s="456"/>
      <c r="B769" s="456"/>
      <c r="C769" s="456"/>
      <c r="D769" s="456"/>
      <c r="E769" s="456"/>
      <c r="F769" s="456"/>
      <c r="G769" s="456"/>
      <c r="H769" s="456"/>
      <c r="I769" s="456"/>
      <c r="J769" s="456"/>
      <c r="K769" s="456"/>
      <c r="L769" s="456"/>
      <c r="M769" s="456"/>
      <c r="N769" s="456"/>
      <c r="O769" s="456"/>
      <c r="P769" s="456"/>
      <c r="Q769" s="456"/>
      <c r="R769" s="456"/>
      <c r="S769" s="456"/>
      <c r="T769" s="456"/>
      <c r="U769" s="456"/>
      <c r="V769" s="456"/>
      <c r="W769" s="456"/>
      <c r="X769" s="456"/>
      <c r="Y769" s="456"/>
      <c r="Z769" s="456"/>
    </row>
    <row r="770" spans="1:26" ht="11.25" customHeight="1">
      <c r="A770" s="456"/>
      <c r="B770" s="456"/>
      <c r="C770" s="456"/>
      <c r="D770" s="456"/>
      <c r="E770" s="456"/>
      <c r="F770" s="456"/>
      <c r="G770" s="456"/>
      <c r="H770" s="456"/>
      <c r="I770" s="456"/>
      <c r="J770" s="456"/>
      <c r="K770" s="456"/>
      <c r="L770" s="456"/>
      <c r="M770" s="456"/>
      <c r="N770" s="456"/>
      <c r="O770" s="456"/>
      <c r="P770" s="456"/>
      <c r="Q770" s="456"/>
      <c r="R770" s="456"/>
      <c r="S770" s="456"/>
      <c r="T770" s="456"/>
      <c r="U770" s="456"/>
      <c r="V770" s="456"/>
      <c r="W770" s="456"/>
      <c r="X770" s="456"/>
      <c r="Y770" s="456"/>
      <c r="Z770" s="456"/>
    </row>
    <row r="771" spans="1:26" ht="11.25" customHeight="1">
      <c r="A771" s="456"/>
      <c r="B771" s="456"/>
      <c r="C771" s="456"/>
      <c r="D771" s="456"/>
      <c r="E771" s="456"/>
      <c r="F771" s="456"/>
      <c r="G771" s="456"/>
      <c r="H771" s="456"/>
      <c r="I771" s="456"/>
      <c r="J771" s="456"/>
      <c r="K771" s="456"/>
      <c r="L771" s="456"/>
      <c r="M771" s="456"/>
      <c r="N771" s="456"/>
      <c r="O771" s="456"/>
      <c r="P771" s="456"/>
      <c r="Q771" s="456"/>
      <c r="R771" s="456"/>
      <c r="S771" s="456"/>
      <c r="T771" s="456"/>
      <c r="U771" s="456"/>
      <c r="V771" s="456"/>
      <c r="W771" s="456"/>
      <c r="X771" s="456"/>
      <c r="Y771" s="456"/>
      <c r="Z771" s="456"/>
    </row>
    <row r="772" spans="1:26" ht="11.25" customHeight="1">
      <c r="A772" s="456"/>
      <c r="B772" s="456"/>
      <c r="C772" s="456"/>
      <c r="D772" s="456"/>
      <c r="E772" s="456"/>
      <c r="F772" s="456"/>
      <c r="G772" s="456"/>
      <c r="H772" s="456"/>
      <c r="I772" s="456"/>
      <c r="J772" s="456"/>
      <c r="K772" s="456"/>
      <c r="L772" s="456"/>
      <c r="M772" s="456"/>
      <c r="N772" s="456"/>
      <c r="O772" s="456"/>
      <c r="P772" s="456"/>
      <c r="Q772" s="456"/>
      <c r="R772" s="456"/>
      <c r="S772" s="456"/>
      <c r="T772" s="456"/>
      <c r="U772" s="456"/>
      <c r="V772" s="456"/>
      <c r="W772" s="456"/>
      <c r="X772" s="456"/>
      <c r="Y772" s="456"/>
      <c r="Z772" s="456"/>
    </row>
    <row r="773" spans="1:26" ht="11.25" customHeight="1">
      <c r="A773" s="456"/>
      <c r="B773" s="456"/>
      <c r="C773" s="456"/>
      <c r="D773" s="456"/>
      <c r="E773" s="456"/>
      <c r="F773" s="456"/>
      <c r="G773" s="456"/>
      <c r="H773" s="456"/>
      <c r="I773" s="456"/>
      <c r="J773" s="456"/>
      <c r="K773" s="456"/>
      <c r="L773" s="456"/>
      <c r="M773" s="456"/>
      <c r="N773" s="456"/>
      <c r="O773" s="456"/>
      <c r="P773" s="456"/>
      <c r="Q773" s="456"/>
      <c r="R773" s="456"/>
      <c r="S773" s="456"/>
      <c r="T773" s="456"/>
      <c r="U773" s="456"/>
      <c r="V773" s="456"/>
      <c r="W773" s="456"/>
      <c r="X773" s="456"/>
      <c r="Y773" s="456"/>
      <c r="Z773" s="456"/>
    </row>
    <row r="774" spans="1:26" ht="11.25" customHeight="1">
      <c r="A774" s="456"/>
      <c r="B774" s="456"/>
      <c r="C774" s="456"/>
      <c r="D774" s="456"/>
      <c r="E774" s="456"/>
      <c r="F774" s="456"/>
      <c r="G774" s="456"/>
      <c r="H774" s="456"/>
      <c r="I774" s="456"/>
      <c r="J774" s="456"/>
      <c r="K774" s="456"/>
      <c r="L774" s="456"/>
      <c r="M774" s="456"/>
      <c r="N774" s="456"/>
      <c r="O774" s="456"/>
      <c r="P774" s="456"/>
      <c r="Q774" s="456"/>
      <c r="R774" s="456"/>
      <c r="S774" s="456"/>
      <c r="T774" s="456"/>
      <c r="U774" s="456"/>
      <c r="V774" s="456"/>
      <c r="W774" s="456"/>
      <c r="X774" s="456"/>
      <c r="Y774" s="456"/>
      <c r="Z774" s="456"/>
    </row>
    <row r="775" spans="1:26" ht="11.25" customHeight="1">
      <c r="A775" s="456"/>
      <c r="B775" s="456"/>
      <c r="C775" s="456"/>
      <c r="D775" s="456"/>
      <c r="E775" s="456"/>
      <c r="F775" s="456"/>
      <c r="G775" s="456"/>
      <c r="H775" s="456"/>
      <c r="I775" s="456"/>
      <c r="J775" s="456"/>
      <c r="K775" s="456"/>
      <c r="L775" s="456"/>
      <c r="M775" s="456"/>
      <c r="N775" s="456"/>
      <c r="O775" s="456"/>
      <c r="P775" s="456"/>
      <c r="Q775" s="456"/>
      <c r="R775" s="456"/>
      <c r="S775" s="456"/>
      <c r="T775" s="456"/>
      <c r="U775" s="456"/>
      <c r="V775" s="456"/>
      <c r="W775" s="456"/>
      <c r="X775" s="456"/>
      <c r="Y775" s="456"/>
      <c r="Z775" s="456"/>
    </row>
    <row r="776" spans="1:26" ht="11.25" customHeight="1">
      <c r="A776" s="456"/>
      <c r="B776" s="456"/>
      <c r="C776" s="456"/>
      <c r="D776" s="456"/>
      <c r="E776" s="456"/>
      <c r="F776" s="456"/>
      <c r="G776" s="456"/>
      <c r="H776" s="456"/>
      <c r="I776" s="456"/>
      <c r="J776" s="456"/>
      <c r="K776" s="456"/>
      <c r="L776" s="456"/>
      <c r="M776" s="456"/>
      <c r="N776" s="456"/>
      <c r="O776" s="456"/>
      <c r="P776" s="456"/>
      <c r="Q776" s="456"/>
      <c r="R776" s="456"/>
      <c r="S776" s="456"/>
      <c r="T776" s="456"/>
      <c r="U776" s="456"/>
      <c r="V776" s="456"/>
      <c r="W776" s="456"/>
      <c r="X776" s="456"/>
      <c r="Y776" s="456"/>
      <c r="Z776" s="456"/>
    </row>
    <row r="777" spans="1:26" ht="11.25" customHeight="1">
      <c r="A777" s="456"/>
      <c r="B777" s="456"/>
      <c r="C777" s="456"/>
      <c r="D777" s="456"/>
      <c r="E777" s="456"/>
      <c r="F777" s="456"/>
      <c r="G777" s="456"/>
      <c r="H777" s="456"/>
      <c r="I777" s="456"/>
      <c r="J777" s="456"/>
      <c r="K777" s="456"/>
      <c r="L777" s="456"/>
      <c r="M777" s="456"/>
      <c r="N777" s="456"/>
      <c r="O777" s="456"/>
      <c r="P777" s="456"/>
      <c r="Q777" s="456"/>
      <c r="R777" s="456"/>
      <c r="S777" s="456"/>
      <c r="T777" s="456"/>
      <c r="U777" s="456"/>
      <c r="V777" s="456"/>
      <c r="W777" s="456"/>
      <c r="X777" s="456"/>
      <c r="Y777" s="456"/>
      <c r="Z777" s="456"/>
    </row>
    <row r="778" spans="1:26" ht="11.25" customHeight="1">
      <c r="A778" s="456"/>
      <c r="B778" s="456"/>
      <c r="C778" s="456"/>
      <c r="D778" s="456"/>
      <c r="E778" s="456"/>
      <c r="F778" s="456"/>
      <c r="G778" s="456"/>
      <c r="H778" s="456"/>
      <c r="I778" s="456"/>
      <c r="J778" s="456"/>
      <c r="K778" s="456"/>
      <c r="L778" s="456"/>
      <c r="M778" s="456"/>
      <c r="N778" s="456"/>
      <c r="O778" s="456"/>
      <c r="P778" s="456"/>
      <c r="Q778" s="456"/>
      <c r="R778" s="456"/>
      <c r="S778" s="456"/>
      <c r="T778" s="456"/>
      <c r="U778" s="456"/>
      <c r="V778" s="456"/>
      <c r="W778" s="456"/>
      <c r="X778" s="456"/>
      <c r="Y778" s="456"/>
      <c r="Z778" s="456"/>
    </row>
    <row r="779" spans="1:26" ht="11.25" customHeight="1">
      <c r="A779" s="456"/>
      <c r="B779" s="456"/>
      <c r="C779" s="456"/>
      <c r="D779" s="456"/>
      <c r="E779" s="456"/>
      <c r="F779" s="456"/>
      <c r="G779" s="456"/>
      <c r="H779" s="456"/>
      <c r="I779" s="456"/>
      <c r="J779" s="456"/>
      <c r="K779" s="456"/>
      <c r="L779" s="456"/>
      <c r="M779" s="456"/>
      <c r="N779" s="456"/>
      <c r="O779" s="456"/>
      <c r="P779" s="456"/>
      <c r="Q779" s="456"/>
      <c r="R779" s="456"/>
      <c r="S779" s="456"/>
      <c r="T779" s="456"/>
      <c r="U779" s="456"/>
      <c r="V779" s="456"/>
      <c r="W779" s="456"/>
      <c r="X779" s="456"/>
      <c r="Y779" s="456"/>
      <c r="Z779" s="456"/>
    </row>
    <row r="780" spans="1:26" ht="11.25" customHeight="1">
      <c r="A780" s="456"/>
      <c r="B780" s="456"/>
      <c r="C780" s="456"/>
      <c r="D780" s="456"/>
      <c r="E780" s="456"/>
      <c r="F780" s="456"/>
      <c r="G780" s="456"/>
      <c r="H780" s="456"/>
      <c r="I780" s="456"/>
      <c r="J780" s="456"/>
      <c r="K780" s="456"/>
      <c r="L780" s="456"/>
      <c r="M780" s="456"/>
      <c r="N780" s="456"/>
      <c r="O780" s="456"/>
      <c r="P780" s="456"/>
      <c r="Q780" s="456"/>
      <c r="R780" s="456"/>
      <c r="S780" s="456"/>
      <c r="T780" s="456"/>
      <c r="U780" s="456"/>
      <c r="V780" s="456"/>
      <c r="W780" s="456"/>
      <c r="X780" s="456"/>
      <c r="Y780" s="456"/>
      <c r="Z780" s="456"/>
    </row>
    <row r="781" spans="1:26" ht="11.25" customHeight="1">
      <c r="A781" s="456"/>
      <c r="B781" s="456"/>
      <c r="C781" s="456"/>
      <c r="D781" s="456"/>
      <c r="E781" s="456"/>
      <c r="F781" s="456"/>
      <c r="G781" s="456"/>
      <c r="H781" s="456"/>
      <c r="I781" s="456"/>
      <c r="J781" s="456"/>
      <c r="K781" s="456"/>
      <c r="L781" s="456"/>
      <c r="M781" s="456"/>
      <c r="N781" s="456"/>
      <c r="O781" s="456"/>
      <c r="P781" s="456"/>
      <c r="Q781" s="456"/>
      <c r="R781" s="456"/>
      <c r="S781" s="456"/>
      <c r="T781" s="456"/>
      <c r="U781" s="456"/>
      <c r="V781" s="456"/>
      <c r="W781" s="456"/>
      <c r="X781" s="456"/>
      <c r="Y781" s="456"/>
      <c r="Z781" s="456"/>
    </row>
    <row r="782" spans="1:26" ht="11.25" customHeight="1">
      <c r="A782" s="456"/>
      <c r="B782" s="456"/>
      <c r="C782" s="456"/>
      <c r="D782" s="456"/>
      <c r="E782" s="456"/>
      <c r="F782" s="456"/>
      <c r="G782" s="456"/>
      <c r="H782" s="456"/>
      <c r="I782" s="456"/>
      <c r="J782" s="456"/>
      <c r="K782" s="456"/>
      <c r="L782" s="456"/>
      <c r="M782" s="456"/>
      <c r="N782" s="456"/>
      <c r="O782" s="456"/>
      <c r="P782" s="456"/>
      <c r="Q782" s="456"/>
      <c r="R782" s="456"/>
      <c r="S782" s="456"/>
      <c r="T782" s="456"/>
      <c r="U782" s="456"/>
      <c r="V782" s="456"/>
      <c r="W782" s="456"/>
      <c r="X782" s="456"/>
      <c r="Y782" s="456"/>
      <c r="Z782" s="456"/>
    </row>
    <row r="783" spans="1:26" ht="11.25" customHeight="1">
      <c r="A783" s="456"/>
      <c r="B783" s="456"/>
      <c r="C783" s="456"/>
      <c r="D783" s="456"/>
      <c r="E783" s="456"/>
      <c r="F783" s="456"/>
      <c r="G783" s="456"/>
      <c r="H783" s="456"/>
      <c r="I783" s="456"/>
      <c r="J783" s="456"/>
      <c r="K783" s="456"/>
      <c r="L783" s="456"/>
      <c r="M783" s="456"/>
      <c r="N783" s="456"/>
      <c r="O783" s="456"/>
      <c r="P783" s="456"/>
      <c r="Q783" s="456"/>
      <c r="R783" s="456"/>
      <c r="S783" s="456"/>
      <c r="T783" s="456"/>
      <c r="U783" s="456"/>
      <c r="V783" s="456"/>
      <c r="W783" s="456"/>
      <c r="X783" s="456"/>
      <c r="Y783" s="456"/>
      <c r="Z783" s="456"/>
    </row>
    <row r="784" spans="1:26" ht="11.25" customHeight="1">
      <c r="A784" s="456"/>
      <c r="B784" s="456"/>
      <c r="C784" s="456"/>
      <c r="D784" s="456"/>
      <c r="E784" s="456"/>
      <c r="F784" s="456"/>
      <c r="G784" s="456"/>
      <c r="H784" s="456"/>
      <c r="I784" s="456"/>
      <c r="J784" s="456"/>
      <c r="K784" s="456"/>
      <c r="L784" s="456"/>
      <c r="M784" s="456"/>
      <c r="N784" s="456"/>
      <c r="O784" s="456"/>
      <c r="P784" s="456"/>
      <c r="Q784" s="456"/>
      <c r="R784" s="456"/>
      <c r="S784" s="456"/>
      <c r="T784" s="456"/>
      <c r="U784" s="456"/>
      <c r="V784" s="456"/>
      <c r="W784" s="456"/>
      <c r="X784" s="456"/>
      <c r="Y784" s="456"/>
      <c r="Z784" s="456"/>
    </row>
    <row r="785" spans="1:26" ht="11.25" customHeight="1">
      <c r="A785" s="456"/>
      <c r="B785" s="456"/>
      <c r="C785" s="456"/>
      <c r="D785" s="456"/>
      <c r="E785" s="456"/>
      <c r="F785" s="456"/>
      <c r="G785" s="456"/>
      <c r="H785" s="456"/>
      <c r="I785" s="456"/>
      <c r="J785" s="456"/>
      <c r="K785" s="456"/>
      <c r="L785" s="456"/>
      <c r="M785" s="456"/>
      <c r="N785" s="456"/>
      <c r="O785" s="456"/>
      <c r="P785" s="456"/>
      <c r="Q785" s="456"/>
      <c r="R785" s="456"/>
      <c r="S785" s="456"/>
      <c r="T785" s="456"/>
      <c r="U785" s="456"/>
      <c r="V785" s="456"/>
      <c r="W785" s="456"/>
      <c r="X785" s="456"/>
      <c r="Y785" s="456"/>
      <c r="Z785" s="456"/>
    </row>
    <row r="786" spans="1:26" ht="11.25" customHeight="1">
      <c r="A786" s="456"/>
      <c r="B786" s="456"/>
      <c r="C786" s="456"/>
      <c r="D786" s="456"/>
      <c r="E786" s="456"/>
      <c r="F786" s="456"/>
      <c r="G786" s="456"/>
      <c r="H786" s="456"/>
      <c r="I786" s="456"/>
      <c r="J786" s="456"/>
      <c r="K786" s="456"/>
      <c r="L786" s="456"/>
      <c r="M786" s="456"/>
      <c r="N786" s="456"/>
      <c r="O786" s="456"/>
      <c r="P786" s="456"/>
      <c r="Q786" s="456"/>
      <c r="R786" s="456"/>
      <c r="S786" s="456"/>
      <c r="T786" s="456"/>
      <c r="U786" s="456"/>
      <c r="V786" s="456"/>
      <c r="W786" s="456"/>
      <c r="X786" s="456"/>
      <c r="Y786" s="456"/>
      <c r="Z786" s="456"/>
    </row>
    <row r="787" spans="1:26" ht="11.25" customHeight="1">
      <c r="A787" s="456"/>
      <c r="B787" s="456"/>
      <c r="C787" s="456"/>
      <c r="D787" s="456"/>
      <c r="E787" s="456"/>
      <c r="F787" s="456"/>
      <c r="G787" s="456"/>
      <c r="H787" s="456"/>
      <c r="I787" s="456"/>
      <c r="J787" s="456"/>
      <c r="K787" s="456"/>
      <c r="L787" s="456"/>
      <c r="M787" s="456"/>
      <c r="N787" s="456"/>
      <c r="O787" s="456"/>
      <c r="P787" s="456"/>
      <c r="Q787" s="456"/>
      <c r="R787" s="456"/>
      <c r="S787" s="456"/>
      <c r="T787" s="456"/>
      <c r="U787" s="456"/>
      <c r="V787" s="456"/>
      <c r="W787" s="456"/>
      <c r="X787" s="456"/>
      <c r="Y787" s="456"/>
      <c r="Z787" s="456"/>
    </row>
    <row r="788" spans="1:26" ht="11.25" customHeight="1">
      <c r="A788" s="456"/>
      <c r="B788" s="456"/>
      <c r="C788" s="456"/>
      <c r="D788" s="456"/>
      <c r="E788" s="456"/>
      <c r="F788" s="456"/>
      <c r="G788" s="456"/>
      <c r="H788" s="456"/>
      <c r="I788" s="456"/>
      <c r="J788" s="456"/>
      <c r="K788" s="456"/>
      <c r="L788" s="456"/>
      <c r="M788" s="456"/>
      <c r="N788" s="456"/>
      <c r="O788" s="456"/>
      <c r="P788" s="456"/>
      <c r="Q788" s="456"/>
      <c r="R788" s="456"/>
      <c r="S788" s="456"/>
      <c r="T788" s="456"/>
      <c r="U788" s="456"/>
      <c r="V788" s="456"/>
      <c r="W788" s="456"/>
      <c r="X788" s="456"/>
      <c r="Y788" s="456"/>
      <c r="Z788" s="456"/>
    </row>
    <row r="789" spans="1:26" ht="11.25" customHeight="1">
      <c r="A789" s="456"/>
      <c r="B789" s="456"/>
      <c r="C789" s="456"/>
      <c r="D789" s="456"/>
      <c r="E789" s="456"/>
      <c r="F789" s="456"/>
      <c r="G789" s="456"/>
      <c r="H789" s="456"/>
      <c r="I789" s="456"/>
      <c r="J789" s="456"/>
      <c r="K789" s="456"/>
      <c r="L789" s="456"/>
      <c r="M789" s="456"/>
      <c r="N789" s="456"/>
      <c r="O789" s="456"/>
      <c r="P789" s="456"/>
      <c r="Q789" s="456"/>
      <c r="R789" s="456"/>
      <c r="S789" s="456"/>
      <c r="T789" s="456"/>
      <c r="U789" s="456"/>
      <c r="V789" s="456"/>
      <c r="W789" s="456"/>
      <c r="X789" s="456"/>
      <c r="Y789" s="456"/>
      <c r="Z789" s="456"/>
    </row>
    <row r="790" spans="1:26" ht="11.25" customHeight="1">
      <c r="A790" s="456"/>
      <c r="B790" s="456"/>
      <c r="C790" s="456"/>
      <c r="D790" s="456"/>
      <c r="E790" s="456"/>
      <c r="F790" s="456"/>
      <c r="G790" s="456"/>
      <c r="H790" s="456"/>
      <c r="I790" s="456"/>
      <c r="J790" s="456"/>
      <c r="K790" s="456"/>
      <c r="L790" s="456"/>
      <c r="M790" s="456"/>
      <c r="N790" s="456"/>
      <c r="O790" s="456"/>
      <c r="P790" s="456"/>
      <c r="Q790" s="456"/>
      <c r="R790" s="456"/>
      <c r="S790" s="456"/>
      <c r="T790" s="456"/>
      <c r="U790" s="456"/>
      <c r="V790" s="456"/>
      <c r="W790" s="456"/>
      <c r="X790" s="456"/>
      <c r="Y790" s="456"/>
      <c r="Z790" s="456"/>
    </row>
    <row r="791" spans="1:26" ht="11.25" customHeight="1">
      <c r="A791" s="456"/>
      <c r="B791" s="456"/>
      <c r="C791" s="456"/>
      <c r="D791" s="456"/>
      <c r="E791" s="456"/>
      <c r="F791" s="456"/>
      <c r="G791" s="456"/>
      <c r="H791" s="456"/>
      <c r="I791" s="456"/>
      <c r="J791" s="456"/>
      <c r="K791" s="456"/>
      <c r="L791" s="456"/>
      <c r="M791" s="456"/>
      <c r="N791" s="456"/>
      <c r="O791" s="456"/>
      <c r="P791" s="456"/>
      <c r="Q791" s="456"/>
      <c r="R791" s="456"/>
      <c r="S791" s="456"/>
      <c r="T791" s="456"/>
      <c r="U791" s="456"/>
      <c r="V791" s="456"/>
      <c r="W791" s="456"/>
      <c r="X791" s="456"/>
      <c r="Y791" s="456"/>
      <c r="Z791" s="456"/>
    </row>
    <row r="792" spans="1:26" ht="11.25" customHeight="1">
      <c r="A792" s="456"/>
      <c r="B792" s="456"/>
      <c r="C792" s="456"/>
      <c r="D792" s="456"/>
      <c r="E792" s="456"/>
      <c r="F792" s="456"/>
      <c r="G792" s="456"/>
      <c r="H792" s="456"/>
      <c r="I792" s="456"/>
      <c r="J792" s="456"/>
      <c r="K792" s="456"/>
      <c r="L792" s="456"/>
      <c r="M792" s="456"/>
      <c r="N792" s="456"/>
      <c r="O792" s="456"/>
      <c r="P792" s="456"/>
      <c r="Q792" s="456"/>
      <c r="R792" s="456"/>
      <c r="S792" s="456"/>
      <c r="T792" s="456"/>
      <c r="U792" s="456"/>
      <c r="V792" s="456"/>
      <c r="W792" s="456"/>
      <c r="X792" s="456"/>
      <c r="Y792" s="456"/>
      <c r="Z792" s="456"/>
    </row>
    <row r="793" spans="1:26" ht="11.25" customHeight="1">
      <c r="A793" s="456"/>
      <c r="B793" s="456"/>
      <c r="C793" s="456"/>
      <c r="D793" s="456"/>
      <c r="E793" s="456"/>
      <c r="F793" s="456"/>
      <c r="G793" s="456"/>
      <c r="H793" s="456"/>
      <c r="I793" s="456"/>
      <c r="J793" s="456"/>
      <c r="K793" s="456"/>
      <c r="L793" s="456"/>
      <c r="M793" s="456"/>
      <c r="N793" s="456"/>
      <c r="O793" s="456"/>
      <c r="P793" s="456"/>
      <c r="Q793" s="456"/>
      <c r="R793" s="456"/>
      <c r="S793" s="456"/>
      <c r="T793" s="456"/>
      <c r="U793" s="456"/>
      <c r="V793" s="456"/>
      <c r="W793" s="456"/>
      <c r="X793" s="456"/>
      <c r="Y793" s="456"/>
      <c r="Z793" s="456"/>
    </row>
    <row r="794" spans="1:26" ht="11.25" customHeight="1">
      <c r="A794" s="456"/>
      <c r="B794" s="456"/>
      <c r="C794" s="456"/>
      <c r="D794" s="456"/>
      <c r="E794" s="456"/>
      <c r="F794" s="456"/>
      <c r="G794" s="456"/>
      <c r="H794" s="456"/>
      <c r="I794" s="456"/>
      <c r="J794" s="456"/>
      <c r="K794" s="456"/>
      <c r="L794" s="456"/>
      <c r="M794" s="456"/>
      <c r="N794" s="456"/>
      <c r="O794" s="456"/>
      <c r="P794" s="456"/>
      <c r="Q794" s="456"/>
      <c r="R794" s="456"/>
      <c r="S794" s="456"/>
      <c r="T794" s="456"/>
      <c r="U794" s="456"/>
      <c r="V794" s="456"/>
      <c r="W794" s="456"/>
      <c r="X794" s="456"/>
      <c r="Y794" s="456"/>
      <c r="Z794" s="456"/>
    </row>
    <row r="795" spans="1:26" ht="11.25" customHeight="1">
      <c r="A795" s="456"/>
      <c r="B795" s="456"/>
      <c r="C795" s="456"/>
      <c r="D795" s="456"/>
      <c r="E795" s="456"/>
      <c r="F795" s="456"/>
      <c r="G795" s="456"/>
      <c r="H795" s="456"/>
      <c r="I795" s="456"/>
      <c r="J795" s="456"/>
      <c r="K795" s="456"/>
      <c r="L795" s="456"/>
      <c r="M795" s="456"/>
      <c r="N795" s="456"/>
      <c r="O795" s="456"/>
      <c r="P795" s="456"/>
      <c r="Q795" s="456"/>
      <c r="R795" s="456"/>
      <c r="S795" s="456"/>
      <c r="T795" s="456"/>
      <c r="U795" s="456"/>
      <c r="V795" s="456"/>
      <c r="W795" s="456"/>
      <c r="X795" s="456"/>
      <c r="Y795" s="456"/>
      <c r="Z795" s="456"/>
    </row>
    <row r="796" spans="1:26" ht="11.25" customHeight="1">
      <c r="A796" s="456"/>
      <c r="B796" s="456"/>
      <c r="C796" s="456"/>
      <c r="D796" s="456"/>
      <c r="E796" s="456"/>
      <c r="F796" s="456"/>
      <c r="G796" s="456"/>
      <c r="H796" s="456"/>
      <c r="I796" s="456"/>
      <c r="J796" s="456"/>
      <c r="K796" s="456"/>
      <c r="L796" s="456"/>
      <c r="M796" s="456"/>
      <c r="N796" s="456"/>
      <c r="O796" s="456"/>
      <c r="P796" s="456"/>
      <c r="Q796" s="456"/>
      <c r="R796" s="456"/>
      <c r="S796" s="456"/>
      <c r="T796" s="456"/>
      <c r="U796" s="456"/>
      <c r="V796" s="456"/>
      <c r="W796" s="456"/>
      <c r="X796" s="456"/>
      <c r="Y796" s="456"/>
      <c r="Z796" s="456"/>
    </row>
    <row r="797" spans="1:26" ht="11.25" customHeight="1">
      <c r="A797" s="456"/>
      <c r="B797" s="456"/>
      <c r="C797" s="456"/>
      <c r="D797" s="456"/>
      <c r="E797" s="456"/>
      <c r="F797" s="456"/>
      <c r="G797" s="456"/>
      <c r="H797" s="456"/>
      <c r="I797" s="456"/>
      <c r="J797" s="456"/>
      <c r="K797" s="456"/>
      <c r="L797" s="456"/>
      <c r="M797" s="456"/>
      <c r="N797" s="456"/>
      <c r="O797" s="456"/>
      <c r="P797" s="456"/>
      <c r="Q797" s="456"/>
      <c r="R797" s="456"/>
      <c r="S797" s="456"/>
      <c r="T797" s="456"/>
      <c r="U797" s="456"/>
      <c r="V797" s="456"/>
      <c r="W797" s="456"/>
      <c r="X797" s="456"/>
      <c r="Y797" s="456"/>
      <c r="Z797" s="456"/>
    </row>
    <row r="798" spans="1:26" ht="11.25" customHeight="1">
      <c r="A798" s="456"/>
      <c r="B798" s="456"/>
      <c r="C798" s="456"/>
      <c r="D798" s="456"/>
      <c r="E798" s="456"/>
      <c r="F798" s="456"/>
      <c r="G798" s="456"/>
      <c r="H798" s="456"/>
      <c r="I798" s="456"/>
      <c r="J798" s="456"/>
      <c r="K798" s="456"/>
      <c r="L798" s="456"/>
      <c r="M798" s="456"/>
      <c r="N798" s="456"/>
      <c r="O798" s="456"/>
      <c r="P798" s="456"/>
      <c r="Q798" s="456"/>
      <c r="R798" s="456"/>
      <c r="S798" s="456"/>
      <c r="T798" s="456"/>
      <c r="U798" s="456"/>
      <c r="V798" s="456"/>
      <c r="W798" s="456"/>
      <c r="X798" s="456"/>
      <c r="Y798" s="456"/>
      <c r="Z798" s="456"/>
    </row>
    <row r="799" spans="1:26" ht="11.25" customHeight="1">
      <c r="A799" s="456"/>
      <c r="B799" s="456"/>
      <c r="C799" s="456"/>
      <c r="D799" s="456"/>
      <c r="E799" s="456"/>
      <c r="F799" s="456"/>
      <c r="G799" s="456"/>
      <c r="H799" s="456"/>
      <c r="I799" s="456"/>
      <c r="J799" s="456"/>
      <c r="K799" s="456"/>
      <c r="L799" s="456"/>
      <c r="M799" s="456"/>
      <c r="N799" s="456"/>
      <c r="O799" s="456"/>
      <c r="P799" s="456"/>
      <c r="Q799" s="456"/>
      <c r="R799" s="456"/>
      <c r="S799" s="456"/>
      <c r="T799" s="456"/>
      <c r="U799" s="456"/>
      <c r="V799" s="456"/>
      <c r="W799" s="456"/>
      <c r="X799" s="456"/>
      <c r="Y799" s="456"/>
      <c r="Z799" s="456"/>
    </row>
    <row r="800" spans="1:26" ht="11.25" customHeight="1">
      <c r="A800" s="456"/>
      <c r="B800" s="456"/>
      <c r="C800" s="456"/>
      <c r="D800" s="456"/>
      <c r="E800" s="456"/>
      <c r="F800" s="456"/>
      <c r="G800" s="456"/>
      <c r="H800" s="456"/>
      <c r="I800" s="456"/>
      <c r="J800" s="456"/>
      <c r="K800" s="456"/>
      <c r="L800" s="456"/>
      <c r="M800" s="456"/>
      <c r="N800" s="456"/>
      <c r="O800" s="456"/>
      <c r="P800" s="456"/>
      <c r="Q800" s="456"/>
      <c r="R800" s="456"/>
      <c r="S800" s="456"/>
      <c r="T800" s="456"/>
      <c r="U800" s="456"/>
      <c r="V800" s="456"/>
      <c r="W800" s="456"/>
      <c r="X800" s="456"/>
      <c r="Y800" s="456"/>
      <c r="Z800" s="456"/>
    </row>
    <row r="801" spans="1:26" ht="11.25" customHeight="1">
      <c r="A801" s="456"/>
      <c r="B801" s="456"/>
      <c r="C801" s="456"/>
      <c r="D801" s="456"/>
      <c r="E801" s="456"/>
      <c r="F801" s="456"/>
      <c r="G801" s="456"/>
      <c r="H801" s="456"/>
      <c r="I801" s="456"/>
      <c r="J801" s="456"/>
      <c r="K801" s="456"/>
      <c r="L801" s="456"/>
      <c r="M801" s="456"/>
      <c r="N801" s="456"/>
      <c r="O801" s="456"/>
      <c r="P801" s="456"/>
      <c r="Q801" s="456"/>
      <c r="R801" s="456"/>
      <c r="S801" s="456"/>
      <c r="T801" s="456"/>
      <c r="U801" s="456"/>
      <c r="V801" s="456"/>
      <c r="W801" s="456"/>
      <c r="X801" s="456"/>
      <c r="Y801" s="456"/>
      <c r="Z801" s="456"/>
    </row>
    <row r="802" spans="1:26" ht="11.25" customHeight="1">
      <c r="A802" s="456"/>
      <c r="B802" s="456"/>
      <c r="C802" s="456"/>
      <c r="D802" s="456"/>
      <c r="E802" s="456"/>
      <c r="F802" s="456"/>
      <c r="G802" s="456"/>
      <c r="H802" s="456"/>
      <c r="I802" s="456"/>
      <c r="J802" s="456"/>
      <c r="K802" s="456"/>
      <c r="L802" s="456"/>
      <c r="M802" s="456"/>
      <c r="N802" s="456"/>
      <c r="O802" s="456"/>
      <c r="P802" s="456"/>
      <c r="Q802" s="456"/>
      <c r="R802" s="456"/>
      <c r="S802" s="456"/>
      <c r="T802" s="456"/>
      <c r="U802" s="456"/>
      <c r="V802" s="456"/>
      <c r="W802" s="456"/>
      <c r="X802" s="456"/>
      <c r="Y802" s="456"/>
      <c r="Z802" s="456"/>
    </row>
    <row r="803" spans="1:26" ht="11.25" customHeight="1">
      <c r="A803" s="456"/>
      <c r="B803" s="456"/>
      <c r="C803" s="456"/>
      <c r="D803" s="456"/>
      <c r="E803" s="456"/>
      <c r="F803" s="456"/>
      <c r="G803" s="456"/>
      <c r="H803" s="456"/>
      <c r="I803" s="456"/>
      <c r="J803" s="456"/>
      <c r="K803" s="456"/>
      <c r="L803" s="456"/>
      <c r="M803" s="456"/>
      <c r="N803" s="456"/>
      <c r="O803" s="456"/>
      <c r="P803" s="456"/>
      <c r="Q803" s="456"/>
      <c r="R803" s="456"/>
      <c r="S803" s="456"/>
      <c r="T803" s="456"/>
      <c r="U803" s="456"/>
      <c r="V803" s="456"/>
      <c r="W803" s="456"/>
      <c r="X803" s="456"/>
      <c r="Y803" s="456"/>
      <c r="Z803" s="456"/>
    </row>
    <row r="804" spans="1:26" ht="11.25" customHeight="1">
      <c r="A804" s="456"/>
      <c r="B804" s="456"/>
      <c r="C804" s="456"/>
      <c r="D804" s="456"/>
      <c r="E804" s="456"/>
      <c r="F804" s="456"/>
      <c r="G804" s="456"/>
      <c r="H804" s="456"/>
      <c r="I804" s="456"/>
      <c r="J804" s="456"/>
      <c r="K804" s="456"/>
      <c r="L804" s="456"/>
      <c r="M804" s="456"/>
      <c r="N804" s="456"/>
      <c r="O804" s="456"/>
      <c r="P804" s="456"/>
      <c r="Q804" s="456"/>
      <c r="R804" s="456"/>
      <c r="S804" s="456"/>
      <c r="T804" s="456"/>
      <c r="U804" s="456"/>
      <c r="V804" s="456"/>
      <c r="W804" s="456"/>
      <c r="X804" s="456"/>
      <c r="Y804" s="456"/>
      <c r="Z804" s="456"/>
    </row>
    <row r="805" spans="1:26" ht="11.25" customHeight="1">
      <c r="A805" s="456"/>
      <c r="B805" s="456"/>
      <c r="C805" s="456"/>
      <c r="D805" s="456"/>
      <c r="E805" s="456"/>
      <c r="F805" s="456"/>
      <c r="G805" s="456"/>
      <c r="H805" s="456"/>
      <c r="I805" s="456"/>
      <c r="J805" s="456"/>
      <c r="K805" s="456"/>
      <c r="L805" s="456"/>
      <c r="M805" s="456"/>
      <c r="N805" s="456"/>
      <c r="O805" s="456"/>
      <c r="P805" s="456"/>
      <c r="Q805" s="456"/>
      <c r="R805" s="456"/>
      <c r="S805" s="456"/>
      <c r="T805" s="456"/>
      <c r="U805" s="456"/>
      <c r="V805" s="456"/>
      <c r="W805" s="456"/>
      <c r="X805" s="456"/>
      <c r="Y805" s="456"/>
      <c r="Z805" s="456"/>
    </row>
    <row r="806" spans="1:26" ht="11.25" customHeight="1">
      <c r="A806" s="456"/>
      <c r="B806" s="456"/>
      <c r="C806" s="456"/>
      <c r="D806" s="456"/>
      <c r="E806" s="456"/>
      <c r="F806" s="456"/>
      <c r="G806" s="456"/>
      <c r="H806" s="456"/>
      <c r="I806" s="456"/>
      <c r="J806" s="456"/>
      <c r="K806" s="456"/>
      <c r="L806" s="456"/>
      <c r="M806" s="456"/>
      <c r="N806" s="456"/>
      <c r="O806" s="456"/>
      <c r="P806" s="456"/>
      <c r="Q806" s="456"/>
      <c r="R806" s="456"/>
      <c r="S806" s="456"/>
      <c r="T806" s="456"/>
      <c r="U806" s="456"/>
      <c r="V806" s="456"/>
      <c r="W806" s="456"/>
      <c r="X806" s="456"/>
      <c r="Y806" s="456"/>
      <c r="Z806" s="456"/>
    </row>
    <row r="807" spans="1:26" ht="11.25" customHeight="1">
      <c r="A807" s="456"/>
      <c r="B807" s="456"/>
      <c r="C807" s="456"/>
      <c r="D807" s="456"/>
      <c r="E807" s="456"/>
      <c r="F807" s="456"/>
      <c r="G807" s="456"/>
      <c r="H807" s="456"/>
      <c r="I807" s="456"/>
      <c r="J807" s="456"/>
      <c r="K807" s="456"/>
      <c r="L807" s="456"/>
      <c r="M807" s="456"/>
      <c r="N807" s="456"/>
      <c r="O807" s="456"/>
      <c r="P807" s="456"/>
      <c r="Q807" s="456"/>
      <c r="R807" s="456"/>
      <c r="S807" s="456"/>
      <c r="T807" s="456"/>
      <c r="U807" s="456"/>
      <c r="V807" s="456"/>
      <c r="W807" s="456"/>
      <c r="X807" s="456"/>
      <c r="Y807" s="456"/>
      <c r="Z807" s="456"/>
    </row>
    <row r="808" spans="1:26" ht="11.25" customHeight="1">
      <c r="A808" s="456"/>
      <c r="B808" s="456"/>
      <c r="C808" s="456"/>
      <c r="D808" s="456"/>
      <c r="E808" s="456"/>
      <c r="F808" s="456"/>
      <c r="G808" s="456"/>
      <c r="H808" s="456"/>
      <c r="I808" s="456"/>
      <c r="J808" s="456"/>
      <c r="K808" s="456"/>
      <c r="L808" s="456"/>
      <c r="M808" s="456"/>
      <c r="N808" s="456"/>
      <c r="O808" s="456"/>
      <c r="P808" s="456"/>
      <c r="Q808" s="456"/>
      <c r="R808" s="456"/>
      <c r="S808" s="456"/>
      <c r="T808" s="456"/>
      <c r="U808" s="456"/>
      <c r="V808" s="456"/>
      <c r="W808" s="456"/>
      <c r="X808" s="456"/>
      <c r="Y808" s="456"/>
      <c r="Z808" s="456"/>
    </row>
    <row r="809" spans="1:26" ht="11.25" customHeight="1">
      <c r="A809" s="456"/>
      <c r="B809" s="456"/>
      <c r="C809" s="456"/>
      <c r="D809" s="456"/>
      <c r="E809" s="456"/>
      <c r="F809" s="456"/>
      <c r="G809" s="456"/>
      <c r="H809" s="456"/>
      <c r="I809" s="456"/>
      <c r="J809" s="456"/>
      <c r="K809" s="456"/>
      <c r="L809" s="456"/>
      <c r="M809" s="456"/>
      <c r="N809" s="456"/>
      <c r="O809" s="456"/>
      <c r="P809" s="456"/>
      <c r="Q809" s="456"/>
      <c r="R809" s="456"/>
      <c r="S809" s="456"/>
      <c r="T809" s="456"/>
      <c r="U809" s="456"/>
      <c r="V809" s="456"/>
      <c r="W809" s="456"/>
      <c r="X809" s="456"/>
      <c r="Y809" s="456"/>
      <c r="Z809" s="456"/>
    </row>
    <row r="810" spans="1:26" ht="11.25" customHeight="1">
      <c r="A810" s="456"/>
      <c r="B810" s="456"/>
      <c r="C810" s="456"/>
      <c r="D810" s="456"/>
      <c r="E810" s="456"/>
      <c r="F810" s="456"/>
      <c r="G810" s="456"/>
      <c r="H810" s="456"/>
      <c r="I810" s="456"/>
      <c r="J810" s="456"/>
      <c r="K810" s="456"/>
      <c r="L810" s="456"/>
      <c r="M810" s="456"/>
      <c r="N810" s="456"/>
      <c r="O810" s="456"/>
      <c r="P810" s="456"/>
      <c r="Q810" s="456"/>
      <c r="R810" s="456"/>
      <c r="S810" s="456"/>
      <c r="T810" s="456"/>
      <c r="U810" s="456"/>
      <c r="V810" s="456"/>
      <c r="W810" s="456"/>
      <c r="X810" s="456"/>
      <c r="Y810" s="456"/>
      <c r="Z810" s="456"/>
    </row>
    <row r="811" spans="1:26" ht="11.25" customHeight="1">
      <c r="A811" s="456"/>
      <c r="B811" s="456"/>
      <c r="C811" s="456"/>
      <c r="D811" s="456"/>
      <c r="E811" s="456"/>
      <c r="F811" s="456"/>
      <c r="G811" s="456"/>
      <c r="H811" s="456"/>
      <c r="I811" s="456"/>
      <c r="J811" s="456"/>
      <c r="K811" s="456"/>
      <c r="L811" s="456"/>
      <c r="M811" s="456"/>
      <c r="N811" s="456"/>
      <c r="O811" s="456"/>
      <c r="P811" s="456"/>
      <c r="Q811" s="456"/>
      <c r="R811" s="456"/>
      <c r="S811" s="456"/>
      <c r="T811" s="456"/>
      <c r="U811" s="456"/>
      <c r="V811" s="456"/>
      <c r="W811" s="456"/>
      <c r="X811" s="456"/>
      <c r="Y811" s="456"/>
      <c r="Z811" s="456"/>
    </row>
    <row r="812" spans="1:26" ht="11.25" customHeight="1">
      <c r="A812" s="456"/>
      <c r="B812" s="456"/>
      <c r="C812" s="456"/>
      <c r="D812" s="456"/>
      <c r="E812" s="456"/>
      <c r="F812" s="456"/>
      <c r="G812" s="456"/>
      <c r="H812" s="456"/>
      <c r="I812" s="456"/>
      <c r="J812" s="456"/>
      <c r="K812" s="456"/>
      <c r="L812" s="456"/>
      <c r="M812" s="456"/>
      <c r="N812" s="456"/>
      <c r="O812" s="456"/>
      <c r="P812" s="456"/>
      <c r="Q812" s="456"/>
      <c r="R812" s="456"/>
      <c r="S812" s="456"/>
      <c r="T812" s="456"/>
      <c r="U812" s="456"/>
      <c r="V812" s="456"/>
      <c r="W812" s="456"/>
      <c r="X812" s="456"/>
      <c r="Y812" s="456"/>
      <c r="Z812" s="456"/>
    </row>
    <row r="813" spans="1:26" ht="11.25" customHeight="1">
      <c r="A813" s="456"/>
      <c r="B813" s="456"/>
      <c r="C813" s="456"/>
      <c r="D813" s="456"/>
      <c r="E813" s="456"/>
      <c r="F813" s="456"/>
      <c r="G813" s="456"/>
      <c r="H813" s="456"/>
      <c r="I813" s="456"/>
      <c r="J813" s="456"/>
      <c r="K813" s="456"/>
      <c r="L813" s="456"/>
      <c r="M813" s="456"/>
      <c r="N813" s="456"/>
      <c r="O813" s="456"/>
      <c r="P813" s="456"/>
      <c r="Q813" s="456"/>
      <c r="R813" s="456"/>
      <c r="S813" s="456"/>
      <c r="T813" s="456"/>
      <c r="U813" s="456"/>
      <c r="V813" s="456"/>
      <c r="W813" s="456"/>
      <c r="X813" s="456"/>
      <c r="Y813" s="456"/>
      <c r="Z813" s="456"/>
    </row>
    <row r="814" spans="1:26" ht="11.25" customHeight="1">
      <c r="A814" s="456"/>
      <c r="B814" s="456"/>
      <c r="C814" s="456"/>
      <c r="D814" s="456"/>
      <c r="E814" s="456"/>
      <c r="F814" s="456"/>
      <c r="G814" s="456"/>
      <c r="H814" s="456"/>
      <c r="I814" s="456"/>
      <c r="J814" s="456"/>
      <c r="K814" s="456"/>
      <c r="L814" s="456"/>
      <c r="M814" s="456"/>
      <c r="N814" s="456"/>
      <c r="O814" s="456"/>
      <c r="P814" s="456"/>
      <c r="Q814" s="456"/>
      <c r="R814" s="456"/>
      <c r="S814" s="456"/>
      <c r="T814" s="456"/>
      <c r="U814" s="456"/>
      <c r="V814" s="456"/>
      <c r="W814" s="456"/>
      <c r="X814" s="456"/>
      <c r="Y814" s="456"/>
      <c r="Z814" s="456"/>
    </row>
    <row r="815" spans="1:26" ht="11.25" customHeight="1">
      <c r="A815" s="456"/>
      <c r="B815" s="456"/>
      <c r="C815" s="456"/>
      <c r="D815" s="456"/>
      <c r="E815" s="456"/>
      <c r="F815" s="456"/>
      <c r="G815" s="456"/>
      <c r="H815" s="456"/>
      <c r="I815" s="456"/>
      <c r="J815" s="456"/>
      <c r="K815" s="456"/>
      <c r="L815" s="456"/>
      <c r="M815" s="456"/>
      <c r="N815" s="456"/>
      <c r="O815" s="456"/>
      <c r="P815" s="456"/>
      <c r="Q815" s="456"/>
      <c r="R815" s="456"/>
      <c r="S815" s="456"/>
      <c r="T815" s="456"/>
      <c r="U815" s="456"/>
      <c r="V815" s="456"/>
      <c r="W815" s="456"/>
      <c r="X815" s="456"/>
      <c r="Y815" s="456"/>
      <c r="Z815" s="456"/>
    </row>
    <row r="816" spans="1:26" ht="11.25" customHeight="1">
      <c r="A816" s="456"/>
      <c r="B816" s="456"/>
      <c r="C816" s="456"/>
      <c r="D816" s="456"/>
      <c r="E816" s="456"/>
      <c r="F816" s="456"/>
      <c r="G816" s="456"/>
      <c r="H816" s="456"/>
      <c r="I816" s="456"/>
      <c r="J816" s="456"/>
      <c r="K816" s="456"/>
      <c r="L816" s="456"/>
      <c r="M816" s="456"/>
      <c r="N816" s="456"/>
      <c r="O816" s="456"/>
      <c r="P816" s="456"/>
      <c r="Q816" s="456"/>
      <c r="R816" s="456"/>
      <c r="S816" s="456"/>
      <c r="T816" s="456"/>
      <c r="U816" s="456"/>
      <c r="V816" s="456"/>
      <c r="W816" s="456"/>
      <c r="X816" s="456"/>
      <c r="Y816" s="456"/>
      <c r="Z816" s="456"/>
    </row>
    <row r="817" spans="1:26" ht="11.25" customHeight="1">
      <c r="A817" s="456"/>
      <c r="B817" s="456"/>
      <c r="C817" s="456"/>
      <c r="D817" s="456"/>
      <c r="E817" s="456"/>
      <c r="F817" s="456"/>
      <c r="G817" s="456"/>
      <c r="H817" s="456"/>
      <c r="I817" s="456"/>
      <c r="J817" s="456"/>
      <c r="K817" s="456"/>
      <c r="L817" s="456"/>
      <c r="M817" s="456"/>
      <c r="N817" s="456"/>
      <c r="O817" s="456"/>
      <c r="P817" s="456"/>
      <c r="Q817" s="456"/>
      <c r="R817" s="456"/>
      <c r="S817" s="456"/>
      <c r="T817" s="456"/>
      <c r="U817" s="456"/>
      <c r="V817" s="456"/>
      <c r="W817" s="456"/>
      <c r="X817" s="456"/>
      <c r="Y817" s="456"/>
      <c r="Z817" s="456"/>
    </row>
    <row r="818" spans="1:26" ht="11.25" customHeight="1">
      <c r="A818" s="456"/>
      <c r="B818" s="456"/>
      <c r="C818" s="456"/>
      <c r="D818" s="456"/>
      <c r="E818" s="456"/>
      <c r="F818" s="456"/>
      <c r="G818" s="456"/>
      <c r="H818" s="456"/>
      <c r="I818" s="456"/>
      <c r="J818" s="456"/>
      <c r="K818" s="456"/>
      <c r="L818" s="456"/>
      <c r="M818" s="456"/>
      <c r="N818" s="456"/>
      <c r="O818" s="456"/>
      <c r="P818" s="456"/>
      <c r="Q818" s="456"/>
      <c r="R818" s="456"/>
      <c r="S818" s="456"/>
      <c r="T818" s="456"/>
      <c r="U818" s="456"/>
      <c r="V818" s="456"/>
      <c r="W818" s="456"/>
      <c r="X818" s="456"/>
      <c r="Y818" s="456"/>
      <c r="Z818" s="456"/>
    </row>
    <row r="819" spans="1:26" ht="11.25" customHeight="1">
      <c r="A819" s="456"/>
      <c r="B819" s="456"/>
      <c r="C819" s="456"/>
      <c r="D819" s="456"/>
      <c r="E819" s="456"/>
      <c r="F819" s="456"/>
      <c r="G819" s="456"/>
      <c r="H819" s="456"/>
      <c r="I819" s="456"/>
      <c r="J819" s="456"/>
      <c r="K819" s="456"/>
      <c r="L819" s="456"/>
      <c r="M819" s="456"/>
      <c r="N819" s="456"/>
      <c r="O819" s="456"/>
      <c r="P819" s="456"/>
      <c r="Q819" s="456"/>
      <c r="R819" s="456"/>
      <c r="S819" s="456"/>
      <c r="T819" s="456"/>
      <c r="U819" s="456"/>
      <c r="V819" s="456"/>
      <c r="W819" s="456"/>
      <c r="X819" s="456"/>
      <c r="Y819" s="456"/>
      <c r="Z819" s="456"/>
    </row>
    <row r="820" spans="1:26" ht="11.25" customHeight="1">
      <c r="A820" s="456"/>
      <c r="B820" s="456"/>
      <c r="C820" s="456"/>
      <c r="D820" s="456"/>
      <c r="E820" s="456"/>
      <c r="F820" s="456"/>
      <c r="G820" s="456"/>
      <c r="H820" s="456"/>
      <c r="I820" s="456"/>
      <c r="J820" s="456"/>
      <c r="K820" s="456"/>
      <c r="L820" s="456"/>
      <c r="M820" s="456"/>
      <c r="N820" s="456"/>
      <c r="O820" s="456"/>
      <c r="P820" s="456"/>
      <c r="Q820" s="456"/>
      <c r="R820" s="456"/>
      <c r="S820" s="456"/>
      <c r="T820" s="456"/>
      <c r="U820" s="456"/>
      <c r="V820" s="456"/>
      <c r="W820" s="456"/>
      <c r="X820" s="456"/>
      <c r="Y820" s="456"/>
      <c r="Z820" s="456"/>
    </row>
    <row r="821" spans="1:26" ht="11.25" customHeight="1">
      <c r="A821" s="456"/>
      <c r="B821" s="456"/>
      <c r="C821" s="456"/>
      <c r="D821" s="456"/>
      <c r="E821" s="456"/>
      <c r="F821" s="456"/>
      <c r="G821" s="456"/>
      <c r="H821" s="456"/>
      <c r="I821" s="456"/>
      <c r="J821" s="456"/>
      <c r="K821" s="456"/>
      <c r="L821" s="456"/>
      <c r="M821" s="456"/>
      <c r="N821" s="456"/>
      <c r="O821" s="456"/>
      <c r="P821" s="456"/>
      <c r="Q821" s="456"/>
      <c r="R821" s="456"/>
      <c r="S821" s="456"/>
      <c r="T821" s="456"/>
      <c r="U821" s="456"/>
      <c r="V821" s="456"/>
      <c r="W821" s="456"/>
      <c r="X821" s="456"/>
      <c r="Y821" s="456"/>
      <c r="Z821" s="456"/>
    </row>
    <row r="822" spans="1:26" ht="11.25" customHeight="1">
      <c r="A822" s="456"/>
      <c r="B822" s="456"/>
      <c r="C822" s="456"/>
      <c r="D822" s="456"/>
      <c r="E822" s="456"/>
      <c r="F822" s="456"/>
      <c r="G822" s="456"/>
      <c r="H822" s="456"/>
      <c r="I822" s="456"/>
      <c r="J822" s="456"/>
      <c r="K822" s="456"/>
      <c r="L822" s="456"/>
      <c r="M822" s="456"/>
      <c r="N822" s="456"/>
      <c r="O822" s="456"/>
      <c r="P822" s="456"/>
      <c r="Q822" s="456"/>
      <c r="R822" s="456"/>
      <c r="S822" s="456"/>
      <c r="T822" s="456"/>
      <c r="U822" s="456"/>
      <c r="V822" s="456"/>
      <c r="W822" s="456"/>
      <c r="X822" s="456"/>
      <c r="Y822" s="456"/>
      <c r="Z822" s="456"/>
    </row>
    <row r="823" spans="1:26" ht="11.25" customHeight="1">
      <c r="A823" s="456"/>
      <c r="B823" s="456"/>
      <c r="C823" s="456"/>
      <c r="D823" s="456"/>
      <c r="E823" s="456"/>
      <c r="F823" s="456"/>
      <c r="G823" s="456"/>
      <c r="H823" s="456"/>
      <c r="I823" s="456"/>
      <c r="J823" s="456"/>
      <c r="K823" s="456"/>
      <c r="L823" s="456"/>
      <c r="M823" s="456"/>
      <c r="N823" s="456"/>
      <c r="O823" s="456"/>
      <c r="P823" s="456"/>
      <c r="Q823" s="456"/>
      <c r="R823" s="456"/>
      <c r="S823" s="456"/>
      <c r="T823" s="456"/>
      <c r="U823" s="456"/>
      <c r="V823" s="456"/>
      <c r="W823" s="456"/>
      <c r="X823" s="456"/>
      <c r="Y823" s="456"/>
      <c r="Z823" s="456"/>
    </row>
    <row r="824" spans="1:26" ht="11.25" customHeight="1">
      <c r="A824" s="456"/>
      <c r="B824" s="456"/>
      <c r="C824" s="456"/>
      <c r="D824" s="456"/>
      <c r="E824" s="456"/>
      <c r="F824" s="456"/>
      <c r="G824" s="456"/>
      <c r="H824" s="456"/>
      <c r="I824" s="456"/>
      <c r="J824" s="456"/>
      <c r="K824" s="456"/>
      <c r="L824" s="456"/>
      <c r="M824" s="456"/>
      <c r="N824" s="456"/>
      <c r="O824" s="456"/>
      <c r="P824" s="456"/>
      <c r="Q824" s="456"/>
      <c r="R824" s="456"/>
      <c r="S824" s="456"/>
      <c r="T824" s="456"/>
      <c r="U824" s="456"/>
      <c r="V824" s="456"/>
      <c r="W824" s="456"/>
      <c r="X824" s="456"/>
      <c r="Y824" s="456"/>
      <c r="Z824" s="456"/>
    </row>
    <row r="825" spans="1:26" ht="11.25" customHeight="1">
      <c r="A825" s="456"/>
      <c r="B825" s="456"/>
      <c r="C825" s="456"/>
      <c r="D825" s="456"/>
      <c r="E825" s="456"/>
      <c r="F825" s="456"/>
      <c r="G825" s="456"/>
      <c r="H825" s="456"/>
      <c r="I825" s="456"/>
      <c r="J825" s="456"/>
      <c r="K825" s="456"/>
      <c r="L825" s="456"/>
      <c r="M825" s="456"/>
      <c r="N825" s="456"/>
      <c r="O825" s="456"/>
      <c r="P825" s="456"/>
      <c r="Q825" s="456"/>
      <c r="R825" s="456"/>
      <c r="S825" s="456"/>
      <c r="T825" s="456"/>
      <c r="U825" s="456"/>
      <c r="V825" s="456"/>
      <c r="W825" s="456"/>
      <c r="X825" s="456"/>
      <c r="Y825" s="456"/>
      <c r="Z825" s="456"/>
    </row>
    <row r="826" spans="1:26" ht="11.25" customHeight="1">
      <c r="A826" s="456"/>
      <c r="B826" s="456"/>
      <c r="C826" s="456"/>
      <c r="D826" s="456"/>
      <c r="E826" s="456"/>
      <c r="F826" s="456"/>
      <c r="G826" s="456"/>
      <c r="H826" s="456"/>
      <c r="I826" s="456"/>
      <c r="J826" s="456"/>
      <c r="K826" s="456"/>
      <c r="L826" s="456"/>
      <c r="M826" s="456"/>
      <c r="N826" s="456"/>
      <c r="O826" s="456"/>
      <c r="P826" s="456"/>
      <c r="Q826" s="456"/>
      <c r="R826" s="456"/>
      <c r="S826" s="456"/>
      <c r="T826" s="456"/>
      <c r="U826" s="456"/>
      <c r="V826" s="456"/>
      <c r="W826" s="456"/>
      <c r="X826" s="456"/>
      <c r="Y826" s="456"/>
      <c r="Z826" s="456"/>
    </row>
    <row r="827" spans="1:26" ht="11.25" customHeight="1">
      <c r="A827" s="456"/>
      <c r="B827" s="456"/>
      <c r="C827" s="456"/>
      <c r="D827" s="456"/>
      <c r="E827" s="456"/>
      <c r="F827" s="456"/>
      <c r="G827" s="456"/>
      <c r="H827" s="456"/>
      <c r="I827" s="456"/>
      <c r="J827" s="456"/>
      <c r="K827" s="456"/>
      <c r="L827" s="456"/>
      <c r="M827" s="456"/>
      <c r="N827" s="456"/>
      <c r="O827" s="456"/>
      <c r="P827" s="456"/>
      <c r="Q827" s="456"/>
      <c r="R827" s="456"/>
      <c r="S827" s="456"/>
      <c r="T827" s="456"/>
      <c r="U827" s="456"/>
      <c r="V827" s="456"/>
      <c r="W827" s="456"/>
      <c r="X827" s="456"/>
      <c r="Y827" s="456"/>
      <c r="Z827" s="456"/>
    </row>
    <row r="828" spans="1:26" ht="11.25" customHeight="1">
      <c r="A828" s="456"/>
      <c r="B828" s="456"/>
      <c r="C828" s="456"/>
      <c r="D828" s="456"/>
      <c r="E828" s="456"/>
      <c r="F828" s="456"/>
      <c r="G828" s="456"/>
      <c r="H828" s="456"/>
      <c r="I828" s="456"/>
      <c r="J828" s="456"/>
      <c r="K828" s="456"/>
      <c r="L828" s="456"/>
      <c r="M828" s="456"/>
      <c r="N828" s="456"/>
      <c r="O828" s="456"/>
      <c r="P828" s="456"/>
      <c r="Q828" s="456"/>
      <c r="R828" s="456"/>
      <c r="S828" s="456"/>
      <c r="T828" s="456"/>
      <c r="U828" s="456"/>
      <c r="V828" s="456"/>
      <c r="W828" s="456"/>
      <c r="X828" s="456"/>
      <c r="Y828" s="456"/>
      <c r="Z828" s="456"/>
    </row>
    <row r="829" spans="1:26" ht="11.25" customHeight="1">
      <c r="A829" s="456"/>
      <c r="B829" s="456"/>
      <c r="C829" s="456"/>
      <c r="D829" s="456"/>
      <c r="E829" s="456"/>
      <c r="F829" s="456"/>
      <c r="G829" s="456"/>
      <c r="H829" s="456"/>
      <c r="I829" s="456"/>
      <c r="J829" s="456"/>
      <c r="K829" s="456"/>
      <c r="L829" s="456"/>
      <c r="M829" s="456"/>
      <c r="N829" s="456"/>
      <c r="O829" s="456"/>
      <c r="P829" s="456"/>
      <c r="Q829" s="456"/>
      <c r="R829" s="456"/>
      <c r="S829" s="456"/>
      <c r="T829" s="456"/>
      <c r="U829" s="456"/>
      <c r="V829" s="456"/>
      <c r="W829" s="456"/>
      <c r="X829" s="456"/>
      <c r="Y829" s="456"/>
      <c r="Z829" s="456"/>
    </row>
    <row r="830" spans="1:26" ht="11.25" customHeight="1">
      <c r="A830" s="456"/>
      <c r="B830" s="456"/>
      <c r="C830" s="456"/>
      <c r="D830" s="456"/>
      <c r="E830" s="456"/>
      <c r="F830" s="456"/>
      <c r="G830" s="456"/>
      <c r="H830" s="456"/>
      <c r="I830" s="456"/>
      <c r="J830" s="456"/>
      <c r="K830" s="456"/>
      <c r="L830" s="456"/>
      <c r="M830" s="456"/>
      <c r="N830" s="456"/>
      <c r="O830" s="456"/>
      <c r="P830" s="456"/>
      <c r="Q830" s="456"/>
      <c r="R830" s="456"/>
      <c r="S830" s="456"/>
      <c r="T830" s="456"/>
      <c r="U830" s="456"/>
      <c r="V830" s="456"/>
      <c r="W830" s="456"/>
      <c r="X830" s="456"/>
      <c r="Y830" s="456"/>
      <c r="Z830" s="456"/>
    </row>
    <row r="831" spans="1:26" ht="11.25" customHeight="1">
      <c r="A831" s="456"/>
      <c r="B831" s="456"/>
      <c r="C831" s="456"/>
      <c r="D831" s="456"/>
      <c r="E831" s="456"/>
      <c r="F831" s="456"/>
      <c r="G831" s="456"/>
      <c r="H831" s="456"/>
      <c r="I831" s="456"/>
      <c r="J831" s="456"/>
      <c r="K831" s="456"/>
      <c r="L831" s="456"/>
      <c r="M831" s="456"/>
      <c r="N831" s="456"/>
      <c r="O831" s="456"/>
      <c r="P831" s="456"/>
      <c r="Q831" s="456"/>
      <c r="R831" s="456"/>
      <c r="S831" s="456"/>
      <c r="T831" s="456"/>
      <c r="U831" s="456"/>
      <c r="V831" s="456"/>
      <c r="W831" s="456"/>
      <c r="X831" s="456"/>
      <c r="Y831" s="456"/>
      <c r="Z831" s="456"/>
    </row>
    <row r="832" spans="1:26" ht="11.25" customHeight="1">
      <c r="A832" s="456"/>
      <c r="B832" s="456"/>
      <c r="C832" s="456"/>
      <c r="D832" s="456"/>
      <c r="E832" s="456"/>
      <c r="F832" s="456"/>
      <c r="G832" s="456"/>
      <c r="H832" s="456"/>
      <c r="I832" s="456"/>
      <c r="J832" s="456"/>
      <c r="K832" s="456"/>
      <c r="L832" s="456"/>
      <c r="M832" s="456"/>
      <c r="N832" s="456"/>
      <c r="O832" s="456"/>
      <c r="P832" s="456"/>
      <c r="Q832" s="456"/>
      <c r="R832" s="456"/>
      <c r="S832" s="456"/>
      <c r="T832" s="456"/>
      <c r="U832" s="456"/>
      <c r="V832" s="456"/>
      <c r="W832" s="456"/>
      <c r="X832" s="456"/>
      <c r="Y832" s="456"/>
      <c r="Z832" s="456"/>
    </row>
    <row r="833" spans="1:26" ht="11.25" customHeight="1">
      <c r="A833" s="456"/>
      <c r="B833" s="456"/>
      <c r="C833" s="456"/>
      <c r="D833" s="456"/>
      <c r="E833" s="456"/>
      <c r="F833" s="456"/>
      <c r="G833" s="456"/>
      <c r="H833" s="456"/>
      <c r="I833" s="456"/>
      <c r="J833" s="456"/>
      <c r="K833" s="456"/>
      <c r="L833" s="456"/>
      <c r="M833" s="456"/>
      <c r="N833" s="456"/>
      <c r="O833" s="456"/>
      <c r="P833" s="456"/>
      <c r="Q833" s="456"/>
      <c r="R833" s="456"/>
      <c r="S833" s="456"/>
      <c r="T833" s="456"/>
      <c r="U833" s="456"/>
      <c r="V833" s="456"/>
      <c r="W833" s="456"/>
      <c r="X833" s="456"/>
      <c r="Y833" s="456"/>
      <c r="Z833" s="456"/>
    </row>
    <row r="834" spans="1:26" ht="11.25" customHeight="1">
      <c r="A834" s="456"/>
      <c r="B834" s="456"/>
      <c r="C834" s="456"/>
      <c r="D834" s="456"/>
      <c r="E834" s="456"/>
      <c r="F834" s="456"/>
      <c r="G834" s="456"/>
      <c r="H834" s="456"/>
      <c r="I834" s="456"/>
      <c r="J834" s="456"/>
      <c r="K834" s="456"/>
      <c r="L834" s="456"/>
      <c r="M834" s="456"/>
      <c r="N834" s="456"/>
      <c r="O834" s="456"/>
      <c r="P834" s="456"/>
      <c r="Q834" s="456"/>
      <c r="R834" s="456"/>
      <c r="S834" s="456"/>
      <c r="T834" s="456"/>
      <c r="U834" s="456"/>
      <c r="V834" s="456"/>
      <c r="W834" s="456"/>
      <c r="X834" s="456"/>
      <c r="Y834" s="456"/>
      <c r="Z834" s="456"/>
    </row>
    <row r="835" spans="1:26" ht="11.25" customHeight="1">
      <c r="A835" s="456"/>
      <c r="B835" s="456"/>
      <c r="C835" s="456"/>
      <c r="D835" s="456"/>
      <c r="E835" s="456"/>
      <c r="F835" s="456"/>
      <c r="G835" s="456"/>
      <c r="H835" s="456"/>
      <c r="I835" s="456"/>
      <c r="J835" s="456"/>
      <c r="K835" s="456"/>
      <c r="L835" s="456"/>
      <c r="M835" s="456"/>
      <c r="N835" s="456"/>
      <c r="O835" s="456"/>
      <c r="P835" s="456"/>
      <c r="Q835" s="456"/>
      <c r="R835" s="456"/>
      <c r="S835" s="456"/>
      <c r="T835" s="456"/>
      <c r="U835" s="456"/>
      <c r="V835" s="456"/>
      <c r="W835" s="456"/>
      <c r="X835" s="456"/>
      <c r="Y835" s="456"/>
      <c r="Z835" s="456"/>
    </row>
    <row r="836" spans="1:26" ht="11.25" customHeight="1">
      <c r="A836" s="456"/>
      <c r="B836" s="456"/>
      <c r="C836" s="456"/>
      <c r="D836" s="456"/>
      <c r="E836" s="456"/>
      <c r="F836" s="456"/>
      <c r="G836" s="456"/>
      <c r="H836" s="456"/>
      <c r="I836" s="456"/>
      <c r="J836" s="456"/>
      <c r="K836" s="456"/>
      <c r="L836" s="456"/>
      <c r="M836" s="456"/>
      <c r="N836" s="456"/>
      <c r="O836" s="456"/>
      <c r="P836" s="456"/>
      <c r="Q836" s="456"/>
      <c r="R836" s="456"/>
      <c r="S836" s="456"/>
      <c r="T836" s="456"/>
      <c r="U836" s="456"/>
      <c r="V836" s="456"/>
      <c r="W836" s="456"/>
      <c r="X836" s="456"/>
      <c r="Y836" s="456"/>
      <c r="Z836" s="456"/>
    </row>
    <row r="837" spans="1:26" ht="11.25" customHeight="1">
      <c r="A837" s="456"/>
      <c r="B837" s="456"/>
      <c r="C837" s="456"/>
      <c r="D837" s="456"/>
      <c r="E837" s="456"/>
      <c r="F837" s="456"/>
      <c r="G837" s="456"/>
      <c r="H837" s="456"/>
      <c r="I837" s="456"/>
      <c r="J837" s="456"/>
      <c r="K837" s="456"/>
      <c r="L837" s="456"/>
      <c r="M837" s="456"/>
      <c r="N837" s="456"/>
      <c r="O837" s="456"/>
      <c r="P837" s="456"/>
      <c r="Q837" s="456"/>
      <c r="R837" s="456"/>
      <c r="S837" s="456"/>
      <c r="T837" s="456"/>
      <c r="U837" s="456"/>
      <c r="V837" s="456"/>
      <c r="W837" s="456"/>
      <c r="X837" s="456"/>
      <c r="Y837" s="456"/>
      <c r="Z837" s="456"/>
    </row>
    <row r="838" spans="1:26" ht="11.25" customHeight="1">
      <c r="A838" s="456"/>
      <c r="B838" s="456"/>
      <c r="C838" s="456"/>
      <c r="D838" s="456"/>
      <c r="E838" s="456"/>
      <c r="F838" s="456"/>
      <c r="G838" s="456"/>
      <c r="H838" s="456"/>
      <c r="I838" s="456"/>
      <c r="J838" s="456"/>
      <c r="K838" s="456"/>
      <c r="L838" s="456"/>
      <c r="M838" s="456"/>
      <c r="N838" s="456"/>
      <c r="O838" s="456"/>
      <c r="P838" s="456"/>
      <c r="Q838" s="456"/>
      <c r="R838" s="456"/>
      <c r="S838" s="456"/>
      <c r="T838" s="456"/>
      <c r="U838" s="456"/>
      <c r="V838" s="456"/>
      <c r="W838" s="456"/>
      <c r="X838" s="456"/>
      <c r="Y838" s="456"/>
      <c r="Z838" s="456"/>
    </row>
    <row r="839" spans="1:26" ht="11.25" customHeight="1">
      <c r="A839" s="456"/>
      <c r="B839" s="456"/>
      <c r="C839" s="456"/>
      <c r="D839" s="456"/>
      <c r="E839" s="456"/>
      <c r="F839" s="456"/>
      <c r="G839" s="456"/>
      <c r="H839" s="456"/>
      <c r="I839" s="456"/>
      <c r="J839" s="456"/>
      <c r="K839" s="456"/>
      <c r="L839" s="456"/>
      <c r="M839" s="456"/>
      <c r="N839" s="456"/>
      <c r="O839" s="456"/>
      <c r="P839" s="456"/>
      <c r="Q839" s="456"/>
      <c r="R839" s="456"/>
      <c r="S839" s="456"/>
      <c r="T839" s="456"/>
      <c r="U839" s="456"/>
      <c r="V839" s="456"/>
      <c r="W839" s="456"/>
      <c r="X839" s="456"/>
      <c r="Y839" s="456"/>
      <c r="Z839" s="456"/>
    </row>
    <row r="840" spans="1:26" ht="11.25" customHeight="1">
      <c r="A840" s="456"/>
      <c r="B840" s="456"/>
      <c r="C840" s="456"/>
      <c r="D840" s="456"/>
      <c r="E840" s="456"/>
      <c r="F840" s="456"/>
      <c r="G840" s="456"/>
      <c r="H840" s="456"/>
      <c r="I840" s="456"/>
      <c r="J840" s="456"/>
      <c r="K840" s="456"/>
      <c r="L840" s="456"/>
      <c r="M840" s="456"/>
      <c r="N840" s="456"/>
      <c r="O840" s="456"/>
      <c r="P840" s="456"/>
      <c r="Q840" s="456"/>
      <c r="R840" s="456"/>
      <c r="S840" s="456"/>
      <c r="T840" s="456"/>
      <c r="U840" s="456"/>
      <c r="V840" s="456"/>
      <c r="W840" s="456"/>
      <c r="X840" s="456"/>
      <c r="Y840" s="456"/>
      <c r="Z840" s="456"/>
    </row>
    <row r="841" spans="1:26" ht="11.25" customHeight="1">
      <c r="A841" s="456"/>
      <c r="B841" s="456"/>
      <c r="C841" s="456"/>
      <c r="D841" s="456"/>
      <c r="E841" s="456"/>
      <c r="F841" s="456"/>
      <c r="G841" s="456"/>
      <c r="H841" s="456"/>
      <c r="I841" s="456"/>
      <c r="J841" s="456"/>
      <c r="K841" s="456"/>
      <c r="L841" s="456"/>
      <c r="M841" s="456"/>
      <c r="N841" s="456"/>
      <c r="O841" s="456"/>
      <c r="P841" s="456"/>
      <c r="Q841" s="456"/>
      <c r="R841" s="456"/>
      <c r="S841" s="456"/>
      <c r="T841" s="456"/>
      <c r="U841" s="456"/>
      <c r="V841" s="456"/>
      <c r="W841" s="456"/>
      <c r="X841" s="456"/>
      <c r="Y841" s="456"/>
      <c r="Z841" s="456"/>
    </row>
    <row r="842" spans="1:26" ht="11.25" customHeight="1">
      <c r="A842" s="456"/>
      <c r="B842" s="456"/>
      <c r="C842" s="456"/>
      <c r="D842" s="456"/>
      <c r="E842" s="456"/>
      <c r="F842" s="456"/>
      <c r="G842" s="456"/>
      <c r="H842" s="456"/>
      <c r="I842" s="456"/>
      <c r="J842" s="456"/>
      <c r="K842" s="456"/>
      <c r="L842" s="456"/>
      <c r="M842" s="456"/>
      <c r="N842" s="456"/>
      <c r="O842" s="456"/>
      <c r="P842" s="456"/>
      <c r="Q842" s="456"/>
      <c r="R842" s="456"/>
      <c r="S842" s="456"/>
      <c r="T842" s="456"/>
      <c r="U842" s="456"/>
      <c r="V842" s="456"/>
      <c r="W842" s="456"/>
      <c r="X842" s="456"/>
      <c r="Y842" s="456"/>
      <c r="Z842" s="456"/>
    </row>
    <row r="843" spans="1:26" ht="11.25" customHeight="1">
      <c r="A843" s="456"/>
      <c r="B843" s="456"/>
      <c r="C843" s="456"/>
      <c r="D843" s="456"/>
      <c r="E843" s="456"/>
      <c r="F843" s="456"/>
      <c r="G843" s="456"/>
      <c r="H843" s="456"/>
      <c r="I843" s="456"/>
      <c r="J843" s="456"/>
      <c r="K843" s="456"/>
      <c r="L843" s="456"/>
      <c r="M843" s="456"/>
      <c r="N843" s="456"/>
      <c r="O843" s="456"/>
      <c r="P843" s="456"/>
      <c r="Q843" s="456"/>
      <c r="R843" s="456"/>
      <c r="S843" s="456"/>
      <c r="T843" s="456"/>
      <c r="U843" s="456"/>
      <c r="V843" s="456"/>
      <c r="W843" s="456"/>
      <c r="X843" s="456"/>
      <c r="Y843" s="456"/>
      <c r="Z843" s="456"/>
    </row>
    <row r="844" spans="1:26" ht="11.25" customHeight="1">
      <c r="A844" s="456"/>
      <c r="B844" s="456"/>
      <c r="C844" s="456"/>
      <c r="D844" s="456"/>
      <c r="E844" s="456"/>
      <c r="F844" s="456"/>
      <c r="G844" s="456"/>
      <c r="H844" s="456"/>
      <c r="I844" s="456"/>
      <c r="J844" s="456"/>
      <c r="K844" s="456"/>
      <c r="L844" s="456"/>
      <c r="M844" s="456"/>
      <c r="N844" s="456"/>
      <c r="O844" s="456"/>
      <c r="P844" s="456"/>
      <c r="Q844" s="456"/>
      <c r="R844" s="456"/>
      <c r="S844" s="456"/>
      <c r="T844" s="456"/>
      <c r="U844" s="456"/>
      <c r="V844" s="456"/>
      <c r="W844" s="456"/>
      <c r="X844" s="456"/>
      <c r="Y844" s="456"/>
      <c r="Z844" s="456"/>
    </row>
    <row r="845" spans="1:26" ht="11.25" customHeight="1">
      <c r="A845" s="456"/>
      <c r="B845" s="456"/>
      <c r="C845" s="456"/>
      <c r="D845" s="456"/>
      <c r="E845" s="456"/>
      <c r="F845" s="456"/>
      <c r="G845" s="456"/>
      <c r="H845" s="456"/>
      <c r="I845" s="456"/>
      <c r="J845" s="456"/>
      <c r="K845" s="456"/>
      <c r="L845" s="456"/>
      <c r="M845" s="456"/>
      <c r="N845" s="456"/>
      <c r="O845" s="456"/>
      <c r="P845" s="456"/>
      <c r="Q845" s="456"/>
      <c r="R845" s="456"/>
      <c r="S845" s="456"/>
      <c r="T845" s="456"/>
      <c r="U845" s="456"/>
      <c r="V845" s="456"/>
      <c r="W845" s="456"/>
      <c r="X845" s="456"/>
      <c r="Y845" s="456"/>
      <c r="Z845" s="456"/>
    </row>
    <row r="846" spans="1:26" ht="11.25" customHeight="1">
      <c r="A846" s="456"/>
      <c r="B846" s="456"/>
      <c r="C846" s="456"/>
      <c r="D846" s="456"/>
      <c r="E846" s="456"/>
      <c r="F846" s="456"/>
      <c r="G846" s="456"/>
      <c r="H846" s="456"/>
      <c r="I846" s="456"/>
      <c r="J846" s="456"/>
      <c r="K846" s="456"/>
      <c r="L846" s="456"/>
      <c r="M846" s="456"/>
      <c r="N846" s="456"/>
      <c r="O846" s="456"/>
      <c r="P846" s="456"/>
      <c r="Q846" s="456"/>
      <c r="R846" s="456"/>
      <c r="S846" s="456"/>
      <c r="T846" s="456"/>
      <c r="U846" s="456"/>
      <c r="V846" s="456"/>
      <c r="W846" s="456"/>
      <c r="X846" s="456"/>
      <c r="Y846" s="456"/>
      <c r="Z846" s="456"/>
    </row>
    <row r="847" spans="1:26" ht="11.25" customHeight="1">
      <c r="A847" s="456"/>
      <c r="B847" s="456"/>
      <c r="C847" s="456"/>
      <c r="D847" s="456"/>
      <c r="E847" s="456"/>
      <c r="F847" s="456"/>
      <c r="G847" s="456"/>
      <c r="H847" s="456"/>
      <c r="I847" s="456"/>
      <c r="J847" s="456"/>
      <c r="K847" s="456"/>
      <c r="L847" s="456"/>
      <c r="M847" s="456"/>
      <c r="N847" s="456"/>
      <c r="O847" s="456"/>
      <c r="P847" s="456"/>
      <c r="Q847" s="456"/>
      <c r="R847" s="456"/>
      <c r="S847" s="456"/>
      <c r="T847" s="456"/>
      <c r="U847" s="456"/>
      <c r="V847" s="456"/>
      <c r="W847" s="456"/>
      <c r="X847" s="456"/>
      <c r="Y847" s="456"/>
      <c r="Z847" s="456"/>
    </row>
    <row r="848" spans="1:26" ht="11.25" customHeight="1">
      <c r="A848" s="456"/>
      <c r="B848" s="456"/>
      <c r="C848" s="456"/>
      <c r="D848" s="456"/>
      <c r="E848" s="456"/>
      <c r="F848" s="456"/>
      <c r="G848" s="456"/>
      <c r="H848" s="456"/>
      <c r="I848" s="456"/>
      <c r="J848" s="456"/>
      <c r="K848" s="456"/>
      <c r="L848" s="456"/>
      <c r="M848" s="456"/>
      <c r="N848" s="456"/>
      <c r="O848" s="456"/>
      <c r="P848" s="456"/>
      <c r="Q848" s="456"/>
      <c r="R848" s="456"/>
      <c r="S848" s="456"/>
      <c r="T848" s="456"/>
      <c r="U848" s="456"/>
      <c r="V848" s="456"/>
      <c r="W848" s="456"/>
      <c r="X848" s="456"/>
      <c r="Y848" s="456"/>
      <c r="Z848" s="456"/>
    </row>
    <row r="849" spans="1:26" ht="11.25" customHeight="1">
      <c r="A849" s="456"/>
      <c r="B849" s="456"/>
      <c r="C849" s="456"/>
      <c r="D849" s="456"/>
      <c r="E849" s="456"/>
      <c r="F849" s="456"/>
      <c r="G849" s="456"/>
      <c r="H849" s="456"/>
      <c r="I849" s="456"/>
      <c r="J849" s="456"/>
      <c r="K849" s="456"/>
      <c r="L849" s="456"/>
      <c r="M849" s="456"/>
      <c r="N849" s="456"/>
      <c r="O849" s="456"/>
      <c r="P849" s="456"/>
      <c r="Q849" s="456"/>
      <c r="R849" s="456"/>
      <c r="S849" s="456"/>
      <c r="T849" s="456"/>
      <c r="U849" s="456"/>
      <c r="V849" s="456"/>
      <c r="W849" s="456"/>
      <c r="X849" s="456"/>
      <c r="Y849" s="456"/>
      <c r="Z849" s="456"/>
    </row>
    <row r="850" spans="1:26" ht="11.25" customHeight="1">
      <c r="A850" s="456"/>
      <c r="B850" s="456"/>
      <c r="C850" s="456"/>
      <c r="D850" s="456"/>
      <c r="E850" s="456"/>
      <c r="F850" s="456"/>
      <c r="G850" s="456"/>
      <c r="H850" s="456"/>
      <c r="I850" s="456"/>
      <c r="J850" s="456"/>
      <c r="K850" s="456"/>
      <c r="L850" s="456"/>
      <c r="M850" s="456"/>
      <c r="N850" s="456"/>
      <c r="O850" s="456"/>
      <c r="P850" s="456"/>
      <c r="Q850" s="456"/>
      <c r="R850" s="456"/>
      <c r="S850" s="456"/>
      <c r="T850" s="456"/>
      <c r="U850" s="456"/>
      <c r="V850" s="456"/>
      <c r="W850" s="456"/>
      <c r="X850" s="456"/>
      <c r="Y850" s="456"/>
      <c r="Z850" s="456"/>
    </row>
    <row r="851" spans="1:26" ht="11.25" customHeight="1">
      <c r="A851" s="456"/>
      <c r="B851" s="456"/>
      <c r="C851" s="456"/>
      <c r="D851" s="456"/>
      <c r="E851" s="456"/>
      <c r="F851" s="456"/>
      <c r="G851" s="456"/>
      <c r="H851" s="456"/>
      <c r="I851" s="456"/>
      <c r="J851" s="456"/>
      <c r="K851" s="456"/>
      <c r="L851" s="456"/>
      <c r="M851" s="456"/>
      <c r="N851" s="456"/>
      <c r="O851" s="456"/>
      <c r="P851" s="456"/>
      <c r="Q851" s="456"/>
      <c r="R851" s="456"/>
      <c r="S851" s="456"/>
      <c r="T851" s="456"/>
      <c r="U851" s="456"/>
      <c r="V851" s="456"/>
      <c r="W851" s="456"/>
      <c r="X851" s="456"/>
      <c r="Y851" s="456"/>
      <c r="Z851" s="456"/>
    </row>
    <row r="852" spans="1:26" ht="11.25" customHeight="1">
      <c r="A852" s="456"/>
      <c r="B852" s="456"/>
      <c r="C852" s="456"/>
      <c r="D852" s="456"/>
      <c r="E852" s="456"/>
      <c r="F852" s="456"/>
      <c r="G852" s="456"/>
      <c r="H852" s="456"/>
      <c r="I852" s="456"/>
      <c r="J852" s="456"/>
      <c r="K852" s="456"/>
      <c r="L852" s="456"/>
      <c r="M852" s="456"/>
      <c r="N852" s="456"/>
      <c r="O852" s="456"/>
      <c r="P852" s="456"/>
      <c r="Q852" s="456"/>
      <c r="R852" s="456"/>
      <c r="S852" s="456"/>
      <c r="T852" s="456"/>
      <c r="U852" s="456"/>
      <c r="V852" s="456"/>
      <c r="W852" s="456"/>
      <c r="X852" s="456"/>
      <c r="Y852" s="456"/>
      <c r="Z852" s="456"/>
    </row>
    <row r="853" spans="1:26" ht="11.25" customHeight="1">
      <c r="A853" s="456"/>
      <c r="B853" s="456"/>
      <c r="C853" s="456"/>
      <c r="D853" s="456"/>
      <c r="E853" s="456"/>
      <c r="F853" s="456"/>
      <c r="G853" s="456"/>
      <c r="H853" s="456"/>
      <c r="I853" s="456"/>
      <c r="J853" s="456"/>
      <c r="K853" s="456"/>
      <c r="L853" s="456"/>
      <c r="M853" s="456"/>
      <c r="N853" s="456"/>
      <c r="O853" s="456"/>
      <c r="P853" s="456"/>
      <c r="Q853" s="456"/>
      <c r="R853" s="456"/>
      <c r="S853" s="456"/>
      <c r="T853" s="456"/>
      <c r="U853" s="456"/>
      <c r="V853" s="456"/>
      <c r="W853" s="456"/>
      <c r="X853" s="456"/>
      <c r="Y853" s="456"/>
      <c r="Z853" s="456"/>
    </row>
    <row r="854" spans="1:26" ht="11.25" customHeight="1">
      <c r="A854" s="456"/>
      <c r="B854" s="456"/>
      <c r="C854" s="456"/>
      <c r="D854" s="456"/>
      <c r="E854" s="456"/>
      <c r="F854" s="456"/>
      <c r="G854" s="456"/>
      <c r="H854" s="456"/>
      <c r="I854" s="456"/>
      <c r="J854" s="456"/>
      <c r="K854" s="456"/>
      <c r="L854" s="456"/>
      <c r="M854" s="456"/>
      <c r="N854" s="456"/>
      <c r="O854" s="456"/>
      <c r="P854" s="456"/>
      <c r="Q854" s="456"/>
      <c r="R854" s="456"/>
      <c r="S854" s="456"/>
      <c r="T854" s="456"/>
      <c r="U854" s="456"/>
      <c r="V854" s="456"/>
      <c r="W854" s="456"/>
      <c r="X854" s="456"/>
      <c r="Y854" s="456"/>
      <c r="Z854" s="456"/>
    </row>
    <row r="855" spans="1:26" ht="11.25" customHeight="1">
      <c r="A855" s="456"/>
      <c r="B855" s="456"/>
      <c r="C855" s="456"/>
      <c r="D855" s="456"/>
      <c r="E855" s="456"/>
      <c r="F855" s="456"/>
      <c r="G855" s="456"/>
      <c r="H855" s="456"/>
      <c r="I855" s="456"/>
      <c r="J855" s="456"/>
      <c r="K855" s="456"/>
      <c r="L855" s="456"/>
      <c r="M855" s="456"/>
      <c r="N855" s="456"/>
      <c r="O855" s="456"/>
      <c r="P855" s="456"/>
      <c r="Q855" s="456"/>
      <c r="R855" s="456"/>
      <c r="S855" s="456"/>
      <c r="T855" s="456"/>
      <c r="U855" s="456"/>
      <c r="V855" s="456"/>
      <c r="W855" s="456"/>
      <c r="X855" s="456"/>
      <c r="Y855" s="456"/>
      <c r="Z855" s="456"/>
    </row>
    <row r="856" spans="1:26" ht="11.25" customHeight="1">
      <c r="A856" s="456"/>
      <c r="B856" s="456"/>
      <c r="C856" s="456"/>
      <c r="D856" s="456"/>
      <c r="E856" s="456"/>
      <c r="F856" s="456"/>
      <c r="G856" s="456"/>
      <c r="H856" s="456"/>
      <c r="I856" s="456"/>
      <c r="J856" s="456"/>
      <c r="K856" s="456"/>
      <c r="L856" s="456"/>
      <c r="M856" s="456"/>
      <c r="N856" s="456"/>
      <c r="O856" s="456"/>
      <c r="P856" s="456"/>
      <c r="Q856" s="456"/>
      <c r="R856" s="456"/>
      <c r="S856" s="456"/>
      <c r="T856" s="456"/>
      <c r="U856" s="456"/>
      <c r="V856" s="456"/>
      <c r="W856" s="456"/>
      <c r="X856" s="456"/>
      <c r="Y856" s="456"/>
      <c r="Z856" s="456"/>
    </row>
    <row r="857" spans="1:26" ht="11.25" customHeight="1">
      <c r="A857" s="456"/>
      <c r="B857" s="456"/>
      <c r="C857" s="456"/>
      <c r="D857" s="456"/>
      <c r="E857" s="456"/>
      <c r="F857" s="456"/>
      <c r="G857" s="456"/>
      <c r="H857" s="456"/>
      <c r="I857" s="456"/>
      <c r="J857" s="456"/>
      <c r="K857" s="456"/>
      <c r="L857" s="456"/>
      <c r="M857" s="456"/>
      <c r="N857" s="456"/>
      <c r="O857" s="456"/>
      <c r="P857" s="456"/>
      <c r="Q857" s="456"/>
      <c r="R857" s="456"/>
      <c r="S857" s="456"/>
      <c r="T857" s="456"/>
      <c r="U857" s="456"/>
      <c r="V857" s="456"/>
      <c r="W857" s="456"/>
      <c r="X857" s="456"/>
      <c r="Y857" s="456"/>
      <c r="Z857" s="456"/>
    </row>
    <row r="858" spans="1:26" ht="11.25" customHeight="1">
      <c r="A858" s="456"/>
      <c r="B858" s="456"/>
      <c r="C858" s="456"/>
      <c r="D858" s="456"/>
      <c r="E858" s="456"/>
      <c r="F858" s="456"/>
      <c r="G858" s="456"/>
      <c r="H858" s="456"/>
      <c r="I858" s="456"/>
      <c r="J858" s="456"/>
      <c r="K858" s="456"/>
      <c r="L858" s="456"/>
      <c r="M858" s="456"/>
      <c r="N858" s="456"/>
      <c r="O858" s="456"/>
      <c r="P858" s="456"/>
      <c r="Q858" s="456"/>
      <c r="R858" s="456"/>
      <c r="S858" s="456"/>
      <c r="T858" s="456"/>
      <c r="U858" s="456"/>
      <c r="V858" s="456"/>
      <c r="W858" s="456"/>
      <c r="X858" s="456"/>
      <c r="Y858" s="456"/>
      <c r="Z858" s="456"/>
    </row>
    <row r="859" spans="1:26" ht="11.25" customHeight="1">
      <c r="A859" s="456"/>
      <c r="B859" s="456"/>
      <c r="C859" s="456"/>
      <c r="D859" s="456"/>
      <c r="E859" s="456"/>
      <c r="F859" s="456"/>
      <c r="G859" s="456"/>
      <c r="H859" s="456"/>
      <c r="I859" s="456"/>
      <c r="J859" s="456"/>
      <c r="K859" s="456"/>
      <c r="L859" s="456"/>
      <c r="M859" s="456"/>
      <c r="N859" s="456"/>
      <c r="O859" s="456"/>
      <c r="P859" s="456"/>
      <c r="Q859" s="456"/>
      <c r="R859" s="456"/>
      <c r="S859" s="456"/>
      <c r="T859" s="456"/>
      <c r="U859" s="456"/>
      <c r="V859" s="456"/>
      <c r="W859" s="456"/>
      <c r="X859" s="456"/>
      <c r="Y859" s="456"/>
      <c r="Z859" s="456"/>
    </row>
    <row r="860" spans="1:26" ht="11.25" customHeight="1">
      <c r="A860" s="456"/>
      <c r="B860" s="456"/>
      <c r="C860" s="456"/>
      <c r="D860" s="456"/>
      <c r="E860" s="456"/>
      <c r="F860" s="456"/>
      <c r="G860" s="456"/>
      <c r="H860" s="456"/>
      <c r="I860" s="456"/>
      <c r="J860" s="456"/>
      <c r="K860" s="456"/>
      <c r="L860" s="456"/>
      <c r="M860" s="456"/>
      <c r="N860" s="456"/>
      <c r="O860" s="456"/>
      <c r="P860" s="456"/>
      <c r="Q860" s="456"/>
      <c r="R860" s="456"/>
      <c r="S860" s="456"/>
      <c r="T860" s="456"/>
      <c r="U860" s="456"/>
      <c r="V860" s="456"/>
      <c r="W860" s="456"/>
      <c r="X860" s="456"/>
      <c r="Y860" s="456"/>
      <c r="Z860" s="456"/>
    </row>
    <row r="861" spans="1:26" ht="11.25" customHeight="1">
      <c r="A861" s="456"/>
      <c r="B861" s="456"/>
      <c r="C861" s="456"/>
      <c r="D861" s="456"/>
      <c r="E861" s="456"/>
      <c r="F861" s="456"/>
      <c r="G861" s="456"/>
      <c r="H861" s="456"/>
      <c r="I861" s="456"/>
      <c r="J861" s="456"/>
      <c r="K861" s="456"/>
      <c r="L861" s="456"/>
      <c r="M861" s="456"/>
      <c r="N861" s="456"/>
      <c r="O861" s="456"/>
      <c r="P861" s="456"/>
      <c r="Q861" s="456"/>
      <c r="R861" s="456"/>
      <c r="S861" s="456"/>
      <c r="T861" s="456"/>
      <c r="U861" s="456"/>
      <c r="V861" s="456"/>
      <c r="W861" s="456"/>
      <c r="X861" s="456"/>
      <c r="Y861" s="456"/>
      <c r="Z861" s="456"/>
    </row>
    <row r="862" spans="1:26" ht="11.25" customHeight="1">
      <c r="A862" s="456"/>
      <c r="B862" s="456"/>
      <c r="C862" s="456"/>
      <c r="D862" s="456"/>
      <c r="E862" s="456"/>
      <c r="F862" s="456"/>
      <c r="G862" s="456"/>
      <c r="H862" s="456"/>
      <c r="I862" s="456"/>
      <c r="J862" s="456"/>
      <c r="K862" s="456"/>
      <c r="L862" s="456"/>
      <c r="M862" s="456"/>
      <c r="N862" s="456"/>
      <c r="O862" s="456"/>
      <c r="P862" s="456"/>
      <c r="Q862" s="456"/>
      <c r="R862" s="456"/>
      <c r="S862" s="456"/>
      <c r="T862" s="456"/>
      <c r="U862" s="456"/>
      <c r="V862" s="456"/>
      <c r="W862" s="456"/>
      <c r="X862" s="456"/>
      <c r="Y862" s="456"/>
      <c r="Z862" s="456"/>
    </row>
    <row r="863" spans="1:26" ht="11.25" customHeight="1">
      <c r="A863" s="456"/>
      <c r="B863" s="456"/>
      <c r="C863" s="456"/>
      <c r="D863" s="456"/>
      <c r="E863" s="456"/>
      <c r="F863" s="456"/>
      <c r="G863" s="456"/>
      <c r="H863" s="456"/>
      <c r="I863" s="456"/>
      <c r="J863" s="456"/>
      <c r="K863" s="456"/>
      <c r="L863" s="456"/>
      <c r="M863" s="456"/>
      <c r="N863" s="456"/>
      <c r="O863" s="456"/>
      <c r="P863" s="456"/>
      <c r="Q863" s="456"/>
      <c r="R863" s="456"/>
      <c r="S863" s="456"/>
      <c r="T863" s="456"/>
      <c r="U863" s="456"/>
      <c r="V863" s="456"/>
      <c r="W863" s="456"/>
      <c r="X863" s="456"/>
      <c r="Y863" s="456"/>
      <c r="Z863" s="456"/>
    </row>
    <row r="864" spans="1:26" ht="11.25" customHeight="1">
      <c r="A864" s="456"/>
      <c r="B864" s="456"/>
      <c r="C864" s="456"/>
      <c r="D864" s="456"/>
      <c r="E864" s="456"/>
      <c r="F864" s="456"/>
      <c r="G864" s="456"/>
      <c r="H864" s="456"/>
      <c r="I864" s="456"/>
      <c r="J864" s="456"/>
      <c r="K864" s="456"/>
      <c r="L864" s="456"/>
      <c r="M864" s="456"/>
      <c r="N864" s="456"/>
      <c r="O864" s="456"/>
      <c r="P864" s="456"/>
      <c r="Q864" s="456"/>
      <c r="R864" s="456"/>
      <c r="S864" s="456"/>
      <c r="T864" s="456"/>
      <c r="U864" s="456"/>
      <c r="V864" s="456"/>
      <c r="W864" s="456"/>
      <c r="X864" s="456"/>
      <c r="Y864" s="456"/>
      <c r="Z864" s="456"/>
    </row>
    <row r="865" spans="1:26" ht="11.25" customHeight="1">
      <c r="A865" s="456"/>
      <c r="B865" s="456"/>
      <c r="C865" s="456"/>
      <c r="D865" s="456"/>
      <c r="E865" s="456"/>
      <c r="F865" s="456"/>
      <c r="G865" s="456"/>
      <c r="H865" s="456"/>
      <c r="I865" s="456"/>
      <c r="J865" s="456"/>
      <c r="K865" s="456"/>
      <c r="L865" s="456"/>
      <c r="M865" s="456"/>
      <c r="N865" s="456"/>
      <c r="O865" s="456"/>
      <c r="P865" s="456"/>
      <c r="Q865" s="456"/>
      <c r="R865" s="456"/>
      <c r="S865" s="456"/>
      <c r="T865" s="456"/>
      <c r="U865" s="456"/>
      <c r="V865" s="456"/>
      <c r="W865" s="456"/>
      <c r="X865" s="456"/>
      <c r="Y865" s="456"/>
      <c r="Z865" s="456"/>
    </row>
    <row r="866" spans="1:26" ht="11.25" customHeight="1">
      <c r="A866" s="456"/>
      <c r="B866" s="456"/>
      <c r="C866" s="456"/>
      <c r="D866" s="456"/>
      <c r="E866" s="456"/>
      <c r="F866" s="456"/>
      <c r="G866" s="456"/>
      <c r="H866" s="456"/>
      <c r="I866" s="456"/>
      <c r="J866" s="456"/>
      <c r="K866" s="456"/>
      <c r="L866" s="456"/>
      <c r="M866" s="456"/>
      <c r="N866" s="456"/>
      <c r="O866" s="456"/>
      <c r="P866" s="456"/>
      <c r="Q866" s="456"/>
      <c r="R866" s="456"/>
      <c r="S866" s="456"/>
      <c r="T866" s="456"/>
      <c r="U866" s="456"/>
      <c r="V866" s="456"/>
      <c r="W866" s="456"/>
      <c r="X866" s="456"/>
      <c r="Y866" s="456"/>
      <c r="Z866" s="456"/>
    </row>
    <row r="867" spans="1:26" ht="11.25" customHeight="1">
      <c r="A867" s="456"/>
      <c r="B867" s="456"/>
      <c r="C867" s="456"/>
      <c r="D867" s="456"/>
      <c r="E867" s="456"/>
      <c r="F867" s="456"/>
      <c r="G867" s="456"/>
      <c r="H867" s="456"/>
      <c r="I867" s="456"/>
      <c r="J867" s="456"/>
      <c r="K867" s="456"/>
      <c r="L867" s="456"/>
      <c r="M867" s="456"/>
      <c r="N867" s="456"/>
      <c r="O867" s="456"/>
      <c r="P867" s="456"/>
      <c r="Q867" s="456"/>
      <c r="R867" s="456"/>
      <c r="S867" s="456"/>
      <c r="T867" s="456"/>
      <c r="U867" s="456"/>
      <c r="V867" s="456"/>
      <c r="W867" s="456"/>
      <c r="X867" s="456"/>
      <c r="Y867" s="456"/>
      <c r="Z867" s="456"/>
    </row>
    <row r="868" spans="1:26" ht="11.25" customHeight="1">
      <c r="A868" s="456"/>
      <c r="B868" s="456"/>
      <c r="C868" s="456"/>
      <c r="D868" s="456"/>
      <c r="E868" s="456"/>
      <c r="F868" s="456"/>
      <c r="G868" s="456"/>
      <c r="H868" s="456"/>
      <c r="I868" s="456"/>
      <c r="J868" s="456"/>
      <c r="K868" s="456"/>
      <c r="L868" s="456"/>
      <c r="M868" s="456"/>
      <c r="N868" s="456"/>
      <c r="O868" s="456"/>
      <c r="P868" s="456"/>
      <c r="Q868" s="456"/>
      <c r="R868" s="456"/>
      <c r="S868" s="456"/>
      <c r="T868" s="456"/>
      <c r="U868" s="456"/>
      <c r="V868" s="456"/>
      <c r="W868" s="456"/>
      <c r="X868" s="456"/>
      <c r="Y868" s="456"/>
      <c r="Z868" s="456"/>
    </row>
    <row r="869" spans="1:26" ht="11.25" customHeight="1">
      <c r="A869" s="456"/>
      <c r="B869" s="456"/>
      <c r="C869" s="456"/>
      <c r="D869" s="456"/>
      <c r="E869" s="456"/>
      <c r="F869" s="456"/>
      <c r="G869" s="456"/>
      <c r="H869" s="456"/>
      <c r="I869" s="456"/>
      <c r="J869" s="456"/>
      <c r="K869" s="456"/>
      <c r="L869" s="456"/>
      <c r="M869" s="456"/>
      <c r="N869" s="456"/>
      <c r="O869" s="456"/>
      <c r="P869" s="456"/>
      <c r="Q869" s="456"/>
      <c r="R869" s="456"/>
      <c r="S869" s="456"/>
      <c r="T869" s="456"/>
      <c r="U869" s="456"/>
      <c r="V869" s="456"/>
      <c r="W869" s="456"/>
      <c r="X869" s="456"/>
      <c r="Y869" s="456"/>
      <c r="Z869" s="456"/>
    </row>
    <row r="870" spans="1:26" ht="11.25" customHeight="1">
      <c r="A870" s="456"/>
      <c r="B870" s="456"/>
      <c r="C870" s="456"/>
      <c r="D870" s="456"/>
      <c r="E870" s="456"/>
      <c r="F870" s="456"/>
      <c r="G870" s="456"/>
      <c r="H870" s="456"/>
      <c r="I870" s="456"/>
      <c r="J870" s="456"/>
      <c r="K870" s="456"/>
      <c r="L870" s="456"/>
      <c r="M870" s="456"/>
      <c r="N870" s="456"/>
      <c r="O870" s="456"/>
      <c r="P870" s="456"/>
      <c r="Q870" s="456"/>
      <c r="R870" s="456"/>
      <c r="S870" s="456"/>
      <c r="T870" s="456"/>
      <c r="U870" s="456"/>
      <c r="V870" s="456"/>
      <c r="W870" s="456"/>
      <c r="X870" s="456"/>
      <c r="Y870" s="456"/>
      <c r="Z870" s="456"/>
    </row>
    <row r="871" spans="1:26" ht="11.25" customHeight="1">
      <c r="A871" s="456"/>
      <c r="B871" s="456"/>
      <c r="C871" s="456"/>
      <c r="D871" s="456"/>
      <c r="E871" s="456"/>
      <c r="F871" s="456"/>
      <c r="G871" s="456"/>
      <c r="H871" s="456"/>
      <c r="I871" s="456"/>
      <c r="J871" s="456"/>
      <c r="K871" s="456"/>
      <c r="L871" s="456"/>
      <c r="M871" s="456"/>
      <c r="N871" s="456"/>
      <c r="O871" s="456"/>
      <c r="P871" s="456"/>
      <c r="Q871" s="456"/>
      <c r="R871" s="456"/>
      <c r="S871" s="456"/>
      <c r="T871" s="456"/>
      <c r="U871" s="456"/>
      <c r="V871" s="456"/>
      <c r="W871" s="456"/>
      <c r="X871" s="456"/>
      <c r="Y871" s="456"/>
      <c r="Z871" s="456"/>
    </row>
    <row r="872" spans="1:26" ht="11.25" customHeight="1">
      <c r="A872" s="456"/>
      <c r="B872" s="456"/>
      <c r="C872" s="456"/>
      <c r="D872" s="456"/>
      <c r="E872" s="456"/>
      <c r="F872" s="456"/>
      <c r="G872" s="456"/>
      <c r="H872" s="456"/>
      <c r="I872" s="456"/>
      <c r="J872" s="456"/>
      <c r="K872" s="456"/>
      <c r="L872" s="456"/>
      <c r="M872" s="456"/>
      <c r="N872" s="456"/>
      <c r="O872" s="456"/>
      <c r="P872" s="456"/>
      <c r="Q872" s="456"/>
      <c r="R872" s="456"/>
      <c r="S872" s="456"/>
      <c r="T872" s="456"/>
      <c r="U872" s="456"/>
      <c r="V872" s="456"/>
      <c r="W872" s="456"/>
      <c r="X872" s="456"/>
      <c r="Y872" s="456"/>
      <c r="Z872" s="456"/>
    </row>
    <row r="873" spans="1:26" ht="11.25" customHeight="1">
      <c r="A873" s="456"/>
      <c r="B873" s="456"/>
      <c r="C873" s="456"/>
      <c r="D873" s="456"/>
      <c r="E873" s="456"/>
      <c r="F873" s="456"/>
      <c r="G873" s="456"/>
      <c r="H873" s="456"/>
      <c r="I873" s="456"/>
      <c r="J873" s="456"/>
      <c r="K873" s="456"/>
      <c r="L873" s="456"/>
      <c r="M873" s="456"/>
      <c r="N873" s="456"/>
      <c r="O873" s="456"/>
      <c r="P873" s="456"/>
      <c r="Q873" s="456"/>
      <c r="R873" s="456"/>
      <c r="S873" s="456"/>
      <c r="T873" s="456"/>
      <c r="U873" s="456"/>
      <c r="V873" s="456"/>
      <c r="W873" s="456"/>
      <c r="X873" s="456"/>
      <c r="Y873" s="456"/>
      <c r="Z873" s="456"/>
    </row>
    <row r="874" spans="1:26" ht="11.25" customHeight="1">
      <c r="A874" s="456"/>
      <c r="B874" s="456"/>
      <c r="C874" s="456"/>
      <c r="D874" s="456"/>
      <c r="E874" s="456"/>
      <c r="F874" s="456"/>
      <c r="G874" s="456"/>
      <c r="H874" s="456"/>
      <c r="I874" s="456"/>
      <c r="J874" s="456"/>
      <c r="K874" s="456"/>
      <c r="L874" s="456"/>
      <c r="M874" s="456"/>
      <c r="N874" s="456"/>
      <c r="O874" s="456"/>
      <c r="P874" s="456"/>
      <c r="Q874" s="456"/>
      <c r="R874" s="456"/>
      <c r="S874" s="456"/>
      <c r="T874" s="456"/>
      <c r="U874" s="456"/>
      <c r="V874" s="456"/>
      <c r="W874" s="456"/>
      <c r="X874" s="456"/>
      <c r="Y874" s="456"/>
      <c r="Z874" s="456"/>
    </row>
    <row r="875" spans="1:26" ht="11.25" customHeight="1">
      <c r="A875" s="456"/>
      <c r="B875" s="456"/>
      <c r="C875" s="456"/>
      <c r="D875" s="456"/>
      <c r="E875" s="456"/>
      <c r="F875" s="456"/>
      <c r="G875" s="456"/>
      <c r="H875" s="456"/>
      <c r="I875" s="456"/>
      <c r="J875" s="456"/>
      <c r="K875" s="456"/>
      <c r="L875" s="456"/>
      <c r="M875" s="456"/>
      <c r="N875" s="456"/>
      <c r="O875" s="456"/>
      <c r="P875" s="456"/>
      <c r="Q875" s="456"/>
      <c r="R875" s="456"/>
      <c r="S875" s="456"/>
      <c r="T875" s="456"/>
      <c r="U875" s="456"/>
      <c r="V875" s="456"/>
      <c r="W875" s="456"/>
      <c r="X875" s="456"/>
      <c r="Y875" s="456"/>
      <c r="Z875" s="456"/>
    </row>
    <row r="876" spans="1:26" ht="11.25" customHeight="1">
      <c r="A876" s="456"/>
      <c r="B876" s="456"/>
      <c r="C876" s="456"/>
      <c r="D876" s="456"/>
      <c r="E876" s="456"/>
      <c r="F876" s="456"/>
      <c r="G876" s="456"/>
      <c r="H876" s="456"/>
      <c r="I876" s="456"/>
      <c r="J876" s="456"/>
      <c r="K876" s="456"/>
      <c r="L876" s="456"/>
      <c r="M876" s="456"/>
      <c r="N876" s="456"/>
      <c r="O876" s="456"/>
      <c r="P876" s="456"/>
      <c r="Q876" s="456"/>
      <c r="R876" s="456"/>
      <c r="S876" s="456"/>
      <c r="T876" s="456"/>
      <c r="U876" s="456"/>
      <c r="V876" s="456"/>
      <c r="W876" s="456"/>
      <c r="X876" s="456"/>
      <c r="Y876" s="456"/>
      <c r="Z876" s="456"/>
    </row>
    <row r="877" spans="1:26" ht="11.25" customHeight="1">
      <c r="A877" s="456"/>
      <c r="B877" s="456"/>
      <c r="C877" s="456"/>
      <c r="D877" s="456"/>
      <c r="E877" s="456"/>
      <c r="F877" s="456"/>
      <c r="G877" s="456"/>
      <c r="H877" s="456"/>
      <c r="I877" s="456"/>
      <c r="J877" s="456"/>
      <c r="K877" s="456"/>
      <c r="L877" s="456"/>
      <c r="M877" s="456"/>
      <c r="N877" s="456"/>
      <c r="O877" s="456"/>
      <c r="P877" s="456"/>
      <c r="Q877" s="456"/>
      <c r="R877" s="456"/>
      <c r="S877" s="456"/>
      <c r="T877" s="456"/>
      <c r="U877" s="456"/>
      <c r="V877" s="456"/>
      <c r="W877" s="456"/>
      <c r="X877" s="456"/>
      <c r="Y877" s="456"/>
      <c r="Z877" s="456"/>
    </row>
    <row r="878" spans="1:26" ht="11.25" customHeight="1">
      <c r="A878" s="456"/>
      <c r="B878" s="456"/>
      <c r="C878" s="456"/>
      <c r="D878" s="456"/>
      <c r="E878" s="456"/>
      <c r="F878" s="456"/>
      <c r="G878" s="456"/>
      <c r="H878" s="456"/>
      <c r="I878" s="456"/>
      <c r="J878" s="456"/>
      <c r="K878" s="456"/>
      <c r="L878" s="456"/>
      <c r="M878" s="456"/>
      <c r="N878" s="456"/>
      <c r="O878" s="456"/>
      <c r="P878" s="456"/>
      <c r="Q878" s="456"/>
      <c r="R878" s="456"/>
      <c r="S878" s="456"/>
      <c r="T878" s="456"/>
      <c r="U878" s="456"/>
      <c r="V878" s="456"/>
      <c r="W878" s="456"/>
      <c r="X878" s="456"/>
      <c r="Y878" s="456"/>
      <c r="Z878" s="456"/>
    </row>
    <row r="879" spans="1:26" ht="11.25" customHeight="1">
      <c r="A879" s="456"/>
      <c r="B879" s="456"/>
      <c r="C879" s="456"/>
      <c r="D879" s="456"/>
      <c r="E879" s="456"/>
      <c r="F879" s="456"/>
      <c r="G879" s="456"/>
      <c r="H879" s="456"/>
      <c r="I879" s="456"/>
      <c r="J879" s="456"/>
      <c r="K879" s="456"/>
      <c r="L879" s="456"/>
      <c r="M879" s="456"/>
      <c r="N879" s="456"/>
      <c r="O879" s="456"/>
      <c r="P879" s="456"/>
      <c r="Q879" s="456"/>
      <c r="R879" s="456"/>
      <c r="S879" s="456"/>
      <c r="T879" s="456"/>
      <c r="U879" s="456"/>
      <c r="V879" s="456"/>
      <c r="W879" s="456"/>
      <c r="X879" s="456"/>
      <c r="Y879" s="456"/>
      <c r="Z879" s="456"/>
    </row>
    <row r="880" spans="1:26" ht="11.25" customHeight="1">
      <c r="A880" s="456"/>
      <c r="B880" s="456"/>
      <c r="C880" s="456"/>
      <c r="D880" s="456"/>
      <c r="E880" s="456"/>
      <c r="F880" s="456"/>
      <c r="G880" s="456"/>
      <c r="H880" s="456"/>
      <c r="I880" s="456"/>
      <c r="J880" s="456"/>
      <c r="K880" s="456"/>
      <c r="L880" s="456"/>
      <c r="M880" s="456"/>
      <c r="N880" s="456"/>
      <c r="O880" s="456"/>
      <c r="P880" s="456"/>
      <c r="Q880" s="456"/>
      <c r="R880" s="456"/>
      <c r="S880" s="456"/>
      <c r="T880" s="456"/>
      <c r="U880" s="456"/>
      <c r="V880" s="456"/>
      <c r="W880" s="456"/>
      <c r="X880" s="456"/>
      <c r="Y880" s="456"/>
      <c r="Z880" s="456"/>
    </row>
    <row r="881" spans="1:26" ht="11.25" customHeight="1">
      <c r="A881" s="456"/>
      <c r="B881" s="456"/>
      <c r="C881" s="456"/>
      <c r="D881" s="456"/>
      <c r="E881" s="456"/>
      <c r="F881" s="456"/>
      <c r="G881" s="456"/>
      <c r="H881" s="456"/>
      <c r="I881" s="456"/>
      <c r="J881" s="456"/>
      <c r="K881" s="456"/>
      <c r="L881" s="456"/>
      <c r="M881" s="456"/>
      <c r="N881" s="456"/>
      <c r="O881" s="456"/>
      <c r="P881" s="456"/>
      <c r="Q881" s="456"/>
      <c r="R881" s="456"/>
      <c r="S881" s="456"/>
      <c r="T881" s="456"/>
      <c r="U881" s="456"/>
      <c r="V881" s="456"/>
      <c r="W881" s="456"/>
      <c r="X881" s="456"/>
      <c r="Y881" s="456"/>
      <c r="Z881" s="456"/>
    </row>
    <row r="882" spans="1:26" ht="11.25" customHeight="1">
      <c r="A882" s="456"/>
      <c r="B882" s="456"/>
      <c r="C882" s="456"/>
      <c r="D882" s="456"/>
      <c r="E882" s="456"/>
      <c r="F882" s="456"/>
      <c r="G882" s="456"/>
      <c r="H882" s="456"/>
      <c r="I882" s="456"/>
      <c r="J882" s="456"/>
      <c r="K882" s="456"/>
      <c r="L882" s="456"/>
      <c r="M882" s="456"/>
      <c r="N882" s="456"/>
      <c r="O882" s="456"/>
      <c r="P882" s="456"/>
      <c r="Q882" s="456"/>
      <c r="R882" s="456"/>
      <c r="S882" s="456"/>
      <c r="T882" s="456"/>
      <c r="U882" s="456"/>
      <c r="V882" s="456"/>
      <c r="W882" s="456"/>
      <c r="X882" s="456"/>
      <c r="Y882" s="456"/>
      <c r="Z882" s="456"/>
    </row>
    <row r="883" spans="1:26" ht="11.25" customHeight="1">
      <c r="A883" s="456"/>
      <c r="B883" s="456"/>
      <c r="C883" s="456"/>
      <c r="D883" s="456"/>
      <c r="E883" s="456"/>
      <c r="F883" s="456"/>
      <c r="G883" s="456"/>
      <c r="H883" s="456"/>
      <c r="I883" s="456"/>
      <c r="J883" s="456"/>
      <c r="K883" s="456"/>
      <c r="L883" s="456"/>
      <c r="M883" s="456"/>
      <c r="N883" s="456"/>
      <c r="O883" s="456"/>
      <c r="P883" s="456"/>
      <c r="Q883" s="456"/>
      <c r="R883" s="456"/>
      <c r="S883" s="456"/>
      <c r="T883" s="456"/>
      <c r="U883" s="456"/>
      <c r="V883" s="456"/>
      <c r="W883" s="456"/>
      <c r="X883" s="456"/>
      <c r="Y883" s="456"/>
      <c r="Z883" s="456"/>
    </row>
    <row r="884" spans="1:26" ht="11.25" customHeight="1">
      <c r="A884" s="456"/>
      <c r="B884" s="456"/>
      <c r="C884" s="456"/>
      <c r="D884" s="456"/>
      <c r="E884" s="456"/>
      <c r="F884" s="456"/>
      <c r="G884" s="456"/>
      <c r="H884" s="456"/>
      <c r="I884" s="456"/>
      <c r="J884" s="456"/>
      <c r="K884" s="456"/>
      <c r="L884" s="456"/>
      <c r="M884" s="456"/>
      <c r="N884" s="456"/>
      <c r="O884" s="456"/>
      <c r="P884" s="456"/>
      <c r="Q884" s="456"/>
      <c r="R884" s="456"/>
      <c r="S884" s="456"/>
      <c r="T884" s="456"/>
      <c r="U884" s="456"/>
      <c r="V884" s="456"/>
      <c r="W884" s="456"/>
      <c r="X884" s="456"/>
      <c r="Y884" s="456"/>
      <c r="Z884" s="456"/>
    </row>
    <row r="885" spans="1:26" ht="11.25" customHeight="1">
      <c r="A885" s="456"/>
      <c r="B885" s="456"/>
      <c r="C885" s="456"/>
      <c r="D885" s="456"/>
      <c r="E885" s="456"/>
      <c r="F885" s="456"/>
      <c r="G885" s="456"/>
      <c r="H885" s="456"/>
      <c r="I885" s="456"/>
      <c r="J885" s="456"/>
      <c r="K885" s="456"/>
      <c r="L885" s="456"/>
      <c r="M885" s="456"/>
      <c r="N885" s="456"/>
      <c r="O885" s="456"/>
      <c r="P885" s="456"/>
      <c r="Q885" s="456"/>
      <c r="R885" s="456"/>
      <c r="S885" s="456"/>
      <c r="T885" s="456"/>
      <c r="U885" s="456"/>
      <c r="V885" s="456"/>
      <c r="W885" s="456"/>
      <c r="X885" s="456"/>
      <c r="Y885" s="456"/>
      <c r="Z885" s="456"/>
    </row>
    <row r="886" spans="1:26" ht="11.25" customHeight="1">
      <c r="A886" s="456"/>
      <c r="B886" s="456"/>
      <c r="C886" s="456"/>
      <c r="D886" s="456"/>
      <c r="E886" s="456"/>
      <c r="F886" s="456"/>
      <c r="G886" s="456"/>
      <c r="H886" s="456"/>
      <c r="I886" s="456"/>
      <c r="J886" s="456"/>
      <c r="K886" s="456"/>
      <c r="L886" s="456"/>
      <c r="M886" s="456"/>
      <c r="N886" s="456"/>
      <c r="O886" s="456"/>
      <c r="P886" s="456"/>
      <c r="Q886" s="456"/>
      <c r="R886" s="456"/>
      <c r="S886" s="456"/>
      <c r="T886" s="456"/>
      <c r="U886" s="456"/>
      <c r="V886" s="456"/>
      <c r="W886" s="456"/>
      <c r="X886" s="456"/>
      <c r="Y886" s="456"/>
      <c r="Z886" s="456"/>
    </row>
    <row r="887" spans="1:26" ht="11.25" customHeight="1">
      <c r="A887" s="456"/>
      <c r="B887" s="456"/>
      <c r="C887" s="456"/>
      <c r="D887" s="456"/>
      <c r="E887" s="456"/>
      <c r="F887" s="456"/>
      <c r="G887" s="456"/>
      <c r="H887" s="456"/>
      <c r="I887" s="456"/>
      <c r="J887" s="456"/>
      <c r="K887" s="456"/>
      <c r="L887" s="456"/>
      <c r="M887" s="456"/>
      <c r="N887" s="456"/>
      <c r="O887" s="456"/>
      <c r="P887" s="456"/>
      <c r="Q887" s="456"/>
      <c r="R887" s="456"/>
      <c r="S887" s="456"/>
      <c r="T887" s="456"/>
      <c r="U887" s="456"/>
      <c r="V887" s="456"/>
      <c r="W887" s="456"/>
      <c r="X887" s="456"/>
      <c r="Y887" s="456"/>
      <c r="Z887" s="456"/>
    </row>
    <row r="888" spans="1:26" ht="11.25" customHeight="1">
      <c r="A888" s="456"/>
      <c r="B888" s="456"/>
      <c r="C888" s="456"/>
      <c r="D888" s="456"/>
      <c r="E888" s="456"/>
      <c r="F888" s="456"/>
      <c r="G888" s="456"/>
      <c r="H888" s="456"/>
      <c r="I888" s="456"/>
      <c r="J888" s="456"/>
      <c r="K888" s="456"/>
      <c r="L888" s="456"/>
      <c r="M888" s="456"/>
      <c r="N888" s="456"/>
      <c r="O888" s="456"/>
      <c r="P888" s="456"/>
      <c r="Q888" s="456"/>
      <c r="R888" s="456"/>
      <c r="S888" s="456"/>
      <c r="T888" s="456"/>
      <c r="U888" s="456"/>
      <c r="V888" s="456"/>
      <c r="W888" s="456"/>
      <c r="X888" s="456"/>
      <c r="Y888" s="456"/>
      <c r="Z888" s="456"/>
    </row>
    <row r="889" spans="1:26" ht="11.25" customHeight="1">
      <c r="A889" s="456"/>
      <c r="B889" s="456"/>
      <c r="C889" s="456"/>
      <c r="D889" s="456"/>
      <c r="E889" s="456"/>
      <c r="F889" s="456"/>
      <c r="G889" s="456"/>
      <c r="H889" s="456"/>
      <c r="I889" s="456"/>
      <c r="J889" s="456"/>
      <c r="K889" s="456"/>
      <c r="L889" s="456"/>
      <c r="M889" s="456"/>
      <c r="N889" s="456"/>
      <c r="O889" s="456"/>
      <c r="P889" s="456"/>
      <c r="Q889" s="456"/>
      <c r="R889" s="456"/>
      <c r="S889" s="456"/>
      <c r="T889" s="456"/>
      <c r="U889" s="456"/>
      <c r="V889" s="456"/>
      <c r="W889" s="456"/>
      <c r="X889" s="456"/>
      <c r="Y889" s="456"/>
      <c r="Z889" s="456"/>
    </row>
    <row r="890" spans="1:26" ht="11.25" customHeight="1">
      <c r="A890" s="456"/>
      <c r="B890" s="456"/>
      <c r="C890" s="456"/>
      <c r="D890" s="456"/>
      <c r="E890" s="456"/>
      <c r="F890" s="456"/>
      <c r="G890" s="456"/>
      <c r="H890" s="456"/>
      <c r="I890" s="456"/>
      <c r="J890" s="456"/>
      <c r="K890" s="456"/>
      <c r="L890" s="456"/>
      <c r="M890" s="456"/>
      <c r="N890" s="456"/>
      <c r="O890" s="456"/>
      <c r="P890" s="456"/>
      <c r="Q890" s="456"/>
      <c r="R890" s="456"/>
      <c r="S890" s="456"/>
      <c r="T890" s="456"/>
      <c r="U890" s="456"/>
      <c r="V890" s="456"/>
      <c r="W890" s="456"/>
      <c r="X890" s="456"/>
      <c r="Y890" s="456"/>
      <c r="Z890" s="456"/>
    </row>
    <row r="891" spans="1:26" ht="11.25" customHeight="1">
      <c r="A891" s="456"/>
      <c r="B891" s="456"/>
      <c r="C891" s="456"/>
      <c r="D891" s="456"/>
      <c r="E891" s="456"/>
      <c r="F891" s="456"/>
      <c r="G891" s="456"/>
      <c r="H891" s="456"/>
      <c r="I891" s="456"/>
      <c r="J891" s="456"/>
      <c r="K891" s="456"/>
      <c r="L891" s="456"/>
      <c r="M891" s="456"/>
      <c r="N891" s="456"/>
      <c r="O891" s="456"/>
      <c r="P891" s="456"/>
      <c r="Q891" s="456"/>
      <c r="R891" s="456"/>
      <c r="S891" s="456"/>
      <c r="T891" s="456"/>
      <c r="U891" s="456"/>
      <c r="V891" s="456"/>
      <c r="W891" s="456"/>
      <c r="X891" s="456"/>
      <c r="Y891" s="456"/>
      <c r="Z891" s="456"/>
    </row>
    <row r="892" spans="1:26" ht="11.25" customHeight="1">
      <c r="A892" s="456"/>
      <c r="B892" s="456"/>
      <c r="C892" s="456"/>
      <c r="D892" s="456"/>
      <c r="E892" s="456"/>
      <c r="F892" s="456"/>
      <c r="G892" s="456"/>
      <c r="H892" s="456"/>
      <c r="I892" s="456"/>
      <c r="J892" s="456"/>
      <c r="K892" s="456"/>
      <c r="L892" s="456"/>
      <c r="M892" s="456"/>
      <c r="N892" s="456"/>
      <c r="O892" s="456"/>
      <c r="P892" s="456"/>
      <c r="Q892" s="456"/>
      <c r="R892" s="456"/>
      <c r="S892" s="456"/>
      <c r="T892" s="456"/>
      <c r="U892" s="456"/>
      <c r="V892" s="456"/>
      <c r="W892" s="456"/>
      <c r="X892" s="456"/>
      <c r="Y892" s="456"/>
      <c r="Z892" s="456"/>
    </row>
    <row r="893" spans="1:26" ht="11.25" customHeight="1">
      <c r="A893" s="456"/>
      <c r="B893" s="456"/>
      <c r="C893" s="456"/>
      <c r="D893" s="456"/>
      <c r="E893" s="456"/>
      <c r="F893" s="456"/>
      <c r="G893" s="456"/>
      <c r="H893" s="456"/>
      <c r="I893" s="456"/>
      <c r="J893" s="456"/>
      <c r="K893" s="456"/>
      <c r="L893" s="456"/>
      <c r="M893" s="456"/>
      <c r="N893" s="456"/>
      <c r="O893" s="456"/>
      <c r="P893" s="456"/>
      <c r="Q893" s="456"/>
      <c r="R893" s="456"/>
      <c r="S893" s="456"/>
      <c r="T893" s="456"/>
      <c r="U893" s="456"/>
      <c r="V893" s="456"/>
      <c r="W893" s="456"/>
      <c r="X893" s="456"/>
      <c r="Y893" s="456"/>
      <c r="Z893" s="456"/>
    </row>
    <row r="894" spans="1:26" ht="11.25" customHeight="1">
      <c r="A894" s="456"/>
      <c r="B894" s="456"/>
      <c r="C894" s="456"/>
      <c r="D894" s="456"/>
      <c r="E894" s="456"/>
      <c r="F894" s="456"/>
      <c r="G894" s="456"/>
      <c r="H894" s="456"/>
      <c r="I894" s="456"/>
      <c r="J894" s="456"/>
      <c r="K894" s="456"/>
      <c r="L894" s="456"/>
      <c r="M894" s="456"/>
      <c r="N894" s="456"/>
      <c r="O894" s="456"/>
      <c r="P894" s="456"/>
      <c r="Q894" s="456"/>
      <c r="R894" s="456"/>
      <c r="S894" s="456"/>
      <c r="T894" s="456"/>
      <c r="U894" s="456"/>
      <c r="V894" s="456"/>
      <c r="W894" s="456"/>
      <c r="X894" s="456"/>
      <c r="Y894" s="456"/>
      <c r="Z894" s="456"/>
    </row>
    <row r="895" spans="1:26" ht="11.25" customHeight="1">
      <c r="A895" s="456"/>
      <c r="B895" s="456"/>
      <c r="C895" s="456"/>
      <c r="D895" s="456"/>
      <c r="E895" s="456"/>
      <c r="F895" s="456"/>
      <c r="G895" s="456"/>
      <c r="H895" s="456"/>
      <c r="I895" s="456"/>
      <c r="J895" s="456"/>
      <c r="K895" s="456"/>
      <c r="L895" s="456"/>
      <c r="M895" s="456"/>
      <c r="N895" s="456"/>
      <c r="O895" s="456"/>
      <c r="P895" s="456"/>
      <c r="Q895" s="456"/>
      <c r="R895" s="456"/>
      <c r="S895" s="456"/>
      <c r="T895" s="456"/>
      <c r="U895" s="456"/>
      <c r="V895" s="456"/>
      <c r="W895" s="456"/>
      <c r="X895" s="456"/>
      <c r="Y895" s="456"/>
      <c r="Z895" s="456"/>
    </row>
    <row r="896" spans="1:26" ht="11.25" customHeight="1">
      <c r="A896" s="456"/>
      <c r="B896" s="456"/>
      <c r="C896" s="456"/>
      <c r="D896" s="456"/>
      <c r="E896" s="456"/>
      <c r="F896" s="456"/>
      <c r="G896" s="456"/>
      <c r="H896" s="456"/>
      <c r="I896" s="456"/>
      <c r="J896" s="456"/>
      <c r="K896" s="456"/>
      <c r="L896" s="456"/>
      <c r="M896" s="456"/>
      <c r="N896" s="456"/>
      <c r="O896" s="456"/>
      <c r="P896" s="456"/>
      <c r="Q896" s="456"/>
      <c r="R896" s="456"/>
      <c r="S896" s="456"/>
      <c r="T896" s="456"/>
      <c r="U896" s="456"/>
      <c r="V896" s="456"/>
      <c r="W896" s="456"/>
      <c r="X896" s="456"/>
      <c r="Y896" s="456"/>
      <c r="Z896" s="456"/>
    </row>
    <row r="897" spans="1:26" ht="11.25" customHeight="1">
      <c r="A897" s="456"/>
      <c r="B897" s="456"/>
      <c r="C897" s="456"/>
      <c r="D897" s="456"/>
      <c r="E897" s="456"/>
      <c r="F897" s="456"/>
      <c r="G897" s="456"/>
      <c r="H897" s="456"/>
      <c r="I897" s="456"/>
      <c r="J897" s="456"/>
      <c r="K897" s="456"/>
      <c r="L897" s="456"/>
      <c r="M897" s="456"/>
      <c r="N897" s="456"/>
      <c r="O897" s="456"/>
      <c r="P897" s="456"/>
      <c r="Q897" s="456"/>
      <c r="R897" s="456"/>
      <c r="S897" s="456"/>
      <c r="T897" s="456"/>
      <c r="U897" s="456"/>
      <c r="V897" s="456"/>
      <c r="W897" s="456"/>
      <c r="X897" s="456"/>
      <c r="Y897" s="456"/>
      <c r="Z897" s="456"/>
    </row>
    <row r="898" spans="1:26" ht="11.25" customHeight="1">
      <c r="A898" s="456"/>
      <c r="B898" s="456"/>
      <c r="C898" s="456"/>
      <c r="D898" s="456"/>
      <c r="E898" s="456"/>
      <c r="F898" s="456"/>
      <c r="G898" s="456"/>
      <c r="H898" s="456"/>
      <c r="I898" s="456"/>
      <c r="J898" s="456"/>
      <c r="K898" s="456"/>
      <c r="L898" s="456"/>
      <c r="M898" s="456"/>
      <c r="N898" s="456"/>
      <c r="O898" s="456"/>
      <c r="P898" s="456"/>
      <c r="Q898" s="456"/>
      <c r="R898" s="456"/>
      <c r="S898" s="456"/>
      <c r="T898" s="456"/>
      <c r="U898" s="456"/>
      <c r="V898" s="456"/>
      <c r="W898" s="456"/>
      <c r="X898" s="456"/>
      <c r="Y898" s="456"/>
      <c r="Z898" s="456"/>
    </row>
    <row r="899" spans="1:26" ht="11.25" customHeight="1">
      <c r="A899" s="456"/>
      <c r="B899" s="456"/>
      <c r="C899" s="456"/>
      <c r="D899" s="456"/>
      <c r="E899" s="456"/>
      <c r="F899" s="456"/>
      <c r="G899" s="456"/>
      <c r="H899" s="456"/>
      <c r="I899" s="456"/>
      <c r="J899" s="456"/>
      <c r="K899" s="456"/>
      <c r="L899" s="456"/>
      <c r="M899" s="456"/>
      <c r="N899" s="456"/>
      <c r="O899" s="456"/>
      <c r="P899" s="456"/>
      <c r="Q899" s="456"/>
      <c r="R899" s="456"/>
      <c r="S899" s="456"/>
      <c r="T899" s="456"/>
      <c r="U899" s="456"/>
      <c r="V899" s="456"/>
      <c r="W899" s="456"/>
      <c r="X899" s="456"/>
      <c r="Y899" s="456"/>
      <c r="Z899" s="456"/>
    </row>
    <row r="900" spans="1:26" ht="11.25" customHeight="1">
      <c r="A900" s="456"/>
      <c r="B900" s="456"/>
      <c r="C900" s="456"/>
      <c r="D900" s="456"/>
      <c r="E900" s="456"/>
      <c r="F900" s="456"/>
      <c r="G900" s="456"/>
      <c r="H900" s="456"/>
      <c r="I900" s="456"/>
      <c r="J900" s="456"/>
      <c r="K900" s="456"/>
      <c r="L900" s="456"/>
      <c r="M900" s="456"/>
      <c r="N900" s="456"/>
      <c r="O900" s="456"/>
      <c r="P900" s="456"/>
      <c r="Q900" s="456"/>
      <c r="R900" s="456"/>
      <c r="S900" s="456"/>
      <c r="T900" s="456"/>
      <c r="U900" s="456"/>
      <c r="V900" s="456"/>
      <c r="W900" s="456"/>
      <c r="X900" s="456"/>
      <c r="Y900" s="456"/>
      <c r="Z900" s="456"/>
    </row>
    <row r="901" spans="1:26" ht="11.25" customHeight="1">
      <c r="A901" s="456"/>
      <c r="B901" s="456"/>
      <c r="C901" s="456"/>
      <c r="D901" s="456"/>
      <c r="E901" s="456"/>
      <c r="F901" s="456"/>
      <c r="G901" s="456"/>
      <c r="H901" s="456"/>
      <c r="I901" s="456"/>
      <c r="J901" s="456"/>
      <c r="K901" s="456"/>
      <c r="L901" s="456"/>
      <c r="M901" s="456"/>
      <c r="N901" s="456"/>
      <c r="O901" s="456"/>
      <c r="P901" s="456"/>
      <c r="Q901" s="456"/>
      <c r="R901" s="456"/>
      <c r="S901" s="456"/>
      <c r="T901" s="456"/>
      <c r="U901" s="456"/>
      <c r="V901" s="456"/>
      <c r="W901" s="456"/>
      <c r="X901" s="456"/>
      <c r="Y901" s="456"/>
      <c r="Z901" s="456"/>
    </row>
    <row r="902" spans="1:26" ht="11.25" customHeight="1">
      <c r="A902" s="456"/>
      <c r="B902" s="456"/>
      <c r="C902" s="456"/>
      <c r="D902" s="456"/>
      <c r="E902" s="456"/>
      <c r="F902" s="456"/>
      <c r="G902" s="456"/>
      <c r="H902" s="456"/>
      <c r="I902" s="456"/>
      <c r="J902" s="456"/>
      <c r="K902" s="456"/>
      <c r="L902" s="456"/>
      <c r="M902" s="456"/>
      <c r="N902" s="456"/>
      <c r="O902" s="456"/>
      <c r="P902" s="456"/>
      <c r="Q902" s="456"/>
      <c r="R902" s="456"/>
      <c r="S902" s="456"/>
      <c r="T902" s="456"/>
      <c r="U902" s="456"/>
      <c r="V902" s="456"/>
      <c r="W902" s="456"/>
      <c r="X902" s="456"/>
      <c r="Y902" s="456"/>
      <c r="Z902" s="456"/>
    </row>
    <row r="903" spans="1:26" ht="11.25" customHeight="1">
      <c r="A903" s="456"/>
      <c r="B903" s="456"/>
      <c r="C903" s="456"/>
      <c r="D903" s="456"/>
      <c r="E903" s="456"/>
      <c r="F903" s="456"/>
      <c r="G903" s="456"/>
      <c r="H903" s="456"/>
      <c r="I903" s="456"/>
      <c r="J903" s="456"/>
      <c r="K903" s="456"/>
      <c r="L903" s="456"/>
      <c r="M903" s="456"/>
      <c r="N903" s="456"/>
      <c r="O903" s="456"/>
      <c r="P903" s="456"/>
      <c r="Q903" s="456"/>
      <c r="R903" s="456"/>
      <c r="S903" s="456"/>
      <c r="T903" s="456"/>
      <c r="U903" s="456"/>
      <c r="V903" s="456"/>
      <c r="W903" s="456"/>
      <c r="X903" s="456"/>
      <c r="Y903" s="456"/>
      <c r="Z903" s="456"/>
    </row>
    <row r="904" spans="1:26" ht="11.25" customHeight="1">
      <c r="A904" s="456"/>
      <c r="B904" s="456"/>
      <c r="C904" s="456"/>
      <c r="D904" s="456"/>
      <c r="E904" s="456"/>
      <c r="F904" s="456"/>
      <c r="G904" s="456"/>
      <c r="H904" s="456"/>
      <c r="I904" s="456"/>
      <c r="J904" s="456"/>
      <c r="K904" s="456"/>
      <c r="L904" s="456"/>
      <c r="M904" s="456"/>
      <c r="N904" s="456"/>
      <c r="O904" s="456"/>
      <c r="P904" s="456"/>
      <c r="Q904" s="456"/>
      <c r="R904" s="456"/>
      <c r="S904" s="456"/>
      <c r="T904" s="456"/>
      <c r="U904" s="456"/>
      <c r="V904" s="456"/>
      <c r="W904" s="456"/>
      <c r="X904" s="456"/>
      <c r="Y904" s="456"/>
      <c r="Z904" s="456"/>
    </row>
    <row r="905" spans="1:26" ht="11.25" customHeight="1">
      <c r="A905" s="456"/>
      <c r="B905" s="456"/>
      <c r="C905" s="456"/>
      <c r="D905" s="456"/>
      <c r="E905" s="456"/>
      <c r="F905" s="456"/>
      <c r="G905" s="456"/>
      <c r="H905" s="456"/>
      <c r="I905" s="456"/>
      <c r="J905" s="456"/>
      <c r="K905" s="456"/>
      <c r="L905" s="456"/>
      <c r="M905" s="456"/>
      <c r="N905" s="456"/>
      <c r="O905" s="456"/>
      <c r="P905" s="456"/>
      <c r="Q905" s="456"/>
      <c r="R905" s="456"/>
      <c r="S905" s="456"/>
      <c r="T905" s="456"/>
      <c r="U905" s="456"/>
      <c r="V905" s="456"/>
      <c r="W905" s="456"/>
      <c r="X905" s="456"/>
      <c r="Y905" s="456"/>
      <c r="Z905" s="456"/>
    </row>
    <row r="906" spans="1:26" ht="11.25" customHeight="1">
      <c r="A906" s="456"/>
      <c r="B906" s="456"/>
      <c r="C906" s="456"/>
      <c r="D906" s="456"/>
      <c r="E906" s="456"/>
      <c r="F906" s="456"/>
      <c r="G906" s="456"/>
      <c r="H906" s="456"/>
      <c r="I906" s="456"/>
      <c r="J906" s="456"/>
      <c r="K906" s="456"/>
      <c r="L906" s="456"/>
      <c r="M906" s="456"/>
      <c r="N906" s="456"/>
      <c r="O906" s="456"/>
      <c r="P906" s="456"/>
      <c r="Q906" s="456"/>
      <c r="R906" s="456"/>
      <c r="S906" s="456"/>
      <c r="T906" s="456"/>
      <c r="U906" s="456"/>
      <c r="V906" s="456"/>
      <c r="W906" s="456"/>
      <c r="X906" s="456"/>
      <c r="Y906" s="456"/>
      <c r="Z906" s="456"/>
    </row>
    <row r="907" spans="1:26" ht="11.25" customHeight="1">
      <c r="A907" s="456"/>
      <c r="B907" s="456"/>
      <c r="C907" s="456"/>
      <c r="D907" s="456"/>
      <c r="E907" s="456"/>
      <c r="F907" s="456"/>
      <c r="G907" s="456"/>
      <c r="H907" s="456"/>
      <c r="I907" s="456"/>
      <c r="J907" s="456"/>
      <c r="K907" s="456"/>
      <c r="L907" s="456"/>
      <c r="M907" s="456"/>
      <c r="N907" s="456"/>
      <c r="O907" s="456"/>
      <c r="P907" s="456"/>
      <c r="Q907" s="456"/>
      <c r="R907" s="456"/>
      <c r="S907" s="456"/>
      <c r="T907" s="456"/>
      <c r="U907" s="456"/>
      <c r="V907" s="456"/>
      <c r="W907" s="456"/>
      <c r="X907" s="456"/>
      <c r="Y907" s="456"/>
      <c r="Z907" s="456"/>
    </row>
    <row r="908" spans="1:26" ht="11.25" customHeight="1">
      <c r="A908" s="456"/>
      <c r="B908" s="456"/>
      <c r="C908" s="456"/>
      <c r="D908" s="456"/>
      <c r="E908" s="456"/>
      <c r="F908" s="456"/>
      <c r="G908" s="456"/>
      <c r="H908" s="456"/>
      <c r="I908" s="456"/>
      <c r="J908" s="456"/>
      <c r="K908" s="456"/>
      <c r="L908" s="456"/>
      <c r="M908" s="456"/>
      <c r="N908" s="456"/>
      <c r="O908" s="456"/>
      <c r="P908" s="456"/>
      <c r="Q908" s="456"/>
      <c r="R908" s="456"/>
      <c r="S908" s="456"/>
      <c r="T908" s="456"/>
      <c r="U908" s="456"/>
      <c r="V908" s="456"/>
      <c r="W908" s="456"/>
      <c r="X908" s="456"/>
      <c r="Y908" s="456"/>
      <c r="Z908" s="456"/>
    </row>
    <row r="909" spans="1:26" ht="11.25" customHeight="1">
      <c r="A909" s="456"/>
      <c r="B909" s="456"/>
      <c r="C909" s="456"/>
      <c r="D909" s="456"/>
      <c r="E909" s="456"/>
      <c r="F909" s="456"/>
      <c r="G909" s="456"/>
      <c r="H909" s="456"/>
      <c r="I909" s="456"/>
      <c r="J909" s="456"/>
      <c r="K909" s="456"/>
      <c r="L909" s="456"/>
      <c r="M909" s="456"/>
      <c r="N909" s="456"/>
      <c r="O909" s="456"/>
      <c r="P909" s="456"/>
      <c r="Q909" s="456"/>
      <c r="R909" s="456"/>
      <c r="S909" s="456"/>
      <c r="T909" s="456"/>
      <c r="U909" s="456"/>
      <c r="V909" s="456"/>
      <c r="W909" s="456"/>
      <c r="X909" s="456"/>
      <c r="Y909" s="456"/>
      <c r="Z909" s="456"/>
    </row>
    <row r="910" spans="1:26" ht="11.25" customHeight="1">
      <c r="A910" s="456"/>
      <c r="B910" s="456"/>
      <c r="C910" s="456"/>
      <c r="D910" s="456"/>
      <c r="E910" s="456"/>
      <c r="F910" s="456"/>
      <c r="G910" s="456"/>
      <c r="H910" s="456"/>
      <c r="I910" s="456"/>
      <c r="J910" s="456"/>
      <c r="K910" s="456"/>
      <c r="L910" s="456"/>
      <c r="M910" s="456"/>
      <c r="N910" s="456"/>
      <c r="O910" s="456"/>
      <c r="P910" s="456"/>
      <c r="Q910" s="456"/>
      <c r="R910" s="456"/>
      <c r="S910" s="456"/>
      <c r="T910" s="456"/>
      <c r="U910" s="456"/>
      <c r="V910" s="456"/>
      <c r="W910" s="456"/>
      <c r="X910" s="456"/>
      <c r="Y910" s="456"/>
      <c r="Z910" s="456"/>
    </row>
    <row r="911" spans="1:26" ht="11.25" customHeight="1">
      <c r="A911" s="456"/>
      <c r="B911" s="456"/>
      <c r="C911" s="456"/>
      <c r="D911" s="456"/>
      <c r="E911" s="456"/>
      <c r="F911" s="456"/>
      <c r="G911" s="456"/>
      <c r="H911" s="456"/>
      <c r="I911" s="456"/>
      <c r="J911" s="456"/>
      <c r="K911" s="456"/>
      <c r="L911" s="456"/>
      <c r="M911" s="456"/>
      <c r="N911" s="456"/>
      <c r="O911" s="456"/>
      <c r="P911" s="456"/>
      <c r="Q911" s="456"/>
      <c r="R911" s="456"/>
      <c r="S911" s="456"/>
      <c r="T911" s="456"/>
      <c r="U911" s="456"/>
      <c r="V911" s="456"/>
      <c r="W911" s="456"/>
      <c r="X911" s="456"/>
      <c r="Y911" s="456"/>
      <c r="Z911" s="456"/>
    </row>
    <row r="912" spans="1:26" ht="11.25" customHeight="1">
      <c r="A912" s="456"/>
      <c r="B912" s="456"/>
      <c r="C912" s="456"/>
      <c r="D912" s="456"/>
      <c r="E912" s="456"/>
      <c r="F912" s="456"/>
      <c r="G912" s="456"/>
      <c r="H912" s="456"/>
      <c r="I912" s="456"/>
      <c r="J912" s="456"/>
      <c r="K912" s="456"/>
      <c r="L912" s="456"/>
      <c r="M912" s="456"/>
      <c r="N912" s="456"/>
      <c r="O912" s="456"/>
      <c r="P912" s="456"/>
      <c r="Q912" s="456"/>
      <c r="R912" s="456"/>
      <c r="S912" s="456"/>
      <c r="T912" s="456"/>
      <c r="U912" s="456"/>
      <c r="V912" s="456"/>
      <c r="W912" s="456"/>
      <c r="X912" s="456"/>
      <c r="Y912" s="456"/>
      <c r="Z912" s="456"/>
    </row>
    <row r="913" spans="1:26" ht="11.25" customHeight="1">
      <c r="A913" s="456"/>
      <c r="B913" s="456"/>
      <c r="C913" s="456"/>
      <c r="D913" s="456"/>
      <c r="E913" s="456"/>
      <c r="F913" s="456"/>
      <c r="G913" s="456"/>
      <c r="H913" s="456"/>
      <c r="I913" s="456"/>
      <c r="J913" s="456"/>
      <c r="K913" s="456"/>
      <c r="L913" s="456"/>
      <c r="M913" s="456"/>
      <c r="N913" s="456"/>
      <c r="O913" s="456"/>
      <c r="P913" s="456"/>
      <c r="Q913" s="456"/>
      <c r="R913" s="456"/>
      <c r="S913" s="456"/>
      <c r="T913" s="456"/>
      <c r="U913" s="456"/>
      <c r="V913" s="456"/>
      <c r="W913" s="456"/>
      <c r="X913" s="456"/>
      <c r="Y913" s="456"/>
      <c r="Z913" s="456"/>
    </row>
    <row r="914" spans="1:26" ht="11.25" customHeight="1">
      <c r="A914" s="456"/>
      <c r="B914" s="456"/>
      <c r="C914" s="456"/>
      <c r="D914" s="456"/>
      <c r="E914" s="456"/>
      <c r="F914" s="456"/>
      <c r="G914" s="456"/>
      <c r="H914" s="456"/>
      <c r="I914" s="456"/>
      <c r="J914" s="456"/>
      <c r="K914" s="456"/>
      <c r="L914" s="456"/>
      <c r="M914" s="456"/>
      <c r="N914" s="456"/>
      <c r="O914" s="456"/>
      <c r="P914" s="456"/>
      <c r="Q914" s="456"/>
      <c r="R914" s="456"/>
      <c r="S914" s="456"/>
      <c r="T914" s="456"/>
      <c r="U914" s="456"/>
      <c r="V914" s="456"/>
      <c r="W914" s="456"/>
      <c r="X914" s="456"/>
      <c r="Y914" s="456"/>
      <c r="Z914" s="456"/>
    </row>
    <row r="915" spans="1:26" ht="11.25" customHeight="1">
      <c r="A915" s="456"/>
      <c r="B915" s="456"/>
      <c r="C915" s="456"/>
      <c r="D915" s="456"/>
      <c r="E915" s="456"/>
      <c r="F915" s="456"/>
      <c r="G915" s="456"/>
      <c r="H915" s="456"/>
      <c r="I915" s="456"/>
      <c r="J915" s="456"/>
      <c r="K915" s="456"/>
      <c r="L915" s="456"/>
      <c r="M915" s="456"/>
      <c r="N915" s="456"/>
      <c r="O915" s="456"/>
      <c r="P915" s="456"/>
      <c r="Q915" s="456"/>
      <c r="R915" s="456"/>
      <c r="S915" s="456"/>
      <c r="T915" s="456"/>
      <c r="U915" s="456"/>
      <c r="V915" s="456"/>
      <c r="W915" s="456"/>
      <c r="X915" s="456"/>
      <c r="Y915" s="456"/>
      <c r="Z915" s="456"/>
    </row>
    <row r="916" spans="1:26" ht="11.25" customHeight="1">
      <c r="A916" s="456"/>
      <c r="B916" s="456"/>
      <c r="C916" s="456"/>
      <c r="D916" s="456"/>
      <c r="E916" s="456"/>
      <c r="F916" s="456"/>
      <c r="G916" s="456"/>
      <c r="H916" s="456"/>
      <c r="I916" s="456"/>
      <c r="J916" s="456"/>
      <c r="K916" s="456"/>
      <c r="L916" s="456"/>
      <c r="M916" s="456"/>
      <c r="N916" s="456"/>
      <c r="O916" s="456"/>
      <c r="P916" s="456"/>
      <c r="Q916" s="456"/>
      <c r="R916" s="456"/>
      <c r="S916" s="456"/>
      <c r="T916" s="456"/>
      <c r="U916" s="456"/>
      <c r="V916" s="456"/>
      <c r="W916" s="456"/>
      <c r="X916" s="456"/>
      <c r="Y916" s="456"/>
      <c r="Z916" s="456"/>
    </row>
    <row r="917" spans="1:26" ht="11.25" customHeight="1">
      <c r="A917" s="456"/>
      <c r="B917" s="456"/>
      <c r="C917" s="456"/>
      <c r="D917" s="456"/>
      <c r="E917" s="456"/>
      <c r="F917" s="456"/>
      <c r="G917" s="456"/>
      <c r="H917" s="456"/>
      <c r="I917" s="456"/>
      <c r="J917" s="456"/>
      <c r="K917" s="456"/>
      <c r="L917" s="456"/>
      <c r="M917" s="456"/>
      <c r="N917" s="456"/>
      <c r="O917" s="456"/>
      <c r="P917" s="456"/>
      <c r="Q917" s="456"/>
      <c r="R917" s="456"/>
      <c r="S917" s="456"/>
      <c r="T917" s="456"/>
      <c r="U917" s="456"/>
      <c r="V917" s="456"/>
      <c r="W917" s="456"/>
      <c r="X917" s="456"/>
      <c r="Y917" s="456"/>
      <c r="Z917" s="456"/>
    </row>
    <row r="918" spans="1:26" ht="11.25" customHeight="1">
      <c r="A918" s="456"/>
      <c r="B918" s="456"/>
      <c r="C918" s="456"/>
      <c r="D918" s="456"/>
      <c r="E918" s="456"/>
      <c r="F918" s="456"/>
      <c r="G918" s="456"/>
      <c r="H918" s="456"/>
      <c r="I918" s="456"/>
      <c r="J918" s="456"/>
      <c r="K918" s="456"/>
      <c r="L918" s="456"/>
      <c r="M918" s="456"/>
      <c r="N918" s="456"/>
      <c r="O918" s="456"/>
      <c r="P918" s="456"/>
      <c r="Q918" s="456"/>
      <c r="R918" s="456"/>
      <c r="S918" s="456"/>
      <c r="T918" s="456"/>
      <c r="U918" s="456"/>
      <c r="V918" s="456"/>
      <c r="W918" s="456"/>
      <c r="X918" s="456"/>
      <c r="Y918" s="456"/>
      <c r="Z918" s="456"/>
    </row>
    <row r="919" spans="1:26" ht="11.25" customHeight="1">
      <c r="A919" s="456"/>
      <c r="B919" s="456"/>
      <c r="C919" s="456"/>
      <c r="D919" s="456"/>
      <c r="E919" s="456"/>
      <c r="F919" s="456"/>
      <c r="G919" s="456"/>
      <c r="H919" s="456"/>
      <c r="I919" s="456"/>
      <c r="J919" s="456"/>
      <c r="K919" s="456"/>
      <c r="L919" s="456"/>
      <c r="M919" s="456"/>
      <c r="N919" s="456"/>
      <c r="O919" s="456"/>
      <c r="P919" s="456"/>
      <c r="Q919" s="456"/>
      <c r="R919" s="456"/>
      <c r="S919" s="456"/>
      <c r="T919" s="456"/>
      <c r="U919" s="456"/>
      <c r="V919" s="456"/>
      <c r="W919" s="456"/>
      <c r="X919" s="456"/>
      <c r="Y919" s="456"/>
      <c r="Z919" s="456"/>
    </row>
    <row r="920" spans="1:26" ht="11.25" customHeight="1">
      <c r="A920" s="456"/>
      <c r="B920" s="456"/>
      <c r="C920" s="456"/>
      <c r="D920" s="456"/>
      <c r="E920" s="456"/>
      <c r="F920" s="456"/>
      <c r="G920" s="456"/>
      <c r="H920" s="456"/>
      <c r="I920" s="456"/>
      <c r="J920" s="456"/>
      <c r="K920" s="456"/>
      <c r="L920" s="456"/>
      <c r="M920" s="456"/>
      <c r="N920" s="456"/>
      <c r="O920" s="456"/>
      <c r="P920" s="456"/>
      <c r="Q920" s="456"/>
      <c r="R920" s="456"/>
      <c r="S920" s="456"/>
      <c r="T920" s="456"/>
      <c r="U920" s="456"/>
      <c r="V920" s="456"/>
      <c r="W920" s="456"/>
      <c r="X920" s="456"/>
      <c r="Y920" s="456"/>
      <c r="Z920" s="456"/>
    </row>
    <row r="921" spans="1:26" ht="11.25" customHeight="1">
      <c r="A921" s="456"/>
      <c r="B921" s="456"/>
      <c r="C921" s="456"/>
      <c r="D921" s="456"/>
      <c r="E921" s="456"/>
      <c r="F921" s="456"/>
      <c r="G921" s="456"/>
      <c r="H921" s="456"/>
      <c r="I921" s="456"/>
      <c r="J921" s="456"/>
      <c r="K921" s="456"/>
      <c r="L921" s="456"/>
      <c r="M921" s="456"/>
      <c r="N921" s="456"/>
      <c r="O921" s="456"/>
      <c r="P921" s="456"/>
      <c r="Q921" s="456"/>
      <c r="R921" s="456"/>
      <c r="S921" s="456"/>
      <c r="T921" s="456"/>
      <c r="U921" s="456"/>
      <c r="V921" s="456"/>
      <c r="W921" s="456"/>
      <c r="X921" s="456"/>
      <c r="Y921" s="456"/>
      <c r="Z921" s="456"/>
    </row>
    <row r="922" spans="1:26" ht="11.25" customHeight="1">
      <c r="A922" s="456"/>
      <c r="B922" s="456"/>
      <c r="C922" s="456"/>
      <c r="D922" s="456"/>
      <c r="E922" s="456"/>
      <c r="F922" s="456"/>
      <c r="G922" s="456"/>
      <c r="H922" s="456"/>
      <c r="I922" s="456"/>
      <c r="J922" s="456"/>
      <c r="K922" s="456"/>
      <c r="L922" s="456"/>
      <c r="M922" s="456"/>
      <c r="N922" s="456"/>
      <c r="O922" s="456"/>
      <c r="P922" s="456"/>
      <c r="Q922" s="456"/>
      <c r="R922" s="456"/>
      <c r="S922" s="456"/>
      <c r="T922" s="456"/>
      <c r="U922" s="456"/>
      <c r="V922" s="456"/>
      <c r="W922" s="456"/>
      <c r="X922" s="456"/>
      <c r="Y922" s="456"/>
      <c r="Z922" s="456"/>
    </row>
    <row r="923" spans="1:26" ht="11.25" customHeight="1">
      <c r="A923" s="456"/>
      <c r="B923" s="456"/>
      <c r="C923" s="456"/>
      <c r="D923" s="456"/>
      <c r="E923" s="456"/>
      <c r="F923" s="456"/>
      <c r="G923" s="456"/>
      <c r="H923" s="456"/>
      <c r="I923" s="456"/>
      <c r="J923" s="456"/>
      <c r="K923" s="456"/>
      <c r="L923" s="456"/>
      <c r="M923" s="456"/>
      <c r="N923" s="456"/>
      <c r="O923" s="456"/>
      <c r="P923" s="456"/>
      <c r="Q923" s="456"/>
      <c r="R923" s="456"/>
      <c r="S923" s="456"/>
      <c r="T923" s="456"/>
      <c r="U923" s="456"/>
      <c r="V923" s="456"/>
      <c r="W923" s="456"/>
      <c r="X923" s="456"/>
      <c r="Y923" s="456"/>
      <c r="Z923" s="456"/>
    </row>
    <row r="924" spans="1:26" ht="11.25" customHeight="1">
      <c r="A924" s="456"/>
      <c r="B924" s="456"/>
      <c r="C924" s="456"/>
      <c r="D924" s="456"/>
      <c r="E924" s="456"/>
      <c r="F924" s="456"/>
      <c r="G924" s="456"/>
      <c r="H924" s="456"/>
      <c r="I924" s="456"/>
      <c r="J924" s="456"/>
      <c r="K924" s="456"/>
      <c r="L924" s="456"/>
      <c r="M924" s="456"/>
      <c r="N924" s="456"/>
      <c r="O924" s="456"/>
      <c r="P924" s="456"/>
      <c r="Q924" s="456"/>
      <c r="R924" s="456"/>
      <c r="S924" s="456"/>
      <c r="T924" s="456"/>
      <c r="U924" s="456"/>
      <c r="V924" s="456"/>
      <c r="W924" s="456"/>
      <c r="X924" s="456"/>
      <c r="Y924" s="456"/>
      <c r="Z924" s="456"/>
    </row>
    <row r="925" spans="1:26" ht="11.25" customHeight="1">
      <c r="A925" s="456"/>
      <c r="B925" s="456"/>
      <c r="C925" s="456"/>
      <c r="D925" s="456"/>
      <c r="E925" s="456"/>
      <c r="F925" s="456"/>
      <c r="G925" s="456"/>
      <c r="H925" s="456"/>
      <c r="I925" s="456"/>
      <c r="J925" s="456"/>
      <c r="K925" s="456"/>
      <c r="L925" s="456"/>
      <c r="M925" s="456"/>
      <c r="N925" s="456"/>
      <c r="O925" s="456"/>
      <c r="P925" s="456"/>
      <c r="Q925" s="456"/>
      <c r="R925" s="456"/>
      <c r="S925" s="456"/>
      <c r="T925" s="456"/>
      <c r="U925" s="456"/>
      <c r="V925" s="456"/>
      <c r="W925" s="456"/>
      <c r="X925" s="456"/>
      <c r="Y925" s="456"/>
      <c r="Z925" s="456"/>
    </row>
    <row r="926" spans="1:26" ht="11.25" customHeight="1">
      <c r="A926" s="456"/>
      <c r="B926" s="456"/>
      <c r="C926" s="456"/>
      <c r="D926" s="456"/>
      <c r="E926" s="456"/>
      <c r="F926" s="456"/>
      <c r="G926" s="456"/>
      <c r="H926" s="456"/>
      <c r="I926" s="456"/>
      <c r="J926" s="456"/>
      <c r="K926" s="456"/>
      <c r="L926" s="456"/>
      <c r="M926" s="456"/>
      <c r="N926" s="456"/>
      <c r="O926" s="456"/>
      <c r="P926" s="456"/>
      <c r="Q926" s="456"/>
      <c r="R926" s="456"/>
      <c r="S926" s="456"/>
      <c r="T926" s="456"/>
      <c r="U926" s="456"/>
      <c r="V926" s="456"/>
      <c r="W926" s="456"/>
      <c r="X926" s="456"/>
      <c r="Y926" s="456"/>
      <c r="Z926" s="456"/>
    </row>
    <row r="927" spans="1:26" ht="11.25" customHeight="1">
      <c r="A927" s="456"/>
      <c r="B927" s="456"/>
      <c r="C927" s="456"/>
      <c r="D927" s="456"/>
      <c r="E927" s="456"/>
      <c r="F927" s="456"/>
      <c r="G927" s="456"/>
      <c r="H927" s="456"/>
      <c r="I927" s="456"/>
      <c r="J927" s="456"/>
      <c r="K927" s="456"/>
      <c r="L927" s="456"/>
      <c r="M927" s="456"/>
      <c r="N927" s="456"/>
      <c r="O927" s="456"/>
      <c r="P927" s="456"/>
      <c r="Q927" s="456"/>
      <c r="R927" s="456"/>
      <c r="S927" s="456"/>
      <c r="T927" s="456"/>
      <c r="U927" s="456"/>
      <c r="V927" s="456"/>
      <c r="W927" s="456"/>
      <c r="X927" s="456"/>
      <c r="Y927" s="456"/>
      <c r="Z927" s="456"/>
    </row>
    <row r="928" spans="1:26" ht="11.25" customHeight="1">
      <c r="A928" s="456"/>
      <c r="B928" s="456"/>
      <c r="C928" s="456"/>
      <c r="D928" s="456"/>
      <c r="E928" s="456"/>
      <c r="F928" s="456"/>
      <c r="G928" s="456"/>
      <c r="H928" s="456"/>
      <c r="I928" s="456"/>
      <c r="J928" s="456"/>
      <c r="K928" s="456"/>
      <c r="L928" s="456"/>
      <c r="M928" s="456"/>
      <c r="N928" s="456"/>
      <c r="O928" s="456"/>
      <c r="P928" s="456"/>
      <c r="Q928" s="456"/>
      <c r="R928" s="456"/>
      <c r="S928" s="456"/>
      <c r="T928" s="456"/>
      <c r="U928" s="456"/>
      <c r="V928" s="456"/>
      <c r="W928" s="456"/>
      <c r="X928" s="456"/>
      <c r="Y928" s="456"/>
      <c r="Z928" s="456"/>
    </row>
    <row r="929" spans="1:26" ht="11.25" customHeight="1">
      <c r="A929" s="456"/>
      <c r="B929" s="456"/>
      <c r="C929" s="456"/>
      <c r="D929" s="456"/>
      <c r="E929" s="456"/>
      <c r="F929" s="456"/>
      <c r="G929" s="456"/>
      <c r="H929" s="456"/>
      <c r="I929" s="456"/>
      <c r="J929" s="456"/>
      <c r="K929" s="456"/>
      <c r="L929" s="456"/>
      <c r="M929" s="456"/>
      <c r="N929" s="456"/>
      <c r="O929" s="456"/>
      <c r="P929" s="456"/>
      <c r="Q929" s="456"/>
      <c r="R929" s="456"/>
      <c r="S929" s="456"/>
      <c r="T929" s="456"/>
      <c r="U929" s="456"/>
      <c r="V929" s="456"/>
      <c r="W929" s="456"/>
      <c r="X929" s="456"/>
      <c r="Y929" s="456"/>
      <c r="Z929" s="456"/>
    </row>
    <row r="930" spans="1:26" ht="11.25" customHeight="1">
      <c r="A930" s="456"/>
      <c r="B930" s="456"/>
      <c r="C930" s="456"/>
      <c r="D930" s="456"/>
      <c r="E930" s="456"/>
      <c r="F930" s="456"/>
      <c r="G930" s="456"/>
      <c r="H930" s="456"/>
      <c r="I930" s="456"/>
      <c r="J930" s="456"/>
      <c r="K930" s="456"/>
      <c r="L930" s="456"/>
      <c r="M930" s="456"/>
      <c r="N930" s="456"/>
      <c r="O930" s="456"/>
      <c r="P930" s="456"/>
      <c r="Q930" s="456"/>
      <c r="R930" s="456"/>
      <c r="S930" s="456"/>
      <c r="T930" s="456"/>
      <c r="U930" s="456"/>
      <c r="V930" s="456"/>
      <c r="W930" s="456"/>
      <c r="X930" s="456"/>
      <c r="Y930" s="456"/>
      <c r="Z930" s="456"/>
    </row>
    <row r="931" spans="1:26" ht="11.25" customHeight="1">
      <c r="A931" s="456"/>
      <c r="B931" s="456"/>
      <c r="C931" s="456"/>
      <c r="D931" s="456"/>
      <c r="E931" s="456"/>
      <c r="F931" s="456"/>
      <c r="G931" s="456"/>
      <c r="H931" s="456"/>
      <c r="I931" s="456"/>
      <c r="J931" s="456"/>
      <c r="K931" s="456"/>
      <c r="L931" s="456"/>
      <c r="M931" s="456"/>
      <c r="N931" s="456"/>
      <c r="O931" s="456"/>
      <c r="P931" s="456"/>
      <c r="Q931" s="456"/>
      <c r="R931" s="456"/>
      <c r="S931" s="456"/>
      <c r="T931" s="456"/>
      <c r="U931" s="456"/>
      <c r="V931" s="456"/>
      <c r="W931" s="456"/>
      <c r="X931" s="456"/>
      <c r="Y931" s="456"/>
      <c r="Z931" s="456"/>
    </row>
    <row r="932" spans="1:26" ht="11.25" customHeight="1">
      <c r="A932" s="456"/>
      <c r="B932" s="456"/>
      <c r="C932" s="456"/>
      <c r="D932" s="456"/>
      <c r="E932" s="456"/>
      <c r="F932" s="456"/>
      <c r="G932" s="456"/>
      <c r="H932" s="456"/>
      <c r="I932" s="456"/>
      <c r="J932" s="456"/>
      <c r="K932" s="456"/>
      <c r="L932" s="456"/>
      <c r="M932" s="456"/>
      <c r="N932" s="456"/>
      <c r="O932" s="456"/>
      <c r="P932" s="456"/>
      <c r="Q932" s="456"/>
      <c r="R932" s="456"/>
      <c r="S932" s="456"/>
      <c r="T932" s="456"/>
      <c r="U932" s="456"/>
      <c r="V932" s="456"/>
      <c r="W932" s="456"/>
      <c r="X932" s="456"/>
      <c r="Y932" s="456"/>
      <c r="Z932" s="456"/>
    </row>
    <row r="933" spans="1:26" ht="11.25" customHeight="1">
      <c r="A933" s="456"/>
      <c r="B933" s="456"/>
      <c r="C933" s="456"/>
      <c r="D933" s="456"/>
      <c r="E933" s="456"/>
      <c r="F933" s="456"/>
      <c r="G933" s="456"/>
      <c r="H933" s="456"/>
      <c r="I933" s="456"/>
      <c r="J933" s="456"/>
      <c r="K933" s="456"/>
      <c r="L933" s="456"/>
      <c r="M933" s="456"/>
      <c r="N933" s="456"/>
      <c r="O933" s="456"/>
      <c r="P933" s="456"/>
      <c r="Q933" s="456"/>
      <c r="R933" s="456"/>
      <c r="S933" s="456"/>
      <c r="T933" s="456"/>
      <c r="U933" s="456"/>
      <c r="V933" s="456"/>
      <c r="W933" s="456"/>
      <c r="X933" s="456"/>
      <c r="Y933" s="456"/>
      <c r="Z933" s="456"/>
    </row>
    <row r="934" spans="1:26" ht="11.25" customHeight="1">
      <c r="A934" s="456"/>
      <c r="B934" s="456"/>
      <c r="C934" s="456"/>
      <c r="D934" s="456"/>
      <c r="E934" s="456"/>
      <c r="F934" s="456"/>
      <c r="G934" s="456"/>
      <c r="H934" s="456"/>
      <c r="I934" s="456"/>
      <c r="J934" s="456"/>
      <c r="K934" s="456"/>
      <c r="L934" s="456"/>
      <c r="M934" s="456"/>
      <c r="N934" s="456"/>
      <c r="O934" s="456"/>
      <c r="P934" s="456"/>
      <c r="Q934" s="456"/>
      <c r="R934" s="456"/>
      <c r="S934" s="456"/>
      <c r="T934" s="456"/>
      <c r="U934" s="456"/>
      <c r="V934" s="456"/>
      <c r="W934" s="456"/>
      <c r="X934" s="456"/>
      <c r="Y934" s="456"/>
      <c r="Z934" s="456"/>
    </row>
    <row r="935" spans="1:26" ht="11.25" customHeight="1">
      <c r="A935" s="456"/>
      <c r="B935" s="456"/>
      <c r="C935" s="456"/>
      <c r="D935" s="456"/>
      <c r="E935" s="456"/>
      <c r="F935" s="456"/>
      <c r="G935" s="456"/>
      <c r="H935" s="456"/>
      <c r="I935" s="456"/>
      <c r="J935" s="456"/>
      <c r="K935" s="456"/>
      <c r="L935" s="456"/>
      <c r="M935" s="456"/>
      <c r="N935" s="456"/>
      <c r="O935" s="456"/>
      <c r="P935" s="456"/>
      <c r="Q935" s="456"/>
      <c r="R935" s="456"/>
      <c r="S935" s="456"/>
      <c r="T935" s="456"/>
      <c r="U935" s="456"/>
      <c r="V935" s="456"/>
      <c r="W935" s="456"/>
      <c r="X935" s="456"/>
      <c r="Y935" s="456"/>
      <c r="Z935" s="456"/>
    </row>
    <row r="936" spans="1:26" ht="11.25" customHeight="1">
      <c r="A936" s="456"/>
      <c r="B936" s="456"/>
      <c r="C936" s="456"/>
      <c r="D936" s="456"/>
      <c r="E936" s="456"/>
      <c r="F936" s="456"/>
      <c r="G936" s="456"/>
      <c r="H936" s="456"/>
      <c r="I936" s="456"/>
      <c r="J936" s="456"/>
      <c r="K936" s="456"/>
      <c r="L936" s="456"/>
      <c r="M936" s="456"/>
      <c r="N936" s="456"/>
      <c r="O936" s="456"/>
      <c r="P936" s="456"/>
      <c r="Q936" s="456"/>
      <c r="R936" s="456"/>
      <c r="S936" s="456"/>
      <c r="T936" s="456"/>
      <c r="U936" s="456"/>
      <c r="V936" s="456"/>
      <c r="W936" s="456"/>
      <c r="X936" s="456"/>
      <c r="Y936" s="456"/>
      <c r="Z936" s="456"/>
    </row>
    <row r="937" spans="1:26" ht="11.25" customHeight="1">
      <c r="A937" s="456"/>
      <c r="B937" s="456"/>
      <c r="C937" s="456"/>
      <c r="D937" s="456"/>
      <c r="E937" s="456"/>
      <c r="F937" s="456"/>
      <c r="G937" s="456"/>
      <c r="H937" s="456"/>
      <c r="I937" s="456"/>
      <c r="J937" s="456"/>
      <c r="K937" s="456"/>
      <c r="L937" s="456"/>
      <c r="M937" s="456"/>
      <c r="N937" s="456"/>
      <c r="O937" s="456"/>
      <c r="P937" s="456"/>
      <c r="Q937" s="456"/>
      <c r="R937" s="456"/>
      <c r="S937" s="456"/>
      <c r="T937" s="456"/>
      <c r="U937" s="456"/>
      <c r="V937" s="456"/>
      <c r="W937" s="456"/>
      <c r="X937" s="456"/>
      <c r="Y937" s="456"/>
      <c r="Z937" s="456"/>
    </row>
    <row r="938" spans="1:26" ht="11.25" customHeight="1">
      <c r="A938" s="456"/>
      <c r="B938" s="456"/>
      <c r="C938" s="456"/>
      <c r="D938" s="456"/>
      <c r="E938" s="456"/>
      <c r="F938" s="456"/>
      <c r="G938" s="456"/>
      <c r="H938" s="456"/>
      <c r="I938" s="456"/>
      <c r="J938" s="456"/>
      <c r="K938" s="456"/>
      <c r="L938" s="456"/>
      <c r="M938" s="456"/>
      <c r="N938" s="456"/>
      <c r="O938" s="456"/>
      <c r="P938" s="456"/>
      <c r="Q938" s="456"/>
      <c r="R938" s="456"/>
      <c r="S938" s="456"/>
      <c r="T938" s="456"/>
      <c r="U938" s="456"/>
      <c r="V938" s="456"/>
      <c r="W938" s="456"/>
      <c r="X938" s="456"/>
      <c r="Y938" s="456"/>
      <c r="Z938" s="456"/>
    </row>
    <row r="939" spans="1:26" ht="11.25" customHeight="1">
      <c r="A939" s="456"/>
      <c r="B939" s="456"/>
      <c r="C939" s="456"/>
      <c r="D939" s="456"/>
      <c r="E939" s="456"/>
      <c r="F939" s="456"/>
      <c r="G939" s="456"/>
      <c r="H939" s="456"/>
      <c r="I939" s="456"/>
      <c r="J939" s="456"/>
      <c r="K939" s="456"/>
      <c r="L939" s="456"/>
      <c r="M939" s="456"/>
      <c r="N939" s="456"/>
      <c r="O939" s="456"/>
      <c r="P939" s="456"/>
      <c r="Q939" s="456"/>
      <c r="R939" s="456"/>
      <c r="S939" s="456"/>
      <c r="T939" s="456"/>
      <c r="U939" s="456"/>
      <c r="V939" s="456"/>
      <c r="W939" s="456"/>
      <c r="X939" s="456"/>
      <c r="Y939" s="456"/>
      <c r="Z939" s="456"/>
    </row>
    <row r="940" spans="1:26" ht="11.25" customHeight="1">
      <c r="A940" s="456"/>
      <c r="B940" s="456"/>
      <c r="C940" s="456"/>
      <c r="D940" s="456"/>
      <c r="E940" s="456"/>
      <c r="F940" s="456"/>
      <c r="G940" s="456"/>
      <c r="H940" s="456"/>
      <c r="I940" s="456"/>
      <c r="J940" s="456"/>
      <c r="K940" s="456"/>
      <c r="L940" s="456"/>
      <c r="M940" s="456"/>
      <c r="N940" s="456"/>
      <c r="O940" s="456"/>
      <c r="P940" s="456"/>
      <c r="Q940" s="456"/>
      <c r="R940" s="456"/>
      <c r="S940" s="456"/>
      <c r="T940" s="456"/>
      <c r="U940" s="456"/>
      <c r="V940" s="456"/>
      <c r="W940" s="456"/>
      <c r="X940" s="456"/>
      <c r="Y940" s="456"/>
      <c r="Z940" s="456"/>
    </row>
    <row r="941" spans="1:26" ht="11.25" customHeight="1">
      <c r="A941" s="456"/>
      <c r="B941" s="456"/>
      <c r="C941" s="456"/>
      <c r="D941" s="456"/>
      <c r="E941" s="456"/>
      <c r="F941" s="456"/>
      <c r="G941" s="456"/>
      <c r="H941" s="456"/>
      <c r="I941" s="456"/>
      <c r="J941" s="456"/>
      <c r="K941" s="456"/>
      <c r="L941" s="456"/>
      <c r="M941" s="456"/>
      <c r="N941" s="456"/>
      <c r="O941" s="456"/>
      <c r="P941" s="456"/>
      <c r="Q941" s="456"/>
      <c r="R941" s="456"/>
      <c r="S941" s="456"/>
      <c r="T941" s="456"/>
      <c r="U941" s="456"/>
      <c r="V941" s="456"/>
      <c r="W941" s="456"/>
      <c r="X941" s="456"/>
      <c r="Y941" s="456"/>
      <c r="Z941" s="456"/>
    </row>
    <row r="942" spans="1:26" ht="11.25" customHeight="1">
      <c r="A942" s="456"/>
      <c r="B942" s="456"/>
      <c r="C942" s="456"/>
      <c r="D942" s="456"/>
      <c r="E942" s="456"/>
      <c r="F942" s="456"/>
      <c r="G942" s="456"/>
      <c r="H942" s="456"/>
      <c r="I942" s="456"/>
      <c r="J942" s="456"/>
      <c r="K942" s="456"/>
      <c r="L942" s="456"/>
      <c r="M942" s="456"/>
      <c r="N942" s="456"/>
      <c r="O942" s="456"/>
      <c r="P942" s="456"/>
      <c r="Q942" s="456"/>
      <c r="R942" s="456"/>
      <c r="S942" s="456"/>
      <c r="T942" s="456"/>
      <c r="U942" s="456"/>
      <c r="V942" s="456"/>
      <c r="W942" s="456"/>
      <c r="X942" s="456"/>
      <c r="Y942" s="456"/>
      <c r="Z942" s="456"/>
    </row>
    <row r="943" spans="1:26" ht="11.25" customHeight="1">
      <c r="A943" s="456"/>
      <c r="B943" s="456"/>
      <c r="C943" s="456"/>
      <c r="D943" s="456"/>
      <c r="E943" s="456"/>
      <c r="F943" s="456"/>
      <c r="G943" s="456"/>
      <c r="H943" s="456"/>
      <c r="I943" s="456"/>
      <c r="J943" s="456"/>
      <c r="K943" s="456"/>
      <c r="L943" s="456"/>
      <c r="M943" s="456"/>
      <c r="N943" s="456"/>
      <c r="O943" s="456"/>
      <c r="P943" s="456"/>
      <c r="Q943" s="456"/>
      <c r="R943" s="456"/>
      <c r="S943" s="456"/>
      <c r="T943" s="456"/>
      <c r="U943" s="456"/>
      <c r="V943" s="456"/>
      <c r="W943" s="456"/>
      <c r="X943" s="456"/>
      <c r="Y943" s="456"/>
      <c r="Z943" s="456"/>
    </row>
    <row r="944" spans="1:26" ht="11.25" customHeight="1">
      <c r="A944" s="456"/>
      <c r="B944" s="456"/>
      <c r="C944" s="456"/>
      <c r="D944" s="456"/>
      <c r="E944" s="456"/>
      <c r="F944" s="456"/>
      <c r="G944" s="456"/>
      <c r="H944" s="456"/>
      <c r="I944" s="456"/>
      <c r="J944" s="456"/>
      <c r="K944" s="456"/>
      <c r="L944" s="456"/>
      <c r="M944" s="456"/>
      <c r="N944" s="456"/>
      <c r="O944" s="456"/>
      <c r="P944" s="456"/>
      <c r="Q944" s="456"/>
      <c r="R944" s="456"/>
      <c r="S944" s="456"/>
      <c r="T944" s="456"/>
      <c r="U944" s="456"/>
      <c r="V944" s="456"/>
      <c r="W944" s="456"/>
      <c r="X944" s="456"/>
      <c r="Y944" s="456"/>
      <c r="Z944" s="456"/>
    </row>
    <row r="945" spans="1:26" ht="11.25" customHeight="1">
      <c r="A945" s="456"/>
      <c r="B945" s="456"/>
      <c r="C945" s="456"/>
      <c r="D945" s="456"/>
      <c r="E945" s="456"/>
      <c r="F945" s="456"/>
      <c r="G945" s="456"/>
      <c r="H945" s="456"/>
      <c r="I945" s="456"/>
      <c r="J945" s="456"/>
      <c r="K945" s="456"/>
      <c r="L945" s="456"/>
      <c r="M945" s="456"/>
      <c r="N945" s="456"/>
      <c r="O945" s="456"/>
      <c r="P945" s="456"/>
      <c r="Q945" s="456"/>
      <c r="R945" s="456"/>
      <c r="S945" s="456"/>
      <c r="T945" s="456"/>
      <c r="U945" s="456"/>
      <c r="V945" s="456"/>
      <c r="W945" s="456"/>
      <c r="X945" s="456"/>
      <c r="Y945" s="456"/>
      <c r="Z945" s="456"/>
    </row>
    <row r="946" spans="1:26" ht="11.25" customHeight="1">
      <c r="A946" s="456"/>
      <c r="B946" s="456"/>
      <c r="C946" s="456"/>
      <c r="D946" s="456"/>
      <c r="E946" s="456"/>
      <c r="F946" s="456"/>
      <c r="G946" s="456"/>
      <c r="H946" s="456"/>
      <c r="I946" s="456"/>
      <c r="J946" s="456"/>
      <c r="K946" s="456"/>
      <c r="L946" s="456"/>
      <c r="M946" s="456"/>
      <c r="N946" s="456"/>
      <c r="O946" s="456"/>
      <c r="P946" s="456"/>
      <c r="Q946" s="456"/>
      <c r="R946" s="456"/>
      <c r="S946" s="456"/>
      <c r="T946" s="456"/>
      <c r="U946" s="456"/>
      <c r="V946" s="456"/>
      <c r="W946" s="456"/>
      <c r="X946" s="456"/>
      <c r="Y946" s="456"/>
      <c r="Z946" s="456"/>
    </row>
    <row r="947" spans="1:26" ht="11.25" customHeight="1">
      <c r="A947" s="456"/>
      <c r="B947" s="456"/>
      <c r="C947" s="456"/>
      <c r="D947" s="456"/>
      <c r="E947" s="456"/>
      <c r="F947" s="456"/>
      <c r="G947" s="456"/>
      <c r="H947" s="456"/>
      <c r="I947" s="456"/>
      <c r="J947" s="456"/>
      <c r="K947" s="456"/>
      <c r="L947" s="456"/>
      <c r="M947" s="456"/>
      <c r="N947" s="456"/>
      <c r="O947" s="456"/>
      <c r="P947" s="456"/>
      <c r="Q947" s="456"/>
      <c r="R947" s="456"/>
      <c r="S947" s="456"/>
      <c r="T947" s="456"/>
      <c r="U947" s="456"/>
      <c r="V947" s="456"/>
      <c r="W947" s="456"/>
      <c r="X947" s="456"/>
      <c r="Y947" s="456"/>
      <c r="Z947" s="456"/>
    </row>
    <row r="948" spans="1:26" ht="11.25" customHeight="1">
      <c r="A948" s="456"/>
      <c r="B948" s="456"/>
      <c r="C948" s="456"/>
      <c r="D948" s="456"/>
      <c r="E948" s="456"/>
      <c r="F948" s="456"/>
      <c r="G948" s="456"/>
      <c r="H948" s="456"/>
      <c r="I948" s="456"/>
      <c r="J948" s="456"/>
      <c r="K948" s="456"/>
      <c r="L948" s="456"/>
      <c r="M948" s="456"/>
      <c r="N948" s="456"/>
      <c r="O948" s="456"/>
      <c r="P948" s="456"/>
      <c r="Q948" s="456"/>
      <c r="R948" s="456"/>
      <c r="S948" s="456"/>
      <c r="T948" s="456"/>
      <c r="U948" s="456"/>
      <c r="V948" s="456"/>
      <c r="W948" s="456"/>
      <c r="X948" s="456"/>
      <c r="Y948" s="456"/>
      <c r="Z948" s="456"/>
    </row>
    <row r="949" spans="1:26" ht="11.25" customHeight="1">
      <c r="A949" s="456"/>
      <c r="B949" s="456"/>
      <c r="C949" s="456"/>
      <c r="D949" s="456"/>
      <c r="E949" s="456"/>
      <c r="F949" s="456"/>
      <c r="G949" s="456"/>
      <c r="H949" s="456"/>
      <c r="I949" s="456"/>
      <c r="J949" s="456"/>
      <c r="K949" s="456"/>
      <c r="L949" s="456"/>
      <c r="M949" s="456"/>
      <c r="N949" s="456"/>
      <c r="O949" s="456"/>
      <c r="P949" s="456"/>
      <c r="Q949" s="456"/>
      <c r="R949" s="456"/>
      <c r="S949" s="456"/>
      <c r="T949" s="456"/>
      <c r="U949" s="456"/>
      <c r="V949" s="456"/>
      <c r="W949" s="456"/>
      <c r="X949" s="456"/>
      <c r="Y949" s="456"/>
      <c r="Z949" s="456"/>
    </row>
    <row r="950" spans="1:26" ht="11.25" customHeight="1">
      <c r="A950" s="456"/>
      <c r="B950" s="456"/>
      <c r="C950" s="456"/>
      <c r="D950" s="456"/>
      <c r="E950" s="456"/>
      <c r="F950" s="456"/>
      <c r="G950" s="456"/>
      <c r="H950" s="456"/>
      <c r="I950" s="456"/>
      <c r="J950" s="456"/>
      <c r="K950" s="456"/>
      <c r="L950" s="456"/>
      <c r="M950" s="456"/>
      <c r="N950" s="456"/>
      <c r="O950" s="456"/>
      <c r="P950" s="456"/>
      <c r="Q950" s="456"/>
      <c r="R950" s="456"/>
      <c r="S950" s="456"/>
      <c r="T950" s="456"/>
      <c r="U950" s="456"/>
      <c r="V950" s="456"/>
      <c r="W950" s="456"/>
      <c r="X950" s="456"/>
      <c r="Y950" s="456"/>
      <c r="Z950" s="456"/>
    </row>
    <row r="951" spans="1:26" ht="11.25" customHeight="1">
      <c r="A951" s="456"/>
      <c r="B951" s="456"/>
      <c r="C951" s="456"/>
      <c r="D951" s="456"/>
      <c r="E951" s="456"/>
      <c r="F951" s="456"/>
      <c r="G951" s="456"/>
      <c r="H951" s="456"/>
      <c r="I951" s="456"/>
      <c r="J951" s="456"/>
      <c r="K951" s="456"/>
      <c r="L951" s="456"/>
      <c r="M951" s="456"/>
      <c r="N951" s="456"/>
      <c r="O951" s="456"/>
      <c r="P951" s="456"/>
      <c r="Q951" s="456"/>
      <c r="R951" s="456"/>
      <c r="S951" s="456"/>
      <c r="T951" s="456"/>
      <c r="U951" s="456"/>
      <c r="V951" s="456"/>
      <c r="W951" s="456"/>
      <c r="X951" s="456"/>
      <c r="Y951" s="456"/>
      <c r="Z951" s="456"/>
    </row>
    <row r="952" spans="1:26" ht="11.25" customHeight="1">
      <c r="A952" s="456"/>
      <c r="B952" s="456"/>
      <c r="C952" s="456"/>
      <c r="D952" s="456"/>
      <c r="E952" s="456"/>
      <c r="F952" s="456"/>
      <c r="G952" s="456"/>
      <c r="H952" s="456"/>
      <c r="I952" s="456"/>
      <c r="J952" s="456"/>
      <c r="K952" s="456"/>
      <c r="L952" s="456"/>
      <c r="M952" s="456"/>
      <c r="N952" s="456"/>
      <c r="O952" s="456"/>
      <c r="P952" s="456"/>
      <c r="Q952" s="456"/>
      <c r="R952" s="456"/>
      <c r="S952" s="456"/>
      <c r="T952" s="456"/>
      <c r="U952" s="456"/>
      <c r="V952" s="456"/>
      <c r="W952" s="456"/>
      <c r="X952" s="456"/>
      <c r="Y952" s="456"/>
      <c r="Z952" s="456"/>
    </row>
    <row r="953" spans="1:26" ht="11.25" customHeight="1">
      <c r="A953" s="456"/>
      <c r="B953" s="456"/>
      <c r="C953" s="456"/>
      <c r="D953" s="456"/>
      <c r="E953" s="456"/>
      <c r="F953" s="456"/>
      <c r="G953" s="456"/>
      <c r="H953" s="456"/>
      <c r="I953" s="456"/>
      <c r="J953" s="456"/>
      <c r="K953" s="456"/>
      <c r="L953" s="456"/>
      <c r="M953" s="456"/>
      <c r="N953" s="456"/>
      <c r="O953" s="456"/>
      <c r="P953" s="456"/>
      <c r="Q953" s="456"/>
      <c r="R953" s="456"/>
      <c r="S953" s="456"/>
      <c r="T953" s="456"/>
      <c r="U953" s="456"/>
      <c r="V953" s="456"/>
      <c r="W953" s="456"/>
      <c r="X953" s="456"/>
      <c r="Y953" s="456"/>
      <c r="Z953" s="456"/>
    </row>
    <row r="954" spans="1:26" ht="11.25" customHeight="1">
      <c r="A954" s="456"/>
      <c r="B954" s="456"/>
      <c r="C954" s="456"/>
      <c r="D954" s="456"/>
      <c r="E954" s="456"/>
      <c r="F954" s="456"/>
      <c r="G954" s="456"/>
      <c r="H954" s="456"/>
      <c r="I954" s="456"/>
      <c r="J954" s="456"/>
      <c r="K954" s="456"/>
      <c r="L954" s="456"/>
      <c r="M954" s="456"/>
      <c r="N954" s="456"/>
      <c r="O954" s="456"/>
      <c r="P954" s="456"/>
      <c r="Q954" s="456"/>
      <c r="R954" s="456"/>
      <c r="S954" s="456"/>
      <c r="T954" s="456"/>
      <c r="U954" s="456"/>
      <c r="V954" s="456"/>
      <c r="W954" s="456"/>
      <c r="X954" s="456"/>
      <c r="Y954" s="456"/>
      <c r="Z954" s="456"/>
    </row>
    <row r="955" spans="1:26" ht="11.25" customHeight="1">
      <c r="A955" s="456"/>
      <c r="B955" s="456"/>
      <c r="C955" s="456"/>
      <c r="D955" s="456"/>
      <c r="E955" s="456"/>
      <c r="F955" s="456"/>
      <c r="G955" s="456"/>
      <c r="H955" s="456"/>
      <c r="I955" s="456"/>
      <c r="J955" s="456"/>
      <c r="K955" s="456"/>
      <c r="L955" s="456"/>
      <c r="M955" s="456"/>
      <c r="N955" s="456"/>
      <c r="O955" s="456"/>
      <c r="P955" s="456"/>
      <c r="Q955" s="456"/>
      <c r="R955" s="456"/>
      <c r="S955" s="456"/>
      <c r="T955" s="456"/>
      <c r="U955" s="456"/>
      <c r="V955" s="456"/>
      <c r="W955" s="456"/>
      <c r="X955" s="456"/>
      <c r="Y955" s="456"/>
      <c r="Z955" s="456"/>
    </row>
    <row r="956" spans="1:26" ht="11.25" customHeight="1">
      <c r="A956" s="456"/>
      <c r="B956" s="456"/>
      <c r="C956" s="456"/>
      <c r="D956" s="456"/>
      <c r="E956" s="456"/>
      <c r="F956" s="456"/>
      <c r="G956" s="456"/>
      <c r="H956" s="456"/>
      <c r="I956" s="456"/>
      <c r="J956" s="456"/>
      <c r="K956" s="456"/>
      <c r="L956" s="456"/>
      <c r="M956" s="456"/>
      <c r="N956" s="456"/>
      <c r="O956" s="456"/>
      <c r="P956" s="456"/>
      <c r="Q956" s="456"/>
      <c r="R956" s="456"/>
      <c r="S956" s="456"/>
      <c r="T956" s="456"/>
      <c r="U956" s="456"/>
      <c r="V956" s="456"/>
      <c r="W956" s="456"/>
      <c r="X956" s="456"/>
      <c r="Y956" s="456"/>
      <c r="Z956" s="456"/>
    </row>
    <row r="957" spans="1:26" ht="11.25" customHeight="1">
      <c r="A957" s="456"/>
      <c r="B957" s="456"/>
      <c r="C957" s="456"/>
      <c r="D957" s="456"/>
      <c r="E957" s="456"/>
      <c r="F957" s="456"/>
      <c r="G957" s="456"/>
      <c r="H957" s="456"/>
      <c r="I957" s="456"/>
      <c r="J957" s="456"/>
      <c r="K957" s="456"/>
      <c r="L957" s="456"/>
      <c r="M957" s="456"/>
      <c r="N957" s="456"/>
      <c r="O957" s="456"/>
      <c r="P957" s="456"/>
      <c r="Q957" s="456"/>
      <c r="R957" s="456"/>
      <c r="S957" s="456"/>
      <c r="T957" s="456"/>
      <c r="U957" s="456"/>
      <c r="V957" s="456"/>
      <c r="W957" s="456"/>
      <c r="X957" s="456"/>
      <c r="Y957" s="456"/>
      <c r="Z957" s="456"/>
    </row>
    <row r="958" spans="1:26" ht="11.25" customHeight="1">
      <c r="A958" s="456"/>
      <c r="B958" s="456"/>
      <c r="C958" s="456"/>
      <c r="D958" s="456"/>
      <c r="E958" s="456"/>
      <c r="F958" s="456"/>
      <c r="G958" s="456"/>
      <c r="H958" s="456"/>
      <c r="I958" s="456"/>
      <c r="J958" s="456"/>
      <c r="K958" s="456"/>
      <c r="L958" s="456"/>
      <c r="M958" s="456"/>
      <c r="N958" s="456"/>
      <c r="O958" s="456"/>
      <c r="P958" s="456"/>
      <c r="Q958" s="456"/>
      <c r="R958" s="456"/>
      <c r="S958" s="456"/>
      <c r="T958" s="456"/>
      <c r="U958" s="456"/>
      <c r="V958" s="456"/>
      <c r="W958" s="456"/>
      <c r="X958" s="456"/>
      <c r="Y958" s="456"/>
      <c r="Z958" s="456"/>
    </row>
    <row r="959" spans="1:26" ht="11.25" customHeight="1">
      <c r="A959" s="456"/>
      <c r="B959" s="456"/>
      <c r="C959" s="456"/>
      <c r="D959" s="456"/>
      <c r="E959" s="456"/>
      <c r="F959" s="456"/>
      <c r="G959" s="456"/>
      <c r="H959" s="456"/>
      <c r="I959" s="456"/>
      <c r="J959" s="456"/>
      <c r="K959" s="456"/>
      <c r="L959" s="456"/>
      <c r="M959" s="456"/>
      <c r="N959" s="456"/>
      <c r="O959" s="456"/>
      <c r="P959" s="456"/>
      <c r="Q959" s="456"/>
      <c r="R959" s="456"/>
      <c r="S959" s="456"/>
      <c r="T959" s="456"/>
      <c r="U959" s="456"/>
      <c r="V959" s="456"/>
      <c r="W959" s="456"/>
      <c r="X959" s="456"/>
      <c r="Y959" s="456"/>
      <c r="Z959" s="456"/>
    </row>
    <row r="960" spans="1:26" ht="11.25" customHeight="1">
      <c r="A960" s="456"/>
      <c r="B960" s="456"/>
      <c r="C960" s="456"/>
      <c r="D960" s="456"/>
      <c r="E960" s="456"/>
      <c r="F960" s="456"/>
      <c r="G960" s="456"/>
      <c r="H960" s="456"/>
      <c r="I960" s="456"/>
      <c r="J960" s="456"/>
      <c r="K960" s="456"/>
      <c r="L960" s="456"/>
      <c r="M960" s="456"/>
      <c r="N960" s="456"/>
      <c r="O960" s="456"/>
      <c r="P960" s="456"/>
      <c r="Q960" s="456"/>
      <c r="R960" s="456"/>
      <c r="S960" s="456"/>
      <c r="T960" s="456"/>
      <c r="U960" s="456"/>
      <c r="V960" s="456"/>
      <c r="W960" s="456"/>
      <c r="X960" s="456"/>
      <c r="Y960" s="456"/>
      <c r="Z960" s="456"/>
    </row>
    <row r="961" spans="1:26" ht="11.25" customHeight="1">
      <c r="A961" s="456"/>
      <c r="B961" s="456"/>
      <c r="C961" s="456"/>
      <c r="D961" s="456"/>
      <c r="E961" s="456"/>
      <c r="F961" s="456"/>
      <c r="G961" s="456"/>
      <c r="H961" s="456"/>
      <c r="I961" s="456"/>
      <c r="J961" s="456"/>
      <c r="K961" s="456"/>
      <c r="L961" s="456"/>
      <c r="M961" s="456"/>
      <c r="N961" s="456"/>
      <c r="O961" s="456"/>
      <c r="P961" s="456"/>
      <c r="Q961" s="456"/>
      <c r="R961" s="456"/>
      <c r="S961" s="456"/>
      <c r="T961" s="456"/>
      <c r="U961" s="456"/>
      <c r="V961" s="456"/>
      <c r="W961" s="456"/>
      <c r="X961" s="456"/>
      <c r="Y961" s="456"/>
      <c r="Z961" s="456"/>
    </row>
    <row r="962" spans="1:26" ht="11.25" customHeight="1">
      <c r="A962" s="456"/>
      <c r="B962" s="456"/>
      <c r="C962" s="456"/>
      <c r="D962" s="456"/>
      <c r="E962" s="456"/>
      <c r="F962" s="456"/>
      <c r="G962" s="456"/>
      <c r="H962" s="456"/>
      <c r="I962" s="456"/>
      <c r="J962" s="456"/>
      <c r="K962" s="456"/>
      <c r="L962" s="456"/>
      <c r="M962" s="456"/>
      <c r="N962" s="456"/>
      <c r="O962" s="456"/>
      <c r="P962" s="456"/>
      <c r="Q962" s="456"/>
      <c r="R962" s="456"/>
      <c r="S962" s="456"/>
      <c r="T962" s="456"/>
      <c r="U962" s="456"/>
      <c r="V962" s="456"/>
      <c r="W962" s="456"/>
      <c r="X962" s="456"/>
      <c r="Y962" s="456"/>
      <c r="Z962" s="456"/>
    </row>
    <row r="963" spans="1:26" ht="11.25" customHeight="1">
      <c r="A963" s="456"/>
      <c r="B963" s="456"/>
      <c r="C963" s="456"/>
      <c r="D963" s="456"/>
      <c r="E963" s="456"/>
      <c r="F963" s="456"/>
      <c r="G963" s="456"/>
      <c r="H963" s="456"/>
      <c r="I963" s="456"/>
      <c r="J963" s="456"/>
      <c r="K963" s="456"/>
      <c r="L963" s="456"/>
      <c r="M963" s="456"/>
      <c r="N963" s="456"/>
      <c r="O963" s="456"/>
      <c r="P963" s="456"/>
      <c r="Q963" s="456"/>
      <c r="R963" s="456"/>
      <c r="S963" s="456"/>
      <c r="T963" s="456"/>
      <c r="U963" s="456"/>
      <c r="V963" s="456"/>
      <c r="W963" s="456"/>
      <c r="X963" s="456"/>
      <c r="Y963" s="456"/>
      <c r="Z963" s="456"/>
    </row>
    <row r="964" spans="1:26" ht="11.25" customHeight="1">
      <c r="A964" s="456"/>
      <c r="B964" s="456"/>
      <c r="C964" s="456"/>
      <c r="D964" s="456"/>
      <c r="E964" s="456"/>
      <c r="F964" s="456"/>
      <c r="G964" s="456"/>
      <c r="H964" s="456"/>
      <c r="I964" s="456"/>
      <c r="J964" s="456"/>
      <c r="K964" s="456"/>
      <c r="L964" s="456"/>
      <c r="M964" s="456"/>
      <c r="N964" s="456"/>
      <c r="O964" s="456"/>
      <c r="P964" s="456"/>
      <c r="Q964" s="456"/>
      <c r="R964" s="456"/>
      <c r="S964" s="456"/>
      <c r="T964" s="456"/>
      <c r="U964" s="456"/>
      <c r="V964" s="456"/>
      <c r="W964" s="456"/>
      <c r="X964" s="456"/>
      <c r="Y964" s="456"/>
      <c r="Z964" s="456"/>
    </row>
    <row r="965" spans="1:26" ht="11.25" customHeight="1">
      <c r="A965" s="456"/>
      <c r="B965" s="456"/>
      <c r="C965" s="456"/>
      <c r="D965" s="456"/>
      <c r="E965" s="456"/>
      <c r="F965" s="456"/>
      <c r="G965" s="456"/>
      <c r="H965" s="456"/>
      <c r="I965" s="456"/>
      <c r="J965" s="456"/>
      <c r="K965" s="456"/>
      <c r="L965" s="456"/>
      <c r="M965" s="456"/>
      <c r="N965" s="456"/>
      <c r="O965" s="456"/>
      <c r="P965" s="456"/>
      <c r="Q965" s="456"/>
      <c r="R965" s="456"/>
      <c r="S965" s="456"/>
      <c r="T965" s="456"/>
      <c r="U965" s="456"/>
      <c r="V965" s="456"/>
      <c r="W965" s="456"/>
      <c r="X965" s="456"/>
      <c r="Y965" s="456"/>
      <c r="Z965" s="456"/>
    </row>
    <row r="966" spans="1:26" ht="11.25" customHeight="1">
      <c r="A966" s="456"/>
      <c r="B966" s="456"/>
      <c r="C966" s="456"/>
      <c r="D966" s="456"/>
      <c r="E966" s="456"/>
      <c r="F966" s="456"/>
      <c r="G966" s="456"/>
      <c r="H966" s="456"/>
      <c r="I966" s="456"/>
      <c r="J966" s="456"/>
      <c r="K966" s="456"/>
      <c r="L966" s="456"/>
      <c r="M966" s="456"/>
      <c r="N966" s="456"/>
      <c r="O966" s="456"/>
      <c r="P966" s="456"/>
      <c r="Q966" s="456"/>
      <c r="R966" s="456"/>
      <c r="S966" s="456"/>
      <c r="T966" s="456"/>
      <c r="U966" s="456"/>
      <c r="V966" s="456"/>
      <c r="W966" s="456"/>
      <c r="X966" s="456"/>
      <c r="Y966" s="456"/>
      <c r="Z966" s="456"/>
    </row>
    <row r="967" spans="1:26" ht="11.25" customHeight="1">
      <c r="A967" s="456"/>
      <c r="B967" s="456"/>
      <c r="C967" s="456"/>
      <c r="D967" s="456"/>
      <c r="E967" s="456"/>
      <c r="F967" s="456"/>
      <c r="G967" s="456"/>
      <c r="H967" s="456"/>
      <c r="I967" s="456"/>
      <c r="J967" s="456"/>
      <c r="K967" s="456"/>
      <c r="L967" s="456"/>
      <c r="M967" s="456"/>
      <c r="N967" s="456"/>
      <c r="O967" s="456"/>
      <c r="P967" s="456"/>
      <c r="Q967" s="456"/>
      <c r="R967" s="456"/>
      <c r="S967" s="456"/>
      <c r="T967" s="456"/>
      <c r="U967" s="456"/>
      <c r="V967" s="456"/>
      <c r="W967" s="456"/>
      <c r="X967" s="456"/>
      <c r="Y967" s="456"/>
      <c r="Z967" s="456"/>
    </row>
    <row r="968" spans="1:26" ht="11.25" customHeight="1">
      <c r="A968" s="456"/>
      <c r="B968" s="456"/>
      <c r="C968" s="456"/>
      <c r="D968" s="456"/>
      <c r="E968" s="456"/>
      <c r="F968" s="456"/>
      <c r="G968" s="456"/>
      <c r="H968" s="456"/>
      <c r="I968" s="456"/>
      <c r="J968" s="456"/>
      <c r="K968" s="456"/>
      <c r="L968" s="456"/>
      <c r="M968" s="456"/>
      <c r="N968" s="456"/>
      <c r="O968" s="456"/>
      <c r="P968" s="456"/>
      <c r="Q968" s="456"/>
      <c r="R968" s="456"/>
      <c r="S968" s="456"/>
      <c r="T968" s="456"/>
      <c r="U968" s="456"/>
      <c r="V968" s="456"/>
      <c r="W968" s="456"/>
      <c r="X968" s="456"/>
      <c r="Y968" s="456"/>
      <c r="Z968" s="456"/>
    </row>
    <row r="969" spans="1:26" ht="11.25" customHeight="1">
      <c r="A969" s="456"/>
      <c r="B969" s="456"/>
      <c r="C969" s="456"/>
      <c r="D969" s="456"/>
      <c r="E969" s="456"/>
      <c r="F969" s="456"/>
      <c r="G969" s="456"/>
      <c r="H969" s="456"/>
      <c r="I969" s="456"/>
      <c r="J969" s="456"/>
      <c r="K969" s="456"/>
      <c r="L969" s="456"/>
      <c r="M969" s="456"/>
      <c r="N969" s="456"/>
      <c r="O969" s="456"/>
      <c r="P969" s="456"/>
      <c r="Q969" s="456"/>
      <c r="R969" s="456"/>
      <c r="S969" s="456"/>
      <c r="T969" s="456"/>
      <c r="U969" s="456"/>
      <c r="V969" s="456"/>
      <c r="W969" s="456"/>
      <c r="X969" s="456"/>
      <c r="Y969" s="456"/>
      <c r="Z969" s="456"/>
    </row>
    <row r="970" spans="1:26" ht="11.25" customHeight="1">
      <c r="A970" s="456"/>
      <c r="B970" s="456"/>
      <c r="C970" s="456"/>
      <c r="D970" s="456"/>
      <c r="E970" s="456"/>
      <c r="F970" s="456"/>
      <c r="G970" s="456"/>
      <c r="H970" s="456"/>
      <c r="I970" s="456"/>
      <c r="J970" s="456"/>
      <c r="K970" s="456"/>
      <c r="L970" s="456"/>
      <c r="M970" s="456"/>
      <c r="N970" s="456"/>
      <c r="O970" s="456"/>
      <c r="P970" s="456"/>
      <c r="Q970" s="456"/>
      <c r="R970" s="456"/>
      <c r="S970" s="456"/>
      <c r="T970" s="456"/>
      <c r="U970" s="456"/>
      <c r="V970" s="456"/>
      <c r="W970" s="456"/>
      <c r="X970" s="456"/>
      <c r="Y970" s="456"/>
      <c r="Z970" s="456"/>
    </row>
    <row r="971" spans="1:26" ht="11.25" customHeight="1">
      <c r="A971" s="456"/>
      <c r="B971" s="456"/>
      <c r="C971" s="456"/>
      <c r="D971" s="456"/>
      <c r="E971" s="456"/>
      <c r="F971" s="456"/>
      <c r="G971" s="456"/>
      <c r="H971" s="456"/>
      <c r="I971" s="456"/>
      <c r="J971" s="456"/>
      <c r="K971" s="456"/>
      <c r="L971" s="456"/>
      <c r="M971" s="456"/>
      <c r="N971" s="456"/>
      <c r="O971" s="456"/>
      <c r="P971" s="456"/>
      <c r="Q971" s="456"/>
      <c r="R971" s="456"/>
      <c r="S971" s="456"/>
      <c r="T971" s="456"/>
      <c r="U971" s="456"/>
      <c r="V971" s="456"/>
      <c r="W971" s="456"/>
      <c r="X971" s="456"/>
      <c r="Y971" s="456"/>
      <c r="Z971" s="456"/>
    </row>
    <row r="972" spans="1:26" ht="11.25" customHeight="1">
      <c r="A972" s="456"/>
      <c r="B972" s="456"/>
      <c r="C972" s="456"/>
      <c r="D972" s="456"/>
      <c r="E972" s="456"/>
      <c r="F972" s="456"/>
      <c r="G972" s="456"/>
      <c r="H972" s="456"/>
      <c r="I972" s="456"/>
      <c r="J972" s="456"/>
      <c r="K972" s="456"/>
      <c r="L972" s="456"/>
      <c r="M972" s="456"/>
      <c r="N972" s="456"/>
      <c r="O972" s="456"/>
      <c r="P972" s="456"/>
      <c r="Q972" s="456"/>
      <c r="R972" s="456"/>
      <c r="S972" s="456"/>
      <c r="T972" s="456"/>
      <c r="U972" s="456"/>
      <c r="V972" s="456"/>
      <c r="W972" s="456"/>
      <c r="X972" s="456"/>
      <c r="Y972" s="456"/>
      <c r="Z972" s="456"/>
    </row>
    <row r="973" spans="1:26" ht="11.25" customHeight="1">
      <c r="A973" s="456"/>
      <c r="B973" s="456"/>
      <c r="C973" s="456"/>
      <c r="D973" s="456"/>
      <c r="E973" s="456"/>
      <c r="F973" s="456"/>
      <c r="G973" s="456"/>
      <c r="H973" s="456"/>
      <c r="I973" s="456"/>
      <c r="J973" s="456"/>
      <c r="K973" s="456"/>
      <c r="L973" s="456"/>
      <c r="M973" s="456"/>
      <c r="N973" s="456"/>
      <c r="O973" s="456"/>
      <c r="P973" s="456"/>
      <c r="Q973" s="456"/>
      <c r="R973" s="456"/>
      <c r="S973" s="456"/>
      <c r="T973" s="456"/>
      <c r="U973" s="456"/>
      <c r="V973" s="456"/>
      <c r="W973" s="456"/>
      <c r="X973" s="456"/>
      <c r="Y973" s="456"/>
      <c r="Z973" s="456"/>
    </row>
    <row r="974" spans="1:26" ht="11.25" customHeight="1">
      <c r="A974" s="456"/>
      <c r="B974" s="456"/>
      <c r="C974" s="456"/>
      <c r="D974" s="456"/>
      <c r="E974" s="456"/>
      <c r="F974" s="456"/>
      <c r="G974" s="456"/>
      <c r="H974" s="456"/>
      <c r="I974" s="456"/>
      <c r="J974" s="456"/>
      <c r="K974" s="456"/>
      <c r="L974" s="456"/>
      <c r="M974" s="456"/>
      <c r="N974" s="456"/>
      <c r="O974" s="456"/>
      <c r="P974" s="456"/>
      <c r="Q974" s="456"/>
      <c r="R974" s="456"/>
      <c r="S974" s="456"/>
      <c r="T974" s="456"/>
      <c r="U974" s="456"/>
      <c r="V974" s="456"/>
      <c r="W974" s="456"/>
      <c r="X974" s="456"/>
      <c r="Y974" s="456"/>
      <c r="Z974" s="456"/>
    </row>
    <row r="975" spans="1:26" ht="11.25" customHeight="1">
      <c r="A975" s="456"/>
      <c r="B975" s="456"/>
      <c r="C975" s="456"/>
      <c r="D975" s="456"/>
      <c r="E975" s="456"/>
      <c r="F975" s="456"/>
      <c r="G975" s="456"/>
      <c r="H975" s="456"/>
      <c r="I975" s="456"/>
      <c r="J975" s="456"/>
      <c r="K975" s="456"/>
      <c r="L975" s="456"/>
      <c r="M975" s="456"/>
      <c r="N975" s="456"/>
      <c r="O975" s="456"/>
      <c r="P975" s="456"/>
      <c r="Q975" s="456"/>
      <c r="R975" s="456"/>
      <c r="S975" s="456"/>
      <c r="T975" s="456"/>
      <c r="U975" s="456"/>
      <c r="V975" s="456"/>
      <c r="W975" s="456"/>
      <c r="X975" s="456"/>
      <c r="Y975" s="456"/>
      <c r="Z975" s="456"/>
    </row>
    <row r="976" spans="1:26" ht="11.25" customHeight="1">
      <c r="A976" s="456"/>
      <c r="B976" s="456"/>
      <c r="C976" s="456"/>
      <c r="D976" s="456"/>
      <c r="E976" s="456"/>
      <c r="F976" s="456"/>
      <c r="G976" s="456"/>
      <c r="H976" s="456"/>
      <c r="I976" s="456"/>
      <c r="J976" s="456"/>
      <c r="K976" s="456"/>
      <c r="L976" s="456"/>
      <c r="M976" s="456"/>
      <c r="N976" s="456"/>
      <c r="O976" s="456"/>
      <c r="P976" s="456"/>
      <c r="Q976" s="456"/>
      <c r="R976" s="456"/>
      <c r="S976" s="456"/>
      <c r="T976" s="456"/>
      <c r="U976" s="456"/>
      <c r="V976" s="456"/>
      <c r="W976" s="456"/>
      <c r="X976" s="456"/>
      <c r="Y976" s="456"/>
      <c r="Z976" s="456"/>
    </row>
    <row r="977" spans="1:26" ht="11.25" customHeight="1">
      <c r="A977" s="456"/>
      <c r="B977" s="456"/>
      <c r="C977" s="456"/>
      <c r="D977" s="456"/>
      <c r="E977" s="456"/>
      <c r="F977" s="456"/>
      <c r="G977" s="456"/>
      <c r="H977" s="456"/>
      <c r="I977" s="456"/>
      <c r="J977" s="456"/>
      <c r="K977" s="456"/>
      <c r="L977" s="456"/>
      <c r="M977" s="456"/>
      <c r="N977" s="456"/>
      <c r="O977" s="456"/>
      <c r="P977" s="456"/>
      <c r="Q977" s="456"/>
      <c r="R977" s="456"/>
      <c r="S977" s="456"/>
      <c r="T977" s="456"/>
      <c r="U977" s="456"/>
      <c r="V977" s="456"/>
      <c r="W977" s="456"/>
      <c r="X977" s="456"/>
      <c r="Y977" s="456"/>
      <c r="Z977" s="456"/>
    </row>
    <row r="978" spans="1:26" ht="11.25" customHeight="1">
      <c r="A978" s="456"/>
      <c r="B978" s="456"/>
      <c r="C978" s="456"/>
      <c r="D978" s="456"/>
      <c r="E978" s="456"/>
      <c r="F978" s="456"/>
      <c r="G978" s="456"/>
      <c r="H978" s="456"/>
      <c r="I978" s="456"/>
      <c r="J978" s="456"/>
      <c r="K978" s="456"/>
      <c r="L978" s="456"/>
      <c r="M978" s="456"/>
      <c r="N978" s="456"/>
      <c r="O978" s="456"/>
      <c r="P978" s="456"/>
      <c r="Q978" s="456"/>
      <c r="R978" s="456"/>
      <c r="S978" s="456"/>
      <c r="T978" s="456"/>
      <c r="U978" s="456"/>
      <c r="V978" s="456"/>
      <c r="W978" s="456"/>
      <c r="X978" s="456"/>
      <c r="Y978" s="456"/>
      <c r="Z978" s="456"/>
    </row>
    <row r="979" spans="1:26" ht="11.25" customHeight="1">
      <c r="A979" s="456"/>
      <c r="B979" s="456"/>
      <c r="C979" s="456"/>
      <c r="D979" s="456"/>
      <c r="E979" s="456"/>
      <c r="F979" s="456"/>
      <c r="G979" s="456"/>
      <c r="H979" s="456"/>
      <c r="I979" s="456"/>
      <c r="J979" s="456"/>
      <c r="K979" s="456"/>
      <c r="L979" s="456"/>
      <c r="M979" s="456"/>
      <c r="N979" s="456"/>
      <c r="O979" s="456"/>
      <c r="P979" s="456"/>
      <c r="Q979" s="456"/>
      <c r="R979" s="456"/>
      <c r="S979" s="456"/>
      <c r="T979" s="456"/>
      <c r="U979" s="456"/>
      <c r="V979" s="456"/>
      <c r="W979" s="456"/>
      <c r="X979" s="456"/>
      <c r="Y979" s="456"/>
      <c r="Z979" s="456"/>
    </row>
    <row r="980" spans="1:26" ht="11.25" customHeight="1">
      <c r="A980" s="456"/>
      <c r="B980" s="456"/>
      <c r="C980" s="456"/>
      <c r="D980" s="456"/>
      <c r="E980" s="456"/>
      <c r="F980" s="456"/>
      <c r="G980" s="456"/>
      <c r="H980" s="456"/>
      <c r="I980" s="456"/>
      <c r="J980" s="456"/>
      <c r="K980" s="456"/>
      <c r="L980" s="456"/>
      <c r="M980" s="456"/>
      <c r="N980" s="456"/>
      <c r="O980" s="456"/>
      <c r="P980" s="456"/>
      <c r="Q980" s="456"/>
      <c r="R980" s="456"/>
      <c r="S980" s="456"/>
      <c r="T980" s="456"/>
      <c r="U980" s="456"/>
      <c r="V980" s="456"/>
      <c r="W980" s="456"/>
      <c r="X980" s="456"/>
      <c r="Y980" s="456"/>
      <c r="Z980" s="456"/>
    </row>
    <row r="981" spans="1:26" ht="11.25" customHeight="1">
      <c r="A981" s="456"/>
      <c r="B981" s="456"/>
      <c r="C981" s="456"/>
      <c r="D981" s="456"/>
      <c r="E981" s="456"/>
      <c r="F981" s="456"/>
      <c r="G981" s="456"/>
      <c r="H981" s="456"/>
      <c r="I981" s="456"/>
      <c r="J981" s="456"/>
      <c r="K981" s="456"/>
      <c r="L981" s="456"/>
      <c r="M981" s="456"/>
      <c r="N981" s="456"/>
      <c r="O981" s="456"/>
      <c r="P981" s="456"/>
      <c r="Q981" s="456"/>
      <c r="R981" s="456"/>
      <c r="S981" s="456"/>
      <c r="T981" s="456"/>
      <c r="U981" s="456"/>
      <c r="V981" s="456"/>
      <c r="W981" s="456"/>
      <c r="X981" s="456"/>
      <c r="Y981" s="456"/>
      <c r="Z981" s="456"/>
    </row>
    <row r="982" spans="1:26" ht="11.25" customHeight="1">
      <c r="A982" s="456"/>
      <c r="B982" s="456"/>
      <c r="C982" s="456"/>
      <c r="D982" s="456"/>
      <c r="E982" s="456"/>
      <c r="F982" s="456"/>
      <c r="G982" s="456"/>
      <c r="H982" s="456"/>
      <c r="I982" s="456"/>
      <c r="J982" s="456"/>
      <c r="K982" s="456"/>
      <c r="L982" s="456"/>
      <c r="M982" s="456"/>
      <c r="N982" s="456"/>
      <c r="O982" s="456"/>
      <c r="P982" s="456"/>
      <c r="Q982" s="456"/>
      <c r="R982" s="456"/>
      <c r="S982" s="456"/>
      <c r="T982" s="456"/>
      <c r="U982" s="456"/>
      <c r="V982" s="456"/>
      <c r="W982" s="456"/>
      <c r="X982" s="456"/>
      <c r="Y982" s="456"/>
      <c r="Z982" s="456"/>
    </row>
    <row r="983" spans="1:26" ht="11.25" customHeight="1">
      <c r="A983" s="456"/>
      <c r="B983" s="456"/>
      <c r="C983" s="456"/>
      <c r="D983" s="456"/>
      <c r="E983" s="456"/>
      <c r="F983" s="456"/>
      <c r="G983" s="456"/>
      <c r="H983" s="456"/>
      <c r="I983" s="456"/>
      <c r="J983" s="456"/>
      <c r="K983" s="456"/>
      <c r="L983" s="456"/>
      <c r="M983" s="456"/>
      <c r="N983" s="456"/>
      <c r="O983" s="456"/>
      <c r="P983" s="456"/>
      <c r="Q983" s="456"/>
      <c r="R983" s="456"/>
      <c r="S983" s="456"/>
      <c r="T983" s="456"/>
      <c r="U983" s="456"/>
      <c r="V983" s="456"/>
      <c r="W983" s="456"/>
      <c r="X983" s="456"/>
      <c r="Y983" s="456"/>
      <c r="Z983" s="456"/>
    </row>
    <row r="984" spans="1:26" ht="11.25" customHeight="1">
      <c r="A984" s="456"/>
      <c r="B984" s="456"/>
      <c r="C984" s="456"/>
      <c r="D984" s="456"/>
      <c r="E984" s="456"/>
      <c r="F984" s="456"/>
      <c r="G984" s="456"/>
      <c r="H984" s="456"/>
      <c r="I984" s="456"/>
      <c r="J984" s="456"/>
      <c r="K984" s="456"/>
      <c r="L984" s="456"/>
      <c r="M984" s="456"/>
      <c r="N984" s="456"/>
      <c r="O984" s="456"/>
      <c r="P984" s="456"/>
      <c r="Q984" s="456"/>
      <c r="R984" s="456"/>
      <c r="S984" s="456"/>
      <c r="T984" s="456"/>
      <c r="U984" s="456"/>
      <c r="V984" s="456"/>
      <c r="W984" s="456"/>
      <c r="X984" s="456"/>
      <c r="Y984" s="456"/>
      <c r="Z984" s="456"/>
    </row>
    <row r="985" spans="1:26" ht="11.25" customHeight="1">
      <c r="A985" s="456"/>
      <c r="B985" s="456"/>
      <c r="C985" s="456"/>
      <c r="D985" s="456"/>
      <c r="E985" s="456"/>
      <c r="F985" s="456"/>
      <c r="G985" s="456"/>
      <c r="H985" s="456"/>
      <c r="I985" s="456"/>
      <c r="J985" s="456"/>
      <c r="K985" s="456"/>
      <c r="L985" s="456"/>
      <c r="M985" s="456"/>
      <c r="N985" s="456"/>
      <c r="O985" s="456"/>
      <c r="P985" s="456"/>
      <c r="Q985" s="456"/>
      <c r="R985" s="456"/>
      <c r="S985" s="456"/>
      <c r="T985" s="456"/>
      <c r="U985" s="456"/>
      <c r="V985" s="456"/>
      <c r="W985" s="456"/>
      <c r="X985" s="456"/>
      <c r="Y985" s="456"/>
      <c r="Z985" s="456"/>
    </row>
    <row r="986" spans="1:26" ht="11.25" customHeight="1">
      <c r="A986" s="456"/>
      <c r="B986" s="456"/>
      <c r="C986" s="456"/>
      <c r="D986" s="456"/>
      <c r="E986" s="456"/>
      <c r="F986" s="456"/>
      <c r="G986" s="456"/>
      <c r="H986" s="456"/>
      <c r="I986" s="456"/>
      <c r="J986" s="456"/>
      <c r="K986" s="456"/>
      <c r="L986" s="456"/>
      <c r="M986" s="456"/>
      <c r="N986" s="456"/>
      <c r="O986" s="456"/>
      <c r="P986" s="456"/>
      <c r="Q986" s="456"/>
      <c r="R986" s="456"/>
      <c r="S986" s="456"/>
      <c r="T986" s="456"/>
      <c r="U986" s="456"/>
      <c r="V986" s="456"/>
      <c r="W986" s="456"/>
      <c r="X986" s="456"/>
      <c r="Y986" s="456"/>
      <c r="Z986" s="456"/>
    </row>
    <row r="987" spans="1:26" ht="11.25" customHeight="1">
      <c r="A987" s="456"/>
      <c r="B987" s="456"/>
      <c r="C987" s="456"/>
      <c r="D987" s="456"/>
      <c r="E987" s="456"/>
      <c r="F987" s="456"/>
      <c r="G987" s="456"/>
      <c r="H987" s="456"/>
      <c r="I987" s="456"/>
      <c r="J987" s="456"/>
      <c r="K987" s="456"/>
      <c r="L987" s="456"/>
      <c r="M987" s="456"/>
      <c r="N987" s="456"/>
      <c r="O987" s="456"/>
      <c r="P987" s="456"/>
      <c r="Q987" s="456"/>
      <c r="R987" s="456"/>
      <c r="S987" s="456"/>
      <c r="T987" s="456"/>
      <c r="U987" s="456"/>
      <c r="V987" s="456"/>
      <c r="W987" s="456"/>
      <c r="X987" s="456"/>
      <c r="Y987" s="456"/>
      <c r="Z987" s="456"/>
    </row>
    <row r="988" spans="1:26" ht="11.25" customHeight="1">
      <c r="A988" s="456"/>
      <c r="B988" s="456"/>
      <c r="C988" s="456"/>
      <c r="D988" s="456"/>
      <c r="E988" s="456"/>
      <c r="F988" s="456"/>
      <c r="G988" s="456"/>
      <c r="H988" s="456"/>
      <c r="I988" s="456"/>
      <c r="J988" s="456"/>
      <c r="K988" s="456"/>
      <c r="L988" s="456"/>
      <c r="M988" s="456"/>
      <c r="N988" s="456"/>
      <c r="O988" s="456"/>
      <c r="P988" s="456"/>
      <c r="Q988" s="456"/>
      <c r="R988" s="456"/>
      <c r="S988" s="456"/>
      <c r="T988" s="456"/>
      <c r="U988" s="456"/>
      <c r="V988" s="456"/>
      <c r="W988" s="456"/>
      <c r="X988" s="456"/>
      <c r="Y988" s="456"/>
      <c r="Z988" s="456"/>
    </row>
    <row r="989" spans="1:26" ht="11.25" customHeight="1">
      <c r="A989" s="456"/>
      <c r="B989" s="456"/>
      <c r="C989" s="456"/>
      <c r="D989" s="456"/>
      <c r="E989" s="456"/>
      <c r="F989" s="456"/>
      <c r="G989" s="456"/>
      <c r="H989" s="456"/>
      <c r="I989" s="456"/>
      <c r="J989" s="456"/>
      <c r="K989" s="456"/>
      <c r="L989" s="456"/>
      <c r="M989" s="456"/>
      <c r="N989" s="456"/>
      <c r="O989" s="456"/>
      <c r="P989" s="456"/>
      <c r="Q989" s="456"/>
      <c r="R989" s="456"/>
      <c r="S989" s="456"/>
      <c r="T989" s="456"/>
      <c r="U989" s="456"/>
      <c r="V989" s="456"/>
      <c r="W989" s="456"/>
      <c r="X989" s="456"/>
      <c r="Y989" s="456"/>
      <c r="Z989" s="456"/>
    </row>
    <row r="990" spans="1:26" ht="11.25" customHeight="1">
      <c r="A990" s="456"/>
      <c r="B990" s="456"/>
      <c r="C990" s="456"/>
      <c r="D990" s="456"/>
      <c r="E990" s="456"/>
      <c r="F990" s="456"/>
      <c r="G990" s="456"/>
      <c r="H990" s="456"/>
      <c r="I990" s="456"/>
      <c r="J990" s="456"/>
      <c r="K990" s="456"/>
      <c r="L990" s="456"/>
      <c r="M990" s="456"/>
      <c r="N990" s="456"/>
      <c r="O990" s="456"/>
      <c r="P990" s="456"/>
      <c r="Q990" s="456"/>
      <c r="R990" s="456"/>
      <c r="S990" s="456"/>
      <c r="T990" s="456"/>
      <c r="U990" s="456"/>
      <c r="V990" s="456"/>
      <c r="W990" s="456"/>
      <c r="X990" s="456"/>
      <c r="Y990" s="456"/>
      <c r="Z990" s="456"/>
    </row>
    <row r="991" spans="1:26" ht="11.25" customHeight="1">
      <c r="A991" s="456"/>
      <c r="B991" s="456"/>
      <c r="C991" s="456"/>
      <c r="D991" s="456"/>
      <c r="E991" s="456"/>
      <c r="F991" s="456"/>
      <c r="G991" s="456"/>
      <c r="H991" s="456"/>
      <c r="I991" s="456"/>
      <c r="J991" s="456"/>
      <c r="K991" s="456"/>
      <c r="L991" s="456"/>
      <c r="M991" s="456"/>
      <c r="N991" s="456"/>
      <c r="O991" s="456"/>
      <c r="P991" s="456"/>
      <c r="Q991" s="456"/>
      <c r="R991" s="456"/>
      <c r="S991" s="456"/>
      <c r="T991" s="456"/>
      <c r="U991" s="456"/>
      <c r="V991" s="456"/>
      <c r="W991" s="456"/>
      <c r="X991" s="456"/>
      <c r="Y991" s="456"/>
      <c r="Z991" s="456"/>
    </row>
    <row r="992" spans="1:26" ht="11.25" customHeight="1">
      <c r="A992" s="456"/>
      <c r="B992" s="456"/>
      <c r="C992" s="456"/>
      <c r="D992" s="456"/>
      <c r="E992" s="456"/>
      <c r="F992" s="456"/>
      <c r="G992" s="456"/>
      <c r="H992" s="456"/>
      <c r="I992" s="456"/>
      <c r="J992" s="456"/>
      <c r="K992" s="456"/>
      <c r="L992" s="456"/>
      <c r="M992" s="456"/>
      <c r="N992" s="456"/>
      <c r="O992" s="456"/>
      <c r="P992" s="456"/>
      <c r="Q992" s="456"/>
      <c r="R992" s="456"/>
      <c r="S992" s="456"/>
      <c r="T992" s="456"/>
      <c r="U992" s="456"/>
      <c r="V992" s="456"/>
      <c r="W992" s="456"/>
      <c r="X992" s="456"/>
      <c r="Y992" s="456"/>
      <c r="Z992" s="456"/>
    </row>
    <row r="993" spans="1:26" ht="11.25" customHeight="1">
      <c r="A993" s="456"/>
      <c r="B993" s="456"/>
      <c r="C993" s="456"/>
      <c r="D993" s="456"/>
      <c r="E993" s="456"/>
      <c r="F993" s="456"/>
      <c r="G993" s="456"/>
      <c r="H993" s="456"/>
      <c r="I993" s="456"/>
      <c r="J993" s="456"/>
      <c r="K993" s="456"/>
      <c r="L993" s="456"/>
      <c r="M993" s="456"/>
      <c r="N993" s="456"/>
      <c r="O993" s="456"/>
      <c r="P993" s="456"/>
      <c r="Q993" s="456"/>
      <c r="R993" s="456"/>
      <c r="S993" s="456"/>
      <c r="T993" s="456"/>
      <c r="U993" s="456"/>
      <c r="V993" s="456"/>
      <c r="W993" s="456"/>
      <c r="X993" s="456"/>
      <c r="Y993" s="456"/>
      <c r="Z993" s="456"/>
    </row>
    <row r="994" spans="1:26" ht="11.25" customHeight="1">
      <c r="A994" s="456"/>
      <c r="B994" s="456"/>
      <c r="C994" s="456"/>
      <c r="D994" s="456"/>
      <c r="E994" s="456"/>
      <c r="F994" s="456"/>
      <c r="G994" s="456"/>
      <c r="H994" s="456"/>
      <c r="I994" s="456"/>
      <c r="J994" s="456"/>
      <c r="K994" s="456"/>
      <c r="L994" s="456"/>
      <c r="M994" s="456"/>
      <c r="N994" s="456"/>
      <c r="O994" s="456"/>
      <c r="P994" s="456"/>
      <c r="Q994" s="456"/>
      <c r="R994" s="456"/>
      <c r="S994" s="456"/>
      <c r="T994" s="456"/>
      <c r="U994" s="456"/>
      <c r="V994" s="456"/>
      <c r="W994" s="456"/>
      <c r="X994" s="456"/>
      <c r="Y994" s="456"/>
      <c r="Z994" s="456"/>
    </row>
    <row r="995" spans="1:26" ht="11.25" customHeight="1">
      <c r="A995" s="456"/>
      <c r="B995" s="456"/>
      <c r="C995" s="456"/>
      <c r="D995" s="456"/>
      <c r="E995" s="456"/>
      <c r="F995" s="456"/>
      <c r="G995" s="456"/>
      <c r="H995" s="456"/>
      <c r="I995" s="456"/>
      <c r="J995" s="456"/>
      <c r="K995" s="456"/>
      <c r="L995" s="456"/>
      <c r="M995" s="456"/>
      <c r="N995" s="456"/>
      <c r="O995" s="456"/>
      <c r="P995" s="456"/>
      <c r="Q995" s="456"/>
      <c r="R995" s="456"/>
      <c r="S995" s="456"/>
      <c r="T995" s="456"/>
      <c r="U995" s="456"/>
      <c r="V995" s="456"/>
      <c r="W995" s="456"/>
      <c r="X995" s="456"/>
      <c r="Y995" s="456"/>
      <c r="Z995" s="456"/>
    </row>
    <row r="996" spans="1:26" ht="11.25" customHeight="1">
      <c r="A996" s="456"/>
      <c r="B996" s="456"/>
      <c r="C996" s="456"/>
      <c r="D996" s="456"/>
      <c r="E996" s="456"/>
      <c r="F996" s="456"/>
      <c r="G996" s="456"/>
      <c r="H996" s="456"/>
      <c r="I996" s="456"/>
      <c r="J996" s="456"/>
      <c r="K996" s="456"/>
      <c r="L996" s="456"/>
      <c r="M996" s="456"/>
      <c r="N996" s="456"/>
      <c r="O996" s="456"/>
      <c r="P996" s="456"/>
      <c r="Q996" s="456"/>
      <c r="R996" s="456"/>
      <c r="S996" s="456"/>
      <c r="T996" s="456"/>
      <c r="U996" s="456"/>
      <c r="V996" s="456"/>
      <c r="W996" s="456"/>
      <c r="X996" s="456"/>
      <c r="Y996" s="456"/>
      <c r="Z996" s="456"/>
    </row>
    <row r="997" spans="1:26" ht="11.25" customHeight="1">
      <c r="A997" s="456"/>
      <c r="B997" s="456"/>
      <c r="C997" s="456"/>
      <c r="D997" s="456"/>
      <c r="E997" s="456"/>
      <c r="F997" s="456"/>
      <c r="G997" s="456"/>
      <c r="H997" s="456"/>
      <c r="I997" s="456"/>
      <c r="J997" s="456"/>
      <c r="K997" s="456"/>
      <c r="L997" s="456"/>
      <c r="M997" s="456"/>
      <c r="N997" s="456"/>
      <c r="O997" s="456"/>
      <c r="P997" s="456"/>
      <c r="Q997" s="456"/>
      <c r="R997" s="456"/>
      <c r="S997" s="456"/>
      <c r="T997" s="456"/>
      <c r="U997" s="456"/>
      <c r="V997" s="456"/>
      <c r="W997" s="456"/>
      <c r="X997" s="456"/>
      <c r="Y997" s="456"/>
      <c r="Z997" s="456"/>
    </row>
    <row r="998" spans="1:26" ht="11.25" customHeight="1">
      <c r="A998" s="456"/>
      <c r="B998" s="456"/>
      <c r="C998" s="456"/>
      <c r="D998" s="456"/>
      <c r="E998" s="456"/>
      <c r="F998" s="456"/>
      <c r="G998" s="456"/>
      <c r="H998" s="456"/>
      <c r="I998" s="456"/>
      <c r="J998" s="456"/>
      <c r="K998" s="456"/>
      <c r="L998" s="456"/>
      <c r="M998" s="456"/>
      <c r="N998" s="456"/>
      <c r="O998" s="456"/>
      <c r="P998" s="456"/>
      <c r="Q998" s="456"/>
      <c r="R998" s="456"/>
      <c r="S998" s="456"/>
      <c r="T998" s="456"/>
      <c r="U998" s="456"/>
      <c r="V998" s="456"/>
      <c r="W998" s="456"/>
      <c r="X998" s="456"/>
      <c r="Y998" s="456"/>
      <c r="Z998" s="456"/>
    </row>
    <row r="999" spans="1:26" ht="11.25" customHeight="1">
      <c r="A999" s="456"/>
      <c r="B999" s="456"/>
      <c r="C999" s="456"/>
      <c r="D999" s="456"/>
      <c r="E999" s="456"/>
      <c r="F999" s="456"/>
      <c r="G999" s="456"/>
      <c r="H999" s="456"/>
      <c r="I999" s="456"/>
      <c r="J999" s="456"/>
      <c r="K999" s="456"/>
      <c r="L999" s="456"/>
      <c r="M999" s="456"/>
      <c r="N999" s="456"/>
      <c r="O999" s="456"/>
      <c r="P999" s="456"/>
      <c r="Q999" s="456"/>
      <c r="R999" s="456"/>
      <c r="S999" s="456"/>
      <c r="T999" s="456"/>
      <c r="U999" s="456"/>
      <c r="V999" s="456"/>
      <c r="W999" s="456"/>
      <c r="X999" s="456"/>
      <c r="Y999" s="456"/>
      <c r="Z999" s="456"/>
    </row>
    <row r="1000" spans="1:26" ht="11.25" customHeight="1">
      <c r="A1000" s="456"/>
      <c r="B1000" s="456"/>
      <c r="C1000" s="456"/>
      <c r="D1000" s="456"/>
      <c r="E1000" s="456"/>
      <c r="F1000" s="456"/>
      <c r="G1000" s="456"/>
      <c r="H1000" s="456"/>
      <c r="I1000" s="456"/>
      <c r="J1000" s="456"/>
      <c r="K1000" s="456"/>
      <c r="L1000" s="456"/>
      <c r="M1000" s="456"/>
      <c r="N1000" s="456"/>
      <c r="O1000" s="456"/>
      <c r="P1000" s="456"/>
      <c r="Q1000" s="456"/>
      <c r="R1000" s="456"/>
      <c r="S1000" s="456"/>
      <c r="T1000" s="456"/>
      <c r="U1000" s="456"/>
      <c r="V1000" s="456"/>
      <c r="W1000" s="456"/>
      <c r="X1000" s="456"/>
      <c r="Y1000" s="456"/>
      <c r="Z1000" s="456"/>
    </row>
  </sheetData>
  <pageMargins left="0.7" right="0.7" top="0.75" bottom="0.75" header="0" footer="0"/>
  <pageSetup orientation="landscape"/>
  <headerFooter>
    <oddFooter>&amp;RSABAK - GENERIK NON STANDARD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69696"/>
  </sheetPr>
  <dimension ref="A1:Z1000"/>
  <sheetViews>
    <sheetView workbookViewId="0">
      <pane xSplit="2" ySplit="8" topLeftCell="AJ24" activePane="bottomRight" state="frozen"/>
      <selection pane="bottomRight" activeCell="AJ24" sqref="AJ24"/>
      <selection pane="bottomLeft" activeCell="A9" sqref="A9"/>
      <selection pane="topRight" activeCell="C1" sqref="C1"/>
    </sheetView>
  </sheetViews>
  <sheetFormatPr defaultColWidth="12.42578125" defaultRowHeight="15" customHeight="1"/>
  <cols>
    <col min="1" max="1" width="21.42578125" customWidth="1"/>
    <col min="2" max="2" width="10.7109375" customWidth="1"/>
    <col min="3" max="3" width="14.140625" customWidth="1"/>
    <col min="4" max="4" width="12" customWidth="1"/>
    <col min="5" max="5" width="12.7109375" customWidth="1"/>
    <col min="6" max="6" width="15.140625" customWidth="1"/>
    <col min="7" max="7" width="12" customWidth="1"/>
    <col min="8" max="8" width="11.42578125" customWidth="1"/>
    <col min="9" max="9" width="12.42578125" hidden="1" customWidth="1"/>
    <col min="10" max="14" width="11.140625" hidden="1" customWidth="1"/>
    <col min="15" max="15" width="11" hidden="1" customWidth="1"/>
    <col min="16" max="18" width="11.140625" hidden="1" customWidth="1"/>
    <col min="19" max="24" width="11.7109375" hidden="1" customWidth="1"/>
    <col min="25" max="26" width="11.7109375" customWidth="1"/>
  </cols>
  <sheetData>
    <row r="1" spans="1:26" ht="12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5" customHeight="1">
      <c r="A3" s="467" t="s">
        <v>807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467" t="str">
        <f>A3</f>
        <v xml:space="preserve">PT. 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customHeight="1">
      <c r="A4" s="467" t="s">
        <v>808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467"/>
      <c r="O4" s="467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" customHeight="1">
      <c r="A6" s="468"/>
      <c r="B6" s="469"/>
      <c r="C6" s="469">
        <v>0</v>
      </c>
      <c r="D6" s="469">
        <f t="shared" ref="D6:Z6" si="0">C6+1</f>
        <v>1</v>
      </c>
      <c r="E6" s="469">
        <f t="shared" si="0"/>
        <v>2</v>
      </c>
      <c r="F6" s="469">
        <f t="shared" si="0"/>
        <v>3</v>
      </c>
      <c r="G6" s="469">
        <f t="shared" si="0"/>
        <v>4</v>
      </c>
      <c r="H6" s="469">
        <f t="shared" si="0"/>
        <v>5</v>
      </c>
      <c r="I6" s="469">
        <f t="shared" si="0"/>
        <v>6</v>
      </c>
      <c r="J6" s="469">
        <f t="shared" si="0"/>
        <v>7</v>
      </c>
      <c r="K6" s="469">
        <f t="shared" si="0"/>
        <v>8</v>
      </c>
      <c r="L6" s="469">
        <f t="shared" si="0"/>
        <v>9</v>
      </c>
      <c r="M6" s="469">
        <f t="shared" si="0"/>
        <v>10</v>
      </c>
      <c r="N6" s="469">
        <f t="shared" si="0"/>
        <v>11</v>
      </c>
      <c r="O6" s="470">
        <f t="shared" si="0"/>
        <v>12</v>
      </c>
      <c r="P6" s="470">
        <f t="shared" si="0"/>
        <v>13</v>
      </c>
      <c r="Q6" s="696">
        <f t="shared" si="0"/>
        <v>14</v>
      </c>
      <c r="R6" s="696">
        <f t="shared" si="0"/>
        <v>15</v>
      </c>
      <c r="S6" s="471">
        <f t="shared" si="0"/>
        <v>16</v>
      </c>
      <c r="T6" s="471">
        <f t="shared" si="0"/>
        <v>17</v>
      </c>
      <c r="U6" s="471">
        <f t="shared" si="0"/>
        <v>18</v>
      </c>
      <c r="V6" s="471">
        <f t="shared" si="0"/>
        <v>19</v>
      </c>
      <c r="W6" s="471">
        <f t="shared" si="0"/>
        <v>20</v>
      </c>
      <c r="X6" s="471">
        <f t="shared" si="0"/>
        <v>21</v>
      </c>
      <c r="Y6" s="471">
        <f t="shared" si="0"/>
        <v>22</v>
      </c>
      <c r="Z6" s="471">
        <f t="shared" si="0"/>
        <v>23</v>
      </c>
    </row>
    <row r="7" spans="1:26" ht="12.75" customHeight="1">
      <c r="A7" s="472"/>
      <c r="B7" s="697"/>
      <c r="C7" s="698">
        <v>2017</v>
      </c>
      <c r="D7" s="698">
        <f t="shared" ref="D7:Z7" si="1">C7+1</f>
        <v>2018</v>
      </c>
      <c r="E7" s="698">
        <f t="shared" si="1"/>
        <v>2019</v>
      </c>
      <c r="F7" s="698">
        <f t="shared" si="1"/>
        <v>2020</v>
      </c>
      <c r="G7" s="698">
        <f t="shared" si="1"/>
        <v>2021</v>
      </c>
      <c r="H7" s="698">
        <f t="shared" si="1"/>
        <v>2022</v>
      </c>
      <c r="I7" s="698">
        <f t="shared" si="1"/>
        <v>2023</v>
      </c>
      <c r="J7" s="698">
        <f t="shared" si="1"/>
        <v>2024</v>
      </c>
      <c r="K7" s="698">
        <f t="shared" si="1"/>
        <v>2025</v>
      </c>
      <c r="L7" s="698">
        <f t="shared" si="1"/>
        <v>2026</v>
      </c>
      <c r="M7" s="698">
        <f t="shared" si="1"/>
        <v>2027</v>
      </c>
      <c r="N7" s="698">
        <f t="shared" si="1"/>
        <v>2028</v>
      </c>
      <c r="O7" s="473">
        <f t="shared" si="1"/>
        <v>2029</v>
      </c>
      <c r="P7" s="473">
        <f t="shared" si="1"/>
        <v>2030</v>
      </c>
      <c r="Q7" s="699">
        <f t="shared" si="1"/>
        <v>2031</v>
      </c>
      <c r="R7" s="699">
        <f t="shared" si="1"/>
        <v>2032</v>
      </c>
      <c r="S7" s="474">
        <f t="shared" si="1"/>
        <v>2033</v>
      </c>
      <c r="T7" s="474">
        <f t="shared" si="1"/>
        <v>2034</v>
      </c>
      <c r="U7" s="474">
        <f t="shared" si="1"/>
        <v>2035</v>
      </c>
      <c r="V7" s="474">
        <f t="shared" si="1"/>
        <v>2036</v>
      </c>
      <c r="W7" s="474">
        <f t="shared" si="1"/>
        <v>2037</v>
      </c>
      <c r="X7" s="474">
        <f t="shared" si="1"/>
        <v>2038</v>
      </c>
      <c r="Y7" s="474">
        <f t="shared" si="1"/>
        <v>2039</v>
      </c>
      <c r="Z7" s="474">
        <f t="shared" si="1"/>
        <v>2040</v>
      </c>
    </row>
    <row r="8" spans="1:26" ht="12.75" customHeight="1">
      <c r="A8" s="700" t="s">
        <v>809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701"/>
      <c r="Q8" s="15"/>
      <c r="R8" s="15"/>
      <c r="S8" s="454"/>
      <c r="T8" s="454"/>
      <c r="U8" s="454"/>
      <c r="V8" s="454"/>
      <c r="W8" s="454"/>
      <c r="X8" s="454"/>
      <c r="Y8" s="454"/>
      <c r="Z8" s="454"/>
    </row>
    <row r="9" spans="1:26" ht="12" customHeight="1">
      <c r="A9" s="702" t="s">
        <v>810</v>
      </c>
      <c r="B9" s="15"/>
      <c r="C9" s="703">
        <f>+Projection!H91</f>
        <v>19105</v>
      </c>
      <c r="D9" s="703">
        <f>+Projection!L91</f>
        <v>9368.6410354467989</v>
      </c>
      <c r="E9" s="703">
        <f>+Projection!N91</f>
        <v>12354.944517918862</v>
      </c>
      <c r="F9" s="703">
        <f>+Projection!P91</f>
        <v>16044.633605961501</v>
      </c>
      <c r="G9" s="703">
        <f>+Projection!R91</f>
        <v>19956.632853663814</v>
      </c>
      <c r="H9" s="703">
        <f>+Projection!T91</f>
        <v>24360.40542601826</v>
      </c>
      <c r="I9" s="703"/>
      <c r="J9" s="703"/>
      <c r="K9" s="703"/>
      <c r="L9" s="703"/>
      <c r="M9" s="703"/>
      <c r="N9" s="703"/>
      <c r="O9" s="703"/>
      <c r="P9" s="475"/>
      <c r="Q9" s="17"/>
      <c r="R9" s="17"/>
      <c r="S9" s="476" t="e">
        <f>#REF!</f>
        <v>#REF!</v>
      </c>
      <c r="T9" s="476" t="e">
        <f>#REF!</f>
        <v>#REF!</v>
      </c>
      <c r="U9" s="476" t="e">
        <f>#REF!</f>
        <v>#REF!</v>
      </c>
      <c r="V9" s="476" t="e">
        <f>#REF!</f>
        <v>#REF!</v>
      </c>
      <c r="W9" s="476" t="e">
        <f>#REF!</f>
        <v>#REF!</v>
      </c>
      <c r="X9" s="476" t="e">
        <f>#REF!</f>
        <v>#REF!</v>
      </c>
      <c r="Y9" s="476" t="e">
        <f>#REF!</f>
        <v>#REF!</v>
      </c>
      <c r="Z9" s="476" t="e">
        <f>#REF!</f>
        <v>#REF!</v>
      </c>
    </row>
    <row r="10" spans="1:26" ht="12" customHeight="1">
      <c r="A10" s="702" t="s">
        <v>704</v>
      </c>
      <c r="B10" s="15"/>
      <c r="C10" s="703">
        <f>+Projection!H87</f>
        <v>2000</v>
      </c>
      <c r="D10" s="703">
        <f>+Projection!L87</f>
        <v>6674.358964553202</v>
      </c>
      <c r="E10" s="703">
        <f>+Projection!N87</f>
        <v>10795.893049355596</v>
      </c>
      <c r="F10" s="703">
        <f>+Projection!P87</f>
        <v>8815.9982985207498</v>
      </c>
      <c r="G10" s="703">
        <f>+Projection!R87</f>
        <v>6863.7429174403387</v>
      </c>
      <c r="H10" s="703">
        <f>+Projection!T87</f>
        <v>4561.5336907411775</v>
      </c>
      <c r="I10" s="703"/>
      <c r="J10" s="703"/>
      <c r="K10" s="703"/>
      <c r="L10" s="703"/>
      <c r="M10" s="703"/>
      <c r="N10" s="703"/>
      <c r="O10" s="703"/>
      <c r="P10" s="475"/>
      <c r="Q10" s="17"/>
      <c r="R10" s="17"/>
      <c r="S10" s="476" t="e">
        <f>#REF!</f>
        <v>#REF!</v>
      </c>
      <c r="T10" s="476" t="e">
        <f>#REF!</f>
        <v>#REF!</v>
      </c>
      <c r="U10" s="476" t="e">
        <f>#REF!</f>
        <v>#REF!</v>
      </c>
      <c r="V10" s="476" t="e">
        <f>#REF!</f>
        <v>#REF!</v>
      </c>
      <c r="W10" s="476" t="e">
        <f>#REF!</f>
        <v>#REF!</v>
      </c>
      <c r="X10" s="476" t="e">
        <f>#REF!</f>
        <v>#REF!</v>
      </c>
      <c r="Y10" s="476" t="e">
        <f>#REF!</f>
        <v>#REF!</v>
      </c>
      <c r="Z10" s="476" t="e">
        <f>#REF!</f>
        <v>#REF!</v>
      </c>
    </row>
    <row r="11" spans="1:26" ht="12" customHeight="1">
      <c r="A11" s="702" t="s">
        <v>811</v>
      </c>
      <c r="B11" s="15"/>
      <c r="C11" s="703">
        <f>+Projection!H79+Projection!H80</f>
        <v>2430</v>
      </c>
      <c r="D11" s="703">
        <f>+Projection!L79+Projection!L80</f>
        <v>4862</v>
      </c>
      <c r="E11" s="703">
        <f>+Projection!N79+Projection!N80</f>
        <v>7162</v>
      </c>
      <c r="F11" s="703">
        <f>+Projection!P79+Projection!P80</f>
        <v>7162</v>
      </c>
      <c r="G11" s="703">
        <f>+Projection!R79+Projection!R80</f>
        <v>7162</v>
      </c>
      <c r="H11" s="703">
        <f>+Projection!T79+Projection!T80</f>
        <v>7162</v>
      </c>
      <c r="I11" s="703"/>
      <c r="J11" s="703"/>
      <c r="K11" s="703"/>
      <c r="L11" s="703"/>
      <c r="M11" s="703"/>
      <c r="N11" s="703"/>
      <c r="O11" s="703"/>
      <c r="P11" s="475"/>
      <c r="Q11" s="475"/>
      <c r="R11" s="475"/>
      <c r="S11" s="476" t="e">
        <f>#REF!+#REF!</f>
        <v>#REF!</v>
      </c>
      <c r="T11" s="476" t="e">
        <f>#REF!+#REF!</f>
        <v>#REF!</v>
      </c>
      <c r="U11" s="476" t="e">
        <f>#REF!+#REF!</f>
        <v>#REF!</v>
      </c>
      <c r="V11" s="476" t="e">
        <f>#REF!+#REF!</f>
        <v>#REF!</v>
      </c>
      <c r="W11" s="476" t="e">
        <f>#REF!+#REF!</f>
        <v>#REF!</v>
      </c>
      <c r="X11" s="476" t="e">
        <f>#REF!+#REF!</f>
        <v>#REF!</v>
      </c>
      <c r="Y11" s="476" t="e">
        <f>#REF!+#REF!</f>
        <v>#REF!</v>
      </c>
      <c r="Z11" s="476" t="e">
        <f>#REF!+#REF!</f>
        <v>#REF!</v>
      </c>
    </row>
    <row r="12" spans="1:26" ht="12" customHeight="1">
      <c r="A12" s="702" t="s">
        <v>812</v>
      </c>
      <c r="B12" s="15"/>
      <c r="C12" s="703">
        <f t="shared" ref="C12:H12" si="2">C9+C10+C11</f>
        <v>23535</v>
      </c>
      <c r="D12" s="703">
        <f t="shared" si="2"/>
        <v>20905</v>
      </c>
      <c r="E12" s="703">
        <f t="shared" si="2"/>
        <v>30312.837567274459</v>
      </c>
      <c r="F12" s="703">
        <f t="shared" si="2"/>
        <v>32022.631904482252</v>
      </c>
      <c r="G12" s="703">
        <f t="shared" si="2"/>
        <v>33982.375771104154</v>
      </c>
      <c r="H12" s="703">
        <f t="shared" si="2"/>
        <v>36083.939116759437</v>
      </c>
      <c r="I12" s="703"/>
      <c r="J12" s="703"/>
      <c r="K12" s="703"/>
      <c r="L12" s="703"/>
      <c r="M12" s="703"/>
      <c r="N12" s="703"/>
      <c r="O12" s="703"/>
      <c r="P12" s="475"/>
      <c r="Q12" s="17"/>
      <c r="R12" s="17"/>
      <c r="S12" s="476" t="e">
        <f t="shared" ref="S12:Z12" si="3">S9+S10+S11</f>
        <v>#REF!</v>
      </c>
      <c r="T12" s="476" t="e">
        <f t="shared" si="3"/>
        <v>#REF!</v>
      </c>
      <c r="U12" s="476" t="e">
        <f t="shared" si="3"/>
        <v>#REF!</v>
      </c>
      <c r="V12" s="476" t="e">
        <f t="shared" si="3"/>
        <v>#REF!</v>
      </c>
      <c r="W12" s="476" t="e">
        <f t="shared" si="3"/>
        <v>#REF!</v>
      </c>
      <c r="X12" s="476" t="e">
        <f t="shared" si="3"/>
        <v>#REF!</v>
      </c>
      <c r="Y12" s="476" t="e">
        <f t="shared" si="3"/>
        <v>#REF!</v>
      </c>
      <c r="Z12" s="476" t="e">
        <f t="shared" si="3"/>
        <v>#REF!</v>
      </c>
    </row>
    <row r="13" spans="1:26" ht="12.75" customHeight="1">
      <c r="A13" s="702" t="s">
        <v>813</v>
      </c>
      <c r="B13" s="15"/>
      <c r="C13" s="15"/>
      <c r="D13" s="15"/>
      <c r="E13" s="15"/>
      <c r="F13" s="15"/>
      <c r="G13" s="15"/>
      <c r="H13" s="165"/>
      <c r="I13" s="15"/>
      <c r="J13" s="15"/>
      <c r="K13" s="15"/>
      <c r="L13" s="15"/>
      <c r="M13" s="15"/>
      <c r="N13" s="15"/>
      <c r="O13" s="15"/>
      <c r="P13" s="704"/>
      <c r="Q13" s="704"/>
      <c r="R13" s="704"/>
      <c r="S13" s="454"/>
      <c r="T13" s="454"/>
      <c r="U13" s="454"/>
      <c r="V13" s="454"/>
      <c r="W13" s="454"/>
      <c r="X13" s="454"/>
      <c r="Y13" s="454"/>
      <c r="Z13" s="454"/>
    </row>
    <row r="14" spans="1:26" ht="12.75" customHeight="1">
      <c r="A14" s="477" t="s">
        <v>814</v>
      </c>
      <c r="B14" s="478"/>
      <c r="C14" s="479">
        <f t="shared" ref="C14:Z14" si="4">C12+C13</f>
        <v>23535</v>
      </c>
      <c r="D14" s="479">
        <f t="shared" si="4"/>
        <v>20905</v>
      </c>
      <c r="E14" s="479">
        <f t="shared" si="4"/>
        <v>30312.837567274459</v>
      </c>
      <c r="F14" s="479">
        <f t="shared" si="4"/>
        <v>32022.631904482252</v>
      </c>
      <c r="G14" s="479">
        <f t="shared" si="4"/>
        <v>33982.375771104154</v>
      </c>
      <c r="H14" s="479">
        <f t="shared" si="4"/>
        <v>36083.939116759437</v>
      </c>
      <c r="I14" s="479">
        <f t="shared" si="4"/>
        <v>0</v>
      </c>
      <c r="J14" s="479">
        <f t="shared" si="4"/>
        <v>0</v>
      </c>
      <c r="K14" s="479">
        <f t="shared" si="4"/>
        <v>0</v>
      </c>
      <c r="L14" s="479">
        <f t="shared" si="4"/>
        <v>0</v>
      </c>
      <c r="M14" s="479">
        <f t="shared" si="4"/>
        <v>0</v>
      </c>
      <c r="N14" s="479">
        <f t="shared" si="4"/>
        <v>0</v>
      </c>
      <c r="O14" s="479">
        <f t="shared" si="4"/>
        <v>0</v>
      </c>
      <c r="P14" s="480">
        <f t="shared" si="4"/>
        <v>0</v>
      </c>
      <c r="Q14" s="705">
        <f t="shared" si="4"/>
        <v>0</v>
      </c>
      <c r="R14" s="705">
        <f t="shared" si="4"/>
        <v>0</v>
      </c>
      <c r="S14" s="476" t="e">
        <f t="shared" si="4"/>
        <v>#REF!</v>
      </c>
      <c r="T14" s="476" t="e">
        <f t="shared" si="4"/>
        <v>#REF!</v>
      </c>
      <c r="U14" s="476" t="e">
        <f t="shared" si="4"/>
        <v>#REF!</v>
      </c>
      <c r="V14" s="476" t="e">
        <f t="shared" si="4"/>
        <v>#REF!</v>
      </c>
      <c r="W14" s="476" t="e">
        <f t="shared" si="4"/>
        <v>#REF!</v>
      </c>
      <c r="X14" s="476" t="e">
        <f t="shared" si="4"/>
        <v>#REF!</v>
      </c>
      <c r="Y14" s="476" t="e">
        <f t="shared" si="4"/>
        <v>#REF!</v>
      </c>
      <c r="Z14" s="476" t="e">
        <f t="shared" si="4"/>
        <v>#REF!</v>
      </c>
    </row>
    <row r="15" spans="1:26" ht="12" customHeight="1">
      <c r="A15" s="702" t="s">
        <v>815</v>
      </c>
      <c r="B15" s="15"/>
      <c r="C15" s="171">
        <f>((H12-C12)^(1/6))-1</f>
        <v>3.8206008023076397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701"/>
      <c r="Q15" s="15"/>
      <c r="R15" s="15"/>
      <c r="S15" s="454"/>
      <c r="T15" s="454"/>
      <c r="U15" s="454"/>
      <c r="V15" s="454"/>
      <c r="W15" s="454"/>
      <c r="X15" s="454"/>
      <c r="Y15" s="454"/>
      <c r="Z15" s="454"/>
    </row>
    <row r="16" spans="1:26" ht="12" customHeight="1">
      <c r="A16" s="702" t="s">
        <v>816</v>
      </c>
      <c r="B16" s="15"/>
      <c r="C16" s="164">
        <f>+'Feasibility Analysis (1)'!D27</f>
        <v>5.3249999999999999E-2</v>
      </c>
      <c r="D16" s="15"/>
      <c r="E16" s="15"/>
      <c r="F16" s="15"/>
      <c r="G16" s="168"/>
      <c r="H16" s="15"/>
      <c r="I16" s="15"/>
      <c r="J16" s="15"/>
      <c r="K16" s="15"/>
      <c r="L16" s="15"/>
      <c r="M16" s="15"/>
      <c r="N16" s="15"/>
      <c r="O16" s="15"/>
      <c r="P16" s="701"/>
      <c r="Q16" s="15"/>
      <c r="R16" s="15"/>
      <c r="S16" s="454"/>
      <c r="T16" s="454"/>
      <c r="U16" s="454"/>
      <c r="V16" s="454"/>
      <c r="W16" s="454"/>
      <c r="X16" s="454"/>
      <c r="Y16" s="454"/>
      <c r="Z16" s="454"/>
    </row>
    <row r="17" spans="1:26" ht="12" customHeight="1">
      <c r="A17" s="702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701"/>
      <c r="Q17" s="15"/>
      <c r="R17" s="15"/>
      <c r="S17" s="454"/>
      <c r="T17" s="454"/>
      <c r="U17" s="454"/>
      <c r="V17" s="454"/>
      <c r="W17" s="454"/>
      <c r="X17" s="454"/>
      <c r="Y17" s="454"/>
      <c r="Z17" s="454"/>
    </row>
    <row r="18" spans="1:26" ht="12.75" customHeight="1">
      <c r="A18" s="700" t="s">
        <v>817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701"/>
      <c r="Q18" s="15"/>
      <c r="R18" s="15"/>
      <c r="S18" s="454"/>
      <c r="T18" s="454"/>
      <c r="U18" s="454"/>
      <c r="V18" s="454"/>
      <c r="W18" s="454"/>
      <c r="X18" s="454"/>
      <c r="Y18" s="454"/>
      <c r="Z18" s="454"/>
    </row>
    <row r="19" spans="1:26" ht="12" customHeight="1">
      <c r="A19" s="702" t="s">
        <v>818</v>
      </c>
      <c r="B19" s="15"/>
      <c r="C19" s="703"/>
      <c r="D19" s="703">
        <f>-CF!K54*0</f>
        <v>0</v>
      </c>
      <c r="E19" s="703"/>
      <c r="F19" s="703"/>
      <c r="G19" s="703"/>
      <c r="H19" s="703"/>
      <c r="I19" s="703"/>
      <c r="J19" s="703"/>
      <c r="K19" s="703"/>
      <c r="L19" s="703"/>
      <c r="M19" s="703" t="e">
        <f>-#REF!</f>
        <v>#REF!</v>
      </c>
      <c r="N19" s="15"/>
      <c r="O19" s="15"/>
      <c r="P19" s="701"/>
      <c r="Q19" s="15"/>
      <c r="R19" s="15"/>
      <c r="S19" s="454"/>
      <c r="T19" s="454"/>
      <c r="U19" s="454"/>
      <c r="V19" s="454"/>
      <c r="W19" s="454"/>
      <c r="X19" s="454"/>
      <c r="Y19" s="454"/>
      <c r="Z19" s="454"/>
    </row>
    <row r="20" spans="1:26" ht="12" customHeight="1">
      <c r="A20" s="702" t="s">
        <v>819</v>
      </c>
      <c r="B20" s="15"/>
      <c r="C20" s="703">
        <v>0</v>
      </c>
      <c r="D20" s="16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701"/>
      <c r="Q20" s="15"/>
      <c r="R20" s="15"/>
      <c r="S20" s="454"/>
      <c r="T20" s="454"/>
      <c r="U20" s="454"/>
      <c r="V20" s="454"/>
      <c r="W20" s="454"/>
      <c r="X20" s="454"/>
      <c r="Y20" s="454"/>
      <c r="Z20" s="454"/>
    </row>
    <row r="21" spans="1:26" ht="12.75" customHeight="1">
      <c r="A21" s="702" t="s">
        <v>820</v>
      </c>
      <c r="B21" s="15"/>
      <c r="C21" s="703">
        <v>0</v>
      </c>
      <c r="D21" s="703">
        <v>0</v>
      </c>
      <c r="E21" s="703">
        <v>0</v>
      </c>
      <c r="F21" s="703">
        <v>0</v>
      </c>
      <c r="G21" s="703">
        <v>0</v>
      </c>
      <c r="H21" s="703">
        <v>0</v>
      </c>
      <c r="I21" s="703">
        <v>0</v>
      </c>
      <c r="J21" s="703">
        <v>0</v>
      </c>
      <c r="K21" s="15"/>
      <c r="L21" s="15"/>
      <c r="M21" s="15"/>
      <c r="N21" s="15"/>
      <c r="O21" s="15"/>
      <c r="P21" s="701"/>
      <c r="Q21" s="15"/>
      <c r="R21" s="15"/>
      <c r="S21" s="454"/>
      <c r="T21" s="454"/>
      <c r="U21" s="454"/>
      <c r="V21" s="454"/>
      <c r="W21" s="454"/>
      <c r="X21" s="454"/>
      <c r="Y21" s="454"/>
      <c r="Z21" s="454"/>
    </row>
    <row r="22" spans="1:26" ht="12.75" customHeight="1">
      <c r="A22" s="477" t="s">
        <v>821</v>
      </c>
      <c r="B22" s="478"/>
      <c r="C22" s="479">
        <f>C19+C20+C21</f>
        <v>0</v>
      </c>
      <c r="D22" s="479">
        <f t="shared" ref="D22:Z22" si="5">D19+D21</f>
        <v>0</v>
      </c>
      <c r="E22" s="479">
        <f t="shared" si="5"/>
        <v>0</v>
      </c>
      <c r="F22" s="479">
        <f t="shared" si="5"/>
        <v>0</v>
      </c>
      <c r="G22" s="479">
        <f t="shared" si="5"/>
        <v>0</v>
      </c>
      <c r="H22" s="479">
        <f t="shared" si="5"/>
        <v>0</v>
      </c>
      <c r="I22" s="479">
        <f t="shared" si="5"/>
        <v>0</v>
      </c>
      <c r="J22" s="479">
        <f t="shared" si="5"/>
        <v>0</v>
      </c>
      <c r="K22" s="479">
        <f t="shared" si="5"/>
        <v>0</v>
      </c>
      <c r="L22" s="479">
        <f t="shared" si="5"/>
        <v>0</v>
      </c>
      <c r="M22" s="479" t="e">
        <f t="shared" si="5"/>
        <v>#REF!</v>
      </c>
      <c r="N22" s="479">
        <f t="shared" si="5"/>
        <v>0</v>
      </c>
      <c r="O22" s="479">
        <f t="shared" si="5"/>
        <v>0</v>
      </c>
      <c r="P22" s="480">
        <f t="shared" si="5"/>
        <v>0</v>
      </c>
      <c r="Q22" s="705">
        <f t="shared" si="5"/>
        <v>0</v>
      </c>
      <c r="R22" s="705">
        <f t="shared" si="5"/>
        <v>0</v>
      </c>
      <c r="S22" s="476">
        <f t="shared" si="5"/>
        <v>0</v>
      </c>
      <c r="T22" s="476">
        <f t="shared" si="5"/>
        <v>0</v>
      </c>
      <c r="U22" s="476">
        <f t="shared" si="5"/>
        <v>0</v>
      </c>
      <c r="V22" s="476">
        <f t="shared" si="5"/>
        <v>0</v>
      </c>
      <c r="W22" s="476">
        <f t="shared" si="5"/>
        <v>0</v>
      </c>
      <c r="X22" s="476">
        <f t="shared" si="5"/>
        <v>0</v>
      </c>
      <c r="Y22" s="476">
        <f t="shared" si="5"/>
        <v>0</v>
      </c>
      <c r="Z22" s="476">
        <f t="shared" si="5"/>
        <v>0</v>
      </c>
    </row>
    <row r="23" spans="1:26" ht="12" customHeight="1">
      <c r="A23" s="702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701"/>
      <c r="Q23" s="15"/>
      <c r="R23" s="15"/>
      <c r="S23" s="454"/>
      <c r="T23" s="454"/>
      <c r="U23" s="454"/>
      <c r="V23" s="454"/>
      <c r="W23" s="454"/>
      <c r="X23" s="454"/>
      <c r="Y23" s="454"/>
      <c r="Z23" s="454"/>
    </row>
    <row r="24" spans="1:26" ht="12" customHeight="1">
      <c r="A24" s="702" t="s">
        <v>822</v>
      </c>
      <c r="B24" s="15"/>
      <c r="C24" s="703">
        <f>+C22</f>
        <v>0</v>
      </c>
      <c r="D24" s="703">
        <f t="shared" ref="D24:H24" si="6">D14+D22</f>
        <v>20905</v>
      </c>
      <c r="E24" s="703">
        <f t="shared" si="6"/>
        <v>30312.837567274459</v>
      </c>
      <c r="F24" s="703">
        <f t="shared" si="6"/>
        <v>32022.631904482252</v>
      </c>
      <c r="G24" s="703">
        <f t="shared" si="6"/>
        <v>33982.375771104154</v>
      </c>
      <c r="H24" s="703">
        <f t="shared" si="6"/>
        <v>36083.939116759437</v>
      </c>
      <c r="I24" s="703"/>
      <c r="J24" s="703"/>
      <c r="K24" s="703"/>
      <c r="L24" s="703"/>
      <c r="M24" s="703"/>
      <c r="N24" s="703"/>
      <c r="O24" s="703"/>
      <c r="P24" s="475"/>
      <c r="Q24" s="17"/>
      <c r="R24" s="17"/>
      <c r="S24" s="476" t="e">
        <f t="shared" ref="S24:Z24" si="7">S14+S22</f>
        <v>#REF!</v>
      </c>
      <c r="T24" s="476" t="e">
        <f t="shared" si="7"/>
        <v>#REF!</v>
      </c>
      <c r="U24" s="476" t="e">
        <f t="shared" si="7"/>
        <v>#REF!</v>
      </c>
      <c r="V24" s="476" t="e">
        <f t="shared" si="7"/>
        <v>#REF!</v>
      </c>
      <c r="W24" s="476" t="e">
        <f t="shared" si="7"/>
        <v>#REF!</v>
      </c>
      <c r="X24" s="476" t="e">
        <f t="shared" si="7"/>
        <v>#REF!</v>
      </c>
      <c r="Y24" s="476" t="e">
        <f t="shared" si="7"/>
        <v>#REF!</v>
      </c>
      <c r="Z24" s="476" t="e">
        <f t="shared" si="7"/>
        <v>#REF!</v>
      </c>
    </row>
    <row r="25" spans="1:26" ht="12" customHeight="1">
      <c r="A25" s="702" t="s">
        <v>823</v>
      </c>
      <c r="B25" s="15"/>
      <c r="C25" s="703">
        <f>+C24</f>
        <v>0</v>
      </c>
      <c r="D25" s="703">
        <f t="shared" ref="D25:H25" si="8">+C25+D24</f>
        <v>20905</v>
      </c>
      <c r="E25" s="703">
        <f t="shared" si="8"/>
        <v>51217.837567274459</v>
      </c>
      <c r="F25" s="703">
        <f t="shared" si="8"/>
        <v>83240.469471756718</v>
      </c>
      <c r="G25" s="703">
        <f t="shared" si="8"/>
        <v>117222.84524286087</v>
      </c>
      <c r="H25" s="703">
        <f t="shared" si="8"/>
        <v>153306.7843596203</v>
      </c>
      <c r="I25" s="703"/>
      <c r="J25" s="703"/>
      <c r="K25" s="703"/>
      <c r="L25" s="703"/>
      <c r="M25" s="703"/>
      <c r="N25" s="703"/>
      <c r="O25" s="703"/>
      <c r="P25" s="475"/>
      <c r="Q25" s="17"/>
      <c r="R25" s="17"/>
      <c r="S25" s="476" t="e">
        <f t="shared" ref="S25:Z25" si="9">SUM($D$24:S24)</f>
        <v>#REF!</v>
      </c>
      <c r="T25" s="476" t="e">
        <f t="shared" si="9"/>
        <v>#REF!</v>
      </c>
      <c r="U25" s="476" t="e">
        <f t="shared" si="9"/>
        <v>#REF!</v>
      </c>
      <c r="V25" s="476" t="e">
        <f t="shared" si="9"/>
        <v>#REF!</v>
      </c>
      <c r="W25" s="476" t="e">
        <f t="shared" si="9"/>
        <v>#REF!</v>
      </c>
      <c r="X25" s="476" t="e">
        <f t="shared" si="9"/>
        <v>#REF!</v>
      </c>
      <c r="Y25" s="476" t="e">
        <f t="shared" si="9"/>
        <v>#REF!</v>
      </c>
      <c r="Z25" s="476" t="e">
        <f t="shared" si="9"/>
        <v>#REF!</v>
      </c>
    </row>
    <row r="26" spans="1:26" ht="12.75" customHeight="1">
      <c r="A26" s="700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701"/>
      <c r="Q26" s="15"/>
      <c r="R26" s="15"/>
      <c r="S26" s="454"/>
      <c r="T26" s="454"/>
      <c r="U26" s="454"/>
      <c r="V26" s="454"/>
      <c r="W26" s="454"/>
      <c r="X26" s="454"/>
      <c r="Y26" s="454"/>
      <c r="Z26" s="454"/>
    </row>
    <row r="27" spans="1:26" ht="12" customHeight="1">
      <c r="A27" s="702" t="s">
        <v>824</v>
      </c>
      <c r="B27" s="15"/>
      <c r="C27" s="706">
        <f t="shared" ref="C27:H27" si="10">1/((1+$C$40)^(C6))</f>
        <v>1</v>
      </c>
      <c r="D27" s="706">
        <f t="shared" si="10"/>
        <v>0.91932888991036543</v>
      </c>
      <c r="E27" s="706">
        <f t="shared" si="10"/>
        <v>0.84516560782382477</v>
      </c>
      <c r="F27" s="706">
        <f t="shared" si="10"/>
        <v>0.77698516003109608</v>
      </c>
      <c r="G27" s="706">
        <f t="shared" si="10"/>
        <v>0.71430490464821517</v>
      </c>
      <c r="H27" s="706">
        <f t="shared" si="10"/>
        <v>0.65668113504777303</v>
      </c>
      <c r="I27" s="706"/>
      <c r="J27" s="706"/>
      <c r="K27" s="706"/>
      <c r="L27" s="706"/>
      <c r="M27" s="706"/>
      <c r="N27" s="706"/>
      <c r="O27" s="706"/>
      <c r="P27" s="481"/>
      <c r="Q27" s="482"/>
      <c r="R27" s="482"/>
      <c r="S27" s="483">
        <f t="shared" ref="S27:Z27" si="11">1/((1+$D$40)^(S6))</f>
        <v>1</v>
      </c>
      <c r="T27" s="483">
        <f t="shared" si="11"/>
        <v>1</v>
      </c>
      <c r="U27" s="483">
        <f t="shared" si="11"/>
        <v>1</v>
      </c>
      <c r="V27" s="483">
        <f t="shared" si="11"/>
        <v>1</v>
      </c>
      <c r="W27" s="483">
        <f t="shared" si="11"/>
        <v>1</v>
      </c>
      <c r="X27" s="483">
        <f t="shared" si="11"/>
        <v>1</v>
      </c>
      <c r="Y27" s="483">
        <f t="shared" si="11"/>
        <v>1</v>
      </c>
      <c r="Z27" s="483">
        <f t="shared" si="11"/>
        <v>1</v>
      </c>
    </row>
    <row r="28" spans="1:26" ht="12" customHeight="1">
      <c r="A28" s="702" t="s">
        <v>825</v>
      </c>
      <c r="B28" s="15"/>
      <c r="C28" s="703">
        <f t="shared" ref="C28:H28" si="12">C24*C27</f>
        <v>0</v>
      </c>
      <c r="D28" s="703">
        <f t="shared" si="12"/>
        <v>19218.570443576191</v>
      </c>
      <c r="E28" s="703">
        <f t="shared" si="12"/>
        <v>25619.367787410389</v>
      </c>
      <c r="F28" s="703">
        <f t="shared" si="12"/>
        <v>24881.109774921024</v>
      </c>
      <c r="G28" s="703">
        <f t="shared" si="12"/>
        <v>24273.77768489837</v>
      </c>
      <c r="H28" s="703">
        <f t="shared" si="12"/>
        <v>23695.642096188323</v>
      </c>
      <c r="I28" s="703"/>
      <c r="J28" s="703"/>
      <c r="K28" s="703"/>
      <c r="L28" s="703"/>
      <c r="M28" s="703"/>
      <c r="N28" s="703"/>
      <c r="O28" s="703"/>
      <c r="P28" s="475"/>
      <c r="Q28" s="17"/>
      <c r="R28" s="17"/>
      <c r="S28" s="476" t="e">
        <f t="shared" ref="S28:Z28" si="13">S24*S27</f>
        <v>#REF!</v>
      </c>
      <c r="T28" s="476" t="e">
        <f t="shared" si="13"/>
        <v>#REF!</v>
      </c>
      <c r="U28" s="476" t="e">
        <f t="shared" si="13"/>
        <v>#REF!</v>
      </c>
      <c r="V28" s="476" t="e">
        <f t="shared" si="13"/>
        <v>#REF!</v>
      </c>
      <c r="W28" s="476" t="e">
        <f t="shared" si="13"/>
        <v>#REF!</v>
      </c>
      <c r="X28" s="476" t="e">
        <f t="shared" si="13"/>
        <v>#REF!</v>
      </c>
      <c r="Y28" s="476" t="e">
        <f t="shared" si="13"/>
        <v>#REF!</v>
      </c>
      <c r="Z28" s="476" t="e">
        <f t="shared" si="13"/>
        <v>#REF!</v>
      </c>
    </row>
    <row r="29" spans="1:26" ht="13.5" customHeight="1">
      <c r="A29" s="484" t="s">
        <v>826</v>
      </c>
      <c r="B29" s="707"/>
      <c r="C29" s="485">
        <f>+C28</f>
        <v>0</v>
      </c>
      <c r="D29" s="485">
        <f t="shared" ref="D29:H29" si="14">+C29+D28</f>
        <v>19218.570443576191</v>
      </c>
      <c r="E29" s="485">
        <f t="shared" si="14"/>
        <v>44837.938230986576</v>
      </c>
      <c r="F29" s="485">
        <f t="shared" si="14"/>
        <v>69719.048005907593</v>
      </c>
      <c r="G29" s="485">
        <f t="shared" si="14"/>
        <v>93992.82569080597</v>
      </c>
      <c r="H29" s="485">
        <f t="shared" si="14"/>
        <v>117688.4677869943</v>
      </c>
      <c r="I29" s="485"/>
      <c r="J29" s="485"/>
      <c r="K29" s="485"/>
      <c r="L29" s="485"/>
      <c r="M29" s="485"/>
      <c r="N29" s="485"/>
      <c r="O29" s="485"/>
      <c r="P29" s="486"/>
      <c r="Q29" s="17"/>
      <c r="R29" s="17"/>
      <c r="S29" s="476" t="e">
        <f t="shared" ref="S29:Z29" si="15">SUM($D$28:S28)</f>
        <v>#REF!</v>
      </c>
      <c r="T29" s="476" t="e">
        <f t="shared" si="15"/>
        <v>#REF!</v>
      </c>
      <c r="U29" s="476" t="e">
        <f t="shared" si="15"/>
        <v>#REF!</v>
      </c>
      <c r="V29" s="476" t="e">
        <f t="shared" si="15"/>
        <v>#REF!</v>
      </c>
      <c r="W29" s="476" t="e">
        <f t="shared" si="15"/>
        <v>#REF!</v>
      </c>
      <c r="X29" s="476" t="e">
        <f t="shared" si="15"/>
        <v>#REF!</v>
      </c>
      <c r="Y29" s="476" t="e">
        <f t="shared" si="15"/>
        <v>#REF!</v>
      </c>
      <c r="Z29" s="476" t="e">
        <f t="shared" si="15"/>
        <v>#REF!</v>
      </c>
    </row>
    <row r="30" spans="1:26" ht="12.75" customHeight="1">
      <c r="A30" s="162"/>
      <c r="B30" s="15"/>
      <c r="C30" s="487">
        <f t="array" ref="C30">+NPV(C16,C14:H14)</f>
        <v>145804.39335863074</v>
      </c>
      <c r="D30" s="703"/>
      <c r="E30" s="703"/>
      <c r="F30" s="703"/>
      <c r="G30" s="703"/>
      <c r="H30" s="703"/>
      <c r="I30" s="703"/>
      <c r="J30" s="703"/>
      <c r="K30" s="703"/>
      <c r="L30" s="703"/>
      <c r="M30" s="703"/>
      <c r="N30" s="703"/>
      <c r="O30" s="703"/>
      <c r="P30" s="703"/>
      <c r="Q30" s="17"/>
      <c r="R30" s="17"/>
      <c r="S30" s="476"/>
      <c r="T30" s="476"/>
      <c r="U30" s="476"/>
      <c r="V30" s="476"/>
      <c r="W30" s="476"/>
      <c r="X30" s="476"/>
      <c r="Y30" s="476"/>
      <c r="Z30" s="476"/>
    </row>
    <row r="31" spans="1:26" ht="12.75" customHeight="1">
      <c r="A31" s="162"/>
      <c r="B31" s="15"/>
      <c r="C31" s="487">
        <f t="array" ref="C31">+NPV(C16,-C20)</f>
        <v>0</v>
      </c>
      <c r="D31" s="703"/>
      <c r="E31" s="703"/>
      <c r="F31" s="703"/>
      <c r="G31" s="703"/>
      <c r="H31" s="703"/>
      <c r="I31" s="703"/>
      <c r="J31" s="703"/>
      <c r="K31" s="703"/>
      <c r="L31" s="703"/>
      <c r="M31" s="703"/>
      <c r="N31" s="703"/>
      <c r="O31" s="703"/>
      <c r="P31" s="703"/>
      <c r="Q31" s="17"/>
      <c r="R31" s="17"/>
      <c r="S31" s="476"/>
      <c r="T31" s="476"/>
      <c r="U31" s="476"/>
      <c r="V31" s="476"/>
      <c r="W31" s="476"/>
      <c r="X31" s="476"/>
      <c r="Y31" s="476"/>
      <c r="Z31" s="476"/>
    </row>
    <row r="32" spans="1:26" ht="12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2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2" customHeight="1">
      <c r="A34" s="15" t="s">
        <v>827</v>
      </c>
      <c r="B34" s="708"/>
      <c r="C34" s="709">
        <f>+H29</f>
        <v>117688.4677869943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2" customHeight="1">
      <c r="A35" s="15" t="s">
        <v>828</v>
      </c>
      <c r="B35" s="488"/>
      <c r="C35" s="489" t="e">
        <f>IRR(C24:H24)</f>
        <v>#NUM!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" customHeight="1">
      <c r="A36" s="15" t="s">
        <v>829</v>
      </c>
      <c r="B36" s="488"/>
      <c r="C36" s="490" t="e">
        <f>+C30/C31</f>
        <v>#DIV/0!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2" customHeight="1">
      <c r="A37" s="15" t="s">
        <v>830</v>
      </c>
      <c r="B37" s="710"/>
      <c r="C37" s="711">
        <f>E6+((0-E25)/(E25-D25))</f>
        <v>0.31035819548055432</v>
      </c>
      <c r="D37" s="491">
        <f t="shared" ref="D37:D38" si="16">ROUNDDOWN(C37,0)</f>
        <v>0</v>
      </c>
      <c r="E37" s="492" t="s">
        <v>831</v>
      </c>
      <c r="F37" s="491">
        <f t="shared" ref="F37:F38" si="17">ROUNDUP((C37-D37)*12,0)</f>
        <v>4</v>
      </c>
      <c r="G37" s="492" t="s">
        <v>473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2" hidden="1" customHeight="1">
      <c r="A38" s="15" t="s">
        <v>832</v>
      </c>
      <c r="B38" s="712"/>
      <c r="C38" s="713" t="e">
        <f>M6+((0-M29)/(N29-M29))</f>
        <v>#DIV/0!</v>
      </c>
      <c r="D38" s="491" t="e">
        <f t="shared" si="16"/>
        <v>#DIV/0!</v>
      </c>
      <c r="E38" s="492" t="s">
        <v>833</v>
      </c>
      <c r="F38" s="491" t="e">
        <f t="shared" si="17"/>
        <v>#DIV/0!</v>
      </c>
      <c r="G38" s="492" t="s">
        <v>494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2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2" hidden="1" customHeight="1">
      <c r="A40" s="15" t="s">
        <v>731</v>
      </c>
      <c r="B40" s="15"/>
      <c r="C40" s="164">
        <f>E49</f>
        <v>8.7749999999999995E-2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2" hidden="1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2" hidden="1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>
        <f>100-34</f>
        <v>66</v>
      </c>
      <c r="W42" s="15"/>
      <c r="X42" s="15"/>
      <c r="Y42" s="15"/>
      <c r="Z42" s="15"/>
    </row>
    <row r="43" spans="1:26" ht="12.75" hidden="1" customHeight="1">
      <c r="A43" s="162" t="s">
        <v>834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" hidden="1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" hidden="1" customHeight="1">
      <c r="A45" s="714" t="s">
        <v>835</v>
      </c>
      <c r="B45" s="493" t="s">
        <v>836</v>
      </c>
      <c r="C45" s="493" t="s">
        <v>837</v>
      </c>
      <c r="D45" s="493" t="s">
        <v>838</v>
      </c>
      <c r="E45" s="493" t="s">
        <v>839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" hidden="1" customHeight="1">
      <c r="A46" s="715" t="s">
        <v>840</v>
      </c>
      <c r="B46" s="494">
        <v>2</v>
      </c>
      <c r="C46" s="494">
        <v>3</v>
      </c>
      <c r="D46" s="716">
        <v>4</v>
      </c>
      <c r="E46" s="495" t="s">
        <v>841</v>
      </c>
      <c r="F46" s="496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" hidden="1" customHeight="1">
      <c r="A47" s="497" t="s">
        <v>842</v>
      </c>
      <c r="B47" s="717">
        <v>0.7</v>
      </c>
      <c r="C47" s="718">
        <f>B73</f>
        <v>0.11</v>
      </c>
      <c r="D47" s="719">
        <v>0.75</v>
      </c>
      <c r="E47" s="720">
        <f>B47*C47*D47</f>
        <v>5.7749999999999996E-2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" hidden="1" customHeight="1">
      <c r="A48" s="721" t="s">
        <v>843</v>
      </c>
      <c r="B48" s="498">
        <f>B49-B47</f>
        <v>0.30000000000000004</v>
      </c>
      <c r="C48" s="499">
        <v>0.1</v>
      </c>
      <c r="D48" s="722"/>
      <c r="E48" s="500">
        <f>B48*C48</f>
        <v>3.0000000000000006E-2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" hidden="1" customHeight="1">
      <c r="A49" s="723" t="s">
        <v>458</v>
      </c>
      <c r="B49" s="501">
        <v>1</v>
      </c>
      <c r="C49" s="724"/>
      <c r="D49" s="725" t="s">
        <v>45</v>
      </c>
      <c r="E49" s="502">
        <f>E47+E48</f>
        <v>8.7749999999999995E-2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" hidden="1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" hidden="1" customHeight="1">
      <c r="A52" s="1639" t="s">
        <v>844</v>
      </c>
      <c r="B52" s="1637"/>
      <c r="C52" s="1637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" hidden="1" customHeight="1">
      <c r="A53" s="726" t="s">
        <v>845</v>
      </c>
      <c r="B53" s="727"/>
      <c r="C53" s="503">
        <f>9.13%*(1-20%)</f>
        <v>7.3040000000000008E-2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" hidden="1" customHeight="1">
      <c r="A54" s="726" t="s">
        <v>846</v>
      </c>
      <c r="B54" s="727"/>
      <c r="C54" s="503" t="e">
        <f>#REF!</f>
        <v>#REF!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" hidden="1" customHeight="1">
      <c r="A55" s="726" t="s">
        <v>847</v>
      </c>
      <c r="B55" s="727"/>
      <c r="C55" s="504">
        <f>C64</f>
        <v>0.17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" hidden="1" customHeight="1">
      <c r="A56" s="1640" t="s">
        <v>848</v>
      </c>
      <c r="B56" s="1641"/>
      <c r="C56" s="1641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" hidden="1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" hidden="1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" hidden="1" customHeight="1">
      <c r="A59" s="1642" t="s">
        <v>849</v>
      </c>
      <c r="B59" s="1616"/>
      <c r="C59" s="1616"/>
      <c r="D59" s="15"/>
      <c r="E59" s="454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" hidden="1" customHeight="1">
      <c r="A60" s="505" t="s">
        <v>850</v>
      </c>
      <c r="B60" s="16"/>
      <c r="C60" s="506">
        <v>0</v>
      </c>
      <c r="D60" s="15"/>
      <c r="E60" s="507">
        <v>0.27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" hidden="1" customHeight="1">
      <c r="A61" s="505" t="s">
        <v>851</v>
      </c>
      <c r="B61" s="16"/>
      <c r="C61" s="728">
        <v>0.68</v>
      </c>
      <c r="D61" s="15"/>
      <c r="E61" s="729">
        <v>0.59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" hidden="1" customHeight="1">
      <c r="A62" s="505" t="s">
        <v>852</v>
      </c>
      <c r="B62" s="16"/>
      <c r="C62" s="730">
        <v>0</v>
      </c>
      <c r="D62" s="15"/>
      <c r="E62" s="731">
        <v>0.63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" hidden="1" customHeight="1">
      <c r="A63" s="505" t="s">
        <v>853</v>
      </c>
      <c r="B63" s="16"/>
      <c r="C63" s="732">
        <v>0</v>
      </c>
      <c r="D63" s="15"/>
      <c r="E63" s="729">
        <v>0.75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" hidden="1" customHeight="1">
      <c r="A64" s="733" t="s">
        <v>854</v>
      </c>
      <c r="B64" s="734"/>
      <c r="C64" s="508">
        <f>AVERAGE(C60:C63)</f>
        <v>0.17</v>
      </c>
      <c r="D64" s="15"/>
      <c r="E64" s="509">
        <f>AVERAGE(E60:E63)</f>
        <v>0.56000000000000005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" hidden="1" customHeight="1">
      <c r="A65" s="454" t="s">
        <v>855</v>
      </c>
      <c r="B65" s="16"/>
      <c r="C65" s="16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" hidden="1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hidden="1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601" t="s">
        <v>856</v>
      </c>
      <c r="R67" s="1601" t="s">
        <v>857</v>
      </c>
      <c r="S67" s="1602" t="s">
        <v>858</v>
      </c>
      <c r="T67" s="1623"/>
      <c r="U67" s="1602" t="s">
        <v>859</v>
      </c>
      <c r="V67" s="1623"/>
      <c r="W67" s="1602" t="s">
        <v>860</v>
      </c>
      <c r="X67" s="1623"/>
      <c r="Y67" s="1602" t="s">
        <v>861</v>
      </c>
      <c r="Z67" s="1623"/>
    </row>
    <row r="68" spans="1:26" ht="12.75" hidden="1" customHeight="1">
      <c r="A68" s="162" t="s">
        <v>862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25"/>
      <c r="R68" s="1625"/>
      <c r="S68" s="1602" t="s">
        <v>863</v>
      </c>
      <c r="T68" s="1623"/>
      <c r="U68" s="1602" t="s">
        <v>864</v>
      </c>
      <c r="V68" s="1623"/>
      <c r="W68" s="1602" t="s">
        <v>865</v>
      </c>
      <c r="X68" s="1623"/>
      <c r="Y68" s="1602" t="s">
        <v>866</v>
      </c>
      <c r="Z68" s="1623"/>
    </row>
    <row r="69" spans="1:26" ht="12.75" hidden="1" customHeight="1">
      <c r="A69" s="735"/>
      <c r="B69" s="510"/>
      <c r="C69" s="172" t="s">
        <v>867</v>
      </c>
      <c r="D69" s="1643" t="s">
        <v>827</v>
      </c>
      <c r="E69" s="1644"/>
      <c r="F69" s="172" t="s">
        <v>828</v>
      </c>
      <c r="G69" s="172" t="s">
        <v>868</v>
      </c>
      <c r="H69" s="1643" t="s">
        <v>827</v>
      </c>
      <c r="I69" s="1644"/>
      <c r="J69" s="172" t="s">
        <v>828</v>
      </c>
      <c r="K69" s="15"/>
      <c r="L69" s="15"/>
      <c r="M69" s="15"/>
      <c r="N69" s="15"/>
      <c r="O69" s="15"/>
      <c r="P69" s="15"/>
      <c r="Q69" s="1626"/>
      <c r="R69" s="1626"/>
      <c r="S69" s="511" t="s">
        <v>869</v>
      </c>
      <c r="T69" s="511" t="s">
        <v>870</v>
      </c>
      <c r="U69" s="511" t="s">
        <v>869</v>
      </c>
      <c r="V69" s="511" t="s">
        <v>870</v>
      </c>
      <c r="W69" s="511" t="s">
        <v>871</v>
      </c>
      <c r="X69" s="511" t="s">
        <v>872</v>
      </c>
      <c r="Y69" s="511" t="s">
        <v>873</v>
      </c>
      <c r="Z69" s="511" t="s">
        <v>874</v>
      </c>
    </row>
    <row r="70" spans="1:26" ht="12" hidden="1" customHeight="1">
      <c r="A70" s="735" t="s">
        <v>875</v>
      </c>
      <c r="B70" s="512">
        <v>0</v>
      </c>
      <c r="C70" s="503">
        <v>0.05</v>
      </c>
      <c r="D70" s="1643">
        <v>246173</v>
      </c>
      <c r="E70" s="1616"/>
      <c r="F70" s="1645">
        <v>0.1696</v>
      </c>
      <c r="G70" s="512">
        <v>-0.23569999999999999</v>
      </c>
      <c r="H70" s="1643">
        <v>0</v>
      </c>
      <c r="I70" s="1644"/>
      <c r="J70" s="503">
        <v>0.1099</v>
      </c>
      <c r="K70" s="15"/>
      <c r="L70" s="15"/>
      <c r="M70" s="15"/>
      <c r="N70" s="15"/>
      <c r="O70" s="15"/>
      <c r="P70" s="15"/>
      <c r="Q70" s="172" t="s">
        <v>827</v>
      </c>
      <c r="R70" s="173">
        <v>931508.04001352284</v>
      </c>
      <c r="S70" s="173">
        <v>718415.93695100187</v>
      </c>
      <c r="T70" s="173">
        <v>503619.83109572413</v>
      </c>
      <c r="U70" s="173">
        <v>764774.41720257676</v>
      </c>
      <c r="V70" s="173">
        <v>596013.65408763755</v>
      </c>
      <c r="W70" s="173">
        <v>794404.66200734209</v>
      </c>
      <c r="X70" s="173">
        <v>655492.93588460784</v>
      </c>
      <c r="Y70" s="173">
        <v>825750.82914323104</v>
      </c>
      <c r="Z70" s="173">
        <v>724156.70272856869</v>
      </c>
    </row>
    <row r="71" spans="1:26" ht="12" hidden="1" customHeight="1">
      <c r="A71" s="735" t="s">
        <v>864</v>
      </c>
      <c r="B71" s="512">
        <v>0</v>
      </c>
      <c r="C71" s="512">
        <v>-0.05</v>
      </c>
      <c r="D71" s="1646"/>
      <c r="E71" s="1616"/>
      <c r="F71" s="1644"/>
      <c r="G71" s="512">
        <v>-0.19139999999999999</v>
      </c>
      <c r="H71" s="1643">
        <v>0</v>
      </c>
      <c r="I71" s="1644"/>
      <c r="J71" s="503">
        <f t="shared" ref="J71:J73" si="18">J70</f>
        <v>0.1099</v>
      </c>
      <c r="K71" s="15"/>
      <c r="L71" s="15"/>
      <c r="M71" s="15"/>
      <c r="N71" s="15"/>
      <c r="O71" s="15"/>
      <c r="P71" s="15"/>
      <c r="Q71" s="172" t="s">
        <v>828</v>
      </c>
      <c r="R71" s="503">
        <v>0.18584118099587454</v>
      </c>
      <c r="S71" s="503">
        <v>0.17312720488444278</v>
      </c>
      <c r="T71" s="503">
        <v>0.15971477176309676</v>
      </c>
      <c r="U71" s="503">
        <v>0.17606084594926003</v>
      </c>
      <c r="V71" s="503">
        <v>0.16576755859654443</v>
      </c>
      <c r="W71" s="503">
        <v>0.17708891460302278</v>
      </c>
      <c r="X71" s="503">
        <v>0.16813371620357326</v>
      </c>
      <c r="Y71" s="503">
        <v>0.18503639876240988</v>
      </c>
      <c r="Z71" s="503">
        <v>0.18410306197767326</v>
      </c>
    </row>
    <row r="72" spans="1:26" ht="12" hidden="1" customHeight="1">
      <c r="A72" s="735" t="s">
        <v>876</v>
      </c>
      <c r="B72" s="512">
        <v>0</v>
      </c>
      <c r="C72" s="512">
        <v>0.05</v>
      </c>
      <c r="D72" s="1646"/>
      <c r="E72" s="1616"/>
      <c r="F72" s="1644"/>
      <c r="G72" s="512">
        <v>0.3387</v>
      </c>
      <c r="H72" s="1643">
        <v>0</v>
      </c>
      <c r="I72" s="1644"/>
      <c r="J72" s="503">
        <f t="shared" si="18"/>
        <v>0.1099</v>
      </c>
      <c r="K72" s="15"/>
      <c r="L72" s="15"/>
      <c r="M72" s="15"/>
      <c r="N72" s="15"/>
      <c r="O72" s="15"/>
      <c r="P72" s="15"/>
      <c r="Q72" s="172" t="s">
        <v>877</v>
      </c>
      <c r="R72" s="513">
        <v>9.4151982197884685</v>
      </c>
      <c r="S72" s="513">
        <v>9.6743247712156979</v>
      </c>
      <c r="T72" s="513">
        <v>9.9810753855452798</v>
      </c>
      <c r="U72" s="513">
        <v>9.609529603683681</v>
      </c>
      <c r="V72" s="513">
        <v>9.834738423201479</v>
      </c>
      <c r="W72" s="513">
        <v>9.6084626555343675</v>
      </c>
      <c r="X72" s="513">
        <v>9.8189960330061847</v>
      </c>
      <c r="Y72" s="513">
        <v>9.4257481005281782</v>
      </c>
      <c r="Z72" s="513">
        <v>9.4401361724566648</v>
      </c>
    </row>
    <row r="73" spans="1:26" ht="12" hidden="1" customHeight="1">
      <c r="A73" s="735" t="s">
        <v>878</v>
      </c>
      <c r="B73" s="512">
        <v>0.11</v>
      </c>
      <c r="C73" s="512">
        <v>0</v>
      </c>
      <c r="D73" s="1646"/>
      <c r="E73" s="1616"/>
      <c r="F73" s="1644"/>
      <c r="G73" s="512">
        <v>0.15179999999999999</v>
      </c>
      <c r="H73" s="1643">
        <v>0</v>
      </c>
      <c r="I73" s="1644"/>
      <c r="J73" s="503">
        <f t="shared" si="18"/>
        <v>0.1099</v>
      </c>
      <c r="K73" s="15"/>
      <c r="L73" s="15"/>
      <c r="M73" s="15"/>
      <c r="N73" s="15"/>
      <c r="O73" s="15"/>
      <c r="P73" s="15"/>
      <c r="Q73" s="172"/>
      <c r="R73" s="172"/>
      <c r="S73" s="510"/>
      <c r="T73" s="510"/>
      <c r="U73" s="510"/>
      <c r="V73" s="510"/>
      <c r="W73" s="510"/>
      <c r="X73" s="510"/>
      <c r="Y73" s="510"/>
      <c r="Z73" s="510"/>
    </row>
    <row r="74" spans="1:26" ht="12" hidden="1" customHeight="1">
      <c r="A74" s="15"/>
      <c r="B74" s="514"/>
      <c r="C74" s="514"/>
      <c r="D74" s="514"/>
      <c r="E74" s="514"/>
      <c r="F74" s="514"/>
      <c r="G74" s="514"/>
      <c r="H74" s="514"/>
      <c r="I74" s="514"/>
      <c r="J74" s="514"/>
      <c r="K74" s="15"/>
      <c r="L74" s="15"/>
      <c r="M74" s="15"/>
      <c r="N74" s="15"/>
      <c r="O74" s="15"/>
      <c r="P74" s="15"/>
      <c r="Q74" s="1647" t="s">
        <v>879</v>
      </c>
      <c r="R74" s="1623"/>
      <c r="S74" s="1647">
        <v>5920</v>
      </c>
      <c r="T74" s="1623"/>
      <c r="U74" s="1648">
        <v>0.72</v>
      </c>
      <c r="V74" s="1623"/>
      <c r="W74" s="1648">
        <v>0.66</v>
      </c>
      <c r="X74" s="1623"/>
      <c r="Y74" s="1649">
        <v>0.23</v>
      </c>
      <c r="Z74" s="1623"/>
    </row>
    <row r="75" spans="1:26" ht="12" hidden="1" customHeight="1">
      <c r="A75" s="15"/>
      <c r="B75" s="15"/>
      <c r="C75" s="15"/>
      <c r="D75" s="15"/>
      <c r="E75" s="15"/>
      <c r="F75" s="15"/>
      <c r="G75" s="15"/>
      <c r="H75" s="1650">
        <f>C34</f>
        <v>117688.4677869943</v>
      </c>
      <c r="I75" s="1616"/>
      <c r="J75" s="164" t="e">
        <f>C35</f>
        <v>#NUM!</v>
      </c>
      <c r="K75" s="15"/>
      <c r="L75" s="15"/>
      <c r="M75" s="15"/>
      <c r="N75" s="15"/>
      <c r="O75" s="15"/>
      <c r="P75" s="15"/>
      <c r="Q75" s="1647" t="s">
        <v>857</v>
      </c>
      <c r="R75" s="1623"/>
      <c r="S75" s="1647">
        <v>7565</v>
      </c>
      <c r="T75" s="1623"/>
      <c r="U75" s="1648">
        <v>0.95</v>
      </c>
      <c r="V75" s="1623"/>
      <c r="W75" s="1648">
        <v>0.05</v>
      </c>
      <c r="X75" s="1623"/>
      <c r="Y75" s="1649">
        <v>0.11</v>
      </c>
      <c r="Z75" s="1623"/>
    </row>
    <row r="76" spans="1:26" ht="12" hidden="1" customHeight="1">
      <c r="A76" s="15" t="s">
        <v>880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514"/>
      <c r="V76" s="514"/>
      <c r="W76" s="514"/>
      <c r="X76" s="514"/>
      <c r="Y76" s="15"/>
      <c r="Z76" s="15"/>
    </row>
    <row r="77" spans="1:26" ht="12" hidden="1" customHeight="1">
      <c r="A77" s="15">
        <v>2015</v>
      </c>
      <c r="B77" s="515" t="e">
        <f>#REF!</f>
        <v>#REF!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482" t="e">
        <f>#REF!*1000</f>
        <v>#REF!</v>
      </c>
      <c r="U77" s="15"/>
      <c r="V77" s="15"/>
      <c r="W77" s="15"/>
      <c r="X77" s="15"/>
      <c r="Y77" s="15"/>
      <c r="Z77" s="15"/>
    </row>
    <row r="78" spans="1:26" ht="12" hidden="1" customHeight="1">
      <c r="A78" s="15">
        <f t="shared" ref="A78:A90" si="19">A77+1</f>
        <v>2016</v>
      </c>
      <c r="B78" s="515" t="e">
        <f>#REF!</f>
        <v>#REF!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5" hidden="1" customHeight="1">
      <c r="A79" s="15">
        <f t="shared" si="19"/>
        <v>2017</v>
      </c>
      <c r="B79" s="515" t="e">
        <f>#REF!</f>
        <v>#REF!</v>
      </c>
      <c r="C79" s="162"/>
      <c r="D79" s="15"/>
      <c r="E79" s="15"/>
      <c r="F79" s="169">
        <f>3624000000</f>
        <v>3624000000</v>
      </c>
      <c r="G79" s="15">
        <v>4200000000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>
        <f>7.2*0.9</f>
        <v>6.48</v>
      </c>
      <c r="T79" s="15"/>
      <c r="U79" s="15"/>
      <c r="V79" s="15"/>
      <c r="W79" s="15"/>
      <c r="X79" s="15"/>
      <c r="Y79" s="15"/>
      <c r="Z79" s="15"/>
    </row>
    <row r="80" spans="1:26" ht="12" hidden="1" customHeight="1">
      <c r="A80" s="15">
        <f t="shared" si="19"/>
        <v>2018</v>
      </c>
      <c r="B80" s="515" t="e">
        <f>#REF!</f>
        <v>#REF!</v>
      </c>
      <c r="C80" s="15"/>
      <c r="D80" s="15"/>
      <c r="E80" s="15"/>
      <c r="F80" s="169">
        <v>1210</v>
      </c>
      <c r="G80" s="15">
        <v>1210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" hidden="1" customHeight="1">
      <c r="A81" s="15">
        <f t="shared" si="19"/>
        <v>2019</v>
      </c>
      <c r="B81" s="515" t="e">
        <f>#REF!</f>
        <v>#REF!</v>
      </c>
      <c r="C81" s="164"/>
      <c r="D81" s="164"/>
      <c r="E81" s="164"/>
      <c r="F81" s="169">
        <f t="shared" ref="F81:G81" si="20">F79/F80</f>
        <v>2995041.3223140496</v>
      </c>
      <c r="G81" s="169">
        <f t="shared" si="20"/>
        <v>3471074.3801652892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" hidden="1" customHeight="1">
      <c r="A82" s="15">
        <f t="shared" si="19"/>
        <v>2020</v>
      </c>
      <c r="B82" s="515" t="e">
        <f>#REF!</f>
        <v>#REF!</v>
      </c>
      <c r="C82" s="164"/>
      <c r="D82" s="164"/>
      <c r="E82" s="164"/>
      <c r="F82" s="15">
        <f t="shared" ref="F82:G82" si="21">30*24</f>
        <v>720</v>
      </c>
      <c r="G82" s="15">
        <f t="shared" si="21"/>
        <v>720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" hidden="1" customHeight="1">
      <c r="A83" s="15">
        <f t="shared" si="19"/>
        <v>2021</v>
      </c>
      <c r="B83" s="515" t="e">
        <f>#REF!</f>
        <v>#REF!</v>
      </c>
      <c r="C83" s="164"/>
      <c r="D83" s="164"/>
      <c r="E83" s="164"/>
      <c r="F83" s="169">
        <f t="shared" ref="F83:G83" si="22">F81/F82</f>
        <v>4159.7796143250689</v>
      </c>
      <c r="G83" s="169">
        <f t="shared" si="22"/>
        <v>4820.9366391184576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" hidden="1" customHeight="1">
      <c r="A84" s="15">
        <f t="shared" si="19"/>
        <v>2022</v>
      </c>
      <c r="B84" s="515" t="e">
        <f>#REF!</f>
        <v>#REF!</v>
      </c>
      <c r="C84" s="164"/>
      <c r="D84" s="15"/>
      <c r="E84" s="15"/>
      <c r="F84" s="15">
        <v>7000</v>
      </c>
      <c r="G84" s="15">
        <v>7000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" hidden="1" customHeight="1">
      <c r="A85" s="15">
        <f t="shared" si="19"/>
        <v>2023</v>
      </c>
      <c r="B85" s="515" t="e">
        <f>#REF!</f>
        <v>#REF!</v>
      </c>
      <c r="C85" s="164"/>
      <c r="D85" s="164"/>
      <c r="E85" s="164"/>
      <c r="F85" s="164">
        <f t="shared" ref="F85:G85" si="23">F83/F84</f>
        <v>0.59425423061786697</v>
      </c>
      <c r="G85" s="164">
        <f t="shared" si="23"/>
        <v>0.68870523415977969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" hidden="1" customHeight="1">
      <c r="A86" s="15">
        <f t="shared" si="19"/>
        <v>2024</v>
      </c>
      <c r="B86" s="515" t="e">
        <f>#REF!</f>
        <v>#REF!</v>
      </c>
      <c r="C86" s="164"/>
      <c r="D86" s="164"/>
      <c r="E86" s="164"/>
      <c r="F86" s="164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" hidden="1" customHeight="1">
      <c r="A87" s="15">
        <f t="shared" si="19"/>
        <v>2025</v>
      </c>
      <c r="B87" s="515" t="e">
        <f>#REF!</f>
        <v>#REF!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" hidden="1" customHeight="1">
      <c r="A88" s="15">
        <f t="shared" si="19"/>
        <v>2026</v>
      </c>
      <c r="B88" s="515" t="e">
        <f>#REF!</f>
        <v>#REF!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" hidden="1" customHeight="1">
      <c r="A89" s="15">
        <f t="shared" si="19"/>
        <v>2027</v>
      </c>
      <c r="B89" s="515" t="e">
        <f>#REF!</f>
        <v>#REF!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" hidden="1" customHeight="1">
      <c r="A90" s="15">
        <f t="shared" si="19"/>
        <v>2028</v>
      </c>
      <c r="B90" s="515" t="e">
        <f>#REF!</f>
        <v>#REF!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" hidden="1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" customHeight="1">
      <c r="A94" s="15"/>
      <c r="B94" s="15"/>
      <c r="C94" s="168"/>
      <c r="D94" s="15"/>
      <c r="E94" s="17"/>
      <c r="F94" s="15"/>
      <c r="G94" s="15"/>
      <c r="H94" s="15"/>
      <c r="I94" s="15"/>
      <c r="J94" s="17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" customHeight="1">
      <c r="A95" s="15"/>
      <c r="B95" s="15"/>
      <c r="C95" s="168"/>
      <c r="D95" s="15"/>
      <c r="E95" s="17"/>
      <c r="F95" s="15"/>
      <c r="G95" s="15"/>
      <c r="H95" s="15"/>
      <c r="I95" s="15"/>
      <c r="J95" s="164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" customHeight="1">
      <c r="A96" s="15"/>
      <c r="B96" s="15"/>
      <c r="C96" s="168"/>
      <c r="D96" s="15"/>
      <c r="E96" s="17"/>
      <c r="F96" s="15"/>
      <c r="G96" s="15"/>
      <c r="H96" s="15"/>
      <c r="I96" s="15"/>
      <c r="J96" s="171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" customHeight="1">
      <c r="A97" s="15"/>
      <c r="B97" s="15"/>
      <c r="C97" s="168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" customHeight="1">
      <c r="A98" s="15"/>
      <c r="B98" s="15"/>
      <c r="C98" s="168"/>
      <c r="D98" s="15"/>
      <c r="E98" s="17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7"/>
      <c r="K100" s="15"/>
      <c r="L100" s="15"/>
      <c r="M100" s="15"/>
      <c r="N100" s="17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64"/>
      <c r="K101" s="15"/>
      <c r="L101" s="15"/>
      <c r="M101" s="15"/>
      <c r="N101" s="164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64"/>
      <c r="K102" s="15"/>
      <c r="L102" s="15"/>
      <c r="M102" s="15"/>
      <c r="N102" s="164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64"/>
      <c r="K104" s="15"/>
      <c r="L104" s="15"/>
      <c r="M104" s="15"/>
      <c r="N104" s="164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" customHeight="1">
      <c r="A105" s="496"/>
      <c r="B105" s="496"/>
      <c r="C105" s="496"/>
      <c r="D105" s="496"/>
      <c r="E105" s="496"/>
      <c r="F105" s="496"/>
      <c r="G105" s="496"/>
      <c r="H105" s="496"/>
      <c r="I105" s="496"/>
      <c r="J105" s="496"/>
      <c r="K105" s="496"/>
      <c r="L105" s="496"/>
      <c r="M105" s="496"/>
      <c r="N105" s="496"/>
      <c r="O105" s="496"/>
      <c r="P105" s="496"/>
      <c r="Q105" s="496"/>
      <c r="R105" s="496"/>
      <c r="S105" s="496"/>
      <c r="T105" s="496"/>
      <c r="U105" s="496"/>
      <c r="V105" s="496"/>
      <c r="W105" s="496"/>
      <c r="X105" s="496"/>
      <c r="Y105" s="496"/>
      <c r="Z105" s="496"/>
    </row>
    <row r="106" spans="1:26" ht="12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2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2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2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2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2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2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2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2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2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2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2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2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2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2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2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2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2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2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2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2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2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2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2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2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2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2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2">
    <mergeCell ref="W67:X67"/>
    <mergeCell ref="Y67:Z67"/>
    <mergeCell ref="S68:T68"/>
    <mergeCell ref="U68:V68"/>
    <mergeCell ref="W68:X68"/>
    <mergeCell ref="Y68:Z68"/>
    <mergeCell ref="S67:T67"/>
    <mergeCell ref="U67:V67"/>
    <mergeCell ref="A52:C52"/>
    <mergeCell ref="A56:C56"/>
    <mergeCell ref="A59:C59"/>
    <mergeCell ref="Q67:Q69"/>
    <mergeCell ref="R67:R69"/>
    <mergeCell ref="D69:E69"/>
    <mergeCell ref="H69:I69"/>
    <mergeCell ref="D70:E73"/>
    <mergeCell ref="F70:F73"/>
    <mergeCell ref="H70:I70"/>
    <mergeCell ref="H71:I71"/>
    <mergeCell ref="H72:I72"/>
    <mergeCell ref="H73:I73"/>
    <mergeCell ref="H75:I75"/>
    <mergeCell ref="S75:T75"/>
    <mergeCell ref="U75:V75"/>
    <mergeCell ref="W75:X75"/>
    <mergeCell ref="Y75:Z75"/>
    <mergeCell ref="Q75:R75"/>
    <mergeCell ref="Q74:R74"/>
    <mergeCell ref="S74:T74"/>
    <mergeCell ref="U74:V74"/>
    <mergeCell ref="W74:X74"/>
    <mergeCell ref="Y74:Z74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0"/>
  <dimension ref="B1:J995"/>
  <sheetViews>
    <sheetView workbookViewId="0">
      <selection activeCell="D5" sqref="D5"/>
    </sheetView>
  </sheetViews>
  <sheetFormatPr defaultColWidth="12.42578125" defaultRowHeight="15" customHeight="1"/>
  <cols>
    <col min="1" max="1" width="8" customWidth="1"/>
    <col min="2" max="2" width="23.7109375" customWidth="1"/>
    <col min="3" max="3" width="8" customWidth="1"/>
    <col min="4" max="4" width="21.28515625" customWidth="1"/>
    <col min="5" max="5" width="11.42578125" customWidth="1"/>
    <col min="6" max="8" width="8" customWidth="1"/>
    <col min="9" max="9" width="11.7109375" customWidth="1"/>
    <col min="10" max="10" width="14" customWidth="1"/>
    <col min="11" max="27" width="8" customWidth="1"/>
  </cols>
  <sheetData>
    <row r="1" spans="2:10" ht="12" customHeight="1"/>
    <row r="2" spans="2:10" ht="12" customHeight="1">
      <c r="B2" s="759" t="s">
        <v>881</v>
      </c>
      <c r="D2" s="1603" t="s">
        <v>882</v>
      </c>
      <c r="E2" s="1604"/>
      <c r="F2" s="1604"/>
      <c r="G2" s="1604"/>
      <c r="H2" s="1604"/>
      <c r="I2" s="1604"/>
      <c r="J2" s="1605"/>
    </row>
    <row r="3" spans="2:10" ht="12" customHeight="1">
      <c r="D3" s="766" t="s">
        <v>883</v>
      </c>
      <c r="E3" s="766" t="s">
        <v>884</v>
      </c>
      <c r="F3" s="766" t="s">
        <v>827</v>
      </c>
      <c r="G3" s="766" t="s">
        <v>828</v>
      </c>
      <c r="H3" s="766" t="s">
        <v>829</v>
      </c>
      <c r="I3" s="766" t="s">
        <v>885</v>
      </c>
      <c r="J3" s="766" t="s">
        <v>886</v>
      </c>
    </row>
    <row r="4" spans="2:10" ht="12" customHeight="1">
      <c r="D4" s="760" t="s">
        <v>857</v>
      </c>
      <c r="E4" s="761"/>
      <c r="F4" s="762"/>
      <c r="G4" s="763"/>
      <c r="H4" s="764"/>
      <c r="I4" s="764"/>
      <c r="J4" s="760" t="s">
        <v>887</v>
      </c>
    </row>
    <row r="5" spans="2:10" ht="12" customHeight="1">
      <c r="D5" s="760" t="str">
        <f>+D2</f>
        <v>Decrease in Sales</v>
      </c>
      <c r="E5" s="761"/>
      <c r="F5" s="762"/>
      <c r="G5" s="763"/>
      <c r="H5" s="764"/>
      <c r="I5" s="764"/>
      <c r="J5" s="760" t="s">
        <v>887</v>
      </c>
    </row>
    <row r="6" spans="2:10" ht="12" customHeight="1">
      <c r="D6" s="760" t="str">
        <f>+D2</f>
        <v>Decrease in Sales</v>
      </c>
      <c r="E6" s="761"/>
      <c r="F6" s="762"/>
      <c r="G6" s="763"/>
      <c r="H6" s="764"/>
      <c r="I6" s="764"/>
      <c r="J6" s="760" t="s">
        <v>888</v>
      </c>
    </row>
    <row r="7" spans="2:10" ht="12" customHeight="1"/>
    <row r="8" spans="2:10" ht="12" customHeight="1">
      <c r="D8" s="1603" t="s">
        <v>889</v>
      </c>
      <c r="E8" s="1604"/>
      <c r="F8" s="1604"/>
      <c r="G8" s="1604"/>
      <c r="H8" s="1604"/>
      <c r="I8" s="1604"/>
      <c r="J8" s="1605"/>
    </row>
    <row r="9" spans="2:10" ht="12" customHeight="1">
      <c r="D9" s="766" t="str">
        <f>D3</f>
        <v>Condition</v>
      </c>
      <c r="E9" s="766" t="str">
        <f>E3</f>
        <v>Changes</v>
      </c>
      <c r="F9" s="766" t="str">
        <f>F3</f>
        <v>NPV</v>
      </c>
      <c r="G9" s="766" t="str">
        <f>G3</f>
        <v>IRR</v>
      </c>
      <c r="H9" s="766" t="str">
        <f>H3</f>
        <v>B/C Ratio</v>
      </c>
      <c r="I9" s="766" t="s">
        <v>885</v>
      </c>
      <c r="J9" s="766" t="str">
        <f>J3</f>
        <v>Conclusion</v>
      </c>
    </row>
    <row r="10" spans="2:10" ht="12" customHeight="1">
      <c r="D10" s="760" t="str">
        <f>D4</f>
        <v>Normal</v>
      </c>
      <c r="E10" s="761"/>
      <c r="F10" s="762"/>
      <c r="G10" s="763"/>
      <c r="H10" s="764"/>
      <c r="I10" s="764"/>
      <c r="J10" s="760" t="str">
        <f>J4</f>
        <v>Feasible</v>
      </c>
    </row>
    <row r="11" spans="2:10" ht="12" customHeight="1">
      <c r="D11" s="760" t="str">
        <f>+D8</f>
        <v>Increase in COGS</v>
      </c>
      <c r="E11" s="765"/>
      <c r="F11" s="762"/>
      <c r="G11" s="763"/>
      <c r="H11" s="764"/>
      <c r="I11" s="764"/>
      <c r="J11" s="760" t="str">
        <f>J5</f>
        <v>Feasible</v>
      </c>
    </row>
    <row r="12" spans="2:10" ht="12" customHeight="1">
      <c r="D12" s="760" t="str">
        <f>+D8</f>
        <v>Increase in COGS</v>
      </c>
      <c r="E12" s="765"/>
      <c r="F12" s="762"/>
      <c r="G12" s="763"/>
      <c r="H12" s="764"/>
      <c r="I12" s="764"/>
      <c r="J12" s="760" t="str">
        <f>J6</f>
        <v>Not Feasible</v>
      </c>
    </row>
    <row r="13" spans="2:10" ht="12" customHeight="1"/>
    <row r="14" spans="2:10" ht="12" customHeight="1">
      <c r="D14" s="1603" t="s">
        <v>890</v>
      </c>
      <c r="E14" s="1604"/>
      <c r="F14" s="1604"/>
      <c r="G14" s="1604"/>
      <c r="H14" s="1604"/>
      <c r="I14" s="1604"/>
      <c r="J14" s="1605"/>
    </row>
    <row r="15" spans="2:10" ht="12" customHeight="1">
      <c r="D15" s="766" t="str">
        <f>D3</f>
        <v>Condition</v>
      </c>
      <c r="E15" s="766" t="str">
        <f>E3</f>
        <v>Changes</v>
      </c>
      <c r="F15" s="766" t="str">
        <f>F3</f>
        <v>NPV</v>
      </c>
      <c r="G15" s="766" t="str">
        <f>G3</f>
        <v>IRR</v>
      </c>
      <c r="H15" s="766" t="str">
        <f>H3</f>
        <v>B/C Ratio</v>
      </c>
      <c r="I15" s="766" t="s">
        <v>885</v>
      </c>
      <c r="J15" s="766" t="str">
        <f>J3</f>
        <v>Conclusion</v>
      </c>
    </row>
    <row r="16" spans="2:10" ht="12" customHeight="1">
      <c r="D16" s="760" t="str">
        <f>D4</f>
        <v>Normal</v>
      </c>
      <c r="E16" s="761"/>
      <c r="F16" s="762"/>
      <c r="G16" s="763"/>
      <c r="H16" s="764"/>
      <c r="I16" s="764"/>
      <c r="J16" s="760" t="str">
        <f>J4</f>
        <v>Feasible</v>
      </c>
    </row>
    <row r="17" spans="4:10" ht="12" customHeight="1">
      <c r="D17" s="760" t="str">
        <f>+D14</f>
        <v>Increase in SGA</v>
      </c>
      <c r="E17" s="765"/>
      <c r="F17" s="762"/>
      <c r="G17" s="763"/>
      <c r="H17" s="764"/>
      <c r="I17" s="764"/>
      <c r="J17" s="760" t="str">
        <f>J5</f>
        <v>Feasible</v>
      </c>
    </row>
    <row r="18" spans="4:10" ht="12" customHeight="1">
      <c r="D18" s="760" t="str">
        <f>+D14</f>
        <v>Increase in SGA</v>
      </c>
      <c r="E18" s="765"/>
      <c r="F18" s="762"/>
      <c r="G18" s="763"/>
      <c r="H18" s="764"/>
      <c r="I18" s="764"/>
      <c r="J18" s="760" t="str">
        <f>J6</f>
        <v>Not Feasible</v>
      </c>
    </row>
    <row r="19" spans="4:10" ht="12" customHeight="1"/>
    <row r="20" spans="4:10" ht="12" customHeight="1">
      <c r="D20" s="1603" t="s">
        <v>891</v>
      </c>
      <c r="E20" s="1604"/>
      <c r="F20" s="1604"/>
      <c r="G20" s="1604"/>
      <c r="H20" s="1604"/>
      <c r="I20" s="1604"/>
      <c r="J20" s="1605"/>
    </row>
    <row r="21" spans="4:10" ht="12" customHeight="1">
      <c r="D21" s="766" t="str">
        <f>D3</f>
        <v>Condition</v>
      </c>
      <c r="E21" s="766" t="str">
        <f>E3</f>
        <v>Changes</v>
      </c>
      <c r="F21" s="766" t="str">
        <f>F3</f>
        <v>NPV</v>
      </c>
      <c r="G21" s="766" t="str">
        <f>G3</f>
        <v>IRR</v>
      </c>
      <c r="H21" s="766" t="str">
        <f>H3</f>
        <v>B/C Ratio</v>
      </c>
      <c r="I21" s="766" t="s">
        <v>885</v>
      </c>
      <c r="J21" s="766" t="str">
        <f>J3</f>
        <v>Conclusion</v>
      </c>
    </row>
    <row r="22" spans="4:10" ht="12" customHeight="1">
      <c r="D22" s="760" t="str">
        <f>D4</f>
        <v>Normal</v>
      </c>
      <c r="E22" s="761"/>
      <c r="F22" s="762"/>
      <c r="G22" s="763"/>
      <c r="H22" s="764"/>
      <c r="I22" s="764"/>
      <c r="J22" s="760" t="str">
        <f>J4</f>
        <v>Feasible</v>
      </c>
    </row>
    <row r="23" spans="4:10" ht="12" customHeight="1">
      <c r="D23" s="760" t="str">
        <f>+D20</f>
        <v>Increase in Other Expenses</v>
      </c>
      <c r="E23" s="765"/>
      <c r="F23" s="762"/>
      <c r="G23" s="763"/>
      <c r="H23" s="764"/>
      <c r="I23" s="764"/>
      <c r="J23" s="760" t="str">
        <f>J5</f>
        <v>Feasible</v>
      </c>
    </row>
    <row r="24" spans="4:10" ht="12" customHeight="1">
      <c r="D24" s="760" t="str">
        <f>+D20</f>
        <v>Increase in Other Expenses</v>
      </c>
      <c r="E24" s="765"/>
      <c r="F24" s="762"/>
      <c r="G24" s="763"/>
      <c r="H24" s="764"/>
      <c r="I24" s="764"/>
      <c r="J24" s="760" t="str">
        <f>J6</f>
        <v>Not Feasible</v>
      </c>
    </row>
    <row r="25" spans="4:10" ht="12" customHeight="1"/>
    <row r="26" spans="4:10" ht="12" customHeight="1">
      <c r="D26" s="1606" t="s">
        <v>892</v>
      </c>
      <c r="E26" s="1607"/>
      <c r="F26" s="1607"/>
      <c r="G26" s="1607"/>
      <c r="H26" s="1607"/>
      <c r="I26" s="1607"/>
      <c r="J26" s="1608"/>
    </row>
    <row r="27" spans="4:10" ht="12" customHeight="1">
      <c r="D27" s="766" t="str">
        <f>D3</f>
        <v>Condition</v>
      </c>
      <c r="E27" s="766" t="str">
        <f>E3</f>
        <v>Changes</v>
      </c>
      <c r="F27" s="766" t="str">
        <f>F3</f>
        <v>NPV</v>
      </c>
      <c r="G27" s="766" t="str">
        <f>G3</f>
        <v>IRR</v>
      </c>
      <c r="H27" s="766" t="str">
        <f>H3</f>
        <v>B/C Ratio</v>
      </c>
      <c r="I27" s="766" t="s">
        <v>885</v>
      </c>
      <c r="J27" s="766" t="str">
        <f>J3</f>
        <v>Conclusion</v>
      </c>
    </row>
    <row r="28" spans="4:10" ht="12" customHeight="1">
      <c r="D28" s="760" t="str">
        <f>D4</f>
        <v>Normal</v>
      </c>
      <c r="E28" s="761"/>
      <c r="F28" s="762"/>
      <c r="G28" s="763"/>
      <c r="H28" s="764"/>
      <c r="I28" s="764"/>
      <c r="J28" s="760" t="str">
        <f>J4</f>
        <v>Feasible</v>
      </c>
    </row>
    <row r="29" spans="4:10" ht="12" customHeight="1">
      <c r="D29" s="760" t="str">
        <f>+D26</f>
        <v>Increase in Interest Rate</v>
      </c>
      <c r="E29" s="768"/>
      <c r="F29" s="762"/>
      <c r="G29" s="763"/>
      <c r="H29" s="764"/>
      <c r="I29" s="764"/>
      <c r="J29" s="760" t="str">
        <f>J5</f>
        <v>Feasible</v>
      </c>
    </row>
    <row r="30" spans="4:10" ht="12" customHeight="1">
      <c r="D30" s="760" t="str">
        <f>D26</f>
        <v>Increase in Interest Rate</v>
      </c>
      <c r="E30" s="768"/>
      <c r="F30" s="762"/>
      <c r="G30" s="763"/>
      <c r="H30" s="764"/>
      <c r="I30" s="764"/>
      <c r="J30" s="760" t="str">
        <f>J6</f>
        <v>Not Feasible</v>
      </c>
    </row>
    <row r="31" spans="4:10" ht="12" customHeight="1"/>
    <row r="32" spans="4:10" ht="12" customHeight="1"/>
    <row r="33" spans="2:10" ht="12" customHeight="1">
      <c r="B33" s="759" t="s">
        <v>893</v>
      </c>
      <c r="D33" s="1603" t="str">
        <f>D2</f>
        <v>Decrease in Sales</v>
      </c>
      <c r="E33" s="1604"/>
      <c r="F33" s="1604"/>
      <c r="G33" s="1604"/>
      <c r="H33" s="1604"/>
      <c r="I33" s="1604"/>
      <c r="J33" s="1605"/>
    </row>
    <row r="34" spans="2:10" ht="12" customHeight="1">
      <c r="D34" s="766" t="str">
        <f>D3</f>
        <v>Condition</v>
      </c>
      <c r="E34" s="766" t="str">
        <f>E3</f>
        <v>Changes</v>
      </c>
      <c r="F34" s="766" t="str">
        <f>F3</f>
        <v>NPV</v>
      </c>
      <c r="G34" s="766" t="str">
        <f>G3</f>
        <v>IRR</v>
      </c>
      <c r="H34" s="766" t="str">
        <f>H3</f>
        <v>B/C Ratio</v>
      </c>
      <c r="I34" s="766" t="s">
        <v>885</v>
      </c>
      <c r="J34" s="766" t="str">
        <f>J3</f>
        <v>Conclusion</v>
      </c>
    </row>
    <row r="35" spans="2:10" ht="12" customHeight="1">
      <c r="D35" s="760" t="str">
        <f>D4</f>
        <v>Normal</v>
      </c>
      <c r="E35" s="761"/>
      <c r="F35" s="762"/>
      <c r="G35" s="763"/>
      <c r="H35" s="764"/>
      <c r="I35" s="764"/>
      <c r="J35" s="760" t="str">
        <f>J4</f>
        <v>Feasible</v>
      </c>
    </row>
    <row r="36" spans="2:10" ht="12" customHeight="1">
      <c r="D36" s="760" t="str">
        <f>+D33</f>
        <v>Decrease in Sales</v>
      </c>
      <c r="E36" s="761"/>
      <c r="F36" s="762"/>
      <c r="G36" s="763"/>
      <c r="H36" s="764"/>
      <c r="I36" s="764"/>
      <c r="J36" s="760" t="str">
        <f>J5</f>
        <v>Feasible</v>
      </c>
    </row>
    <row r="37" spans="2:10" ht="12" customHeight="1">
      <c r="D37" s="760" t="str">
        <f>+D33</f>
        <v>Decrease in Sales</v>
      </c>
      <c r="E37" s="761"/>
      <c r="F37" s="762"/>
      <c r="G37" s="763"/>
      <c r="H37" s="764"/>
      <c r="I37" s="764"/>
      <c r="J37" s="760" t="str">
        <f>J6</f>
        <v>Not Feasible</v>
      </c>
    </row>
    <row r="38" spans="2:10" ht="12" customHeight="1">
      <c r="D38" s="769"/>
      <c r="E38" s="769"/>
      <c r="F38" s="769"/>
      <c r="G38" s="769"/>
      <c r="H38" s="769"/>
      <c r="I38" s="769"/>
      <c r="J38" s="769"/>
    </row>
    <row r="39" spans="2:10" ht="12" customHeight="1">
      <c r="D39" s="1603" t="str">
        <f>D8</f>
        <v>Increase in COGS</v>
      </c>
      <c r="E39" s="1604"/>
      <c r="F39" s="1604"/>
      <c r="G39" s="1604"/>
      <c r="H39" s="1604"/>
      <c r="I39" s="1604"/>
      <c r="J39" s="1605"/>
    </row>
    <row r="40" spans="2:10" ht="12" customHeight="1">
      <c r="D40" s="766" t="str">
        <f>+D34</f>
        <v>Condition</v>
      </c>
      <c r="E40" s="766" t="str">
        <f>+E34</f>
        <v>Changes</v>
      </c>
      <c r="F40" s="766" t="str">
        <f>+F34</f>
        <v>NPV</v>
      </c>
      <c r="G40" s="766" t="str">
        <f>+G34</f>
        <v>IRR</v>
      </c>
      <c r="H40" s="766" t="str">
        <f>+H34</f>
        <v>B/C Ratio</v>
      </c>
      <c r="I40" s="766" t="s">
        <v>885</v>
      </c>
      <c r="J40" s="766" t="str">
        <f>+J34</f>
        <v>Conclusion</v>
      </c>
    </row>
    <row r="41" spans="2:10" ht="12" customHeight="1">
      <c r="D41" s="760" t="str">
        <f>D35</f>
        <v>Normal</v>
      </c>
      <c r="E41" s="761"/>
      <c r="F41" s="762"/>
      <c r="G41" s="763"/>
      <c r="H41" s="764"/>
      <c r="I41" s="764"/>
      <c r="J41" s="760" t="str">
        <f>+J35</f>
        <v>Feasible</v>
      </c>
    </row>
    <row r="42" spans="2:10" ht="12" customHeight="1">
      <c r="D42" s="760" t="str">
        <f>+D39</f>
        <v>Increase in COGS</v>
      </c>
      <c r="E42" s="765"/>
      <c r="F42" s="762"/>
      <c r="G42" s="763"/>
      <c r="H42" s="764"/>
      <c r="I42" s="764"/>
      <c r="J42" s="760" t="str">
        <f>+J36</f>
        <v>Feasible</v>
      </c>
    </row>
    <row r="43" spans="2:10" ht="12" customHeight="1">
      <c r="D43" s="760" t="str">
        <f>+D39</f>
        <v>Increase in COGS</v>
      </c>
      <c r="E43" s="765"/>
      <c r="F43" s="762"/>
      <c r="G43" s="763"/>
      <c r="H43" s="764"/>
      <c r="I43" s="764"/>
      <c r="J43" s="760" t="str">
        <f>+J37</f>
        <v>Not Feasible</v>
      </c>
    </row>
    <row r="44" spans="2:10" ht="12" customHeight="1">
      <c r="D44" s="769"/>
      <c r="E44" s="769"/>
      <c r="F44" s="769"/>
      <c r="G44" s="769"/>
      <c r="H44" s="769"/>
      <c r="I44" s="769"/>
      <c r="J44" s="769"/>
    </row>
    <row r="45" spans="2:10" ht="12" customHeight="1">
      <c r="D45" s="1603" t="str">
        <f>D14</f>
        <v>Increase in SGA</v>
      </c>
      <c r="E45" s="1604"/>
      <c r="F45" s="1604"/>
      <c r="G45" s="1604"/>
      <c r="H45" s="1604"/>
      <c r="I45" s="1604"/>
      <c r="J45" s="1605"/>
    </row>
    <row r="46" spans="2:10" ht="12" customHeight="1">
      <c r="D46" s="766" t="str">
        <f>D34</f>
        <v>Condition</v>
      </c>
      <c r="E46" s="766" t="str">
        <f>E34</f>
        <v>Changes</v>
      </c>
      <c r="F46" s="766" t="str">
        <f>F34</f>
        <v>NPV</v>
      </c>
      <c r="G46" s="766" t="str">
        <f>G34</f>
        <v>IRR</v>
      </c>
      <c r="H46" s="766" t="str">
        <f>H34</f>
        <v>B/C Ratio</v>
      </c>
      <c r="I46" s="766" t="s">
        <v>885</v>
      </c>
      <c r="J46" s="766" t="str">
        <f>J34</f>
        <v>Conclusion</v>
      </c>
    </row>
    <row r="47" spans="2:10" ht="12" customHeight="1">
      <c r="D47" s="760" t="str">
        <f>D35</f>
        <v>Normal</v>
      </c>
      <c r="E47" s="761"/>
      <c r="F47" s="762"/>
      <c r="G47" s="763"/>
      <c r="H47" s="764"/>
      <c r="I47" s="764"/>
      <c r="J47" s="760" t="str">
        <f>J35</f>
        <v>Feasible</v>
      </c>
    </row>
    <row r="48" spans="2:10" ht="12" customHeight="1">
      <c r="D48" s="760" t="str">
        <f>+D45</f>
        <v>Increase in SGA</v>
      </c>
      <c r="E48" s="765"/>
      <c r="F48" s="762"/>
      <c r="G48" s="763"/>
      <c r="H48" s="764"/>
      <c r="I48" s="764"/>
      <c r="J48" s="760" t="str">
        <f>J36</f>
        <v>Feasible</v>
      </c>
    </row>
    <row r="49" spans="4:10" ht="12" customHeight="1">
      <c r="D49" s="760" t="str">
        <f>+D45</f>
        <v>Increase in SGA</v>
      </c>
      <c r="E49" s="765"/>
      <c r="F49" s="762"/>
      <c r="G49" s="763"/>
      <c r="H49" s="764"/>
      <c r="I49" s="764"/>
      <c r="J49" s="760" t="str">
        <f>J37</f>
        <v>Not Feasible</v>
      </c>
    </row>
    <row r="50" spans="4:10" ht="12" customHeight="1">
      <c r="D50" s="18"/>
      <c r="E50" s="18"/>
      <c r="F50" s="18"/>
      <c r="G50" s="18"/>
      <c r="H50" s="18"/>
      <c r="I50" s="18"/>
      <c r="J50" s="18"/>
    </row>
    <row r="51" spans="4:10" ht="12" customHeight="1">
      <c r="D51" s="1603" t="str">
        <f>D20</f>
        <v>Increase in Other Expenses</v>
      </c>
      <c r="E51" s="1604"/>
      <c r="F51" s="1604"/>
      <c r="G51" s="1604"/>
      <c r="H51" s="1604"/>
      <c r="I51" s="1604"/>
      <c r="J51" s="1605"/>
    </row>
    <row r="52" spans="4:10" ht="12" customHeight="1">
      <c r="D52" s="766" t="str">
        <f>D34</f>
        <v>Condition</v>
      </c>
      <c r="E52" s="766" t="str">
        <f>E34</f>
        <v>Changes</v>
      </c>
      <c r="F52" s="766" t="str">
        <f>F34</f>
        <v>NPV</v>
      </c>
      <c r="G52" s="766" t="str">
        <f>G34</f>
        <v>IRR</v>
      </c>
      <c r="H52" s="766" t="str">
        <f>H34</f>
        <v>B/C Ratio</v>
      </c>
      <c r="I52" s="766" t="s">
        <v>885</v>
      </c>
      <c r="J52" s="766" t="str">
        <f>J34</f>
        <v>Conclusion</v>
      </c>
    </row>
    <row r="53" spans="4:10" ht="12" customHeight="1">
      <c r="D53" s="760" t="str">
        <f>D35</f>
        <v>Normal</v>
      </c>
      <c r="E53" s="761"/>
      <c r="F53" s="762"/>
      <c r="G53" s="763"/>
      <c r="H53" s="764"/>
      <c r="I53" s="764"/>
      <c r="J53" s="760" t="str">
        <f>J35</f>
        <v>Feasible</v>
      </c>
    </row>
    <row r="54" spans="4:10" ht="12" customHeight="1">
      <c r="D54" s="760" t="str">
        <f>+D51</f>
        <v>Increase in Other Expenses</v>
      </c>
      <c r="E54" s="765"/>
      <c r="F54" s="762"/>
      <c r="G54" s="763"/>
      <c r="H54" s="764"/>
      <c r="I54" s="764"/>
      <c r="J54" s="760" t="str">
        <f>J36</f>
        <v>Feasible</v>
      </c>
    </row>
    <row r="55" spans="4:10" ht="12" customHeight="1">
      <c r="D55" s="760" t="str">
        <f>+D51</f>
        <v>Increase in Other Expenses</v>
      </c>
      <c r="E55" s="765"/>
      <c r="F55" s="762"/>
      <c r="G55" s="763"/>
      <c r="H55" s="764"/>
      <c r="I55" s="764"/>
      <c r="J55" s="760" t="str">
        <f>J37</f>
        <v>Not Feasible</v>
      </c>
    </row>
    <row r="56" spans="4:10" ht="12" customHeight="1">
      <c r="D56" s="769"/>
      <c r="E56" s="769"/>
      <c r="F56" s="769"/>
      <c r="G56" s="769"/>
      <c r="H56" s="769"/>
      <c r="I56" s="769"/>
      <c r="J56" s="769"/>
    </row>
    <row r="57" spans="4:10" ht="12" customHeight="1">
      <c r="D57" s="1603" t="str">
        <f>D26</f>
        <v>Increase in Interest Rate</v>
      </c>
      <c r="E57" s="1604"/>
      <c r="F57" s="1604"/>
      <c r="G57" s="1604"/>
      <c r="H57" s="1604"/>
      <c r="I57" s="1604"/>
      <c r="J57" s="1605"/>
    </row>
    <row r="58" spans="4:10" ht="12" customHeight="1">
      <c r="D58" s="766" t="str">
        <f>D34</f>
        <v>Condition</v>
      </c>
      <c r="E58" s="766" t="str">
        <f>E34</f>
        <v>Changes</v>
      </c>
      <c r="F58" s="766" t="str">
        <f>F34</f>
        <v>NPV</v>
      </c>
      <c r="G58" s="766" t="str">
        <f>G34</f>
        <v>IRR</v>
      </c>
      <c r="H58" s="766" t="str">
        <f>H34</f>
        <v>B/C Ratio</v>
      </c>
      <c r="I58" s="766" t="s">
        <v>885</v>
      </c>
      <c r="J58" s="766" t="str">
        <f>J34</f>
        <v>Conclusion</v>
      </c>
    </row>
    <row r="59" spans="4:10" ht="12" customHeight="1">
      <c r="D59" s="760" t="str">
        <f>D35</f>
        <v>Normal</v>
      </c>
      <c r="E59" s="761"/>
      <c r="F59" s="762"/>
      <c r="G59" s="763"/>
      <c r="H59" s="764"/>
      <c r="I59" s="764"/>
      <c r="J59" s="760" t="str">
        <f>J35</f>
        <v>Feasible</v>
      </c>
    </row>
    <row r="60" spans="4:10" ht="12" customHeight="1">
      <c r="D60" s="760" t="str">
        <f>+D57</f>
        <v>Increase in Interest Rate</v>
      </c>
      <c r="E60" s="768"/>
      <c r="F60" s="762"/>
      <c r="G60" s="763"/>
      <c r="H60" s="764"/>
      <c r="I60" s="764"/>
      <c r="J60" s="760" t="str">
        <f>J36</f>
        <v>Feasible</v>
      </c>
    </row>
    <row r="61" spans="4:10" ht="12" customHeight="1">
      <c r="D61" s="760" t="str">
        <f>D57</f>
        <v>Increase in Interest Rate</v>
      </c>
      <c r="E61" s="768"/>
      <c r="F61" s="762"/>
      <c r="G61" s="763"/>
      <c r="H61" s="764"/>
      <c r="I61" s="764"/>
      <c r="J61" s="760" t="str">
        <f>J37</f>
        <v>Not Feasible</v>
      </c>
    </row>
    <row r="62" spans="4:10" ht="12" customHeight="1"/>
    <row r="63" spans="4:10" ht="12" customHeight="1"/>
    <row r="64" spans="4:10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</sheetData>
  <mergeCells count="10">
    <mergeCell ref="D39:J39"/>
    <mergeCell ref="D45:J45"/>
    <mergeCell ref="D51:J51"/>
    <mergeCell ref="D57:J57"/>
    <mergeCell ref="D2:J2"/>
    <mergeCell ref="D8:J8"/>
    <mergeCell ref="D14:J14"/>
    <mergeCell ref="D20:J20"/>
    <mergeCell ref="D26:J26"/>
    <mergeCell ref="D33:J3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00"/>
  <sheetViews>
    <sheetView showGridLines="0" topLeftCell="A48" workbookViewId="0">
      <selection activeCell="K49" sqref="K49"/>
    </sheetView>
  </sheetViews>
  <sheetFormatPr defaultColWidth="12.42578125" defaultRowHeight="15" customHeight="1"/>
  <cols>
    <col min="1" max="1" width="9.140625" customWidth="1"/>
    <col min="2" max="2" width="16.140625" customWidth="1"/>
    <col min="3" max="4" width="8" customWidth="1"/>
    <col min="5" max="5" width="16.140625" customWidth="1"/>
    <col min="6" max="6" width="20.140625" customWidth="1"/>
    <col min="7" max="7" width="9.140625" customWidth="1"/>
    <col min="8" max="26" width="8" customWidth="1"/>
  </cols>
  <sheetData>
    <row r="1" spans="1:9" ht="12.75" customHeight="1">
      <c r="A1" s="162" t="s">
        <v>894</v>
      </c>
    </row>
    <row r="2" spans="1:9" ht="12" customHeight="1"/>
    <row r="3" spans="1:9" ht="12.75" customHeight="1">
      <c r="A3" s="162" t="s">
        <v>895</v>
      </c>
      <c r="F3" s="164">
        <v>7.4999999999999997E-2</v>
      </c>
    </row>
    <row r="4" spans="1:9" ht="12" customHeight="1">
      <c r="A4" s="15" t="s">
        <v>896</v>
      </c>
      <c r="B4" s="17">
        <f>184284200000/1000000</f>
        <v>184284.2</v>
      </c>
      <c r="E4" s="17"/>
      <c r="F4" s="482">
        <f>B4*-1</f>
        <v>-184284.2</v>
      </c>
    </row>
    <row r="5" spans="1:9" ht="13.5" customHeight="1">
      <c r="A5" s="517" t="s">
        <v>660</v>
      </c>
      <c r="B5" s="1610" t="s">
        <v>897</v>
      </c>
      <c r="C5" s="1651"/>
      <c r="D5" s="1652"/>
      <c r="E5" s="517" t="s">
        <v>898</v>
      </c>
      <c r="F5" s="517" t="s">
        <v>899</v>
      </c>
      <c r="G5" s="517" t="s">
        <v>697</v>
      </c>
    </row>
    <row r="6" spans="1:9" ht="12.75" customHeight="1">
      <c r="A6" s="518">
        <v>1</v>
      </c>
      <c r="B6" s="1611">
        <f>+Projection!L79+Projection!L94</f>
        <v>-5070.3589645532011</v>
      </c>
      <c r="C6" s="1637"/>
      <c r="D6" s="1636"/>
      <c r="E6" s="519">
        <f>(B6)/(1+$F$3)^1</f>
        <v>-4716.6129902820476</v>
      </c>
      <c r="F6" s="519">
        <f>B4-E6</f>
        <v>189000.81299028205</v>
      </c>
      <c r="G6" s="520">
        <v>2018</v>
      </c>
    </row>
    <row r="7" spans="1:9" ht="12" customHeight="1">
      <c r="A7" s="521">
        <v>2</v>
      </c>
      <c r="B7" s="1611">
        <f>+Projection!N79+Projection!N94</f>
        <v>19256.944517918862</v>
      </c>
      <c r="C7" s="1637"/>
      <c r="D7" s="1636"/>
      <c r="E7" s="519">
        <f>(B7)/(1+$F$3)^2</f>
        <v>16663.662103120703</v>
      </c>
      <c r="F7" s="519">
        <f t="shared" ref="F7:F10" si="0">F6-E7</f>
        <v>172337.15088716135</v>
      </c>
      <c r="G7" s="172">
        <f t="shared" ref="G7:G14" si="1">G6+1</f>
        <v>2019</v>
      </c>
    </row>
    <row r="8" spans="1:9" ht="12" customHeight="1">
      <c r="A8" s="521">
        <v>3</v>
      </c>
      <c r="B8" s="1611">
        <f>+Projection!P79+Projection!P94</f>
        <v>22946.633605961499</v>
      </c>
      <c r="C8" s="1637"/>
      <c r="D8" s="1636"/>
      <c r="E8" s="519">
        <f>(B8)/(1+$F$3)^3</f>
        <v>18471.135255782963</v>
      </c>
      <c r="F8" s="519">
        <f t="shared" si="0"/>
        <v>153866.0156313784</v>
      </c>
      <c r="G8" s="172">
        <f t="shared" si="1"/>
        <v>2020</v>
      </c>
    </row>
    <row r="9" spans="1:9" ht="12" customHeight="1">
      <c r="A9" s="521">
        <v>4</v>
      </c>
      <c r="B9" s="1611">
        <f>+Projection!R79+Projection!R94</f>
        <v>26858.632853663814</v>
      </c>
      <c r="C9" s="1637"/>
      <c r="D9" s="1636"/>
      <c r="E9" s="519">
        <f>(B9)/(1+$F$3)^4</f>
        <v>20111.75850989261</v>
      </c>
      <c r="F9" s="519">
        <f t="shared" si="0"/>
        <v>133754.25712148577</v>
      </c>
      <c r="G9" s="172">
        <f t="shared" si="1"/>
        <v>2021</v>
      </c>
      <c r="H9" s="522"/>
      <c r="I9" s="17"/>
    </row>
    <row r="10" spans="1:9" ht="12" customHeight="1">
      <c r="A10" s="521">
        <v>5</v>
      </c>
      <c r="B10" s="1612">
        <f>+Projection!T79+Projection!T94</f>
        <v>31262.40542601826</v>
      </c>
      <c r="C10" s="1624"/>
      <c r="D10" s="1623"/>
      <c r="E10" s="519">
        <f>(B10)/(1+$F$3)^5</f>
        <v>21776.098367522129</v>
      </c>
      <c r="F10" s="519">
        <f t="shared" si="0"/>
        <v>111978.15875396365</v>
      </c>
      <c r="G10" s="172">
        <f t="shared" si="1"/>
        <v>2022</v>
      </c>
      <c r="H10" s="522"/>
      <c r="I10" s="17"/>
    </row>
    <row r="11" spans="1:9" ht="12" customHeight="1">
      <c r="A11" s="521">
        <v>6</v>
      </c>
      <c r="B11" s="1612">
        <v>0</v>
      </c>
      <c r="C11" s="1624"/>
      <c r="D11" s="1623"/>
      <c r="E11" s="519">
        <f>($B$11)/(1+$F$3)^6</f>
        <v>0</v>
      </c>
      <c r="F11" s="519" t="b">
        <f t="shared" ref="F11:F15" si="2">IF((F10-E11)&lt;0,0*(F10-E11))</f>
        <v>0</v>
      </c>
      <c r="G11" s="172">
        <f t="shared" si="1"/>
        <v>2023</v>
      </c>
      <c r="H11" s="522"/>
      <c r="I11" s="17"/>
    </row>
    <row r="12" spans="1:9" ht="12" customHeight="1">
      <c r="A12" s="521">
        <v>7</v>
      </c>
      <c r="B12" s="1612">
        <v>0</v>
      </c>
      <c r="C12" s="1624"/>
      <c r="D12" s="1623"/>
      <c r="E12" s="519">
        <f>(B12)/(1+$F$3)^7</f>
        <v>0</v>
      </c>
      <c r="F12" s="519" t="b">
        <f t="shared" si="2"/>
        <v>0</v>
      </c>
      <c r="G12" s="172">
        <f t="shared" si="1"/>
        <v>2024</v>
      </c>
    </row>
    <row r="13" spans="1:9" ht="12" customHeight="1">
      <c r="A13" s="521">
        <v>8</v>
      </c>
      <c r="B13" s="1612">
        <v>0</v>
      </c>
      <c r="C13" s="1624"/>
      <c r="D13" s="1623"/>
      <c r="E13" s="519">
        <f>(B13)/(1+$F$3)^8</f>
        <v>0</v>
      </c>
      <c r="F13" s="519" t="b">
        <f t="shared" si="2"/>
        <v>0</v>
      </c>
      <c r="G13" s="172">
        <f t="shared" si="1"/>
        <v>2025</v>
      </c>
    </row>
    <row r="14" spans="1:9" ht="12" customHeight="1">
      <c r="A14" s="521">
        <v>9</v>
      </c>
      <c r="B14" s="1612">
        <v>0</v>
      </c>
      <c r="C14" s="1624"/>
      <c r="D14" s="1623"/>
      <c r="E14" s="519">
        <f>(B14)/(1+$F$3)^9</f>
        <v>0</v>
      </c>
      <c r="F14" s="519" t="b">
        <f t="shared" si="2"/>
        <v>0</v>
      </c>
      <c r="G14" s="172">
        <f t="shared" si="1"/>
        <v>2026</v>
      </c>
    </row>
    <row r="15" spans="1:9" ht="12" customHeight="1">
      <c r="A15" s="521">
        <v>10</v>
      </c>
      <c r="B15" s="1612">
        <v>0</v>
      </c>
      <c r="C15" s="1624"/>
      <c r="D15" s="1623"/>
      <c r="E15" s="519">
        <f>(B15)/(1+$F$3)^10</f>
        <v>0</v>
      </c>
      <c r="F15" s="519" t="b">
        <f t="shared" si="2"/>
        <v>0</v>
      </c>
      <c r="G15" s="172">
        <v>0</v>
      </c>
    </row>
    <row r="16" spans="1:9" ht="12.75" customHeight="1">
      <c r="A16" s="162"/>
    </row>
    <row r="17" spans="1:8" ht="12.75" customHeight="1">
      <c r="A17" s="162" t="s">
        <v>900</v>
      </c>
    </row>
    <row r="18" spans="1:8" ht="12.75" customHeight="1">
      <c r="A18" s="162">
        <v>5</v>
      </c>
      <c r="B18" s="523" t="s">
        <v>697</v>
      </c>
    </row>
    <row r="19" spans="1:8" ht="12.75" customHeight="1">
      <c r="A19" s="162" t="s">
        <v>901</v>
      </c>
    </row>
    <row r="20" spans="1:8" ht="12.75" customHeight="1">
      <c r="A20" s="524">
        <f>(55+84+84)/3</f>
        <v>74.333333333333329</v>
      </c>
      <c r="B20" s="523" t="s">
        <v>799</v>
      </c>
      <c r="C20" s="516"/>
      <c r="D20" s="523" t="s">
        <v>902</v>
      </c>
      <c r="E20" s="524">
        <f>A20/12</f>
        <v>6.1944444444444438</v>
      </c>
      <c r="F20" s="523" t="s">
        <v>697</v>
      </c>
      <c r="G20" s="166"/>
      <c r="H20" s="166"/>
    </row>
    <row r="21" spans="1:8" ht="12.75" customHeight="1">
      <c r="A21" s="162"/>
      <c r="B21" s="523"/>
      <c r="C21" s="516"/>
      <c r="D21" s="523"/>
      <c r="E21" s="162"/>
      <c r="F21" s="523"/>
      <c r="G21" s="166"/>
      <c r="H21" s="166"/>
    </row>
    <row r="22" spans="1:8" ht="12.75" customHeight="1">
      <c r="A22" s="162" t="s">
        <v>903</v>
      </c>
      <c r="B22" s="523"/>
      <c r="C22" s="516"/>
      <c r="D22" s="523"/>
      <c r="E22" s="516"/>
      <c r="F22" s="162"/>
      <c r="G22" s="166"/>
      <c r="H22" s="166"/>
    </row>
    <row r="23" spans="1:8" ht="12.75" customHeight="1">
      <c r="B23" s="525"/>
      <c r="C23" s="17"/>
      <c r="D23" s="525"/>
      <c r="E23" s="166"/>
      <c r="F23" s="166"/>
      <c r="G23" s="166"/>
      <c r="H23" s="166"/>
    </row>
    <row r="24" spans="1:8" ht="12.75" customHeight="1">
      <c r="A24" s="162" t="s">
        <v>904</v>
      </c>
    </row>
    <row r="25" spans="1:8" ht="12" customHeight="1">
      <c r="A25" s="15" t="s">
        <v>896</v>
      </c>
      <c r="B25" s="17">
        <f>B4</f>
        <v>184284.2</v>
      </c>
    </row>
    <row r="26" spans="1:8" ht="12" customHeight="1">
      <c r="A26" s="15" t="s">
        <v>905</v>
      </c>
      <c r="B26" s="526">
        <f>+F3</f>
        <v>7.4999999999999997E-2</v>
      </c>
      <c r="E26" s="527">
        <f>1+B26</f>
        <v>1.075</v>
      </c>
    </row>
    <row r="27" spans="1:8" ht="12" customHeight="1">
      <c r="A27" s="15"/>
      <c r="B27" s="17"/>
    </row>
    <row r="28" spans="1:8" ht="13.5" customHeight="1">
      <c r="A28" s="517" t="s">
        <v>660</v>
      </c>
      <c r="B28" s="1610" t="s">
        <v>897</v>
      </c>
      <c r="C28" s="1651"/>
      <c r="D28" s="1652"/>
      <c r="E28" s="517" t="s">
        <v>905</v>
      </c>
      <c r="F28" s="517" t="s">
        <v>825</v>
      </c>
    </row>
    <row r="29" spans="1:8" ht="12.75" customHeight="1">
      <c r="A29" s="518">
        <f t="shared" ref="A29:A38" si="3">+A6</f>
        <v>1</v>
      </c>
      <c r="B29" s="1653">
        <f t="shared" ref="B29:B34" si="4">B6</f>
        <v>-5070.3589645532011</v>
      </c>
      <c r="C29" s="1637"/>
      <c r="D29" s="1636"/>
      <c r="E29" s="528">
        <f>1/(E26^1)</f>
        <v>0.93023255813953487</v>
      </c>
      <c r="F29" s="519">
        <f t="shared" ref="F29:F34" si="5">E29*B29</f>
        <v>-4716.6129902820476</v>
      </c>
    </row>
    <row r="30" spans="1:8" ht="12" customHeight="1">
      <c r="A30" s="521">
        <f t="shared" si="3"/>
        <v>2</v>
      </c>
      <c r="B30" s="1654">
        <f t="shared" si="4"/>
        <v>19256.944517918862</v>
      </c>
      <c r="C30" s="1624"/>
      <c r="D30" s="1623"/>
      <c r="E30" s="504">
        <f>1/(E26^2)</f>
        <v>0.86533261222282321</v>
      </c>
      <c r="F30" s="529">
        <f t="shared" si="5"/>
        <v>16663.662103120703</v>
      </c>
    </row>
    <row r="31" spans="1:8" ht="12" customHeight="1">
      <c r="A31" s="521">
        <f t="shared" si="3"/>
        <v>3</v>
      </c>
      <c r="B31" s="1654">
        <f t="shared" si="4"/>
        <v>22946.633605961499</v>
      </c>
      <c r="C31" s="1624"/>
      <c r="D31" s="1623"/>
      <c r="E31" s="504">
        <f>1/(E26^3)</f>
        <v>0.80496056950960304</v>
      </c>
      <c r="F31" s="529">
        <f t="shared" si="5"/>
        <v>18471.135255782963</v>
      </c>
    </row>
    <row r="32" spans="1:8" ht="12" customHeight="1">
      <c r="A32" s="521">
        <f t="shared" si="3"/>
        <v>4</v>
      </c>
      <c r="B32" s="1654">
        <f t="shared" si="4"/>
        <v>26858.632853663814</v>
      </c>
      <c r="C32" s="1624"/>
      <c r="D32" s="1623"/>
      <c r="E32" s="504">
        <f>1/(E26^4)</f>
        <v>0.7488005297763749</v>
      </c>
      <c r="F32" s="529">
        <f t="shared" si="5"/>
        <v>20111.75850989261</v>
      </c>
    </row>
    <row r="33" spans="1:9" ht="12" customHeight="1">
      <c r="A33" s="521">
        <f t="shared" si="3"/>
        <v>5</v>
      </c>
      <c r="B33" s="1654">
        <f t="shared" si="4"/>
        <v>31262.40542601826</v>
      </c>
      <c r="C33" s="1624"/>
      <c r="D33" s="1623"/>
      <c r="E33" s="504">
        <f>1/(E26^5)</f>
        <v>0.69655863235011617</v>
      </c>
      <c r="F33" s="529">
        <f t="shared" si="5"/>
        <v>21776.098367522129</v>
      </c>
      <c r="H33" s="482"/>
    </row>
    <row r="34" spans="1:9" ht="12" customHeight="1">
      <c r="A34" s="521">
        <f t="shared" si="3"/>
        <v>6</v>
      </c>
      <c r="B34" s="1654">
        <f t="shared" si="4"/>
        <v>0</v>
      </c>
      <c r="C34" s="1624"/>
      <c r="D34" s="1623"/>
      <c r="E34" s="504">
        <f>1/(E26^6)</f>
        <v>0.64796151846522443</v>
      </c>
      <c r="F34" s="529">
        <f t="shared" si="5"/>
        <v>0</v>
      </c>
    </row>
    <row r="35" spans="1:9" ht="12" customHeight="1">
      <c r="A35" s="521">
        <f t="shared" si="3"/>
        <v>7</v>
      </c>
      <c r="B35" s="1654"/>
      <c r="C35" s="1624"/>
      <c r="D35" s="1623"/>
      <c r="E35" s="504">
        <f>1/(E26^7)</f>
        <v>0.60275490089788319</v>
      </c>
      <c r="F35" s="529"/>
      <c r="H35" s="482"/>
    </row>
    <row r="36" spans="1:9" ht="12" customHeight="1">
      <c r="A36" s="521">
        <f t="shared" si="3"/>
        <v>8</v>
      </c>
      <c r="B36" s="1654"/>
      <c r="C36" s="1624"/>
      <c r="D36" s="1623"/>
      <c r="E36" s="504">
        <f>1/(E26^8)</f>
        <v>0.56070223339337966</v>
      </c>
      <c r="F36" s="529"/>
      <c r="H36" s="482"/>
    </row>
    <row r="37" spans="1:9" ht="12" customHeight="1">
      <c r="A37" s="521">
        <f t="shared" si="3"/>
        <v>9</v>
      </c>
      <c r="B37" s="1655"/>
      <c r="C37" s="1624"/>
      <c r="D37" s="1624"/>
      <c r="E37" s="504">
        <f>1/(E26^9)</f>
        <v>0.52158347292407414</v>
      </c>
      <c r="F37" s="529"/>
      <c r="H37" s="482"/>
    </row>
    <row r="38" spans="1:9" ht="12" customHeight="1">
      <c r="A38" s="521">
        <f t="shared" si="3"/>
        <v>10</v>
      </c>
      <c r="B38" s="1654">
        <f>B15</f>
        <v>0</v>
      </c>
      <c r="C38" s="1624"/>
      <c r="D38" s="1623"/>
      <c r="E38" s="504">
        <f>1/(E26^10)</f>
        <v>0.48519392830146441</v>
      </c>
      <c r="F38" s="529">
        <f>E38*B38</f>
        <v>0</v>
      </c>
      <c r="H38" s="482"/>
    </row>
    <row r="39" spans="1:9" ht="12" customHeight="1">
      <c r="A39" s="737"/>
      <c r="B39" s="736"/>
      <c r="C39" s="738"/>
      <c r="D39" s="738"/>
      <c r="E39" s="739"/>
      <c r="F39" s="529"/>
      <c r="H39" s="482"/>
    </row>
    <row r="40" spans="1:9" ht="12.75" customHeight="1">
      <c r="A40" s="1609" t="s">
        <v>906</v>
      </c>
      <c r="B40" s="1624"/>
      <c r="C40" s="1624"/>
      <c r="D40" s="1624"/>
      <c r="E40" s="1624"/>
      <c r="F40" s="455">
        <f>SUM(F29:F38)</f>
        <v>72306.041246036359</v>
      </c>
      <c r="H40" s="17"/>
      <c r="I40" s="166"/>
    </row>
    <row r="41" spans="1:9" ht="12.75" customHeight="1">
      <c r="A41" s="523"/>
      <c r="B41" s="523"/>
      <c r="C41" s="523"/>
      <c r="D41" s="523"/>
      <c r="E41" s="523"/>
      <c r="F41" s="17"/>
      <c r="H41" s="17"/>
      <c r="I41" s="166"/>
    </row>
    <row r="42" spans="1:9" ht="12.75" customHeight="1">
      <c r="A42" s="523"/>
      <c r="B42" s="167" t="s">
        <v>907</v>
      </c>
      <c r="C42" s="523"/>
      <c r="D42" s="523"/>
      <c r="E42" s="530">
        <f>B25</f>
        <v>184284.2</v>
      </c>
      <c r="F42" s="17"/>
      <c r="H42" s="17"/>
    </row>
    <row r="43" spans="1:9" ht="12.75" customHeight="1">
      <c r="B43" s="162" t="s">
        <v>908</v>
      </c>
      <c r="C43" s="162"/>
      <c r="D43" s="162"/>
      <c r="E43" s="516">
        <f>F40-E42</f>
        <v>-111978.15875396365</v>
      </c>
    </row>
    <row r="44" spans="1:9" ht="12.75" customHeight="1">
      <c r="B44" s="162" t="s">
        <v>909</v>
      </c>
      <c r="C44" s="162"/>
      <c r="D44" s="162"/>
      <c r="E44" s="516"/>
    </row>
    <row r="45" spans="1:9" ht="12.75" customHeight="1">
      <c r="B45" s="162"/>
      <c r="C45" s="162"/>
      <c r="D45" s="162"/>
      <c r="E45" s="516"/>
    </row>
    <row r="46" spans="1:9" ht="12" customHeight="1">
      <c r="B46" s="15"/>
    </row>
    <row r="47" spans="1:9" ht="12.75" customHeight="1">
      <c r="A47" s="162" t="s">
        <v>910</v>
      </c>
    </row>
    <row r="48" spans="1:9" ht="12" customHeight="1">
      <c r="A48" s="15" t="s">
        <v>896</v>
      </c>
      <c r="B48" s="17">
        <f>B25</f>
        <v>184284.2</v>
      </c>
    </row>
    <row r="49" spans="1:8" ht="12" customHeight="1">
      <c r="A49" s="15" t="s">
        <v>911</v>
      </c>
      <c r="B49" s="164">
        <v>0.125</v>
      </c>
      <c r="E49" s="531" t="s">
        <v>912</v>
      </c>
      <c r="F49" s="532">
        <f t="shared" ref="F49:F50" si="6">1+B49</f>
        <v>1.125</v>
      </c>
    </row>
    <row r="50" spans="1:8" ht="12" customHeight="1">
      <c r="A50" s="15" t="s">
        <v>913</v>
      </c>
      <c r="B50" s="164">
        <v>0.13500000000000001</v>
      </c>
      <c r="E50" s="531" t="s">
        <v>912</v>
      </c>
      <c r="F50" s="532">
        <f t="shared" si="6"/>
        <v>1.135</v>
      </c>
    </row>
    <row r="51" spans="1:8" ht="12" customHeight="1"/>
    <row r="52" spans="1:8" ht="13.5" customHeight="1">
      <c r="A52" s="517" t="s">
        <v>660</v>
      </c>
      <c r="B52" s="1610" t="s">
        <v>897</v>
      </c>
      <c r="C52" s="1651"/>
      <c r="D52" s="1652"/>
      <c r="E52" s="517" t="s">
        <v>911</v>
      </c>
      <c r="F52" s="517" t="s">
        <v>914</v>
      </c>
      <c r="G52" s="517" t="s">
        <v>915</v>
      </c>
      <c r="H52" s="517" t="s">
        <v>916</v>
      </c>
    </row>
    <row r="53" spans="1:8" ht="12.75" customHeight="1">
      <c r="A53" s="518">
        <v>1</v>
      </c>
      <c r="B53" s="1611">
        <f t="shared" ref="B53:B58" si="7">B29</f>
        <v>-5070.3589645532011</v>
      </c>
      <c r="C53" s="1637"/>
      <c r="D53" s="1636"/>
      <c r="E53" s="533">
        <f>1/F49^A53</f>
        <v>0.88888888888888884</v>
      </c>
      <c r="F53" s="519">
        <f t="shared" ref="F53:F58" si="8">E53*B53</f>
        <v>-4506.9857462695118</v>
      </c>
      <c r="G53" s="533">
        <f>1/(F50^1)</f>
        <v>0.88105726872246692</v>
      </c>
      <c r="H53" s="519">
        <f t="shared" ref="H53:H58" si="9">G53*B53</f>
        <v>-4467.2766207517188</v>
      </c>
    </row>
    <row r="54" spans="1:8" ht="12" customHeight="1">
      <c r="A54" s="521">
        <v>2</v>
      </c>
      <c r="B54" s="1612">
        <f t="shared" si="7"/>
        <v>19256.944517918862</v>
      </c>
      <c r="C54" s="1624"/>
      <c r="D54" s="1623"/>
      <c r="E54" s="504">
        <f>1/(F49^2)</f>
        <v>0.79012345679012341</v>
      </c>
      <c r="F54" s="529">
        <f t="shared" si="8"/>
        <v>15215.363569713669</v>
      </c>
      <c r="G54" s="504">
        <f>1/(F50^2)</f>
        <v>0.77626191076869333</v>
      </c>
      <c r="H54" s="529">
        <f t="shared" si="9"/>
        <v>14948.43254704641</v>
      </c>
    </row>
    <row r="55" spans="1:8" ht="12" customHeight="1">
      <c r="A55" s="521">
        <v>3</v>
      </c>
      <c r="B55" s="1612">
        <f t="shared" si="7"/>
        <v>22946.633605961499</v>
      </c>
      <c r="C55" s="1624"/>
      <c r="D55" s="1623"/>
      <c r="E55" s="504">
        <f>1/(F49^3)</f>
        <v>0.7023319615912208</v>
      </c>
      <c r="F55" s="529">
        <f t="shared" si="8"/>
        <v>16116.154192389968</v>
      </c>
      <c r="G55" s="504">
        <f>1/(F50^3)</f>
        <v>0.68393119891514842</v>
      </c>
      <c r="H55" s="529">
        <f t="shared" si="9"/>
        <v>15693.918633191883</v>
      </c>
    </row>
    <row r="56" spans="1:8" ht="12" customHeight="1">
      <c r="A56" s="521">
        <v>4</v>
      </c>
      <c r="B56" s="1612">
        <f t="shared" si="7"/>
        <v>26858.632853663814</v>
      </c>
      <c r="C56" s="1624"/>
      <c r="D56" s="1623"/>
      <c r="E56" s="504">
        <f>1/(F49^4)</f>
        <v>0.62429507696997411</v>
      </c>
      <c r="F56" s="529">
        <f t="shared" si="8"/>
        <v>16767.712264686324</v>
      </c>
      <c r="G56" s="504">
        <f>1/(F50^4)</f>
        <v>0.60258255411026285</v>
      </c>
      <c r="H56" s="529">
        <f t="shared" si="9"/>
        <v>16184.543584870558</v>
      </c>
    </row>
    <row r="57" spans="1:8" ht="12" customHeight="1">
      <c r="A57" s="521">
        <v>5</v>
      </c>
      <c r="B57" s="1612">
        <f t="shared" si="7"/>
        <v>31262.40542601826</v>
      </c>
      <c r="C57" s="1624"/>
      <c r="D57" s="1623"/>
      <c r="E57" s="504">
        <f>1/(F49^5)</f>
        <v>0.5549289573066436</v>
      </c>
      <c r="F57" s="529">
        <f t="shared" si="8"/>
        <v>17348.41404595787</v>
      </c>
      <c r="G57" s="504">
        <f>1/(F50^5)</f>
        <v>0.53090973930419638</v>
      </c>
      <c r="H57" s="529">
        <f t="shared" si="9"/>
        <v>16597.515514749448</v>
      </c>
    </row>
    <row r="58" spans="1:8" ht="12" customHeight="1">
      <c r="A58" s="521">
        <v>6</v>
      </c>
      <c r="B58" s="1612">
        <f t="shared" si="7"/>
        <v>0</v>
      </c>
      <c r="C58" s="1624"/>
      <c r="D58" s="1623"/>
      <c r="E58" s="504">
        <f>1/(F49^6)</f>
        <v>0.49327018427257213</v>
      </c>
      <c r="F58" s="529">
        <f t="shared" si="8"/>
        <v>0</v>
      </c>
      <c r="G58" s="504">
        <f>1/(F50^6)</f>
        <v>0.4677618848495122</v>
      </c>
      <c r="H58" s="529">
        <f t="shared" si="9"/>
        <v>0</v>
      </c>
    </row>
    <row r="59" spans="1:8" ht="12" customHeight="1">
      <c r="A59" s="521">
        <v>7</v>
      </c>
      <c r="B59" s="1612"/>
      <c r="C59" s="1624"/>
      <c r="D59" s="1623"/>
      <c r="E59" s="504"/>
      <c r="F59" s="529"/>
      <c r="G59" s="504"/>
      <c r="H59" s="529"/>
    </row>
    <row r="60" spans="1:8" ht="12" customHeight="1">
      <c r="A60" s="521">
        <v>8</v>
      </c>
      <c r="B60" s="1612"/>
      <c r="C60" s="1624"/>
      <c r="D60" s="1623"/>
      <c r="E60" s="504"/>
      <c r="F60" s="529"/>
      <c r="G60" s="504"/>
      <c r="H60" s="529"/>
    </row>
    <row r="61" spans="1:8" ht="12" customHeight="1">
      <c r="A61" s="521">
        <v>9</v>
      </c>
      <c r="B61" s="1612"/>
      <c r="C61" s="1624"/>
      <c r="D61" s="1623"/>
      <c r="E61" s="504"/>
      <c r="F61" s="529"/>
      <c r="G61" s="504"/>
      <c r="H61" s="529"/>
    </row>
    <row r="62" spans="1:8" ht="12" customHeight="1">
      <c r="A62" s="521">
        <v>10</v>
      </c>
      <c r="B62" s="1612">
        <f>B15</f>
        <v>0</v>
      </c>
      <c r="C62" s="1624"/>
      <c r="D62" s="1623"/>
      <c r="E62" s="504">
        <f>1/(F49^10)</f>
        <v>0.30794614765743872</v>
      </c>
      <c r="F62" s="529">
        <f>E62*B62</f>
        <v>0</v>
      </c>
      <c r="G62" s="504">
        <f>1/(F50^10)</f>
        <v>0.28186515128804979</v>
      </c>
      <c r="H62" s="529">
        <f>G62*B62</f>
        <v>0</v>
      </c>
    </row>
    <row r="63" spans="1:8" ht="12" customHeight="1">
      <c r="A63" s="521"/>
      <c r="B63" s="1612"/>
      <c r="C63" s="1624"/>
      <c r="D63" s="1623"/>
      <c r="E63" s="740"/>
      <c r="F63" s="529"/>
      <c r="G63" s="739"/>
      <c r="H63" s="529"/>
    </row>
    <row r="64" spans="1:8" ht="12.75" customHeight="1">
      <c r="A64" s="1609" t="s">
        <v>566</v>
      </c>
      <c r="B64" s="1624"/>
      <c r="C64" s="1624"/>
      <c r="D64" s="1624"/>
      <c r="E64" s="1623"/>
      <c r="F64" s="529">
        <f>SUM(F53:F62)</f>
        <v>60940.658326478318</v>
      </c>
      <c r="G64" s="738"/>
      <c r="H64" s="529">
        <f>SUM(H53:H62)</f>
        <v>58957.133659106577</v>
      </c>
    </row>
    <row r="65" spans="2:8" ht="12" customHeight="1"/>
    <row r="66" spans="2:8" ht="12" customHeight="1">
      <c r="B66" s="15" t="s">
        <v>907</v>
      </c>
      <c r="D66" s="534" t="s">
        <v>902</v>
      </c>
      <c r="F66" s="17">
        <f>B48</f>
        <v>184284.2</v>
      </c>
      <c r="H66" s="17">
        <f>B48</f>
        <v>184284.2</v>
      </c>
    </row>
    <row r="67" spans="2:8" ht="12" customHeight="1">
      <c r="B67" s="15" t="s">
        <v>827</v>
      </c>
      <c r="D67" s="534" t="s">
        <v>902</v>
      </c>
      <c r="F67" s="17">
        <f>F64-F66</f>
        <v>-123343.54167352169</v>
      </c>
      <c r="H67" s="17">
        <f>H64-H66</f>
        <v>-125327.06634089343</v>
      </c>
    </row>
    <row r="68" spans="2:8" ht="12" customHeight="1"/>
    <row r="69" spans="2:8" ht="12.75" customHeight="1">
      <c r="B69" s="162" t="s">
        <v>828</v>
      </c>
      <c r="C69" s="162"/>
      <c r="D69" s="535" t="s">
        <v>902</v>
      </c>
      <c r="E69" s="162"/>
      <c r="F69" s="536">
        <f>12.5+(((13.5-12.5)*(F67/(F67-H67))))</f>
        <v>-49.684022060566022</v>
      </c>
      <c r="G69" s="162" t="s">
        <v>86</v>
      </c>
    </row>
    <row r="70" spans="2:8" ht="12.75" customHeight="1">
      <c r="B70" s="162" t="s">
        <v>917</v>
      </c>
    </row>
    <row r="71" spans="2:8" ht="12" customHeight="1"/>
    <row r="72" spans="2:8" ht="12" customHeight="1"/>
    <row r="73" spans="2:8" ht="12" customHeight="1"/>
    <row r="74" spans="2:8" ht="12" customHeight="1"/>
    <row r="75" spans="2:8" ht="12" customHeight="1"/>
    <row r="76" spans="2:8" ht="12" customHeight="1"/>
    <row r="77" spans="2:8" ht="12" customHeight="1"/>
    <row r="78" spans="2:8" ht="12" customHeight="1"/>
    <row r="79" spans="2:8" ht="12" customHeight="1"/>
    <row r="80" spans="2:8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36"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28:D28"/>
    <mergeCell ref="B29:D29"/>
    <mergeCell ref="B30:D30"/>
    <mergeCell ref="B38:D38"/>
    <mergeCell ref="A40:E40"/>
    <mergeCell ref="B31:D31"/>
    <mergeCell ref="B32:D32"/>
    <mergeCell ref="B33:D33"/>
    <mergeCell ref="B34:D34"/>
    <mergeCell ref="B35:D35"/>
    <mergeCell ref="B36:D36"/>
    <mergeCell ref="B37:D37"/>
    <mergeCell ref="A64:E64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c893b6-476b-4976-9ac1-d1f5a17f7eb2">
      <Terms xmlns="http://schemas.microsoft.com/office/infopath/2007/PartnerControls"/>
    </lcf76f155ced4ddcb4097134ff3c332f>
    <TaxCatchAll xmlns="f9aab870-1665-4ea1-9abe-aab3aed3645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04AEBF3B67244A8F5B48E2F74698E7" ma:contentTypeVersion="15" ma:contentTypeDescription="Create a new document." ma:contentTypeScope="" ma:versionID="703ce1985005a9f39e7107aefd68841c">
  <xsd:schema xmlns:xsd="http://www.w3.org/2001/XMLSchema" xmlns:xs="http://www.w3.org/2001/XMLSchema" xmlns:p="http://schemas.microsoft.com/office/2006/metadata/properties" xmlns:ns1="http://schemas.microsoft.com/sharepoint/v3" xmlns:ns2="e2c893b6-476b-4976-9ac1-d1f5a17f7eb2" xmlns:ns3="f9aab870-1665-4ea1-9abe-aab3aed36454" targetNamespace="http://schemas.microsoft.com/office/2006/metadata/properties" ma:root="true" ma:fieldsID="f5bdbabeff5e83761e45e1dbf7c78a6c" ns1:_="" ns2:_="" ns3:_="">
    <xsd:import namespace="http://schemas.microsoft.com/sharepoint/v3"/>
    <xsd:import namespace="e2c893b6-476b-4976-9ac1-d1f5a17f7eb2"/>
    <xsd:import namespace="f9aab870-1665-4ea1-9abe-aab3aed36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893b6-476b-4976-9ac1-d1f5a17f7e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ab870-1665-4ea1-9abe-aab3aed364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56338-c540-4150-bb0f-63fdb3aacc6a}" ma:internalName="TaxCatchAll" ma:showField="CatchAllData" ma:web="f9aab870-1665-4ea1-9abe-aab3aed364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096F8-19D8-4019-93A7-B02B25E9A2C7}"/>
</file>

<file path=customXml/itemProps2.xml><?xml version="1.0" encoding="utf-8"?>
<ds:datastoreItem xmlns:ds="http://schemas.openxmlformats.org/officeDocument/2006/customXml" ds:itemID="{3A0288F2-09E9-4BEE-A5D0-77BE0EC98A24}"/>
</file>

<file path=customXml/itemProps3.xml><?xml version="1.0" encoding="utf-8"?>
<ds:datastoreItem xmlns:ds="http://schemas.openxmlformats.org/officeDocument/2006/customXml" ds:itemID="{B9DE4626-4094-4F50-8904-8A2FBCCF55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BNI46;ATI</dc:creator>
  <cp:keywords/>
  <dc:description/>
  <cp:lastModifiedBy/>
  <cp:revision/>
  <dcterms:created xsi:type="dcterms:W3CDTF">2001-08-08T00:18:11Z</dcterms:created>
  <dcterms:modified xsi:type="dcterms:W3CDTF">2026-09-22T08:12:44Z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ptimistLanguageID">
    <vt:i4>1</vt:i4>
  </property>
  <property fmtid="{D5CDD505-2E9C-101B-9397-08002B2CF9AE}" pid="3" name="LastModDate">
    <vt:lpwstr>C:\DOCUMENTS AND SETTINGS\USERTRA1-03\MY DOCUMENTS\BECCA DISTRIBUTION.OPT
Last Modified: 21/04/2014 2:26:54 PM</vt:lpwstr>
  </property>
  <property fmtid="{D5CDD505-2E9C-101B-9397-08002B2CF9AE}" pid="4" name="SavedLink1">
    <vt:lpwstr/>
  </property>
  <property fmtid="{D5CDD505-2E9C-101B-9397-08002B2CF9AE}" pid="5" name="ContentTypeId">
    <vt:lpwstr>0x010100C904AEBF3B67244A8F5B48E2F74698E7</vt:lpwstr>
  </property>
  <property fmtid="{D5CDD505-2E9C-101B-9397-08002B2CF9AE}" pid="6" name="MediaServiceImageTags">
    <vt:lpwstr/>
  </property>
</Properties>
</file>